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\\moe.local\moe\Projects\Aarhus\1018000\1018039\05 Analyse\05-16 EBI\01 1-planet lab\1-planet lab\Produktdatabase\Udgivet\2024.03.15\"/>
    </mc:Choice>
  </mc:AlternateContent>
  <xr:revisionPtr revIDLastSave="0" documentId="13_ncr:1_{B3CF5D1E-ED64-416B-8853-74E6F59B8CD6}" xr6:coauthVersionLast="47" xr6:coauthVersionMax="47" xr10:uidLastSave="{00000000-0000-0000-0000-000000000000}"/>
  <bookViews>
    <workbookView xWindow="-108" yWindow="-108" windowWidth="23256" windowHeight="14016" xr2:uid="{424BB535-7E34-4EE4-BFAE-AEAEC27371A4}"/>
  </bookViews>
  <sheets>
    <sheet name="Introduktion" sheetId="3" r:id="rId1"/>
    <sheet name="Isolering" sheetId="7" r:id="rId2"/>
    <sheet name="Udvendig beklædning" sheetId="8" r:id="rId3"/>
    <sheet name="Plader" sheetId="9" r:id="rId4"/>
    <sheet name="Overflader" sheetId="10" r:id="rId5"/>
    <sheet name="Indvendig beklædning" sheetId="12" r:id="rId6"/>
    <sheet name="Vinduer" sheetId="15" r:id="rId7"/>
    <sheet name="Solceller" sheetId="16" r:id="rId8"/>
  </sheets>
  <definedNames>
    <definedName name="_xlnm._FilterDatabase" localSheetId="5" hidden="1">'Indvendig beklædning'!$A$5:$AP$5</definedName>
    <definedName name="_xlnm._FilterDatabase" localSheetId="1" hidden="1">Isolering!$A$5:$AQ$200</definedName>
    <definedName name="_xlnm._FilterDatabase" localSheetId="4" hidden="1">Overflader!$A$5:$AP$5</definedName>
    <definedName name="_xlnm._FilterDatabase" localSheetId="3" hidden="1">Plader!$A$5:$AP$109</definedName>
    <definedName name="_xlnm._FilterDatabase" localSheetId="7" hidden="1">Solceller!$A$5:$AQ$82</definedName>
    <definedName name="_xlnm._FilterDatabase" localSheetId="2" hidden="1">'Udvendig beklædning'!$A$5:$AQ$153</definedName>
    <definedName name="_xlnm._FilterDatabase" localSheetId="6" hidden="1">Vinduer!$A$5:$AV$5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2" i="8" l="1"/>
  <c r="AB13" i="8"/>
  <c r="AE55" i="16"/>
  <c r="AD55" i="16"/>
  <c r="AC55" i="16"/>
  <c r="AB55" i="16"/>
  <c r="AL55" i="16"/>
  <c r="AM55" i="16"/>
  <c r="AN55" i="16"/>
  <c r="AL81" i="16"/>
  <c r="O81" i="16" s="1" a="1"/>
  <c r="O81" i="16" s="1"/>
  <c r="N81" i="16" s="1"/>
  <c r="AA81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AA30" i="16"/>
  <c r="AA16" i="16"/>
  <c r="AL33" i="16"/>
  <c r="AL34" i="16"/>
  <c r="AN35" i="16"/>
  <c r="AA15" i="16"/>
  <c r="AA45" i="16"/>
  <c r="AC17" i="16"/>
  <c r="AB17" i="16"/>
  <c r="AA17" i="16"/>
  <c r="AC139" i="7"/>
  <c r="AG139" i="7"/>
  <c r="AA139" i="7"/>
  <c r="K139" i="7" s="1" a="1"/>
  <c r="K139" i="7" s="1"/>
  <c r="J139" i="7" s="1"/>
  <c r="Q139" i="7" a="1"/>
  <c r="Q139" i="7" s="1"/>
  <c r="P139" i="7" s="1"/>
  <c r="O139" i="7" a="1"/>
  <c r="O139" i="7" s="1"/>
  <c r="N139" i="7" s="1"/>
  <c r="M139" i="7" a="1"/>
  <c r="M139" i="7" s="1"/>
  <c r="L139" i="7" s="1"/>
  <c r="AA141" i="7"/>
  <c r="AC52" i="12"/>
  <c r="AC53" i="12"/>
  <c r="AA53" i="12"/>
  <c r="K53" i="12" s="1" a="1"/>
  <c r="K53" i="12" s="1"/>
  <c r="J53" i="12" s="1"/>
  <c r="M53" i="12" a="1"/>
  <c r="M53" i="12" s="1"/>
  <c r="L53" i="12" s="1"/>
  <c r="O53" i="12" a="1"/>
  <c r="O53" i="12" s="1"/>
  <c r="N53" i="12" s="1"/>
  <c r="Q53" i="12" a="1"/>
  <c r="Q53" i="12" s="1"/>
  <c r="P53" i="12" s="1"/>
  <c r="AA52" i="12"/>
  <c r="K52" i="12" s="1" a="1"/>
  <c r="K52" i="12" s="1"/>
  <c r="J52" i="12" s="1"/>
  <c r="M52" i="12" a="1"/>
  <c r="M52" i="12" s="1"/>
  <c r="L52" i="12" s="1"/>
  <c r="O52" i="12" a="1"/>
  <c r="O52" i="12" s="1"/>
  <c r="N52" i="12" s="1"/>
  <c r="Q52" i="12" a="1"/>
  <c r="Q52" i="12" s="1"/>
  <c r="P52" i="12" s="1"/>
  <c r="K51" i="12" a="1"/>
  <c r="K51" i="12" s="1"/>
  <c r="J51" i="12" s="1"/>
  <c r="M51" i="12" a="1"/>
  <c r="M51" i="12" s="1"/>
  <c r="L51" i="12" s="1"/>
  <c r="O51" i="12" a="1"/>
  <c r="O51" i="12" s="1"/>
  <c r="N51" i="12" s="1"/>
  <c r="Q51" i="12" a="1"/>
  <c r="Q51" i="12" s="1"/>
  <c r="P51" i="12" s="1"/>
  <c r="AC51" i="12"/>
  <c r="AA51" i="12"/>
  <c r="AC50" i="12"/>
  <c r="AM50" i="12"/>
  <c r="AC49" i="12"/>
  <c r="AM49" i="12"/>
  <c r="M49" i="12" a="1"/>
  <c r="M49" i="12" s="1"/>
  <c r="L49" i="12" s="1"/>
  <c r="O49" i="12" a="1"/>
  <c r="O49" i="12" s="1"/>
  <c r="N49" i="12" s="1"/>
  <c r="Q49" i="12" a="1"/>
  <c r="Q49" i="12" s="1"/>
  <c r="P49" i="12" s="1"/>
  <c r="M50" i="12" a="1"/>
  <c r="M50" i="12" s="1"/>
  <c r="L50" i="12" s="1"/>
  <c r="O50" i="12" a="1"/>
  <c r="O50" i="12" s="1"/>
  <c r="N50" i="12" s="1"/>
  <c r="Q50" i="12" a="1"/>
  <c r="Q50" i="12" s="1"/>
  <c r="P50" i="12" s="1"/>
  <c r="AA49" i="12"/>
  <c r="K49" i="12" s="1" a="1"/>
  <c r="K49" i="12" s="1"/>
  <c r="J49" i="12" s="1"/>
  <c r="AA50" i="12"/>
  <c r="K50" i="12" s="1" a="1"/>
  <c r="K50" i="12" s="1"/>
  <c r="J50" i="12" s="1"/>
  <c r="AC48" i="12"/>
  <c r="AC47" i="12"/>
  <c r="AA47" i="12"/>
  <c r="AA48" i="12"/>
  <c r="K48" i="12" s="1" a="1"/>
  <c r="K48" i="12" s="1"/>
  <c r="J48" i="12" s="1"/>
  <c r="K47" i="12" a="1"/>
  <c r="K47" i="12" s="1"/>
  <c r="J47" i="12" s="1"/>
  <c r="M47" i="12" a="1"/>
  <c r="M47" i="12" s="1"/>
  <c r="L47" i="12" s="1"/>
  <c r="O47" i="12" a="1"/>
  <c r="O47" i="12" s="1"/>
  <c r="N47" i="12" s="1"/>
  <c r="Q47" i="12" a="1"/>
  <c r="Q47" i="12" s="1"/>
  <c r="P47" i="12" s="1"/>
  <c r="M48" i="12" a="1"/>
  <c r="M48" i="12" s="1"/>
  <c r="L48" i="12" s="1"/>
  <c r="O48" i="12" a="1"/>
  <c r="O48" i="12" s="1"/>
  <c r="N48" i="12" s="1"/>
  <c r="Q48" i="12" a="1"/>
  <c r="Q48" i="12" s="1"/>
  <c r="P48" i="12" s="1"/>
  <c r="AC46" i="12"/>
  <c r="O46" i="12" s="1" a="1"/>
  <c r="O46" i="12" s="1"/>
  <c r="N46" i="12" s="1"/>
  <c r="AA45" i="12"/>
  <c r="AA46" i="12"/>
  <c r="K45" i="12" a="1"/>
  <c r="K45" i="12" s="1"/>
  <c r="J45" i="12" s="1"/>
  <c r="M45" i="12" a="1"/>
  <c r="M45" i="12" s="1"/>
  <c r="L45" i="12" s="1"/>
  <c r="O45" i="12" a="1"/>
  <c r="O45" i="12" s="1"/>
  <c r="N45" i="12" s="1"/>
  <c r="Q45" i="12" a="1"/>
  <c r="Q45" i="12" s="1"/>
  <c r="P45" i="12" s="1"/>
  <c r="K46" i="12" a="1"/>
  <c r="K46" i="12" s="1"/>
  <c r="J46" i="12" s="1"/>
  <c r="M46" i="12" a="1"/>
  <c r="M46" i="12" s="1"/>
  <c r="L46" i="12" s="1"/>
  <c r="Q46" i="12" a="1"/>
  <c r="Q46" i="12" s="1"/>
  <c r="P46" i="12" s="1"/>
  <c r="AD44" i="12"/>
  <c r="AC44" i="12"/>
  <c r="M44" i="12" a="1"/>
  <c r="M44" i="12" s="1"/>
  <c r="L44" i="12" s="1"/>
  <c r="O44" i="12" a="1"/>
  <c r="O44" i="12" s="1"/>
  <c r="N44" i="12" s="1"/>
  <c r="Q44" i="12" a="1"/>
  <c r="Q44" i="12" s="1"/>
  <c r="P44" i="12" s="1"/>
  <c r="AA44" i="12"/>
  <c r="K44" i="12" s="1" a="1"/>
  <c r="K44" i="12" s="1"/>
  <c r="J44" i="12" s="1"/>
  <c r="AG43" i="12"/>
  <c r="AA43" i="12"/>
  <c r="K43" i="12" a="1"/>
  <c r="K43" i="12" s="1"/>
  <c r="J43" i="12" s="1"/>
  <c r="M43" i="12" a="1"/>
  <c r="M43" i="12" s="1"/>
  <c r="L43" i="12" s="1"/>
  <c r="O43" i="12" a="1"/>
  <c r="O43" i="12" s="1"/>
  <c r="N43" i="12" s="1"/>
  <c r="Q43" i="12" a="1"/>
  <c r="Q43" i="12" s="1"/>
  <c r="P43" i="12" s="1"/>
  <c r="AM42" i="12"/>
  <c r="AC42" i="12"/>
  <c r="AA42" i="12" s="1"/>
  <c r="M42" i="12" a="1"/>
  <c r="M42" i="12" s="1"/>
  <c r="L42" i="12" s="1"/>
  <c r="O42" i="12" a="1"/>
  <c r="O42" i="12" s="1"/>
  <c r="N42" i="12" s="1"/>
  <c r="Q42" i="12" a="1"/>
  <c r="Q42" i="12" s="1"/>
  <c r="P42" i="12" s="1"/>
  <c r="AE41" i="12"/>
  <c r="AC41" i="12"/>
  <c r="AC40" i="12"/>
  <c r="AM40" i="12"/>
  <c r="AM41" i="12"/>
  <c r="O41" i="12" a="1"/>
  <c r="O41" i="12" s="1"/>
  <c r="N41" i="12" s="1"/>
  <c r="Q41" i="12" a="1"/>
  <c r="Q41" i="12" s="1"/>
  <c r="P41" i="12" s="1"/>
  <c r="M41" i="12" a="1"/>
  <c r="M41" i="12" s="1"/>
  <c r="L41" i="12" s="1"/>
  <c r="AA40" i="12"/>
  <c r="K40" i="12" s="1" a="1"/>
  <c r="K40" i="12" s="1"/>
  <c r="J40" i="12" s="1"/>
  <c r="Q40" i="12" a="1"/>
  <c r="Q40" i="12" s="1"/>
  <c r="P40" i="12" s="1"/>
  <c r="O40" i="12" a="1"/>
  <c r="O40" i="12" s="1"/>
  <c r="N40" i="12" s="1"/>
  <c r="M40" i="12" a="1"/>
  <c r="M40" i="12" s="1"/>
  <c r="L40" i="12" s="1"/>
  <c r="AM39" i="12"/>
  <c r="AE39" i="12"/>
  <c r="AC39" i="12"/>
  <c r="AA39" i="12" s="1"/>
  <c r="K39" i="12" s="1" a="1"/>
  <c r="K39" i="12" s="1"/>
  <c r="J39" i="12" s="1"/>
  <c r="M39" i="12" a="1"/>
  <c r="M39" i="12" s="1"/>
  <c r="L39" i="12" s="1"/>
  <c r="O39" i="12" a="1"/>
  <c r="O39" i="12" s="1"/>
  <c r="N39" i="12" s="1"/>
  <c r="Q39" i="12" a="1"/>
  <c r="Q39" i="12" s="1"/>
  <c r="P39" i="12" s="1"/>
  <c r="AM38" i="12"/>
  <c r="AC38" i="12"/>
  <c r="AA38" i="12"/>
  <c r="K38" i="12" s="1" a="1"/>
  <c r="K38" i="12" s="1"/>
  <c r="J38" i="12" s="1"/>
  <c r="M38" i="12" a="1"/>
  <c r="M38" i="12" s="1"/>
  <c r="L38" i="12" s="1"/>
  <c r="O38" i="12" a="1"/>
  <c r="O38" i="12" s="1"/>
  <c r="N38" i="12" s="1"/>
  <c r="Q38" i="12" a="1"/>
  <c r="Q38" i="12" s="1"/>
  <c r="P38" i="12" s="1"/>
  <c r="AM37" i="12"/>
  <c r="AC37" i="12"/>
  <c r="AA37" i="12"/>
  <c r="K37" i="12" s="1" a="1"/>
  <c r="K37" i="12" s="1"/>
  <c r="J37" i="12" s="1"/>
  <c r="M37" i="12" a="1"/>
  <c r="M37" i="12" s="1"/>
  <c r="L37" i="12" s="1"/>
  <c r="O37" i="12" a="1"/>
  <c r="O37" i="12" s="1"/>
  <c r="N37" i="12" s="1"/>
  <c r="Q37" i="12" a="1"/>
  <c r="Q37" i="12" s="1"/>
  <c r="P37" i="12" s="1"/>
  <c r="AM31" i="12"/>
  <c r="AM30" i="12"/>
  <c r="AM29" i="12"/>
  <c r="AM28" i="12"/>
  <c r="AM27" i="12"/>
  <c r="AM26" i="12"/>
  <c r="AM25" i="12"/>
  <c r="AE31" i="12"/>
  <c r="AC31" i="12"/>
  <c r="AE30" i="12"/>
  <c r="AC30" i="12"/>
  <c r="AC29" i="12"/>
  <c r="AB29" i="12"/>
  <c r="AC28" i="12"/>
  <c r="AE27" i="12"/>
  <c r="AD27" i="12"/>
  <c r="AC27" i="12"/>
  <c r="AB27" i="12"/>
  <c r="AE26" i="12"/>
  <c r="AD26" i="12"/>
  <c r="AC26" i="12"/>
  <c r="AE25" i="12"/>
  <c r="AC25" i="12"/>
  <c r="AD25" i="12"/>
  <c r="AB25" i="12"/>
  <c r="AA25" i="12"/>
  <c r="AA26" i="12"/>
  <c r="AA27" i="12"/>
  <c r="AA28" i="12"/>
  <c r="AA29" i="12"/>
  <c r="AA30" i="12"/>
  <c r="AA31" i="12"/>
  <c r="AC36" i="12"/>
  <c r="AA36" i="12"/>
  <c r="K36" i="12" s="1" a="1"/>
  <c r="K36" i="12" s="1"/>
  <c r="J36" i="12" s="1"/>
  <c r="M36" i="12" a="1"/>
  <c r="M36" i="12" s="1"/>
  <c r="L36" i="12" s="1"/>
  <c r="O36" i="12" a="1"/>
  <c r="O36" i="12" s="1"/>
  <c r="N36" i="12" s="1"/>
  <c r="Q36" i="12" a="1"/>
  <c r="Q36" i="12" s="1"/>
  <c r="P36" i="12" s="1"/>
  <c r="AC35" i="12"/>
  <c r="AA35" i="12"/>
  <c r="AC34" i="12"/>
  <c r="O34" i="12" s="1" a="1"/>
  <c r="O34" i="12" s="1"/>
  <c r="N34" i="12" s="1"/>
  <c r="AC33" i="12"/>
  <c r="O33" i="12" s="1" a="1"/>
  <c r="O33" i="12" s="1"/>
  <c r="N33" i="12" s="1"/>
  <c r="M33" i="12" a="1"/>
  <c r="M33" i="12" s="1"/>
  <c r="L33" i="12" s="1"/>
  <c r="Q33" i="12" a="1"/>
  <c r="Q33" i="12" s="1"/>
  <c r="P33" i="12" s="1"/>
  <c r="M34" i="12" a="1"/>
  <c r="M34" i="12" s="1"/>
  <c r="L34" i="12" s="1"/>
  <c r="Q34" i="12" a="1"/>
  <c r="Q34" i="12"/>
  <c r="P34" i="12" s="1"/>
  <c r="K35" i="12" a="1"/>
  <c r="K35" i="12" s="1"/>
  <c r="J35" i="12" s="1"/>
  <c r="M35" i="12" a="1"/>
  <c r="M35" i="12" s="1"/>
  <c r="L35" i="12" s="1"/>
  <c r="O35" i="12" a="1"/>
  <c r="O35" i="12" s="1"/>
  <c r="N35" i="12" s="1"/>
  <c r="Q35" i="12" a="1"/>
  <c r="Q35" i="12" s="1"/>
  <c r="P35" i="12" s="1"/>
  <c r="AC32" i="12"/>
  <c r="AB32" i="12"/>
  <c r="AA32" i="12" s="1"/>
  <c r="K32" i="12" s="1" a="1"/>
  <c r="K32" i="12" s="1"/>
  <c r="J32" i="12" s="1"/>
  <c r="O32" i="12" a="1"/>
  <c r="O32" i="12" s="1"/>
  <c r="N32" i="12" s="1"/>
  <c r="Q32" i="12" a="1"/>
  <c r="Q32" i="12" s="1"/>
  <c r="P32" i="12" s="1"/>
  <c r="H29" i="3"/>
  <c r="G29" i="3"/>
  <c r="G31" i="3"/>
  <c r="C80" i="9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6" i="12"/>
  <c r="C72" i="15"/>
  <c r="C71" i="15"/>
  <c r="C70" i="15"/>
  <c r="C60" i="15"/>
  <c r="C61" i="15"/>
  <c r="C62" i="15"/>
  <c r="C63" i="15"/>
  <c r="C64" i="15"/>
  <c r="C65" i="15"/>
  <c r="C66" i="15"/>
  <c r="C67" i="15"/>
  <c r="C68" i="15"/>
  <c r="C69" i="15"/>
  <c r="C59" i="15"/>
  <c r="C51" i="15"/>
  <c r="C52" i="15"/>
  <c r="C53" i="15"/>
  <c r="C54" i="15"/>
  <c r="C55" i="15"/>
  <c r="C56" i="15"/>
  <c r="C57" i="15"/>
  <c r="C58" i="15"/>
  <c r="C50" i="15"/>
  <c r="C47" i="15"/>
  <c r="C48" i="15"/>
  <c r="C49" i="15"/>
  <c r="C46" i="15"/>
  <c r="C45" i="15"/>
  <c r="C44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8" i="15"/>
  <c r="C7" i="15"/>
  <c r="C6" i="15"/>
  <c r="C44" i="16"/>
  <c r="J8" i="9" a="1"/>
  <c r="J8" i="9" s="1"/>
  <c r="J10" i="9" a="1"/>
  <c r="J10" i="9" s="1"/>
  <c r="J12" i="9" a="1"/>
  <c r="J12" i="9" s="1"/>
  <c r="J13" i="9" a="1"/>
  <c r="J13" i="9" s="1"/>
  <c r="J14" i="9" a="1"/>
  <c r="J14" i="9" s="1"/>
  <c r="J18" i="9" a="1"/>
  <c r="J18" i="9" s="1"/>
  <c r="J19" i="9" a="1"/>
  <c r="J19" i="9" s="1"/>
  <c r="J20" i="9" a="1"/>
  <c r="J20" i="9" s="1"/>
  <c r="J21" i="9" a="1"/>
  <c r="J21" i="9" s="1"/>
  <c r="J22" i="9" a="1"/>
  <c r="J22" i="9" s="1"/>
  <c r="J23" i="9" a="1"/>
  <c r="J23" i="9" s="1"/>
  <c r="J31" i="9" a="1"/>
  <c r="J31" i="9" s="1"/>
  <c r="J32" i="9" a="1"/>
  <c r="J32" i="9" s="1"/>
  <c r="J33" i="9" a="1"/>
  <c r="J33" i="9" s="1"/>
  <c r="J36" i="9" a="1"/>
  <c r="J36" i="9" s="1"/>
  <c r="J38" i="9" a="1"/>
  <c r="J38" i="9" s="1"/>
  <c r="J39" i="9" a="1"/>
  <c r="J39" i="9" s="1"/>
  <c r="J43" i="9" a="1"/>
  <c r="J43" i="9" s="1"/>
  <c r="J44" i="9" a="1"/>
  <c r="J44" i="9" s="1"/>
  <c r="J51" i="9" a="1"/>
  <c r="J51" i="9" s="1"/>
  <c r="J52" i="9" a="1"/>
  <c r="J52" i="9" s="1"/>
  <c r="J53" i="9" a="1"/>
  <c r="J53" i="9" s="1"/>
  <c r="J54" i="9" a="1"/>
  <c r="J54" i="9" s="1"/>
  <c r="J55" i="9" a="1"/>
  <c r="J55" i="9" s="1"/>
  <c r="J56" i="9" a="1"/>
  <c r="J56" i="9" s="1"/>
  <c r="J57" i="9" a="1"/>
  <c r="J57" i="9" s="1"/>
  <c r="J59" i="9" a="1"/>
  <c r="J59" i="9" s="1"/>
  <c r="J62" i="9" a="1"/>
  <c r="J62" i="9" s="1"/>
  <c r="J68" i="9" a="1"/>
  <c r="J68" i="9" s="1"/>
  <c r="J70" i="9" a="1"/>
  <c r="J70" i="9" s="1"/>
  <c r="J76" i="9" a="1"/>
  <c r="J76" i="9" s="1"/>
  <c r="J77" i="9" a="1"/>
  <c r="J77" i="9" s="1"/>
  <c r="AF109" i="9"/>
  <c r="AD109" i="9" s="1"/>
  <c r="P109" i="9" s="1" a="1"/>
  <c r="P109" i="9" s="1"/>
  <c r="O109" i="9" s="1"/>
  <c r="AC109" i="9"/>
  <c r="AB109" i="9"/>
  <c r="AA109" i="9"/>
  <c r="Z109" i="9"/>
  <c r="J109" i="9" s="1" a="1"/>
  <c r="J109" i="9" s="1"/>
  <c r="I109" i="9" s="1"/>
  <c r="AF108" i="9"/>
  <c r="AD108" i="9" s="1"/>
  <c r="P108" i="9" s="1" a="1"/>
  <c r="P108" i="9" s="1"/>
  <c r="O108" i="9" s="1"/>
  <c r="AC108" i="9"/>
  <c r="AB108" i="9"/>
  <c r="Z108" i="9" s="1"/>
  <c r="J108" i="9" s="1" a="1"/>
  <c r="J108" i="9" s="1"/>
  <c r="AA108" i="9"/>
  <c r="AF107" i="9"/>
  <c r="AD107" i="9" s="1"/>
  <c r="P107" i="9" s="1" a="1"/>
  <c r="P107" i="9" s="1"/>
  <c r="O107" i="9" s="1"/>
  <c r="AC107" i="9"/>
  <c r="AB107" i="9"/>
  <c r="Z107" i="9" s="1"/>
  <c r="J107" i="9" s="1" a="1"/>
  <c r="J107" i="9" s="1"/>
  <c r="AA107" i="9"/>
  <c r="AF106" i="9"/>
  <c r="AD106" i="9" s="1"/>
  <c r="P106" i="9" s="1" a="1"/>
  <c r="P106" i="9" s="1"/>
  <c r="O106" i="9" s="1"/>
  <c r="AC106" i="9"/>
  <c r="AB106" i="9"/>
  <c r="AA106" i="9"/>
  <c r="Z106" i="9"/>
  <c r="J106" i="9" s="1" a="1"/>
  <c r="J106" i="9" s="1"/>
  <c r="AF105" i="9"/>
  <c r="AD105" i="9" s="1"/>
  <c r="P105" i="9" s="1" a="1"/>
  <c r="P105" i="9" s="1"/>
  <c r="O105" i="9" s="1"/>
  <c r="AC105" i="9"/>
  <c r="AB105" i="9"/>
  <c r="AA105" i="9"/>
  <c r="Z105" i="9"/>
  <c r="J105" i="9" s="1" a="1"/>
  <c r="J105" i="9" s="1"/>
  <c r="I105" i="9" s="1"/>
  <c r="AF104" i="9"/>
  <c r="AD104" i="9" s="1"/>
  <c r="P104" i="9" s="1" a="1"/>
  <c r="P104" i="9" s="1"/>
  <c r="O104" i="9" s="1"/>
  <c r="AC104" i="9"/>
  <c r="AB104" i="9"/>
  <c r="Z104" i="9" s="1"/>
  <c r="J104" i="9" s="1" a="1"/>
  <c r="J104" i="9" s="1"/>
  <c r="AA104" i="9"/>
  <c r="AF103" i="9"/>
  <c r="AD103" i="9" s="1"/>
  <c r="P103" i="9" s="1" a="1"/>
  <c r="P103" i="9" s="1"/>
  <c r="O103" i="9" s="1"/>
  <c r="AC103" i="9"/>
  <c r="AB103" i="9"/>
  <c r="Z103" i="9" s="1"/>
  <c r="J103" i="9" s="1" a="1"/>
  <c r="J103" i="9" s="1"/>
  <c r="AA103" i="9"/>
  <c r="AF102" i="9"/>
  <c r="AD102" i="9" s="1"/>
  <c r="P102" i="9" s="1" a="1"/>
  <c r="P102" i="9" s="1"/>
  <c r="O102" i="9" s="1"/>
  <c r="AC102" i="9"/>
  <c r="AB102" i="9"/>
  <c r="AA102" i="9"/>
  <c r="Z102" i="9"/>
  <c r="J102" i="9" s="1" a="1"/>
  <c r="J102" i="9" s="1"/>
  <c r="AF101" i="9"/>
  <c r="AD101" i="9" s="1"/>
  <c r="P101" i="9" s="1" a="1"/>
  <c r="P101" i="9" s="1"/>
  <c r="O101" i="9" s="1"/>
  <c r="AC101" i="9"/>
  <c r="AB101" i="9"/>
  <c r="AA101" i="9"/>
  <c r="Z101" i="9"/>
  <c r="J101" i="9" s="1" a="1"/>
  <c r="J101" i="9" s="1"/>
  <c r="I101" i="9" s="1"/>
  <c r="AF100" i="9"/>
  <c r="AD100" i="9" s="1"/>
  <c r="P100" i="9" s="1" a="1"/>
  <c r="P100" i="9" s="1"/>
  <c r="O100" i="9" s="1"/>
  <c r="AC100" i="9"/>
  <c r="AB100" i="9"/>
  <c r="Z100" i="9" s="1"/>
  <c r="J100" i="9" s="1" a="1"/>
  <c r="J100" i="9" s="1"/>
  <c r="AA100" i="9"/>
  <c r="AF99" i="9"/>
  <c r="AD99" i="9" s="1"/>
  <c r="P99" i="9" s="1" a="1"/>
  <c r="P99" i="9" s="1"/>
  <c r="O99" i="9" s="1"/>
  <c r="AC99" i="9"/>
  <c r="AB99" i="9"/>
  <c r="Z99" i="9" s="1"/>
  <c r="J99" i="9" s="1" a="1"/>
  <c r="J99" i="9" s="1"/>
  <c r="AA99" i="9"/>
  <c r="AF98" i="9"/>
  <c r="AD98" i="9" s="1"/>
  <c r="P98" i="9" s="1" a="1"/>
  <c r="P98" i="9" s="1"/>
  <c r="O98" i="9" s="1"/>
  <c r="AC98" i="9"/>
  <c r="AB98" i="9"/>
  <c r="AA98" i="9"/>
  <c r="Z98" i="9"/>
  <c r="J98" i="9" s="1" a="1"/>
  <c r="J98" i="9" s="1"/>
  <c r="AF97" i="9"/>
  <c r="AD97" i="9" s="1"/>
  <c r="P97" i="9" s="1" a="1"/>
  <c r="P97" i="9" s="1"/>
  <c r="O97" i="9" s="1"/>
  <c r="AC97" i="9"/>
  <c r="AB97" i="9"/>
  <c r="AA97" i="9"/>
  <c r="Z97" i="9"/>
  <c r="J97" i="9" s="1" a="1"/>
  <c r="J97" i="9" s="1"/>
  <c r="I97" i="9" s="1"/>
  <c r="AD96" i="9"/>
  <c r="AC96" i="9"/>
  <c r="AB96" i="9"/>
  <c r="Z96" i="9" s="1"/>
  <c r="J96" i="9" s="1" a="1"/>
  <c r="J96" i="9" s="1"/>
  <c r="AA96" i="9"/>
  <c r="AD95" i="9"/>
  <c r="AC95" i="9"/>
  <c r="AB95" i="9"/>
  <c r="AA95" i="9"/>
  <c r="Z95" i="9"/>
  <c r="J95" i="9" s="1" a="1"/>
  <c r="J95" i="9" s="1"/>
  <c r="AD94" i="9"/>
  <c r="AC94" i="9"/>
  <c r="AB94" i="9"/>
  <c r="Z94" i="9" s="1"/>
  <c r="J94" i="9" s="1" a="1"/>
  <c r="J94" i="9" s="1"/>
  <c r="AA94" i="9"/>
  <c r="AD93" i="9"/>
  <c r="AC93" i="9"/>
  <c r="AB93" i="9"/>
  <c r="Z93" i="9" s="1"/>
  <c r="J93" i="9" s="1" a="1"/>
  <c r="J93" i="9" s="1"/>
  <c r="AA93" i="9"/>
  <c r="AD92" i="9"/>
  <c r="AC92" i="9"/>
  <c r="AB92" i="9"/>
  <c r="AA92" i="9"/>
  <c r="Z92" i="9"/>
  <c r="J92" i="9" s="1" a="1"/>
  <c r="J92" i="9" s="1"/>
  <c r="I92" i="9" s="1"/>
  <c r="AD91" i="9"/>
  <c r="P91" i="9" s="1" a="1"/>
  <c r="P91" i="9" s="1"/>
  <c r="O91" i="9" s="1"/>
  <c r="AC91" i="9"/>
  <c r="AB91" i="9"/>
  <c r="Z91" i="9" s="1"/>
  <c r="J91" i="9" s="1" a="1"/>
  <c r="J91" i="9" s="1"/>
  <c r="AA91" i="9"/>
  <c r="AB90" i="9"/>
  <c r="Z90" i="9"/>
  <c r="J90" i="9" s="1" a="1"/>
  <c r="J90" i="9" s="1"/>
  <c r="I90" i="9" s="1"/>
  <c r="AL89" i="9"/>
  <c r="AB89" i="9"/>
  <c r="Z89" i="9" s="1"/>
  <c r="J89" i="9" s="1" a="1"/>
  <c r="J89" i="9" s="1"/>
  <c r="AL88" i="9"/>
  <c r="AD88" i="9"/>
  <c r="AC88" i="9"/>
  <c r="AB88" i="9"/>
  <c r="AA88" i="9"/>
  <c r="Z88" i="9"/>
  <c r="J88" i="9" s="1" a="1"/>
  <c r="J88" i="9" s="1"/>
  <c r="I88" i="9" s="1"/>
  <c r="AL87" i="9"/>
  <c r="P87" i="9" s="1" a="1"/>
  <c r="P87" i="9" s="1"/>
  <c r="O87" i="9" s="1"/>
  <c r="AB87" i="9"/>
  <c r="Z87" i="9" s="1"/>
  <c r="J87" i="9" s="1" a="1"/>
  <c r="J87" i="9" s="1"/>
  <c r="AL86" i="9"/>
  <c r="AB86" i="9"/>
  <c r="Z86" i="9"/>
  <c r="J86" i="9" s="1" a="1"/>
  <c r="J86" i="9" s="1"/>
  <c r="I86" i="9" s="1"/>
  <c r="AL85" i="9"/>
  <c r="AB85" i="9"/>
  <c r="Z85" i="9"/>
  <c r="J85" i="9" s="1" a="1"/>
  <c r="J85" i="9" s="1"/>
  <c r="AL84" i="9"/>
  <c r="AB84" i="9"/>
  <c r="Z84" i="9"/>
  <c r="J84" i="9" s="1" a="1"/>
  <c r="J84" i="9" s="1"/>
  <c r="I84" i="9" s="1"/>
  <c r="AL83" i="9"/>
  <c r="AB83" i="9"/>
  <c r="Z83" i="9"/>
  <c r="J83" i="9" s="1" a="1"/>
  <c r="J83" i="9" s="1"/>
  <c r="I83" i="9" s="1"/>
  <c r="AL82" i="9"/>
  <c r="AB82" i="9"/>
  <c r="Z82" i="9" s="1"/>
  <c r="J82" i="9" s="1" a="1"/>
  <c r="J82" i="9" s="1"/>
  <c r="AB81" i="9"/>
  <c r="Z81" i="9"/>
  <c r="J81" i="9" s="1" a="1"/>
  <c r="J81" i="9" s="1"/>
  <c r="I81" i="9" s="1"/>
  <c r="AB80" i="9"/>
  <c r="Z80" i="9"/>
  <c r="J80" i="9" s="1" a="1"/>
  <c r="J80" i="9" s="1"/>
  <c r="I80" i="9" s="1"/>
  <c r="AL79" i="9"/>
  <c r="AB79" i="9"/>
  <c r="Z79" i="9"/>
  <c r="J79" i="9" s="1" a="1"/>
  <c r="J79" i="9" s="1"/>
  <c r="AL78" i="9"/>
  <c r="AF78" i="9"/>
  <c r="AC78" i="9"/>
  <c r="AB78" i="9"/>
  <c r="Z78" i="9"/>
  <c r="J78" i="9" s="1" a="1"/>
  <c r="J78" i="9" s="1"/>
  <c r="I78" i="9" s="1"/>
  <c r="L78" i="9" a="1"/>
  <c r="L78" i="9" s="1"/>
  <c r="K78" i="9" s="1"/>
  <c r="N78" i="9" a="1"/>
  <c r="N78" i="9" s="1"/>
  <c r="M78" i="9" s="1"/>
  <c r="P78" i="9" a="1"/>
  <c r="P78" i="9" s="1"/>
  <c r="O78" i="9" s="1"/>
  <c r="L79" i="9" a="1"/>
  <c r="L79" i="9" s="1"/>
  <c r="K79" i="9" s="1"/>
  <c r="N79" i="9" a="1"/>
  <c r="N79" i="9" s="1"/>
  <c r="M79" i="9" s="1"/>
  <c r="P79" i="9" a="1"/>
  <c r="P79" i="9" s="1"/>
  <c r="O79" i="9" s="1"/>
  <c r="L80" i="9" a="1"/>
  <c r="L80" i="9" s="1"/>
  <c r="K80" i="9" s="1"/>
  <c r="N80" i="9" a="1"/>
  <c r="N80" i="9" s="1"/>
  <c r="M80" i="9" s="1"/>
  <c r="P80" i="9" a="1"/>
  <c r="P80" i="9" s="1"/>
  <c r="O80" i="9" s="1"/>
  <c r="L81" i="9" a="1"/>
  <c r="L81" i="9" s="1"/>
  <c r="K81" i="9" s="1"/>
  <c r="N81" i="9" a="1"/>
  <c r="N81" i="9" s="1"/>
  <c r="M81" i="9" s="1"/>
  <c r="P81" i="9" a="1"/>
  <c r="P81" i="9" s="1"/>
  <c r="O81" i="9" s="1"/>
  <c r="L82" i="9" a="1"/>
  <c r="L82" i="9" s="1"/>
  <c r="K82" i="9" s="1"/>
  <c r="P82" i="9" a="1"/>
  <c r="P82" i="9" s="1"/>
  <c r="O82" i="9" s="1"/>
  <c r="L83" i="9" a="1"/>
  <c r="L83" i="9" s="1"/>
  <c r="K83" i="9" s="1"/>
  <c r="N83" i="9" a="1"/>
  <c r="N83" i="9" s="1"/>
  <c r="M83" i="9" s="1"/>
  <c r="P83" i="9" a="1"/>
  <c r="P83" i="9" s="1"/>
  <c r="O83" i="9" s="1"/>
  <c r="L84" i="9" a="1"/>
  <c r="L84" i="9" s="1"/>
  <c r="K84" i="9" s="1"/>
  <c r="N84" i="9" a="1"/>
  <c r="N84" i="9" s="1"/>
  <c r="M84" i="9" s="1"/>
  <c r="P84" i="9" a="1"/>
  <c r="P84" i="9" s="1"/>
  <c r="O84" i="9" s="1"/>
  <c r="L85" i="9" a="1"/>
  <c r="L85" i="9" s="1"/>
  <c r="K85" i="9" s="1"/>
  <c r="N85" i="9" a="1"/>
  <c r="N85" i="9" s="1"/>
  <c r="M85" i="9" s="1"/>
  <c r="P85" i="9" a="1"/>
  <c r="P85" i="9" s="1"/>
  <c r="O85" i="9" s="1"/>
  <c r="L86" i="9" a="1"/>
  <c r="L86" i="9" s="1"/>
  <c r="K86" i="9" s="1"/>
  <c r="N86" i="9" a="1"/>
  <c r="N86" i="9" s="1"/>
  <c r="M86" i="9" s="1"/>
  <c r="P86" i="9" a="1"/>
  <c r="P86" i="9" s="1"/>
  <c r="O86" i="9" s="1"/>
  <c r="N87" i="9" a="1"/>
  <c r="N87" i="9" s="1"/>
  <c r="M87" i="9" s="1"/>
  <c r="L88" i="9" a="1"/>
  <c r="L88" i="9" s="1"/>
  <c r="K88" i="9" s="1"/>
  <c r="N88" i="9" a="1"/>
  <c r="N88" i="9" s="1"/>
  <c r="M88" i="9" s="1"/>
  <c r="P88" i="9" a="1"/>
  <c r="P88" i="9" s="1"/>
  <c r="O88" i="9" s="1"/>
  <c r="L89" i="9" a="1"/>
  <c r="L89" i="9" s="1"/>
  <c r="K89" i="9" s="1"/>
  <c r="P89" i="9" a="1"/>
  <c r="P89" i="9" s="1"/>
  <c r="O89" i="9" s="1"/>
  <c r="L90" i="9" a="1"/>
  <c r="L90" i="9" s="1"/>
  <c r="K90" i="9" s="1"/>
  <c r="N90" i="9" a="1"/>
  <c r="N90" i="9" s="1"/>
  <c r="M90" i="9" s="1"/>
  <c r="P90" i="9" a="1"/>
  <c r="P90" i="9" s="1"/>
  <c r="O90" i="9" s="1"/>
  <c r="L91" i="9" a="1"/>
  <c r="L91" i="9" s="1"/>
  <c r="K91" i="9" s="1"/>
  <c r="N91" i="9" a="1"/>
  <c r="N91" i="9" s="1"/>
  <c r="M91" i="9" s="1"/>
  <c r="L92" i="9" a="1"/>
  <c r="L92" i="9" s="1"/>
  <c r="K92" i="9" s="1"/>
  <c r="N92" i="9" a="1"/>
  <c r="N92" i="9" s="1"/>
  <c r="M92" i="9" s="1"/>
  <c r="P92" i="9" a="1"/>
  <c r="P92" i="9" s="1"/>
  <c r="O92" i="9" s="1"/>
  <c r="L93" i="9" a="1"/>
  <c r="L93" i="9" s="1"/>
  <c r="K93" i="9" s="1"/>
  <c r="P93" i="9" a="1"/>
  <c r="P93" i="9" s="1"/>
  <c r="O93" i="9" s="1"/>
  <c r="L94" i="9" a="1"/>
  <c r="L94" i="9" s="1"/>
  <c r="K94" i="9" s="1"/>
  <c r="N94" i="9" a="1"/>
  <c r="N94" i="9" s="1"/>
  <c r="M94" i="9" s="1"/>
  <c r="P94" i="9" a="1"/>
  <c r="P94" i="9" s="1"/>
  <c r="O94" i="9" s="1"/>
  <c r="L95" i="9" a="1"/>
  <c r="L95" i="9" s="1"/>
  <c r="K95" i="9" s="1"/>
  <c r="N95" i="9" a="1"/>
  <c r="N95" i="9" s="1"/>
  <c r="M95" i="9" s="1"/>
  <c r="P95" i="9" a="1"/>
  <c r="P95" i="9" s="1"/>
  <c r="O95" i="9" s="1"/>
  <c r="L96" i="9" a="1"/>
  <c r="L96" i="9" s="1"/>
  <c r="K96" i="9" s="1"/>
  <c r="N96" i="9" a="1"/>
  <c r="N96" i="9" s="1"/>
  <c r="M96" i="9" s="1"/>
  <c r="P96" i="9" a="1"/>
  <c r="P96" i="9" s="1"/>
  <c r="O96" i="9" s="1"/>
  <c r="L97" i="9" a="1"/>
  <c r="L97" i="9" s="1"/>
  <c r="K97" i="9" s="1"/>
  <c r="N97" i="9" a="1"/>
  <c r="N97" i="9" s="1"/>
  <c r="M97" i="9" s="1"/>
  <c r="L98" i="9" a="1"/>
  <c r="L98" i="9" s="1"/>
  <c r="K98" i="9" s="1"/>
  <c r="N98" i="9" a="1"/>
  <c r="N98" i="9" s="1"/>
  <c r="M98" i="9" s="1"/>
  <c r="L99" i="9" a="1"/>
  <c r="L99" i="9" s="1"/>
  <c r="K99" i="9" s="1"/>
  <c r="L100" i="9" a="1"/>
  <c r="L100" i="9" s="1"/>
  <c r="K100" i="9" s="1"/>
  <c r="N100" i="9" a="1"/>
  <c r="N100" i="9" s="1"/>
  <c r="M100" i="9" s="1"/>
  <c r="L101" i="9" a="1"/>
  <c r="L101" i="9" s="1"/>
  <c r="K101" i="9" s="1"/>
  <c r="N101" i="9" a="1"/>
  <c r="N101" i="9" s="1"/>
  <c r="M101" i="9" s="1"/>
  <c r="L102" i="9" a="1"/>
  <c r="L102" i="9" s="1"/>
  <c r="K102" i="9" s="1"/>
  <c r="N102" i="9" a="1"/>
  <c r="N102" i="9" s="1"/>
  <c r="M102" i="9" s="1"/>
  <c r="L103" i="9" a="1"/>
  <c r="L103" i="9" s="1"/>
  <c r="K103" i="9" s="1"/>
  <c r="L104" i="9" a="1"/>
  <c r="L104" i="9" s="1"/>
  <c r="K104" i="9" s="1"/>
  <c r="N104" i="9" a="1"/>
  <c r="N104" i="9" s="1"/>
  <c r="M104" i="9" s="1"/>
  <c r="L105" i="9" a="1"/>
  <c r="L105" i="9" s="1"/>
  <c r="K105" i="9" s="1"/>
  <c r="N105" i="9" a="1"/>
  <c r="N105" i="9" s="1"/>
  <c r="M105" i="9" s="1"/>
  <c r="L106" i="9" a="1"/>
  <c r="L106" i="9" s="1"/>
  <c r="K106" i="9" s="1"/>
  <c r="N106" i="9" a="1"/>
  <c r="N106" i="9" s="1"/>
  <c r="M106" i="9" s="1"/>
  <c r="L107" i="9" a="1"/>
  <c r="L107" i="9" s="1"/>
  <c r="K107" i="9" s="1"/>
  <c r="L108" i="9" a="1"/>
  <c r="L108" i="9" s="1"/>
  <c r="K108" i="9" s="1"/>
  <c r="N108" i="9" a="1"/>
  <c r="N108" i="9" s="1"/>
  <c r="M108" i="9" s="1"/>
  <c r="L109" i="9" a="1"/>
  <c r="L109" i="9" s="1"/>
  <c r="K109" i="9" s="1"/>
  <c r="N109" i="9" a="1"/>
  <c r="N109" i="9" s="1"/>
  <c r="M109" i="9" s="1"/>
  <c r="L7" i="9" a="1"/>
  <c r="L7" i="9" s="1"/>
  <c r="K7" i="9" s="1"/>
  <c r="N7" i="9" a="1"/>
  <c r="N7" i="9" s="1"/>
  <c r="M7" i="9" s="1"/>
  <c r="P7" i="9" a="1"/>
  <c r="P7" i="9" s="1"/>
  <c r="O7" i="9" s="1"/>
  <c r="I8" i="9"/>
  <c r="L8" i="9" a="1"/>
  <c r="L8" i="9" s="1"/>
  <c r="K8" i="9" s="1"/>
  <c r="N8" i="9" a="1"/>
  <c r="N8" i="9" s="1"/>
  <c r="M8" i="9" s="1"/>
  <c r="P8" i="9" a="1"/>
  <c r="P8" i="9" s="1"/>
  <c r="O8" i="9" s="1"/>
  <c r="L9" i="9" a="1"/>
  <c r="L9" i="9" s="1"/>
  <c r="K9" i="9" s="1"/>
  <c r="N9" i="9" a="1"/>
  <c r="N9" i="9" s="1"/>
  <c r="M9" i="9" s="1"/>
  <c r="P9" i="9" a="1"/>
  <c r="P9" i="9" s="1"/>
  <c r="O9" i="9" s="1"/>
  <c r="I10" i="9"/>
  <c r="L10" i="9" a="1"/>
  <c r="L10" i="9" s="1"/>
  <c r="K10" i="9" s="1"/>
  <c r="N10" i="9" a="1"/>
  <c r="N10" i="9" s="1"/>
  <c r="M10" i="9" s="1"/>
  <c r="P10" i="9" a="1"/>
  <c r="P10" i="9" s="1"/>
  <c r="O10" i="9" s="1"/>
  <c r="L11" i="9" a="1"/>
  <c r="L11" i="9" s="1"/>
  <c r="K11" i="9" s="1"/>
  <c r="N11" i="9" a="1"/>
  <c r="N11" i="9" s="1"/>
  <c r="M11" i="9" s="1"/>
  <c r="P11" i="9" a="1"/>
  <c r="P11" i="9" s="1"/>
  <c r="O11" i="9" s="1"/>
  <c r="I12" i="9"/>
  <c r="L12" i="9" a="1"/>
  <c r="L12" i="9" s="1"/>
  <c r="K12" i="9" s="1"/>
  <c r="N12" i="9" a="1"/>
  <c r="N12" i="9" s="1"/>
  <c r="M12" i="9" s="1"/>
  <c r="P12" i="9" a="1"/>
  <c r="P12" i="9" s="1"/>
  <c r="O12" i="9" s="1"/>
  <c r="I13" i="9"/>
  <c r="L13" i="9" a="1"/>
  <c r="L13" i="9" s="1"/>
  <c r="K13" i="9" s="1"/>
  <c r="N13" i="9" a="1"/>
  <c r="N13" i="9" s="1"/>
  <c r="M13" i="9" s="1"/>
  <c r="P13" i="9" a="1"/>
  <c r="P13" i="9" s="1"/>
  <c r="O13" i="9" s="1"/>
  <c r="I14" i="9"/>
  <c r="L14" i="9" a="1"/>
  <c r="L14" i="9" s="1"/>
  <c r="K14" i="9" s="1"/>
  <c r="N14" i="9" a="1"/>
  <c r="N14" i="9" s="1"/>
  <c r="M14" i="9" s="1"/>
  <c r="P14" i="9" a="1"/>
  <c r="P14" i="9" s="1"/>
  <c r="O14" i="9" s="1"/>
  <c r="L15" i="9" a="1"/>
  <c r="L15" i="9" s="1"/>
  <c r="K15" i="9" s="1"/>
  <c r="N15" i="9" a="1"/>
  <c r="N15" i="9" s="1"/>
  <c r="M15" i="9" s="1"/>
  <c r="P15" i="9" a="1"/>
  <c r="P15" i="9" s="1"/>
  <c r="O15" i="9" s="1"/>
  <c r="L16" i="9" a="1"/>
  <c r="L16" i="9" s="1"/>
  <c r="K16" i="9" s="1"/>
  <c r="N16" i="9" a="1"/>
  <c r="N16" i="9" s="1"/>
  <c r="M16" i="9" s="1"/>
  <c r="P16" i="9" a="1"/>
  <c r="P16" i="9" s="1"/>
  <c r="O16" i="9" s="1"/>
  <c r="L17" i="9" a="1"/>
  <c r="L17" i="9" s="1"/>
  <c r="K17" i="9" s="1"/>
  <c r="N17" i="9" a="1"/>
  <c r="N17" i="9" s="1"/>
  <c r="M17" i="9" s="1"/>
  <c r="P17" i="9" a="1"/>
  <c r="P17" i="9" s="1"/>
  <c r="O17" i="9" s="1"/>
  <c r="I18" i="9"/>
  <c r="L18" i="9" a="1"/>
  <c r="L18" i="9" s="1"/>
  <c r="K18" i="9" s="1"/>
  <c r="N18" i="9" a="1"/>
  <c r="N18" i="9" s="1"/>
  <c r="M18" i="9" s="1"/>
  <c r="P18" i="9" a="1"/>
  <c r="P18" i="9" s="1"/>
  <c r="O18" i="9" s="1"/>
  <c r="I19" i="9"/>
  <c r="L19" i="9" a="1"/>
  <c r="L19" i="9" s="1"/>
  <c r="K19" i="9" s="1"/>
  <c r="N19" i="9" a="1"/>
  <c r="N19" i="9" s="1"/>
  <c r="M19" i="9" s="1"/>
  <c r="P19" i="9" a="1"/>
  <c r="P19" i="9" s="1"/>
  <c r="O19" i="9" s="1"/>
  <c r="I20" i="9"/>
  <c r="L20" i="9" a="1"/>
  <c r="L20" i="9" s="1"/>
  <c r="K20" i="9" s="1"/>
  <c r="N20" i="9" a="1"/>
  <c r="N20" i="9" s="1"/>
  <c r="M20" i="9" s="1"/>
  <c r="P20" i="9" a="1"/>
  <c r="P20" i="9" s="1"/>
  <c r="O20" i="9" s="1"/>
  <c r="I21" i="9"/>
  <c r="L21" i="9" a="1"/>
  <c r="L21" i="9" s="1"/>
  <c r="K21" i="9" s="1"/>
  <c r="N21" i="9" a="1"/>
  <c r="N21" i="9" s="1"/>
  <c r="M21" i="9" s="1"/>
  <c r="P21" i="9" a="1"/>
  <c r="P21" i="9" s="1"/>
  <c r="O21" i="9" s="1"/>
  <c r="I22" i="9"/>
  <c r="L22" i="9" a="1"/>
  <c r="L22" i="9" s="1"/>
  <c r="K22" i="9" s="1"/>
  <c r="N22" i="9" a="1"/>
  <c r="N22" i="9" s="1"/>
  <c r="M22" i="9" s="1"/>
  <c r="P22" i="9" a="1"/>
  <c r="P22" i="9" s="1"/>
  <c r="O22" i="9" s="1"/>
  <c r="I23" i="9"/>
  <c r="L23" i="9" a="1"/>
  <c r="L23" i="9" s="1"/>
  <c r="K23" i="9" s="1"/>
  <c r="N23" i="9" a="1"/>
  <c r="N23" i="9" s="1"/>
  <c r="M23" i="9" s="1"/>
  <c r="P23" i="9" a="1"/>
  <c r="P23" i="9" s="1"/>
  <c r="O23" i="9" s="1"/>
  <c r="L24" i="9" a="1"/>
  <c r="L24" i="9" s="1"/>
  <c r="K24" i="9" s="1"/>
  <c r="N24" i="9" a="1"/>
  <c r="N24" i="9" s="1"/>
  <c r="M24" i="9" s="1"/>
  <c r="P24" i="9" a="1"/>
  <c r="P24" i="9" s="1"/>
  <c r="O24" i="9" s="1"/>
  <c r="L25" i="9" a="1"/>
  <c r="L25" i="9" s="1"/>
  <c r="K25" i="9" s="1"/>
  <c r="N25" i="9" a="1"/>
  <c r="N25" i="9" s="1"/>
  <c r="M25" i="9" s="1"/>
  <c r="P25" i="9" a="1"/>
  <c r="P25" i="9" s="1"/>
  <c r="O25" i="9" s="1"/>
  <c r="L26" i="9" a="1"/>
  <c r="L26" i="9" s="1"/>
  <c r="K26" i="9" s="1"/>
  <c r="N26" i="9" a="1"/>
  <c r="N26" i="9" s="1"/>
  <c r="M26" i="9" s="1"/>
  <c r="P26" i="9" a="1"/>
  <c r="P26" i="9" s="1"/>
  <c r="O26" i="9" s="1"/>
  <c r="L27" i="9" a="1"/>
  <c r="L27" i="9" s="1"/>
  <c r="K27" i="9" s="1"/>
  <c r="N27" i="9" a="1"/>
  <c r="N27" i="9" s="1"/>
  <c r="M27" i="9" s="1"/>
  <c r="P27" i="9" a="1"/>
  <c r="P27" i="9" s="1"/>
  <c r="O27" i="9" s="1"/>
  <c r="L28" i="9" a="1"/>
  <c r="L28" i="9" s="1"/>
  <c r="K28" i="9" s="1"/>
  <c r="N28" i="9" a="1"/>
  <c r="N28" i="9" s="1"/>
  <c r="M28" i="9" s="1"/>
  <c r="P28" i="9" a="1"/>
  <c r="P28" i="9" s="1"/>
  <c r="O28" i="9" s="1"/>
  <c r="L29" i="9" a="1"/>
  <c r="L29" i="9" s="1"/>
  <c r="K29" i="9" s="1"/>
  <c r="N29" i="9" a="1"/>
  <c r="N29" i="9" s="1"/>
  <c r="M29" i="9" s="1"/>
  <c r="P29" i="9" a="1"/>
  <c r="P29" i="9" s="1"/>
  <c r="O29" i="9" s="1"/>
  <c r="L30" i="9" a="1"/>
  <c r="L30" i="9" s="1"/>
  <c r="K30" i="9" s="1"/>
  <c r="N30" i="9" a="1"/>
  <c r="N30" i="9" s="1"/>
  <c r="M30" i="9" s="1"/>
  <c r="P30" i="9" a="1"/>
  <c r="P30" i="9" s="1"/>
  <c r="O30" i="9" s="1"/>
  <c r="I31" i="9"/>
  <c r="L31" i="9" a="1"/>
  <c r="L31" i="9" s="1"/>
  <c r="K31" i="9" s="1"/>
  <c r="N31" i="9" a="1"/>
  <c r="N31" i="9" s="1"/>
  <c r="M31" i="9" s="1"/>
  <c r="P31" i="9" a="1"/>
  <c r="P31" i="9" s="1"/>
  <c r="O31" i="9" s="1"/>
  <c r="I32" i="9"/>
  <c r="L32" i="9" a="1"/>
  <c r="L32" i="9" s="1"/>
  <c r="K32" i="9" s="1"/>
  <c r="N32" i="9" a="1"/>
  <c r="N32" i="9" s="1"/>
  <c r="M32" i="9" s="1"/>
  <c r="P32" i="9" a="1"/>
  <c r="P32" i="9" s="1"/>
  <c r="O32" i="9" s="1"/>
  <c r="I33" i="9"/>
  <c r="L33" i="9" a="1"/>
  <c r="L33" i="9" s="1"/>
  <c r="K33" i="9" s="1"/>
  <c r="N33" i="9" a="1"/>
  <c r="N33" i="9" s="1"/>
  <c r="M33" i="9" s="1"/>
  <c r="P33" i="9" a="1"/>
  <c r="P33" i="9" s="1"/>
  <c r="O33" i="9" s="1"/>
  <c r="L34" i="9" a="1"/>
  <c r="L34" i="9" s="1"/>
  <c r="K34" i="9" s="1"/>
  <c r="N34" i="9" a="1"/>
  <c r="N34" i="9" s="1"/>
  <c r="M34" i="9" s="1"/>
  <c r="P34" i="9" a="1"/>
  <c r="P34" i="9" s="1"/>
  <c r="O34" i="9" s="1"/>
  <c r="L35" i="9" a="1"/>
  <c r="L35" i="9" s="1"/>
  <c r="K35" i="9" s="1"/>
  <c r="N35" i="9" a="1"/>
  <c r="N35" i="9" s="1"/>
  <c r="M35" i="9" s="1"/>
  <c r="P35" i="9" a="1"/>
  <c r="P35" i="9" s="1"/>
  <c r="O35" i="9" s="1"/>
  <c r="I36" i="9"/>
  <c r="L36" i="9" a="1"/>
  <c r="L36" i="9" s="1"/>
  <c r="K36" i="9" s="1"/>
  <c r="N36" i="9" a="1"/>
  <c r="N36" i="9" s="1"/>
  <c r="M36" i="9" s="1"/>
  <c r="P36" i="9" a="1"/>
  <c r="P36" i="9" s="1"/>
  <c r="O36" i="9" s="1"/>
  <c r="L37" i="9" a="1"/>
  <c r="L37" i="9" s="1"/>
  <c r="K37" i="9" s="1"/>
  <c r="N37" i="9" a="1"/>
  <c r="N37" i="9" s="1"/>
  <c r="M37" i="9" s="1"/>
  <c r="P37" i="9" a="1"/>
  <c r="P37" i="9" s="1"/>
  <c r="O37" i="9" s="1"/>
  <c r="I38" i="9"/>
  <c r="L38" i="9" a="1"/>
  <c r="L38" i="9" s="1"/>
  <c r="K38" i="9" s="1"/>
  <c r="N38" i="9" a="1"/>
  <c r="N38" i="9" s="1"/>
  <c r="M38" i="9" s="1"/>
  <c r="P38" i="9" a="1"/>
  <c r="P38" i="9" s="1"/>
  <c r="O38" i="9" s="1"/>
  <c r="I39" i="9"/>
  <c r="L39" i="9" a="1"/>
  <c r="L39" i="9" s="1"/>
  <c r="K39" i="9" s="1"/>
  <c r="N39" i="9" a="1"/>
  <c r="N39" i="9" s="1"/>
  <c r="M39" i="9" s="1"/>
  <c r="P39" i="9" a="1"/>
  <c r="P39" i="9" s="1"/>
  <c r="O39" i="9" s="1"/>
  <c r="L40" i="9" a="1"/>
  <c r="L40" i="9" s="1"/>
  <c r="K40" i="9" s="1"/>
  <c r="N40" i="9" a="1"/>
  <c r="N40" i="9" s="1"/>
  <c r="M40" i="9" s="1"/>
  <c r="P40" i="9" a="1"/>
  <c r="P40" i="9" s="1"/>
  <c r="O40" i="9" s="1"/>
  <c r="L41" i="9" a="1"/>
  <c r="L41" i="9" s="1"/>
  <c r="K41" i="9" s="1"/>
  <c r="N41" i="9" a="1"/>
  <c r="N41" i="9" s="1"/>
  <c r="M41" i="9" s="1"/>
  <c r="P41" i="9" a="1"/>
  <c r="P41" i="9" s="1"/>
  <c r="O41" i="9" s="1"/>
  <c r="L42" i="9" a="1"/>
  <c r="L42" i="9" s="1"/>
  <c r="K42" i="9" s="1"/>
  <c r="N42" i="9" a="1"/>
  <c r="N42" i="9" s="1"/>
  <c r="M42" i="9" s="1"/>
  <c r="P42" i="9" a="1"/>
  <c r="P42" i="9" s="1"/>
  <c r="O42" i="9" s="1"/>
  <c r="I43" i="9"/>
  <c r="L43" i="9" a="1"/>
  <c r="L43" i="9" s="1"/>
  <c r="K43" i="9" s="1"/>
  <c r="N43" i="9" a="1"/>
  <c r="N43" i="9" s="1"/>
  <c r="M43" i="9" s="1"/>
  <c r="P43" i="9" a="1"/>
  <c r="P43" i="9" s="1"/>
  <c r="O43" i="9" s="1"/>
  <c r="I44" i="9"/>
  <c r="L44" i="9" a="1"/>
  <c r="L44" i="9" s="1"/>
  <c r="K44" i="9" s="1"/>
  <c r="N44" i="9" a="1"/>
  <c r="N44" i="9" s="1"/>
  <c r="M44" i="9" s="1"/>
  <c r="P44" i="9" a="1"/>
  <c r="P44" i="9" s="1"/>
  <c r="O44" i="9" s="1"/>
  <c r="L45" i="9" a="1"/>
  <c r="L45" i="9" s="1"/>
  <c r="K45" i="9" s="1"/>
  <c r="N45" i="9" a="1"/>
  <c r="N45" i="9" s="1"/>
  <c r="M45" i="9" s="1"/>
  <c r="P45" i="9" a="1"/>
  <c r="P45" i="9" s="1"/>
  <c r="O45" i="9" s="1"/>
  <c r="L46" i="9" a="1"/>
  <c r="L46" i="9" s="1"/>
  <c r="K46" i="9" s="1"/>
  <c r="N46" i="9" a="1"/>
  <c r="N46" i="9" s="1"/>
  <c r="M46" i="9" s="1"/>
  <c r="P46" i="9" a="1"/>
  <c r="P46" i="9" s="1"/>
  <c r="O46" i="9" s="1"/>
  <c r="L47" i="9" a="1"/>
  <c r="L47" i="9" s="1"/>
  <c r="K47" i="9" s="1"/>
  <c r="N47" i="9" a="1"/>
  <c r="N47" i="9" s="1"/>
  <c r="M47" i="9" s="1"/>
  <c r="P47" i="9" a="1"/>
  <c r="P47" i="9" s="1"/>
  <c r="O47" i="9" s="1"/>
  <c r="L48" i="9" a="1"/>
  <c r="L48" i="9" s="1"/>
  <c r="K48" i="9" s="1"/>
  <c r="N48" i="9" a="1"/>
  <c r="N48" i="9" s="1"/>
  <c r="M48" i="9" s="1"/>
  <c r="P48" i="9" a="1"/>
  <c r="P48" i="9" s="1"/>
  <c r="O48" i="9" s="1"/>
  <c r="L49" i="9" a="1"/>
  <c r="L49" i="9" s="1"/>
  <c r="K49" i="9" s="1"/>
  <c r="N49" i="9" a="1"/>
  <c r="N49" i="9" s="1"/>
  <c r="M49" i="9" s="1"/>
  <c r="P49" i="9" a="1"/>
  <c r="P49" i="9" s="1"/>
  <c r="O49" i="9" s="1"/>
  <c r="L50" i="9" a="1"/>
  <c r="L50" i="9" s="1"/>
  <c r="K50" i="9" s="1"/>
  <c r="N50" i="9" a="1"/>
  <c r="N50" i="9" s="1"/>
  <c r="M50" i="9" s="1"/>
  <c r="P50" i="9" a="1"/>
  <c r="P50" i="9" s="1"/>
  <c r="O50" i="9" s="1"/>
  <c r="I51" i="9"/>
  <c r="L51" i="9" a="1"/>
  <c r="L51" i="9" s="1"/>
  <c r="K51" i="9" s="1"/>
  <c r="N51" i="9" a="1"/>
  <c r="N51" i="9" s="1"/>
  <c r="M51" i="9" s="1"/>
  <c r="P51" i="9" a="1"/>
  <c r="P51" i="9" s="1"/>
  <c r="O51" i="9" s="1"/>
  <c r="I52" i="9"/>
  <c r="L52" i="9" a="1"/>
  <c r="L52" i="9" s="1"/>
  <c r="K52" i="9" s="1"/>
  <c r="N52" i="9" a="1"/>
  <c r="N52" i="9" s="1"/>
  <c r="M52" i="9" s="1"/>
  <c r="P52" i="9" a="1"/>
  <c r="P52" i="9" s="1"/>
  <c r="O52" i="9" s="1"/>
  <c r="I53" i="9"/>
  <c r="L53" i="9" a="1"/>
  <c r="L53" i="9" s="1"/>
  <c r="K53" i="9" s="1"/>
  <c r="N53" i="9" a="1"/>
  <c r="N53" i="9" s="1"/>
  <c r="M53" i="9" s="1"/>
  <c r="P53" i="9" a="1"/>
  <c r="P53" i="9" s="1"/>
  <c r="O53" i="9" s="1"/>
  <c r="I54" i="9"/>
  <c r="L54" i="9" a="1"/>
  <c r="L54" i="9" s="1"/>
  <c r="K54" i="9" s="1"/>
  <c r="N54" i="9" a="1"/>
  <c r="N54" i="9" s="1"/>
  <c r="M54" i="9" s="1"/>
  <c r="P54" i="9" a="1"/>
  <c r="P54" i="9" s="1"/>
  <c r="O54" i="9" s="1"/>
  <c r="I55" i="9"/>
  <c r="L55" i="9" a="1"/>
  <c r="L55" i="9" s="1"/>
  <c r="K55" i="9" s="1"/>
  <c r="N55" i="9" a="1"/>
  <c r="N55" i="9" s="1"/>
  <c r="M55" i="9" s="1"/>
  <c r="P55" i="9" a="1"/>
  <c r="P55" i="9" s="1"/>
  <c r="O55" i="9" s="1"/>
  <c r="I56" i="9"/>
  <c r="L56" i="9" a="1"/>
  <c r="L56" i="9" s="1"/>
  <c r="K56" i="9" s="1"/>
  <c r="N56" i="9" a="1"/>
  <c r="N56" i="9" s="1"/>
  <c r="M56" i="9" s="1"/>
  <c r="P56" i="9" a="1"/>
  <c r="P56" i="9" s="1"/>
  <c r="O56" i="9" s="1"/>
  <c r="I57" i="9"/>
  <c r="L57" i="9" a="1"/>
  <c r="L57" i="9" s="1"/>
  <c r="K57" i="9" s="1"/>
  <c r="N57" i="9" a="1"/>
  <c r="N57" i="9" s="1"/>
  <c r="M57" i="9" s="1"/>
  <c r="P57" i="9" a="1"/>
  <c r="P57" i="9" s="1"/>
  <c r="O57" i="9" s="1"/>
  <c r="L58" i="9" a="1"/>
  <c r="L58" i="9" s="1"/>
  <c r="K58" i="9" s="1"/>
  <c r="N58" i="9" a="1"/>
  <c r="N58" i="9" s="1"/>
  <c r="M58" i="9" s="1"/>
  <c r="P58" i="9" a="1"/>
  <c r="P58" i="9" s="1"/>
  <c r="O58" i="9" s="1"/>
  <c r="I59" i="9"/>
  <c r="L59" i="9" a="1"/>
  <c r="L59" i="9" s="1"/>
  <c r="K59" i="9" s="1"/>
  <c r="N59" i="9" a="1"/>
  <c r="N59" i="9" s="1"/>
  <c r="M59" i="9" s="1"/>
  <c r="P59" i="9" a="1"/>
  <c r="P59" i="9" s="1"/>
  <c r="O59" i="9" s="1"/>
  <c r="L60" i="9" a="1"/>
  <c r="L60" i="9" s="1"/>
  <c r="K60" i="9" s="1"/>
  <c r="N60" i="9" a="1"/>
  <c r="N60" i="9" s="1"/>
  <c r="M60" i="9" s="1"/>
  <c r="P60" i="9" a="1"/>
  <c r="P60" i="9" s="1"/>
  <c r="O60" i="9" s="1"/>
  <c r="L61" i="9" a="1"/>
  <c r="L61" i="9" s="1"/>
  <c r="K61" i="9" s="1"/>
  <c r="N61" i="9" a="1"/>
  <c r="N61" i="9" s="1"/>
  <c r="M61" i="9" s="1"/>
  <c r="P61" i="9" a="1"/>
  <c r="P61" i="9" s="1"/>
  <c r="O61" i="9" s="1"/>
  <c r="I62" i="9"/>
  <c r="L62" i="9" a="1"/>
  <c r="L62" i="9" s="1"/>
  <c r="K62" i="9" s="1"/>
  <c r="N62" i="9" a="1"/>
  <c r="N62" i="9" s="1"/>
  <c r="M62" i="9" s="1"/>
  <c r="P62" i="9" a="1"/>
  <c r="P62" i="9" s="1"/>
  <c r="O62" i="9" s="1"/>
  <c r="L63" i="9" a="1"/>
  <c r="L63" i="9" s="1"/>
  <c r="K63" i="9" s="1"/>
  <c r="N63" i="9" a="1"/>
  <c r="N63" i="9" s="1"/>
  <c r="M63" i="9" s="1"/>
  <c r="P63" i="9" a="1"/>
  <c r="P63" i="9" s="1"/>
  <c r="O63" i="9" s="1"/>
  <c r="L64" i="9" a="1"/>
  <c r="L64" i="9" s="1"/>
  <c r="K64" i="9" s="1"/>
  <c r="N64" i="9" a="1"/>
  <c r="N64" i="9" s="1"/>
  <c r="M64" i="9" s="1"/>
  <c r="P64" i="9" a="1"/>
  <c r="P64" i="9" s="1"/>
  <c r="O64" i="9" s="1"/>
  <c r="L65" i="9" a="1"/>
  <c r="L65" i="9" s="1"/>
  <c r="K65" i="9" s="1"/>
  <c r="N65" i="9" a="1"/>
  <c r="N65" i="9" s="1"/>
  <c r="M65" i="9" s="1"/>
  <c r="P65" i="9" a="1"/>
  <c r="P65" i="9" s="1"/>
  <c r="O65" i="9" s="1"/>
  <c r="L66" i="9" a="1"/>
  <c r="L66" i="9" s="1"/>
  <c r="K66" i="9" s="1"/>
  <c r="N66" i="9" a="1"/>
  <c r="N66" i="9" s="1"/>
  <c r="M66" i="9" s="1"/>
  <c r="P66" i="9" a="1"/>
  <c r="P66" i="9" s="1"/>
  <c r="O66" i="9" s="1"/>
  <c r="L67" i="9" a="1"/>
  <c r="L67" i="9" s="1"/>
  <c r="K67" i="9" s="1"/>
  <c r="N67" i="9" a="1"/>
  <c r="N67" i="9" s="1"/>
  <c r="M67" i="9" s="1"/>
  <c r="P67" i="9" a="1"/>
  <c r="P67" i="9" s="1"/>
  <c r="O67" i="9" s="1"/>
  <c r="I68" i="9"/>
  <c r="L68" i="9" a="1"/>
  <c r="L68" i="9" s="1"/>
  <c r="K68" i="9" s="1"/>
  <c r="N68" i="9" a="1"/>
  <c r="N68" i="9" s="1"/>
  <c r="M68" i="9" s="1"/>
  <c r="P68" i="9" a="1"/>
  <c r="P68" i="9" s="1"/>
  <c r="O68" i="9" s="1"/>
  <c r="L69" i="9" a="1"/>
  <c r="L69" i="9" s="1"/>
  <c r="K69" i="9" s="1"/>
  <c r="N69" i="9" a="1"/>
  <c r="N69" i="9" s="1"/>
  <c r="M69" i="9" s="1"/>
  <c r="P69" i="9" a="1"/>
  <c r="P69" i="9" s="1"/>
  <c r="O69" i="9" s="1"/>
  <c r="I70" i="9"/>
  <c r="L70" i="9" a="1"/>
  <c r="L70" i="9" s="1"/>
  <c r="K70" i="9" s="1"/>
  <c r="N70" i="9" a="1"/>
  <c r="N70" i="9" s="1"/>
  <c r="M70" i="9" s="1"/>
  <c r="P70" i="9" a="1"/>
  <c r="P70" i="9" s="1"/>
  <c r="O70" i="9" s="1"/>
  <c r="L71" i="9" a="1"/>
  <c r="L71" i="9" s="1"/>
  <c r="K71" i="9" s="1"/>
  <c r="N71" i="9" a="1"/>
  <c r="N71" i="9" s="1"/>
  <c r="M71" i="9" s="1"/>
  <c r="P71" i="9" a="1"/>
  <c r="P71" i="9" s="1"/>
  <c r="O71" i="9" s="1"/>
  <c r="L72" i="9" a="1"/>
  <c r="L72" i="9" s="1"/>
  <c r="K72" i="9" s="1"/>
  <c r="N72" i="9" a="1"/>
  <c r="N72" i="9" s="1"/>
  <c r="M72" i="9" s="1"/>
  <c r="P72" i="9" a="1"/>
  <c r="P72" i="9" s="1"/>
  <c r="O72" i="9" s="1"/>
  <c r="L73" i="9" a="1"/>
  <c r="L73" i="9" s="1"/>
  <c r="K73" i="9" s="1"/>
  <c r="N73" i="9" a="1"/>
  <c r="N73" i="9" s="1"/>
  <c r="M73" i="9" s="1"/>
  <c r="P73" i="9" a="1"/>
  <c r="P73" i="9" s="1"/>
  <c r="O73" i="9" s="1"/>
  <c r="L74" i="9" a="1"/>
  <c r="L74" i="9" s="1"/>
  <c r="K74" i="9" s="1"/>
  <c r="N74" i="9" a="1"/>
  <c r="N74" i="9" s="1"/>
  <c r="M74" i="9" s="1"/>
  <c r="P74" i="9" a="1"/>
  <c r="P74" i="9" s="1"/>
  <c r="O74" i="9" s="1"/>
  <c r="L75" i="9" a="1"/>
  <c r="L75" i="9" s="1"/>
  <c r="K75" i="9" s="1"/>
  <c r="N75" i="9" a="1"/>
  <c r="N75" i="9" s="1"/>
  <c r="M75" i="9" s="1"/>
  <c r="P75" i="9" a="1"/>
  <c r="P75" i="9" s="1"/>
  <c r="O75" i="9" s="1"/>
  <c r="I76" i="9"/>
  <c r="L76" i="9" a="1"/>
  <c r="L76" i="9" s="1"/>
  <c r="K76" i="9" s="1"/>
  <c r="N76" i="9" a="1"/>
  <c r="N76" i="9" s="1"/>
  <c r="M76" i="9" s="1"/>
  <c r="P76" i="9" a="1"/>
  <c r="P76" i="9" s="1"/>
  <c r="O76" i="9" s="1"/>
  <c r="I77" i="9"/>
  <c r="L77" i="9" a="1"/>
  <c r="L77" i="9" s="1"/>
  <c r="K77" i="9" s="1"/>
  <c r="N77" i="9" a="1"/>
  <c r="N77" i="9" s="1"/>
  <c r="M77" i="9" s="1"/>
  <c r="P77" i="9" a="1"/>
  <c r="P77" i="9" s="1"/>
  <c r="O77" i="9" s="1"/>
  <c r="AG199" i="7"/>
  <c r="AE199" i="7" s="1"/>
  <c r="Q199" i="7" s="1" a="1"/>
  <c r="Q199" i="7" s="1"/>
  <c r="P199" i="7" s="1"/>
  <c r="AD199" i="7"/>
  <c r="AC199" i="7"/>
  <c r="AB199" i="7"/>
  <c r="AA199" i="7"/>
  <c r="K199" i="7" s="1" a="1"/>
  <c r="K199" i="7" s="1"/>
  <c r="J199" i="7" s="1"/>
  <c r="AG198" i="7"/>
  <c r="AE198" i="7" s="1"/>
  <c r="Q198" i="7" s="1" a="1"/>
  <c r="Q198" i="7" s="1"/>
  <c r="P198" i="7" s="1"/>
  <c r="AD198" i="7"/>
  <c r="AC198" i="7"/>
  <c r="AA198" i="7" s="1"/>
  <c r="K198" i="7" s="1" a="1"/>
  <c r="K198" i="7" s="1"/>
  <c r="J198" i="7" s="1"/>
  <c r="AB198" i="7"/>
  <c r="AG197" i="7"/>
  <c r="AE197" i="7" s="1"/>
  <c r="Q197" i="7" s="1" a="1"/>
  <c r="Q197" i="7" s="1"/>
  <c r="P197" i="7" s="1"/>
  <c r="AD197" i="7"/>
  <c r="AC197" i="7"/>
  <c r="O197" i="7" s="1" a="1"/>
  <c r="O197" i="7" s="1"/>
  <c r="N197" i="7" s="1"/>
  <c r="AB197" i="7"/>
  <c r="AG196" i="7"/>
  <c r="AE196" i="7" s="1"/>
  <c r="Q196" i="7" s="1" a="1"/>
  <c r="Q196" i="7" s="1"/>
  <c r="P196" i="7" s="1"/>
  <c r="AD196" i="7"/>
  <c r="AC196" i="7"/>
  <c r="AB196" i="7"/>
  <c r="AA196" i="7"/>
  <c r="K196" i="7" s="1" a="1"/>
  <c r="K196" i="7" s="1"/>
  <c r="J196" i="7" s="1"/>
  <c r="AG195" i="7"/>
  <c r="AE195" i="7" s="1"/>
  <c r="Q195" i="7" s="1" a="1"/>
  <c r="Q195" i="7" s="1"/>
  <c r="P195" i="7" s="1"/>
  <c r="AD195" i="7"/>
  <c r="AC195" i="7"/>
  <c r="AB195" i="7"/>
  <c r="AA195" i="7"/>
  <c r="K195" i="7" s="1" a="1"/>
  <c r="K195" i="7" s="1"/>
  <c r="J195" i="7" s="1"/>
  <c r="AG194" i="7"/>
  <c r="AE194" i="7" s="1"/>
  <c r="Q194" i="7" s="1" a="1"/>
  <c r="Q194" i="7" s="1"/>
  <c r="P194" i="7" s="1"/>
  <c r="AD194" i="7"/>
  <c r="AC194" i="7"/>
  <c r="AA194" i="7" s="1"/>
  <c r="K194" i="7" s="1" a="1"/>
  <c r="K194" i="7" s="1"/>
  <c r="J194" i="7" s="1"/>
  <c r="AB194" i="7"/>
  <c r="AG193" i="7"/>
  <c r="AE193" i="7" s="1"/>
  <c r="Q193" i="7" s="1" a="1"/>
  <c r="Q193" i="7" s="1"/>
  <c r="P193" i="7" s="1"/>
  <c r="AD193" i="7"/>
  <c r="AC193" i="7"/>
  <c r="AA193" i="7" s="1"/>
  <c r="AB193" i="7"/>
  <c r="AG192" i="7"/>
  <c r="AE192" i="7" s="1"/>
  <c r="Q192" i="7" s="1" a="1"/>
  <c r="Q192" i="7" s="1"/>
  <c r="P192" i="7" s="1"/>
  <c r="AD192" i="7"/>
  <c r="AC192" i="7"/>
  <c r="AB192" i="7"/>
  <c r="AA192" i="7"/>
  <c r="K192" i="7" s="1" a="1"/>
  <c r="K192" i="7" s="1"/>
  <c r="J192" i="7" s="1"/>
  <c r="AG191" i="7"/>
  <c r="AE191" i="7" s="1"/>
  <c r="Q191" i="7" s="1" a="1"/>
  <c r="Q191" i="7" s="1"/>
  <c r="P191" i="7" s="1"/>
  <c r="AD191" i="7"/>
  <c r="AC191" i="7"/>
  <c r="AB191" i="7"/>
  <c r="AA191" i="7"/>
  <c r="K191" i="7" s="1" a="1"/>
  <c r="K191" i="7" s="1"/>
  <c r="J191" i="7" s="1"/>
  <c r="AG190" i="7"/>
  <c r="AE190" i="7" s="1"/>
  <c r="Q190" i="7" s="1" a="1"/>
  <c r="Q190" i="7" s="1"/>
  <c r="P190" i="7" s="1"/>
  <c r="AD190" i="7"/>
  <c r="AC190" i="7"/>
  <c r="AA190" i="7" s="1"/>
  <c r="K190" i="7" s="1" a="1"/>
  <c r="K190" i="7" s="1"/>
  <c r="J190" i="7" s="1"/>
  <c r="AB190" i="7"/>
  <c r="AG189" i="7"/>
  <c r="AE189" i="7" s="1"/>
  <c r="Q189" i="7" s="1" a="1"/>
  <c r="Q189" i="7" s="1"/>
  <c r="P189" i="7" s="1"/>
  <c r="AD189" i="7"/>
  <c r="AC189" i="7"/>
  <c r="AA189" i="7" s="1"/>
  <c r="AB189" i="7"/>
  <c r="AG188" i="7"/>
  <c r="AE188" i="7" s="1"/>
  <c r="Q188" i="7" s="1" a="1"/>
  <c r="Q188" i="7" s="1"/>
  <c r="P188" i="7" s="1"/>
  <c r="AD188" i="7"/>
  <c r="AC188" i="7"/>
  <c r="AB188" i="7"/>
  <c r="M188" i="7" s="1" a="1"/>
  <c r="M188" i="7" s="1"/>
  <c r="L188" i="7" s="1"/>
  <c r="AA188" i="7"/>
  <c r="AG187" i="7"/>
  <c r="AE187" i="7" s="1"/>
  <c r="Q187" i="7" s="1" a="1"/>
  <c r="Q187" i="7" s="1"/>
  <c r="P187" i="7" s="1"/>
  <c r="AD187" i="7"/>
  <c r="AC187" i="7"/>
  <c r="AB187" i="7"/>
  <c r="AA187" i="7"/>
  <c r="K187" i="7" s="1" a="1"/>
  <c r="K187" i="7" s="1"/>
  <c r="J187" i="7" s="1"/>
  <c r="M187" i="7" a="1"/>
  <c r="M187" i="7" s="1"/>
  <c r="L187" i="7" s="1"/>
  <c r="O187" i="7" a="1"/>
  <c r="O187" i="7" s="1"/>
  <c r="N187" i="7" s="1"/>
  <c r="O188" i="7" a="1"/>
  <c r="O188" i="7" s="1"/>
  <c r="N188" i="7" s="1"/>
  <c r="M189" i="7" a="1"/>
  <c r="M189" i="7" s="1"/>
  <c r="L189" i="7" s="1"/>
  <c r="M190" i="7" a="1"/>
  <c r="M190" i="7" s="1"/>
  <c r="L190" i="7" s="1"/>
  <c r="O190" i="7" a="1"/>
  <c r="O190" i="7" s="1"/>
  <c r="N190" i="7" s="1"/>
  <c r="M191" i="7" a="1"/>
  <c r="M191" i="7" s="1"/>
  <c r="L191" i="7" s="1"/>
  <c r="O191" i="7" a="1"/>
  <c r="O191" i="7" s="1"/>
  <c r="N191" i="7" s="1"/>
  <c r="M192" i="7" a="1"/>
  <c r="M192" i="7" s="1"/>
  <c r="L192" i="7" s="1"/>
  <c r="O192" i="7" a="1"/>
  <c r="O192" i="7" s="1"/>
  <c r="N192" i="7" s="1"/>
  <c r="M193" i="7" a="1"/>
  <c r="M193" i="7" s="1"/>
  <c r="L193" i="7" s="1"/>
  <c r="M194" i="7" a="1"/>
  <c r="M194" i="7" s="1"/>
  <c r="L194" i="7" s="1"/>
  <c r="O194" i="7" a="1"/>
  <c r="O194" i="7" s="1"/>
  <c r="N194" i="7" s="1"/>
  <c r="M195" i="7" a="1"/>
  <c r="M195" i="7" s="1"/>
  <c r="L195" i="7" s="1"/>
  <c r="O195" i="7" a="1"/>
  <c r="O195" i="7" s="1"/>
  <c r="N195" i="7" s="1"/>
  <c r="M196" i="7" a="1"/>
  <c r="M196" i="7" s="1"/>
  <c r="L196" i="7" s="1"/>
  <c r="O196" i="7" a="1"/>
  <c r="O196" i="7" s="1"/>
  <c r="N196" i="7" s="1"/>
  <c r="M197" i="7" a="1"/>
  <c r="M197" i="7" s="1"/>
  <c r="L197" i="7" s="1"/>
  <c r="M198" i="7" a="1"/>
  <c r="M198" i="7" s="1"/>
  <c r="L198" i="7" s="1"/>
  <c r="O198" i="7" a="1"/>
  <c r="O198" i="7" s="1"/>
  <c r="N198" i="7" s="1"/>
  <c r="M199" i="7" a="1"/>
  <c r="M199" i="7" s="1"/>
  <c r="L199" i="7" s="1"/>
  <c r="O199" i="7" a="1"/>
  <c r="O199" i="7" s="1"/>
  <c r="N199" i="7" s="1"/>
  <c r="K81" i="16" l="1" a="1"/>
  <c r="K81" i="16" s="1"/>
  <c r="J81" i="16" s="1"/>
  <c r="M81" i="16" a="1"/>
  <c r="M81" i="16" s="1"/>
  <c r="L81" i="16" s="1"/>
  <c r="Q81" i="16" a="1"/>
  <c r="Q81" i="16" s="1"/>
  <c r="P81" i="16" s="1"/>
  <c r="K188" i="7" a="1"/>
  <c r="K188" i="7" s="1"/>
  <c r="J188" i="7" s="1"/>
  <c r="K42" i="12" a="1"/>
  <c r="K42" i="12" s="1"/>
  <c r="J42" i="12" s="1"/>
  <c r="AA41" i="12"/>
  <c r="K41" i="12" s="1" a="1"/>
  <c r="K41" i="12" s="1"/>
  <c r="J41" i="12" s="1"/>
  <c r="AA33" i="12"/>
  <c r="K33" i="12" s="1" a="1"/>
  <c r="K33" i="12" s="1"/>
  <c r="J33" i="12" s="1"/>
  <c r="M32" i="12" a="1"/>
  <c r="M32" i="12" s="1"/>
  <c r="L32" i="12" s="1"/>
  <c r="AA34" i="12"/>
  <c r="K34" i="12" s="1" a="1"/>
  <c r="K34" i="12" s="1"/>
  <c r="J34" i="12" s="1"/>
  <c r="I91" i="9"/>
  <c r="I108" i="9"/>
  <c r="I102" i="9"/>
  <c r="I87" i="9"/>
  <c r="I85" i="9"/>
  <c r="I104" i="9"/>
  <c r="I100" i="9"/>
  <c r="I96" i="9"/>
  <c r="I98" i="9"/>
  <c r="I106" i="9"/>
  <c r="I79" i="9"/>
  <c r="I95" i="9"/>
  <c r="I94" i="9"/>
  <c r="N107" i="9" a="1"/>
  <c r="N107" i="9" s="1"/>
  <c r="M107" i="9" s="1"/>
  <c r="N103" i="9" a="1"/>
  <c r="N103" i="9" s="1"/>
  <c r="M103" i="9" s="1"/>
  <c r="N99" i="9" a="1"/>
  <c r="N99" i="9" s="1"/>
  <c r="M99" i="9" s="1"/>
  <c r="I93" i="9"/>
  <c r="I89" i="9"/>
  <c r="I82" i="9"/>
  <c r="L87" i="9" a="1"/>
  <c r="L87" i="9" s="1"/>
  <c r="K87" i="9" s="1"/>
  <c r="N93" i="9" a="1"/>
  <c r="N93" i="9" s="1"/>
  <c r="M93" i="9" s="1"/>
  <c r="N89" i="9" a="1"/>
  <c r="N89" i="9" s="1"/>
  <c r="M89" i="9" s="1"/>
  <c r="I107" i="9"/>
  <c r="I103" i="9"/>
  <c r="I99" i="9"/>
  <c r="N82" i="9" a="1"/>
  <c r="N82" i="9" s="1"/>
  <c r="M82" i="9" s="1"/>
  <c r="O193" i="7" a="1"/>
  <c r="O193" i="7" s="1"/>
  <c r="N193" i="7" s="1"/>
  <c r="O189" i="7" a="1"/>
  <c r="O189" i="7" s="1"/>
  <c r="N189" i="7" s="1"/>
  <c r="K193" i="7" a="1"/>
  <c r="K193" i="7" s="1"/>
  <c r="J193" i="7" s="1"/>
  <c r="K189" i="7" a="1"/>
  <c r="K189" i="7" s="1"/>
  <c r="J189" i="7" s="1"/>
  <c r="AA197" i="7"/>
  <c r="K197" i="7" s="1" a="1"/>
  <c r="K197" i="7" s="1"/>
  <c r="J197" i="7" s="1"/>
  <c r="G42" i="3" l="1"/>
  <c r="G43" i="3"/>
  <c r="G41" i="3"/>
  <c r="H42" i="3"/>
  <c r="H43" i="3"/>
  <c r="H41" i="3"/>
  <c r="H39" i="3"/>
  <c r="G39" i="3"/>
  <c r="AB73" i="9"/>
  <c r="AC153" i="8"/>
  <c r="AA153" i="8" s="1"/>
  <c r="K153" i="8" s="1" a="1"/>
  <c r="K153" i="8" s="1"/>
  <c r="M153" i="8" a="1"/>
  <c r="M153" i="8" s="1"/>
  <c r="L153" i="8" s="1"/>
  <c r="Q153" i="8" a="1"/>
  <c r="Q153" i="8" s="1"/>
  <c r="P153" i="8" s="1"/>
  <c r="M152" i="8" a="1"/>
  <c r="M152" i="8" s="1"/>
  <c r="L152" i="8" s="1"/>
  <c r="Q152" i="8" a="1"/>
  <c r="Q152" i="8" s="1"/>
  <c r="P152" i="8" s="1"/>
  <c r="AC152" i="8"/>
  <c r="AA152" i="8" s="1"/>
  <c r="AE151" i="8"/>
  <c r="AC151" i="8"/>
  <c r="AB151" i="8"/>
  <c r="AM151" i="8"/>
  <c r="AL77" i="9"/>
  <c r="AF77" i="9"/>
  <c r="AA77" i="9"/>
  <c r="Z77" i="9"/>
  <c r="AF76" i="9"/>
  <c r="Z76" i="9"/>
  <c r="AF75" i="9"/>
  <c r="AB75" i="9"/>
  <c r="AB74" i="9"/>
  <c r="AL74" i="9"/>
  <c r="AF74" i="9"/>
  <c r="AA73" i="9"/>
  <c r="AL73" i="9"/>
  <c r="AB72" i="9"/>
  <c r="Z72" i="9" s="1"/>
  <c r="AL72" i="9"/>
  <c r="AF72" i="9"/>
  <c r="AB7" i="9"/>
  <c r="AF7" i="9"/>
  <c r="AF18" i="9"/>
  <c r="Z18" i="9"/>
  <c r="AF20" i="9"/>
  <c r="Z20" i="9"/>
  <c r="AF19" i="9"/>
  <c r="Z19" i="9"/>
  <c r="AB17" i="9"/>
  <c r="Z17" i="9" s="1"/>
  <c r="AF17" i="9"/>
  <c r="Z16" i="9"/>
  <c r="AB16" i="9"/>
  <c r="AF16" i="9"/>
  <c r="AC149" i="7"/>
  <c r="Q77" i="7" a="1"/>
  <c r="Q77" i="7" s="1"/>
  <c r="P77" i="7" s="1"/>
  <c r="M77" i="7" a="1"/>
  <c r="M77" i="7" s="1"/>
  <c r="L77" i="7" s="1"/>
  <c r="M121" i="7" a="1"/>
  <c r="M121" i="7" s="1"/>
  <c r="L121" i="7" s="1"/>
  <c r="Q106" i="7" a="1"/>
  <c r="Q106" i="7" s="1"/>
  <c r="P106" i="7" s="1"/>
  <c r="M106" i="7" a="1"/>
  <c r="M106" i="7" s="1"/>
  <c r="L106" i="7" s="1"/>
  <c r="Q149" i="7" a="1"/>
  <c r="Q149" i="7" s="1"/>
  <c r="P149" i="7" s="1"/>
  <c r="O149" i="7" a="1"/>
  <c r="O149" i="7" s="1"/>
  <c r="N149" i="7" s="1"/>
  <c r="M149" i="7" a="1"/>
  <c r="M149" i="7" s="1"/>
  <c r="L149" i="7" s="1"/>
  <c r="AC77" i="7"/>
  <c r="AE121" i="7"/>
  <c r="Q121" i="7" s="1" a="1"/>
  <c r="Q121" i="7" s="1"/>
  <c r="P121" i="7" s="1"/>
  <c r="AC121" i="7"/>
  <c r="AA106" i="7"/>
  <c r="K106" i="7" s="1" a="1"/>
  <c r="K106" i="7" s="1"/>
  <c r="J106" i="7" s="1"/>
  <c r="AD106" i="7"/>
  <c r="AC106" i="7"/>
  <c r="O106" i="7" s="1" a="1"/>
  <c r="O106" i="7" s="1"/>
  <c r="N106" i="7" s="1"/>
  <c r="K183" i="7" a="1"/>
  <c r="K183" i="7" s="1"/>
  <c r="K200" i="7" a="1"/>
  <c r="K200" i="7" s="1"/>
  <c r="M61" i="7" a="1"/>
  <c r="M61" i="7" s="1"/>
  <c r="L61" i="7" s="1"/>
  <c r="Q61" i="7" a="1"/>
  <c r="Q61" i="7" s="1"/>
  <c r="P61" i="7" s="1"/>
  <c r="M22" i="7" a="1"/>
  <c r="M22" i="7" s="1"/>
  <c r="L22" i="7" s="1"/>
  <c r="Q22" i="7" a="1"/>
  <c r="Q22" i="7" s="1"/>
  <c r="P22" i="7" s="1"/>
  <c r="M104" i="7" a="1"/>
  <c r="M104" i="7" s="1"/>
  <c r="L104" i="7" s="1"/>
  <c r="Q104" i="7" a="1"/>
  <c r="Q104" i="7" s="1"/>
  <c r="P104" i="7" s="1"/>
  <c r="M72" i="7" a="1"/>
  <c r="M72" i="7" s="1"/>
  <c r="L72" i="7" s="1"/>
  <c r="Q72" i="7" a="1"/>
  <c r="Q72" i="7" s="1"/>
  <c r="P72" i="7" s="1"/>
  <c r="M71" i="7" a="1"/>
  <c r="M71" i="7" s="1"/>
  <c r="L71" i="7" s="1"/>
  <c r="Q71" i="7" a="1"/>
  <c r="Q71" i="7" s="1"/>
  <c r="P71" i="7" s="1"/>
  <c r="M67" i="7" a="1"/>
  <c r="M67" i="7" s="1"/>
  <c r="L67" i="7" s="1"/>
  <c r="O67" i="7" a="1"/>
  <c r="O67" i="7" s="1"/>
  <c r="N67" i="7" s="1"/>
  <c r="Q67" i="7" a="1"/>
  <c r="Q67" i="7" s="1"/>
  <c r="P67" i="7" s="1"/>
  <c r="M8" i="7" a="1"/>
  <c r="M8" i="7" s="1"/>
  <c r="L8" i="7" s="1"/>
  <c r="Q8" i="7" a="1"/>
  <c r="Q8" i="7" s="1"/>
  <c r="P8" i="7" s="1"/>
  <c r="AC67" i="7"/>
  <c r="AA67" i="7" s="1"/>
  <c r="K67" i="7" s="1" a="1"/>
  <c r="K67" i="7" s="1"/>
  <c r="AU182" i="7" a="1"/>
  <c r="AU182" i="7" s="1"/>
  <c r="AC71" i="7"/>
  <c r="O71" i="7" s="1" a="1"/>
  <c r="O71" i="7" s="1"/>
  <c r="N71" i="7" s="1"/>
  <c r="AU181" i="7" a="1"/>
  <c r="AU181" i="7" s="1"/>
  <c r="AU180" i="7" a="1"/>
  <c r="AU180" i="7" s="1"/>
  <c r="AC72" i="7"/>
  <c r="O72" i="7" s="1" a="1"/>
  <c r="O72" i="7" s="1"/>
  <c r="N72" i="7" s="1"/>
  <c r="AC104" i="7"/>
  <c r="AA104" i="7" s="1"/>
  <c r="K104" i="7" s="1" a="1"/>
  <c r="K104" i="7" s="1"/>
  <c r="AC8" i="7"/>
  <c r="AA8" i="7" s="1"/>
  <c r="K8" i="7" s="1" a="1"/>
  <c r="K8" i="7" s="1"/>
  <c r="AU179" i="7" a="1"/>
  <c r="AU179" i="7" s="1"/>
  <c r="AG104" i="7"/>
  <c r="AA71" i="7"/>
  <c r="AA200" i="7"/>
  <c r="AA183" i="7"/>
  <c r="Q33" i="7" a="1"/>
  <c r="Q33" i="7" s="1"/>
  <c r="P33" i="7" s="1"/>
  <c r="M33" i="7" a="1"/>
  <c r="M33" i="7" s="1"/>
  <c r="L33" i="7" s="1"/>
  <c r="Q69" i="7" a="1"/>
  <c r="Q69" i="7" s="1"/>
  <c r="P69" i="7" s="1"/>
  <c r="M69" i="7" a="1"/>
  <c r="M69" i="7" s="1"/>
  <c r="L69" i="7" s="1"/>
  <c r="Q19" i="7" a="1"/>
  <c r="Q19" i="7" s="1"/>
  <c r="P19" i="7" s="1"/>
  <c r="M19" i="7" a="1"/>
  <c r="M19" i="7" s="1"/>
  <c r="L19" i="7" s="1"/>
  <c r="Q32" i="7" a="1"/>
  <c r="Q32" i="7" s="1"/>
  <c r="P32" i="7" s="1"/>
  <c r="M32" i="7" a="1"/>
  <c r="M32" i="7" s="1"/>
  <c r="L32" i="7" s="1"/>
  <c r="Q70" i="7" a="1"/>
  <c r="Q70" i="7" s="1"/>
  <c r="P70" i="7" s="1"/>
  <c r="M70" i="7" a="1"/>
  <c r="M70" i="7" s="1"/>
  <c r="L70" i="7" s="1"/>
  <c r="Q14" i="7" a="1"/>
  <c r="Q14" i="7" s="1"/>
  <c r="P14" i="7" s="1"/>
  <c r="M14" i="7" a="1"/>
  <c r="M14" i="7" s="1"/>
  <c r="L14" i="7" s="1"/>
  <c r="Q89" i="7" a="1"/>
  <c r="Q89" i="7" s="1"/>
  <c r="P89" i="7" s="1"/>
  <c r="M89" i="7" a="1"/>
  <c r="M89" i="7" s="1"/>
  <c r="L89" i="7" s="1"/>
  <c r="Q168" i="7" a="1"/>
  <c r="Q168" i="7" s="1"/>
  <c r="P168" i="7" s="1"/>
  <c r="M168" i="7" a="1"/>
  <c r="M168" i="7" s="1"/>
  <c r="L168" i="7" s="1"/>
  <c r="Q200" i="7" a="1"/>
  <c r="Q200" i="7" s="1"/>
  <c r="P200" i="7" s="1"/>
  <c r="O200" i="7" a="1"/>
  <c r="O200" i="7" s="1"/>
  <c r="N200" i="7" s="1"/>
  <c r="M200" i="7" a="1"/>
  <c r="M200" i="7" s="1"/>
  <c r="L200" i="7" s="1"/>
  <c r="J200" i="7"/>
  <c r="Q42" i="7" a="1"/>
  <c r="Q42" i="7" s="1"/>
  <c r="P42" i="7" s="1"/>
  <c r="M42" i="7" a="1"/>
  <c r="M42" i="7" s="1"/>
  <c r="L42" i="7" s="1"/>
  <c r="Q147" i="7" a="1"/>
  <c r="Q147" i="7" s="1"/>
  <c r="P147" i="7" s="1"/>
  <c r="M147" i="7" a="1"/>
  <c r="M147" i="7" s="1"/>
  <c r="L147" i="7" s="1"/>
  <c r="Q108" i="7" a="1"/>
  <c r="Q108" i="7" s="1"/>
  <c r="P108" i="7" s="1"/>
  <c r="M108" i="7" a="1"/>
  <c r="M108" i="7" s="1"/>
  <c r="L108" i="7" s="1"/>
  <c r="Q78" i="7" a="1"/>
  <c r="Q78" i="7" s="1"/>
  <c r="P78" i="7" s="1"/>
  <c r="M78" i="7" a="1"/>
  <c r="M78" i="7" s="1"/>
  <c r="L78" i="7" s="1"/>
  <c r="Q80" i="7" a="1"/>
  <c r="Q80" i="7" s="1"/>
  <c r="P80" i="7" s="1"/>
  <c r="M80" i="7" a="1"/>
  <c r="M80" i="7" s="1"/>
  <c r="L80" i="7" s="1"/>
  <c r="Q183" i="7" a="1"/>
  <c r="Q183" i="7" s="1"/>
  <c r="P183" i="7" s="1"/>
  <c r="O183" i="7" a="1"/>
  <c r="O183" i="7" s="1"/>
  <c r="N183" i="7" s="1"/>
  <c r="M183" i="7" a="1"/>
  <c r="M183" i="7" s="1"/>
  <c r="L183" i="7" s="1"/>
  <c r="J183" i="7"/>
  <c r="Q23" i="7" a="1"/>
  <c r="Q23" i="7" s="1"/>
  <c r="P23" i="7" s="1"/>
  <c r="M23" i="7" a="1"/>
  <c r="M23" i="7" s="1"/>
  <c r="L23" i="7" s="1"/>
  <c r="Q13" i="7" a="1"/>
  <c r="Q13" i="7" s="1"/>
  <c r="P13" i="7" s="1"/>
  <c r="AC22" i="7"/>
  <c r="O22" i="7" s="1" a="1"/>
  <c r="O22" i="7" s="1"/>
  <c r="N22" i="7" s="1"/>
  <c r="AC33" i="7"/>
  <c r="AT177" i="7" s="1" a="1"/>
  <c r="AT177" i="7" s="1"/>
  <c r="AC69" i="7"/>
  <c r="AU177" i="7" a="1"/>
  <c r="AU177" i="7" s="1"/>
  <c r="AG33" i="7"/>
  <c r="AU178" i="7" a="1"/>
  <c r="AU178" i="7" s="1"/>
  <c r="AG22" i="7"/>
  <c r="AU176" i="7" a="1"/>
  <c r="AU176" i="7" s="1"/>
  <c r="AG69" i="7"/>
  <c r="AC19" i="7"/>
  <c r="AA19" i="7" s="1"/>
  <c r="K19" i="7" s="1" a="1"/>
  <c r="K19" i="7" s="1"/>
  <c r="AC32" i="7"/>
  <c r="AA32" i="7" s="1"/>
  <c r="K32" i="7" s="1" a="1"/>
  <c r="K32" i="7" s="1"/>
  <c r="AU175" i="7" a="1"/>
  <c r="AU175" i="7" s="1"/>
  <c r="AG19" i="7"/>
  <c r="AU174" i="7" a="1"/>
  <c r="AU174" i="7" s="1"/>
  <c r="AG32" i="7"/>
  <c r="AC70" i="7"/>
  <c r="AA70" i="7" s="1"/>
  <c r="K70" i="7" s="1" a="1"/>
  <c r="K70" i="7" s="1"/>
  <c r="AU173" i="7" a="1"/>
  <c r="AU173" i="7" s="1"/>
  <c r="AG70" i="7"/>
  <c r="AC14" i="7"/>
  <c r="O14" i="7" s="1" a="1"/>
  <c r="O14" i="7" s="1"/>
  <c r="N14" i="7" s="1"/>
  <c r="AC89" i="7"/>
  <c r="AU171" i="7" a="1"/>
  <c r="AU171" i="7" s="1"/>
  <c r="AT171" i="7" a="1"/>
  <c r="AT171" i="7" s="1"/>
  <c r="AG89" i="7"/>
  <c r="AC168" i="7"/>
  <c r="O168" i="7" s="1" a="1"/>
  <c r="O168" i="7" s="1"/>
  <c r="N168" i="7" s="1"/>
  <c r="AC42" i="7"/>
  <c r="O42" i="7" s="1" a="1"/>
  <c r="O42" i="7" s="1"/>
  <c r="N42" i="7" s="1"/>
  <c r="AC147" i="7"/>
  <c r="AA147" i="7" s="1"/>
  <c r="K147" i="7" s="1" a="1"/>
  <c r="K147" i="7" s="1"/>
  <c r="AC108" i="7"/>
  <c r="AA108" i="7" s="1"/>
  <c r="K108" i="7" s="1" a="1"/>
  <c r="K108" i="7" s="1"/>
  <c r="AC78" i="7"/>
  <c r="AA78" i="7" s="1"/>
  <c r="K78" i="7" s="1" a="1"/>
  <c r="K78" i="7" s="1"/>
  <c r="AC80" i="7"/>
  <c r="O80" i="7" s="1" a="1"/>
  <c r="O80" i="7" s="1"/>
  <c r="N80" i="7" s="1"/>
  <c r="AC23" i="7"/>
  <c r="O23" i="7" s="1" a="1"/>
  <c r="O23" i="7" s="1"/>
  <c r="N23" i="7" s="1"/>
  <c r="AC61" i="7"/>
  <c r="O61" i="7" s="1" a="1"/>
  <c r="O61" i="7" s="1"/>
  <c r="N61" i="7" s="1"/>
  <c r="AE137" i="7"/>
  <c r="Q137" i="7" s="1" a="1"/>
  <c r="Q137" i="7" s="1"/>
  <c r="P137" i="7" s="1"/>
  <c r="AD137" i="7"/>
  <c r="AC137" i="7"/>
  <c r="AA137" i="7" s="1"/>
  <c r="AB137" i="7"/>
  <c r="M137" i="7" s="1" a="1"/>
  <c r="M137" i="7" s="1"/>
  <c r="L137" i="7" s="1"/>
  <c r="AE142" i="7"/>
  <c r="Q142" i="7" s="1" a="1"/>
  <c r="Q142" i="7" s="1"/>
  <c r="P142" i="7" s="1"/>
  <c r="AD142" i="7"/>
  <c r="AC142" i="7"/>
  <c r="O142" i="7" s="1" a="1"/>
  <c r="O142" i="7" s="1"/>
  <c r="N142" i="7" s="1"/>
  <c r="AB142" i="7"/>
  <c r="M142" i="7" s="1" a="1"/>
  <c r="M142" i="7" s="1"/>
  <c r="L142" i="7" s="1"/>
  <c r="AE79" i="7"/>
  <c r="Q79" i="7" s="1" a="1"/>
  <c r="Q79" i="7" s="1"/>
  <c r="P79" i="7" s="1"/>
  <c r="AD79" i="7"/>
  <c r="AC79" i="7"/>
  <c r="AA79" i="7" s="1"/>
  <c r="K79" i="7" s="1" a="1"/>
  <c r="K79" i="7" s="1"/>
  <c r="J79" i="7" s="1"/>
  <c r="AB79" i="7"/>
  <c r="M79" i="7" s="1" a="1"/>
  <c r="M79" i="7" s="1"/>
  <c r="L79" i="7" s="1"/>
  <c r="AB117" i="7"/>
  <c r="M117" i="7" s="1" a="1"/>
  <c r="M117" i="7" s="1"/>
  <c r="L117" i="7" s="1"/>
  <c r="AC117" i="7"/>
  <c r="O117" i="7" s="1" a="1"/>
  <c r="O117" i="7" s="1"/>
  <c r="N117" i="7" s="1"/>
  <c r="AD117" i="7"/>
  <c r="AE117" i="7"/>
  <c r="Q117" i="7" s="1" a="1"/>
  <c r="Q117" i="7" s="1"/>
  <c r="P117" i="7" s="1"/>
  <c r="AB118" i="7"/>
  <c r="M118" i="7" s="1" a="1"/>
  <c r="M118" i="7" s="1"/>
  <c r="L118" i="7" s="1"/>
  <c r="AC118" i="7"/>
  <c r="O118" i="7" s="1" a="1"/>
  <c r="O118" i="7" s="1"/>
  <c r="N118" i="7" s="1"/>
  <c r="AD118" i="7"/>
  <c r="AE118" i="7"/>
  <c r="Q118" i="7" s="1" a="1"/>
  <c r="Q118" i="7" s="1"/>
  <c r="P118" i="7" s="1"/>
  <c r="AE116" i="7"/>
  <c r="Q116" i="7" s="1" a="1"/>
  <c r="Q116" i="7" s="1"/>
  <c r="P116" i="7" s="1"/>
  <c r="AD116" i="7"/>
  <c r="AC116" i="7"/>
  <c r="AA116" i="7" s="1"/>
  <c r="K116" i="7" s="1" a="1"/>
  <c r="K116" i="7" s="1"/>
  <c r="J116" i="7" s="1"/>
  <c r="AB116" i="7"/>
  <c r="M116" i="7" s="1" a="1"/>
  <c r="M116" i="7" s="1"/>
  <c r="L116" i="7" s="1"/>
  <c r="AB128" i="7"/>
  <c r="M128" i="7" s="1" a="1"/>
  <c r="M128" i="7" s="1"/>
  <c r="L128" i="7" s="1"/>
  <c r="AC128" i="7"/>
  <c r="AD128" i="7"/>
  <c r="AE128" i="7"/>
  <c r="Q128" i="7" s="1" a="1"/>
  <c r="Q128" i="7" s="1"/>
  <c r="P128" i="7" s="1"/>
  <c r="AB129" i="7"/>
  <c r="M129" i="7" s="1" a="1"/>
  <c r="M129" i="7" s="1"/>
  <c r="L129" i="7" s="1"/>
  <c r="AC129" i="7"/>
  <c r="O129" i="7" s="1" a="1"/>
  <c r="O129" i="7" s="1"/>
  <c r="N129" i="7" s="1"/>
  <c r="AD129" i="7"/>
  <c r="AE129" i="7"/>
  <c r="Q129" i="7" s="1" a="1"/>
  <c r="Q129" i="7" s="1"/>
  <c r="P129" i="7" s="1"/>
  <c r="AE127" i="7"/>
  <c r="Q127" i="7" s="1" a="1"/>
  <c r="Q127" i="7" s="1"/>
  <c r="P127" i="7" s="1"/>
  <c r="AD127" i="7"/>
  <c r="AC127" i="7"/>
  <c r="AA127" i="7" s="1"/>
  <c r="AB127" i="7"/>
  <c r="M127" i="7" s="1" a="1"/>
  <c r="M127" i="7" s="1"/>
  <c r="L127" i="7" s="1"/>
  <c r="AE169" i="7"/>
  <c r="Q169" i="7" s="1" a="1"/>
  <c r="Q169" i="7" s="1"/>
  <c r="P169" i="7" s="1"/>
  <c r="AD169" i="7"/>
  <c r="AC169" i="7"/>
  <c r="AA169" i="7" s="1"/>
  <c r="K169" i="7" s="1" a="1"/>
  <c r="K169" i="7" s="1"/>
  <c r="J169" i="7" s="1"/>
  <c r="AB169" i="7"/>
  <c r="M169" i="7" s="1" a="1"/>
  <c r="M169" i="7" s="1"/>
  <c r="L169" i="7" s="1"/>
  <c r="AE145" i="7"/>
  <c r="Q145" i="7" s="1" a="1"/>
  <c r="Q145" i="7" s="1"/>
  <c r="P145" i="7" s="1"/>
  <c r="AD145" i="7"/>
  <c r="AC145" i="7"/>
  <c r="O145" i="7" s="1" a="1"/>
  <c r="O145" i="7" s="1"/>
  <c r="N145" i="7" s="1"/>
  <c r="AB145" i="7"/>
  <c r="M145" i="7" s="1" a="1"/>
  <c r="M145" i="7" s="1"/>
  <c r="L145" i="7" s="1"/>
  <c r="AE144" i="7"/>
  <c r="Q144" i="7" s="1" a="1"/>
  <c r="Q144" i="7" s="1"/>
  <c r="P144" i="7" s="1"/>
  <c r="AD144" i="7"/>
  <c r="AC144" i="7"/>
  <c r="O144" i="7" s="1" a="1"/>
  <c r="O144" i="7" s="1"/>
  <c r="N144" i="7" s="1"/>
  <c r="AB144" i="7"/>
  <c r="M144" i="7" s="1" a="1"/>
  <c r="M144" i="7" s="1"/>
  <c r="L144" i="7" s="1"/>
  <c r="AE146" i="7"/>
  <c r="Q146" i="7" s="1" a="1"/>
  <c r="Q146" i="7" s="1"/>
  <c r="P146" i="7" s="1"/>
  <c r="AD146" i="7"/>
  <c r="AC146" i="7"/>
  <c r="AA146" i="7" s="1"/>
  <c r="K146" i="7" s="1" a="1"/>
  <c r="K146" i="7" s="1"/>
  <c r="J146" i="7" s="1"/>
  <c r="AB146" i="7"/>
  <c r="M146" i="7" s="1" a="1"/>
  <c r="M146" i="7" s="1"/>
  <c r="L146" i="7" s="1"/>
  <c r="AE92" i="7"/>
  <c r="Q92" i="7" s="1" a="1"/>
  <c r="Q92" i="7" s="1"/>
  <c r="P92" i="7" s="1"/>
  <c r="AD92" i="7"/>
  <c r="AC92" i="7"/>
  <c r="AA92" i="7" s="1"/>
  <c r="K92" i="7" s="1" a="1"/>
  <c r="K92" i="7" s="1"/>
  <c r="J92" i="7" s="1"/>
  <c r="AB92" i="7"/>
  <c r="M92" i="7" s="1" a="1"/>
  <c r="M92" i="7" s="1"/>
  <c r="L92" i="7" s="1"/>
  <c r="AE88" i="7"/>
  <c r="Q88" i="7" s="1" a="1"/>
  <c r="Q88" i="7" s="1"/>
  <c r="P88" i="7" s="1"/>
  <c r="AD88" i="7"/>
  <c r="AC88" i="7"/>
  <c r="AA88" i="7" s="1"/>
  <c r="K88" i="7" s="1" a="1"/>
  <c r="K88" i="7" s="1"/>
  <c r="J88" i="7" s="1"/>
  <c r="AB88" i="7"/>
  <c r="M88" i="7" s="1" a="1"/>
  <c r="M88" i="7" s="1"/>
  <c r="L88" i="7" s="1"/>
  <c r="AE138" i="7"/>
  <c r="Q138" i="7" s="1" a="1"/>
  <c r="Q138" i="7" s="1"/>
  <c r="P138" i="7" s="1"/>
  <c r="AD138" i="7"/>
  <c r="AC138" i="7"/>
  <c r="O138" i="7" s="1" a="1"/>
  <c r="O138" i="7" s="1"/>
  <c r="N138" i="7" s="1"/>
  <c r="AB138" i="7"/>
  <c r="M138" i="7" s="1" a="1"/>
  <c r="M138" i="7" s="1"/>
  <c r="L138" i="7" s="1"/>
  <c r="AE161" i="7"/>
  <c r="Q161" i="7" s="1" a="1"/>
  <c r="Q161" i="7" s="1"/>
  <c r="P161" i="7" s="1"/>
  <c r="AD161" i="7"/>
  <c r="AC161" i="7"/>
  <c r="O161" i="7" s="1" a="1"/>
  <c r="O161" i="7" s="1"/>
  <c r="N161" i="7" s="1"/>
  <c r="AB161" i="7"/>
  <c r="M161" i="7" s="1" a="1"/>
  <c r="M161" i="7" s="1"/>
  <c r="L161" i="7" s="1"/>
  <c r="AE156" i="7"/>
  <c r="Q156" i="7" s="1" a="1"/>
  <c r="Q156" i="7" s="1"/>
  <c r="P156" i="7" s="1"/>
  <c r="AD156" i="7"/>
  <c r="AC156" i="7"/>
  <c r="O156" i="7" s="1" a="1"/>
  <c r="O156" i="7" s="1"/>
  <c r="N156" i="7" s="1"/>
  <c r="AB156" i="7"/>
  <c r="M156" i="7" s="1" a="1"/>
  <c r="M156" i="7" s="1"/>
  <c r="L156" i="7" s="1"/>
  <c r="AE143" i="7"/>
  <c r="Q143" i="7" s="1" a="1"/>
  <c r="Q143" i="7" s="1"/>
  <c r="P143" i="7" s="1"/>
  <c r="AD143" i="7"/>
  <c r="AC143" i="7"/>
  <c r="AA143" i="7" s="1"/>
  <c r="K143" i="7" s="1" a="1"/>
  <c r="K143" i="7" s="1"/>
  <c r="J143" i="7" s="1"/>
  <c r="AB143" i="7"/>
  <c r="M143" i="7" s="1" a="1"/>
  <c r="M143" i="7" s="1"/>
  <c r="L143" i="7" s="1"/>
  <c r="AE109" i="7"/>
  <c r="Q109" i="7" s="1" a="1"/>
  <c r="Q109" i="7" s="1"/>
  <c r="P109" i="7" s="1"/>
  <c r="AD109" i="7"/>
  <c r="AC109" i="7"/>
  <c r="AA109" i="7" s="1"/>
  <c r="K109" i="7" s="1" a="1"/>
  <c r="K109" i="7" s="1"/>
  <c r="J109" i="7" s="1"/>
  <c r="AB109" i="7"/>
  <c r="M109" i="7" s="1" a="1"/>
  <c r="M109" i="7" s="1"/>
  <c r="L109" i="7" s="1"/>
  <c r="AE126" i="7"/>
  <c r="Q126" i="7" s="1" a="1"/>
  <c r="Q126" i="7" s="1"/>
  <c r="P126" i="7" s="1"/>
  <c r="AD126" i="7"/>
  <c r="AC126" i="7"/>
  <c r="O126" i="7" s="1" a="1"/>
  <c r="O126" i="7" s="1"/>
  <c r="N126" i="7" s="1"/>
  <c r="AB126" i="7"/>
  <c r="AE133" i="7"/>
  <c r="Q133" i="7" s="1" a="1"/>
  <c r="Q133" i="7" s="1"/>
  <c r="P133" i="7" s="1"/>
  <c r="AD133" i="7"/>
  <c r="AC133" i="7"/>
  <c r="AA133" i="7" s="1"/>
  <c r="K133" i="7" s="1" a="1"/>
  <c r="K133" i="7" s="1"/>
  <c r="J133" i="7" s="1"/>
  <c r="AB133" i="7"/>
  <c r="M133" i="7" s="1" a="1"/>
  <c r="M133" i="7" s="1"/>
  <c r="L133" i="7" s="1"/>
  <c r="AE76" i="7"/>
  <c r="Q76" i="7" s="1" a="1"/>
  <c r="Q76" i="7" s="1"/>
  <c r="P76" i="7" s="1"/>
  <c r="AD76" i="7"/>
  <c r="AC76" i="7"/>
  <c r="AA76" i="7" s="1"/>
  <c r="K76" i="7" s="1" a="1"/>
  <c r="K76" i="7" s="1"/>
  <c r="J76" i="7" s="1"/>
  <c r="AB76" i="7"/>
  <c r="M76" i="7" s="1" a="1"/>
  <c r="M76" i="7" s="1"/>
  <c r="L76" i="7" s="1"/>
  <c r="AE123" i="7"/>
  <c r="Q123" i="7" s="1" a="1"/>
  <c r="Q123" i="7" s="1"/>
  <c r="P123" i="7" s="1"/>
  <c r="AD123" i="7"/>
  <c r="AC123" i="7"/>
  <c r="O123" i="7" s="1" a="1"/>
  <c r="O123" i="7" s="1"/>
  <c r="N123" i="7" s="1"/>
  <c r="AB123" i="7"/>
  <c r="M123" i="7" s="1" a="1"/>
  <c r="M123" i="7" s="1"/>
  <c r="L123" i="7" s="1"/>
  <c r="AE122" i="7"/>
  <c r="Q122" i="7" s="1" a="1"/>
  <c r="Q122" i="7" s="1"/>
  <c r="P122" i="7" s="1"/>
  <c r="AD122" i="7"/>
  <c r="AC122" i="7"/>
  <c r="O122" i="7" s="1" a="1"/>
  <c r="O122" i="7" s="1"/>
  <c r="N122" i="7" s="1"/>
  <c r="AB122" i="7"/>
  <c r="M122" i="7" s="1" a="1"/>
  <c r="M122" i="7" s="1"/>
  <c r="L122" i="7" s="1"/>
  <c r="AE155" i="7"/>
  <c r="Q155" i="7" s="1" a="1"/>
  <c r="Q155" i="7" s="1"/>
  <c r="P155" i="7" s="1"/>
  <c r="AD155" i="7"/>
  <c r="AC155" i="7"/>
  <c r="O155" i="7" s="1" a="1"/>
  <c r="O155" i="7" s="1"/>
  <c r="N155" i="7" s="1"/>
  <c r="AB155" i="7"/>
  <c r="M155" i="7" s="1" a="1"/>
  <c r="M155" i="7" s="1"/>
  <c r="L155" i="7" s="1"/>
  <c r="AE152" i="7"/>
  <c r="Q152" i="7" s="1" a="1"/>
  <c r="Q152" i="7" s="1"/>
  <c r="P152" i="7" s="1"/>
  <c r="AD152" i="7"/>
  <c r="AC152" i="7"/>
  <c r="AA152" i="7" s="1"/>
  <c r="K152" i="7" s="1" a="1"/>
  <c r="K152" i="7" s="1"/>
  <c r="J152" i="7" s="1"/>
  <c r="AB152" i="7"/>
  <c r="M152" i="7" s="1" a="1"/>
  <c r="M152" i="7" s="1"/>
  <c r="L152" i="7" s="1"/>
  <c r="AE98" i="7"/>
  <c r="Q98" i="7" s="1" a="1"/>
  <c r="Q98" i="7" s="1"/>
  <c r="P98" i="7" s="1"/>
  <c r="AD98" i="7"/>
  <c r="AC98" i="7"/>
  <c r="O98" i="7" s="1" a="1"/>
  <c r="O98" i="7" s="1"/>
  <c r="N98" i="7" s="1"/>
  <c r="AB98" i="7"/>
  <c r="M98" i="7" s="1" a="1"/>
  <c r="M98" i="7" s="1"/>
  <c r="L98" i="7" s="1"/>
  <c r="AE99" i="7"/>
  <c r="Q99" i="7" s="1" a="1"/>
  <c r="Q99" i="7" s="1"/>
  <c r="P99" i="7" s="1"/>
  <c r="AD99" i="7"/>
  <c r="AC99" i="7"/>
  <c r="O99" i="7" s="1" a="1"/>
  <c r="O99" i="7" s="1"/>
  <c r="N99" i="7" s="1"/>
  <c r="AB99" i="7"/>
  <c r="AE119" i="7"/>
  <c r="Q119" i="7" s="1" a="1"/>
  <c r="Q119" i="7" s="1"/>
  <c r="P119" i="7" s="1"/>
  <c r="AD119" i="7"/>
  <c r="AC119" i="7"/>
  <c r="AA119" i="7" s="1"/>
  <c r="K119" i="7" s="1" a="1"/>
  <c r="K119" i="7" s="1"/>
  <c r="J119" i="7" s="1"/>
  <c r="AB119" i="7"/>
  <c r="M119" i="7" s="1" a="1"/>
  <c r="M119" i="7" s="1"/>
  <c r="L119" i="7" s="1"/>
  <c r="AE120" i="7"/>
  <c r="Q120" i="7" s="1" a="1"/>
  <c r="Q120" i="7" s="1"/>
  <c r="P120" i="7" s="1"/>
  <c r="AD120" i="7"/>
  <c r="AC120" i="7"/>
  <c r="AA120" i="7" s="1"/>
  <c r="K120" i="7" s="1" a="1"/>
  <c r="K120" i="7" s="1"/>
  <c r="J120" i="7" s="1"/>
  <c r="AB120" i="7"/>
  <c r="M120" i="7" s="1" a="1"/>
  <c r="M120" i="7" s="1"/>
  <c r="L120" i="7" s="1"/>
  <c r="AE132" i="7"/>
  <c r="Q132" i="7" s="1" a="1"/>
  <c r="Q132" i="7" s="1"/>
  <c r="P132" i="7" s="1"/>
  <c r="AD132" i="7"/>
  <c r="AC132" i="7"/>
  <c r="O132" i="7" s="1" a="1"/>
  <c r="O132" i="7" s="1"/>
  <c r="N132" i="7" s="1"/>
  <c r="AB132" i="7"/>
  <c r="M132" i="7" s="1" a="1"/>
  <c r="M132" i="7" s="1"/>
  <c r="L132" i="7" s="1"/>
  <c r="AE136" i="7"/>
  <c r="Q136" i="7" s="1" a="1"/>
  <c r="Q136" i="7" s="1"/>
  <c r="P136" i="7" s="1"/>
  <c r="AD136" i="7"/>
  <c r="AC136" i="7"/>
  <c r="O136" i="7" s="1" a="1"/>
  <c r="O136" i="7" s="1"/>
  <c r="N136" i="7" s="1"/>
  <c r="AB136" i="7"/>
  <c r="M136" i="7" s="1" a="1"/>
  <c r="M136" i="7" s="1"/>
  <c r="L136" i="7" s="1"/>
  <c r="AE150" i="7"/>
  <c r="Q150" i="7" s="1" a="1"/>
  <c r="Q150" i="7" s="1"/>
  <c r="P150" i="7" s="1"/>
  <c r="AD150" i="7"/>
  <c r="AC150" i="7"/>
  <c r="AA150" i="7" s="1"/>
  <c r="K150" i="7" s="1" a="1"/>
  <c r="K150" i="7" s="1"/>
  <c r="J150" i="7" s="1"/>
  <c r="AB150" i="7"/>
  <c r="M150" i="7" s="1" a="1"/>
  <c r="M150" i="7" s="1"/>
  <c r="L150" i="7" s="1"/>
  <c r="AE134" i="7"/>
  <c r="Q134" i="7" s="1" a="1"/>
  <c r="Q134" i="7" s="1"/>
  <c r="P134" i="7" s="1"/>
  <c r="AD134" i="7"/>
  <c r="AC134" i="7"/>
  <c r="AA134" i="7" s="1"/>
  <c r="K134" i="7" s="1" a="1"/>
  <c r="K134" i="7" s="1"/>
  <c r="J134" i="7" s="1"/>
  <c r="AB134" i="7"/>
  <c r="M134" i="7" s="1" a="1"/>
  <c r="M134" i="7" s="1"/>
  <c r="L134" i="7" s="1"/>
  <c r="AE135" i="7"/>
  <c r="Q135" i="7" s="1" a="1"/>
  <c r="Q135" i="7" s="1"/>
  <c r="P135" i="7" s="1"/>
  <c r="AD135" i="7"/>
  <c r="AC135" i="7"/>
  <c r="O135" i="7" s="1" a="1"/>
  <c r="O135" i="7" s="1"/>
  <c r="N135" i="7" s="1"/>
  <c r="AB135" i="7"/>
  <c r="M135" i="7" s="1" a="1"/>
  <c r="M135" i="7" s="1"/>
  <c r="L135" i="7" s="1"/>
  <c r="AE87" i="7"/>
  <c r="Q87" i="7" s="1" a="1"/>
  <c r="Q87" i="7" s="1"/>
  <c r="P87" i="7" s="1"/>
  <c r="AD87" i="7"/>
  <c r="AC87" i="7"/>
  <c r="O87" i="7" s="1" a="1"/>
  <c r="O87" i="7" s="1"/>
  <c r="N87" i="7" s="1"/>
  <c r="AB87" i="7"/>
  <c r="AB73" i="7"/>
  <c r="M73" i="7" s="1" a="1"/>
  <c r="M73" i="7" s="1"/>
  <c r="L73" i="7" s="1"/>
  <c r="AC73" i="7"/>
  <c r="AD73" i="7"/>
  <c r="AE73" i="7"/>
  <c r="Q73" i="7" s="1" a="1"/>
  <c r="Q73" i="7" s="1"/>
  <c r="P73" i="7" s="1"/>
  <c r="AB74" i="7"/>
  <c r="M74" i="7" s="1" a="1"/>
  <c r="M74" i="7" s="1"/>
  <c r="L74" i="7" s="1"/>
  <c r="AC74" i="7"/>
  <c r="O74" i="7" s="1" a="1"/>
  <c r="O74" i="7" s="1"/>
  <c r="N74" i="7" s="1"/>
  <c r="AD74" i="7"/>
  <c r="AE74" i="7"/>
  <c r="Q74" i="7" s="1" a="1"/>
  <c r="Q74" i="7" s="1"/>
  <c r="P74" i="7" s="1"/>
  <c r="AB140" i="7"/>
  <c r="M140" i="7" s="1" a="1"/>
  <c r="M140" i="7" s="1"/>
  <c r="L140" i="7" s="1"/>
  <c r="AE140" i="7"/>
  <c r="Q140" i="7" s="1" a="1"/>
  <c r="Q140" i="7" s="1"/>
  <c r="P140" i="7" s="1"/>
  <c r="AD140" i="7"/>
  <c r="AC140" i="7"/>
  <c r="AC163" i="7"/>
  <c r="AA163" i="7" s="1"/>
  <c r="K163" i="7" s="1" a="1"/>
  <c r="K163" i="7" s="1"/>
  <c r="M163" i="7" a="1"/>
  <c r="M163" i="7" s="1"/>
  <c r="L163" i="7" s="1"/>
  <c r="Q163" i="7" a="1"/>
  <c r="Q163" i="7" s="1"/>
  <c r="P163" i="7" s="1"/>
  <c r="AG163" i="7"/>
  <c r="M110" i="7" a="1"/>
  <c r="M110" i="7" s="1"/>
  <c r="L110" i="7" s="1"/>
  <c r="Q110" i="7" a="1"/>
  <c r="Q110" i="7" s="1"/>
  <c r="P110" i="7" s="1"/>
  <c r="AC110" i="7"/>
  <c r="AG110" i="7"/>
  <c r="AL176" i="7"/>
  <c r="AL174" i="7"/>
  <c r="AL175" i="7"/>
  <c r="M175" i="7" s="1" a="1"/>
  <c r="M175" i="7" s="1"/>
  <c r="L175" i="7" s="1"/>
  <c r="AL173" i="7"/>
  <c r="M173" i="7" s="1" a="1"/>
  <c r="M173" i="7" s="1"/>
  <c r="L173" i="7" s="1"/>
  <c r="AG175" i="7"/>
  <c r="AA175" i="7"/>
  <c r="Q175" i="7" a="1"/>
  <c r="Q175" i="7" s="1"/>
  <c r="P175" i="7" s="1"/>
  <c r="O175" i="7" a="1"/>
  <c r="O175" i="7" s="1"/>
  <c r="N175" i="7" s="1"/>
  <c r="K175" i="7" a="1"/>
  <c r="K175" i="7" s="1"/>
  <c r="J175" i="7"/>
  <c r="AG173" i="7"/>
  <c r="AA173" i="7"/>
  <c r="Q173" i="7" a="1"/>
  <c r="Q173" i="7" s="1"/>
  <c r="P173" i="7" s="1"/>
  <c r="O173" i="7" a="1"/>
  <c r="O173" i="7" s="1"/>
  <c r="N173" i="7" s="1"/>
  <c r="K173" i="7" a="1"/>
  <c r="K173" i="7" s="1"/>
  <c r="J173" i="7"/>
  <c r="AL114" i="7"/>
  <c r="AL113" i="7"/>
  <c r="AM113" i="7"/>
  <c r="AG113" i="7"/>
  <c r="AA113" i="7"/>
  <c r="AL103" i="7"/>
  <c r="AL102" i="7"/>
  <c r="M102" i="7" s="1" a="1"/>
  <c r="M102" i="7" s="1"/>
  <c r="L102" i="7" s="1"/>
  <c r="AG102" i="7"/>
  <c r="AA102" i="7"/>
  <c r="Q102" i="7" a="1"/>
  <c r="Q102" i="7" s="1"/>
  <c r="P102" i="7" s="1"/>
  <c r="O102" i="7" a="1"/>
  <c r="O102" i="7" s="1"/>
  <c r="N102" i="7" s="1"/>
  <c r="K102" i="7" a="1"/>
  <c r="K102" i="7" s="1"/>
  <c r="J102" i="7"/>
  <c r="AL101" i="7"/>
  <c r="AG100" i="7"/>
  <c r="AA100" i="7"/>
  <c r="Q100" i="7" a="1"/>
  <c r="Q100" i="7" s="1"/>
  <c r="P100" i="7" s="1"/>
  <c r="O100" i="7" a="1"/>
  <c r="O100" i="7" s="1"/>
  <c r="N100" i="7" s="1"/>
  <c r="M100" i="7" a="1"/>
  <c r="M100" i="7" s="1"/>
  <c r="L100" i="7" s="1"/>
  <c r="K100" i="7" a="1"/>
  <c r="K100" i="7" s="1"/>
  <c r="J100" i="7"/>
  <c r="AL96" i="7"/>
  <c r="AL95" i="7"/>
  <c r="AM95" i="7"/>
  <c r="AG95" i="7"/>
  <c r="AC95" i="7"/>
  <c r="Q95" i="7" a="1"/>
  <c r="Q95" i="7" s="1"/>
  <c r="P95" i="7" s="1"/>
  <c r="AL94" i="7"/>
  <c r="AL93" i="7"/>
  <c r="AM93" i="7"/>
  <c r="AG93" i="7"/>
  <c r="AA93" i="7"/>
  <c r="Q93" i="7" a="1"/>
  <c r="Q93" i="7" s="1"/>
  <c r="P93" i="7" s="1"/>
  <c r="O93" i="7" a="1"/>
  <c r="O93" i="7" s="1"/>
  <c r="N93" i="7" s="1"/>
  <c r="K93" i="7" a="1"/>
  <c r="K93" i="7" s="1"/>
  <c r="J93" i="7"/>
  <c r="AL25" i="7"/>
  <c r="AL24" i="7"/>
  <c r="M24" i="7" s="1" a="1"/>
  <c r="M24" i="7" s="1"/>
  <c r="L24" i="7" s="1"/>
  <c r="AU111" i="7" a="1"/>
  <c r="AU111" i="7" s="1"/>
  <c r="AG24" i="7"/>
  <c r="AA24" i="7"/>
  <c r="Q24" i="7" a="1"/>
  <c r="Q24" i="7" s="1"/>
  <c r="P24" i="7" s="1"/>
  <c r="O24" i="7" a="1"/>
  <c r="O24" i="7" s="1"/>
  <c r="N24" i="7" s="1"/>
  <c r="K24" i="7" a="1"/>
  <c r="K24" i="7" s="1"/>
  <c r="J24" i="7"/>
  <c r="AL56" i="7"/>
  <c r="AL55" i="7"/>
  <c r="AU110" i="7" s="1" a="1"/>
  <c r="AU110" i="7" s="1"/>
  <c r="AN55" i="7"/>
  <c r="AG55" i="7"/>
  <c r="AC55" i="7"/>
  <c r="Q55" i="7" a="1"/>
  <c r="Q55" i="7" s="1"/>
  <c r="P55" i="7" s="1"/>
  <c r="AL86" i="7"/>
  <c r="AL85" i="7"/>
  <c r="AG85" i="7"/>
  <c r="AC85" i="7"/>
  <c r="AB85" i="7"/>
  <c r="AU109" i="7" s="1" a="1"/>
  <c r="AU109" i="7" s="1"/>
  <c r="Q85" i="7" a="1"/>
  <c r="Q85" i="7" s="1"/>
  <c r="P85" i="7" s="1"/>
  <c r="AL82" i="7"/>
  <c r="M82" i="7" s="1" a="1"/>
  <c r="M82" i="7" s="1"/>
  <c r="L82" i="7" s="1"/>
  <c r="AL83" i="7"/>
  <c r="AU108" i="7" a="1"/>
  <c r="AU108" i="7" s="1"/>
  <c r="AG82" i="7"/>
  <c r="AA82" i="7"/>
  <c r="Q82" i="7" a="1"/>
  <c r="Q82" i="7" s="1"/>
  <c r="P82" i="7" s="1"/>
  <c r="O82" i="7" a="1"/>
  <c r="O82" i="7" s="1"/>
  <c r="N82" i="7" s="1"/>
  <c r="K82" i="7" a="1"/>
  <c r="K82" i="7" s="1"/>
  <c r="J82" i="7"/>
  <c r="AL20" i="7"/>
  <c r="AU107" i="7" s="1" a="1"/>
  <c r="AU107" i="7" s="1"/>
  <c r="AL21" i="7"/>
  <c r="AI20" i="7"/>
  <c r="AG20" i="7" s="1"/>
  <c r="AA20" i="7"/>
  <c r="Q20" i="7" a="1"/>
  <c r="Q20" i="7" s="1"/>
  <c r="P20" i="7" s="1"/>
  <c r="O20" i="7" a="1"/>
  <c r="O20" i="7" s="1"/>
  <c r="N20" i="7" s="1"/>
  <c r="K20" i="7" a="1"/>
  <c r="K20" i="7" s="1"/>
  <c r="J20" i="7"/>
  <c r="AL11" i="7"/>
  <c r="AI72" i="15"/>
  <c r="AG72" i="15"/>
  <c r="R72" i="15" s="1" a="1"/>
  <c r="R72" i="15" s="1"/>
  <c r="Q72" i="15" s="1"/>
  <c r="AF72" i="15"/>
  <c r="AE72" i="15"/>
  <c r="AD72" i="15"/>
  <c r="AC72" i="15" s="1"/>
  <c r="L72" i="15" s="1" a="1"/>
  <c r="L72" i="15" s="1"/>
  <c r="AM150" i="8"/>
  <c r="M150" i="8" s="1" a="1"/>
  <c r="M150" i="8" s="1"/>
  <c r="L150" i="8" s="1"/>
  <c r="AA150" i="8"/>
  <c r="Q150" i="8" a="1"/>
  <c r="Q150" i="8" s="1"/>
  <c r="P150" i="8" s="1"/>
  <c r="AC149" i="8"/>
  <c r="AA149" i="8" s="1"/>
  <c r="AC148" i="8"/>
  <c r="AA148" i="8" s="1"/>
  <c r="AM149" i="8"/>
  <c r="M149" i="8" s="1" a="1"/>
  <c r="M149" i="8" s="1"/>
  <c r="L149" i="8" s="1"/>
  <c r="AG149" i="8"/>
  <c r="Q149" i="8" a="1"/>
  <c r="Q149" i="8" s="1"/>
  <c r="P149" i="8" s="1"/>
  <c r="AM148" i="8"/>
  <c r="M148" i="8" s="1" a="1"/>
  <c r="M148" i="8" s="1"/>
  <c r="L148" i="8" s="1"/>
  <c r="Q148" i="8" a="1"/>
  <c r="Q148" i="8" s="1"/>
  <c r="P148" i="8" s="1"/>
  <c r="AM147" i="8"/>
  <c r="M147" i="8" s="1" a="1"/>
  <c r="M147" i="8" s="1"/>
  <c r="L147" i="8" s="1"/>
  <c r="AC147" i="8"/>
  <c r="AA147" i="8" s="1"/>
  <c r="Q147" i="8" a="1"/>
  <c r="Q147" i="8" s="1"/>
  <c r="P147" i="8" s="1"/>
  <c r="AM146" i="8"/>
  <c r="M146" i="8" s="1" a="1"/>
  <c r="M146" i="8" s="1"/>
  <c r="L146" i="8" s="1"/>
  <c r="AM145" i="8"/>
  <c r="M145" i="8" s="1" a="1"/>
  <c r="M145" i="8" s="1"/>
  <c r="L145" i="8" s="1"/>
  <c r="AC146" i="8"/>
  <c r="AC145" i="8"/>
  <c r="AA145" i="8" s="1"/>
  <c r="AG146" i="8"/>
  <c r="Q146" i="8" a="1"/>
  <c r="Q146" i="8" s="1"/>
  <c r="P146" i="8" s="1"/>
  <c r="Q145" i="8" a="1"/>
  <c r="Q145" i="8" s="1"/>
  <c r="P145" i="8" s="1"/>
  <c r="AC144" i="8"/>
  <c r="AA144" i="8" s="1"/>
  <c r="K144" i="8" s="1" a="1"/>
  <c r="K144" i="8" s="1"/>
  <c r="J144" i="8" s="1"/>
  <c r="AM144" i="8"/>
  <c r="M144" i="8" s="1" a="1"/>
  <c r="M144" i="8" s="1"/>
  <c r="L144" i="8" s="1"/>
  <c r="Q144" i="8" a="1"/>
  <c r="Q144" i="8" s="1"/>
  <c r="P144" i="8" s="1"/>
  <c r="AC143" i="8"/>
  <c r="AA143" i="8" s="1"/>
  <c r="Q143" i="8" a="1"/>
  <c r="Q143" i="8" s="1"/>
  <c r="P143" i="8" s="1"/>
  <c r="AM143" i="8"/>
  <c r="AC142" i="8"/>
  <c r="AA142" i="8" s="1"/>
  <c r="AM142" i="8"/>
  <c r="M142" i="8" s="1" a="1"/>
  <c r="M142" i="8" s="1"/>
  <c r="L142" i="8" s="1"/>
  <c r="Q142" i="8" a="1"/>
  <c r="Q142" i="8" s="1"/>
  <c r="P142" i="8" s="1"/>
  <c r="AC141" i="8"/>
  <c r="AA141" i="8" s="1"/>
  <c r="M141" i="8" a="1"/>
  <c r="M141" i="8" s="1"/>
  <c r="L141" i="8" s="1"/>
  <c r="Q141" i="8" a="1"/>
  <c r="Q141" i="8" s="1"/>
  <c r="P141" i="8" s="1"/>
  <c r="AM141" i="8"/>
  <c r="AC140" i="8"/>
  <c r="AA140" i="8" s="1"/>
  <c r="AM140" i="8"/>
  <c r="M140" i="8" s="1" a="1"/>
  <c r="M140" i="8" s="1"/>
  <c r="L140" i="8" s="1"/>
  <c r="Q140" i="8" a="1"/>
  <c r="Q140" i="8" s="1"/>
  <c r="P140" i="8" s="1"/>
  <c r="AC139" i="8"/>
  <c r="AM139" i="8"/>
  <c r="M139" i="8" s="1" a="1"/>
  <c r="M139" i="8" s="1"/>
  <c r="L139" i="8" s="1"/>
  <c r="AC138" i="8"/>
  <c r="AA138" i="8" s="1"/>
  <c r="K138" i="8" s="1" a="1"/>
  <c r="K138" i="8" s="1"/>
  <c r="J138" i="8" s="1"/>
  <c r="AM138" i="8"/>
  <c r="M138" i="8" s="1" a="1"/>
  <c r="M138" i="8" s="1"/>
  <c r="L138" i="8" s="1"/>
  <c r="AA139" i="8"/>
  <c r="Q138" i="8" a="1"/>
  <c r="Q138" i="8" s="1"/>
  <c r="P138" i="8" s="1"/>
  <c r="Q139" i="8" a="1"/>
  <c r="Q139" i="8" s="1"/>
  <c r="P139" i="8" s="1"/>
  <c r="AC137" i="8"/>
  <c r="AA137" i="8" s="1"/>
  <c r="K137" i="8" s="1" a="1"/>
  <c r="K137" i="8" s="1"/>
  <c r="J137" i="8" s="1"/>
  <c r="AM137" i="8"/>
  <c r="M137" i="8" s="1" a="1"/>
  <c r="M137" i="8" s="1"/>
  <c r="L137" i="8" s="1"/>
  <c r="Q137" i="8" a="1"/>
  <c r="Q137" i="8" s="1"/>
  <c r="P137" i="8" s="1"/>
  <c r="AC136" i="8"/>
  <c r="AA136" i="8" s="1"/>
  <c r="AM136" i="8"/>
  <c r="M136" i="8" s="1" a="1"/>
  <c r="M136" i="8" s="1"/>
  <c r="L136" i="8" s="1"/>
  <c r="Q136" i="8" a="1"/>
  <c r="Q136" i="8" s="1"/>
  <c r="P136" i="8" s="1"/>
  <c r="AC135" i="8"/>
  <c r="AA135" i="8" s="1"/>
  <c r="AC134" i="8"/>
  <c r="AA134" i="8" s="1"/>
  <c r="K134" i="8" s="1" a="1"/>
  <c r="K134" i="8" s="1"/>
  <c r="J134" i="8" s="1"/>
  <c r="AM135" i="8"/>
  <c r="M135" i="8" s="1" a="1"/>
  <c r="M135" i="8" s="1"/>
  <c r="L135" i="8" s="1"/>
  <c r="AM134" i="8"/>
  <c r="M134" i="8" s="1" a="1"/>
  <c r="M134" i="8" s="1"/>
  <c r="L134" i="8" s="1"/>
  <c r="Q134" i="8" a="1"/>
  <c r="Q134" i="8" s="1"/>
  <c r="P134" i="8" s="1"/>
  <c r="Q135" i="8" a="1"/>
  <c r="Q135" i="8" s="1"/>
  <c r="P135" i="8" s="1"/>
  <c r="AC133" i="8"/>
  <c r="AC132" i="8"/>
  <c r="AM133" i="8"/>
  <c r="M133" i="8" s="1" a="1"/>
  <c r="M133" i="8" s="1"/>
  <c r="L133" i="8" s="1"/>
  <c r="AM132" i="8"/>
  <c r="M132" i="8" s="1" a="1"/>
  <c r="M132" i="8" s="1"/>
  <c r="L132" i="8" s="1"/>
  <c r="Q132" i="8" a="1"/>
  <c r="Q132" i="8" s="1"/>
  <c r="P132" i="8" s="1"/>
  <c r="Q133" i="8" a="1"/>
  <c r="Q133" i="8" s="1"/>
  <c r="P133" i="8" s="1"/>
  <c r="AC131" i="8"/>
  <c r="AA131" i="8" s="1"/>
  <c r="AC130" i="8"/>
  <c r="AB130" i="8"/>
  <c r="AM131" i="8"/>
  <c r="AM130" i="8"/>
  <c r="Q130" i="8" a="1"/>
  <c r="Q130" i="8" s="1"/>
  <c r="P130" i="8" s="1"/>
  <c r="Q131" i="8" a="1"/>
  <c r="Q131" i="8" s="1"/>
  <c r="P131" i="8" s="1"/>
  <c r="AC129" i="8"/>
  <c r="AA129" i="8" s="1"/>
  <c r="K129" i="8" s="1" a="1"/>
  <c r="K129" i="8" s="1"/>
  <c r="J129" i="8" s="1"/>
  <c r="AC128" i="8"/>
  <c r="AA128" i="8" s="1"/>
  <c r="AM128" i="8"/>
  <c r="M128" i="8" s="1" a="1"/>
  <c r="M128" i="8" s="1"/>
  <c r="L128" i="8" s="1"/>
  <c r="AM129" i="8"/>
  <c r="M129" i="8" s="1" a="1"/>
  <c r="M129" i="8" s="1"/>
  <c r="L129" i="8" s="1"/>
  <c r="Q128" i="8" a="1"/>
  <c r="Q128" i="8" s="1"/>
  <c r="P128" i="8" s="1"/>
  <c r="Q129" i="8" a="1"/>
  <c r="Q129" i="8" s="1"/>
  <c r="P129" i="8" s="1"/>
  <c r="AD127" i="8"/>
  <c r="AD126" i="8"/>
  <c r="AC127" i="8"/>
  <c r="AC126" i="8"/>
  <c r="AM127" i="8"/>
  <c r="AM126" i="8"/>
  <c r="M126" i="8" s="1" a="1"/>
  <c r="M126" i="8" s="1"/>
  <c r="L126" i="8" s="1"/>
  <c r="AA126" i="8"/>
  <c r="AA127" i="8"/>
  <c r="K127" i="8" s="1" a="1"/>
  <c r="K127" i="8" s="1"/>
  <c r="J127" i="8" s="1"/>
  <c r="Q126" i="8" a="1"/>
  <c r="Q126" i="8" s="1"/>
  <c r="P126" i="8" s="1"/>
  <c r="M127" i="8" a="1"/>
  <c r="M127" i="8" s="1"/>
  <c r="L127" i="8" s="1"/>
  <c r="Q127" i="8" a="1"/>
  <c r="Q127" i="8" s="1"/>
  <c r="P127" i="8" s="1"/>
  <c r="AC125" i="8"/>
  <c r="AC124" i="8"/>
  <c r="AA124" i="8" s="1"/>
  <c r="AM125" i="8"/>
  <c r="M125" i="8" s="1" a="1"/>
  <c r="M125" i="8" s="1"/>
  <c r="L125" i="8" s="1"/>
  <c r="AM124" i="8"/>
  <c r="M124" i="8" s="1" a="1"/>
  <c r="M124" i="8" s="1"/>
  <c r="L124" i="8" s="1"/>
  <c r="Q124" i="8" a="1"/>
  <c r="Q124" i="8" s="1"/>
  <c r="P124" i="8" s="1"/>
  <c r="Q125" i="8" a="1"/>
  <c r="Q125" i="8" s="1"/>
  <c r="P125" i="8" s="1"/>
  <c r="AC123" i="8"/>
  <c r="O123" i="8" s="1" a="1"/>
  <c r="O123" i="8" s="1"/>
  <c r="N123" i="8" s="1"/>
  <c r="AC122" i="8"/>
  <c r="AM123" i="8"/>
  <c r="M123" i="8" s="1" a="1"/>
  <c r="M123" i="8" s="1"/>
  <c r="L123" i="8" s="1"/>
  <c r="AM122" i="8"/>
  <c r="M122" i="8" s="1" a="1"/>
  <c r="M122" i="8" s="1"/>
  <c r="L122" i="8" s="1"/>
  <c r="Q122" i="8" a="1"/>
  <c r="Q122" i="8" s="1"/>
  <c r="P122" i="8" s="1"/>
  <c r="Q123" i="8" a="1"/>
  <c r="Q123" i="8" s="1"/>
  <c r="P123" i="8" s="1"/>
  <c r="AD121" i="8"/>
  <c r="AC121" i="8"/>
  <c r="AA121" i="8" s="1"/>
  <c r="AD120" i="8"/>
  <c r="AC120" i="8"/>
  <c r="AA120" i="8" s="1"/>
  <c r="AM121" i="8"/>
  <c r="AM120" i="8"/>
  <c r="M120" i="8" s="1" a="1"/>
  <c r="M120" i="8" s="1"/>
  <c r="L120" i="8" s="1"/>
  <c r="Q120" i="8" a="1"/>
  <c r="Q120" i="8" s="1"/>
  <c r="P120" i="8" s="1"/>
  <c r="Q121" i="8" a="1"/>
  <c r="Q121" i="8" s="1"/>
  <c r="P121" i="8" s="1"/>
  <c r="AC119" i="8"/>
  <c r="AM119" i="8"/>
  <c r="M119" i="8" s="1" a="1"/>
  <c r="M119" i="8" s="1"/>
  <c r="L119" i="8" s="1"/>
  <c r="AG119" i="8"/>
  <c r="Q119" i="8" a="1"/>
  <c r="Q119" i="8" s="1"/>
  <c r="P119" i="8" s="1"/>
  <c r="AC118" i="8"/>
  <c r="AA118" i="8" s="1"/>
  <c r="AM118" i="8"/>
  <c r="M118" i="8" s="1" a="1"/>
  <c r="M118" i="8" s="1"/>
  <c r="L118" i="8" s="1"/>
  <c r="Q118" i="8" a="1"/>
  <c r="Q118" i="8" s="1"/>
  <c r="P118" i="8" s="1"/>
  <c r="AC117" i="8"/>
  <c r="AA117" i="8" s="1"/>
  <c r="AM117" i="8"/>
  <c r="M117" i="8" s="1" a="1"/>
  <c r="M117" i="8" s="1"/>
  <c r="L117" i="8" s="1"/>
  <c r="Q117" i="8" a="1"/>
  <c r="Q117" i="8" s="1"/>
  <c r="P117" i="8" s="1"/>
  <c r="AD116" i="8"/>
  <c r="AC116" i="8"/>
  <c r="AM116" i="8"/>
  <c r="M116" i="8" s="1" a="1"/>
  <c r="M116" i="8" s="1"/>
  <c r="L116" i="8" s="1"/>
  <c r="Q116" i="8" a="1"/>
  <c r="Q116" i="8" s="1"/>
  <c r="P116" i="8" s="1"/>
  <c r="AD115" i="8"/>
  <c r="AD114" i="8"/>
  <c r="AC115" i="8"/>
  <c r="AC114" i="8"/>
  <c r="AA114" i="8" s="1"/>
  <c r="Q114" i="8" a="1"/>
  <c r="Q114" i="8" s="1"/>
  <c r="P114" i="8" s="1"/>
  <c r="Q115" i="8" a="1"/>
  <c r="Q115" i="8" s="1"/>
  <c r="P115" i="8" s="1"/>
  <c r="AM115" i="8"/>
  <c r="M115" i="8" s="1" a="1"/>
  <c r="M115" i="8" s="1"/>
  <c r="L115" i="8" s="1"/>
  <c r="AM114" i="8"/>
  <c r="M114" i="8" s="1" a="1"/>
  <c r="M114" i="8" s="1"/>
  <c r="L114" i="8" s="1"/>
  <c r="AB113" i="8"/>
  <c r="AM113" i="8"/>
  <c r="AG113" i="8"/>
  <c r="AD113" i="8"/>
  <c r="AC113" i="8"/>
  <c r="Q113" i="8" a="1"/>
  <c r="Q113" i="8" s="1"/>
  <c r="P113" i="8" s="1"/>
  <c r="AD112" i="8"/>
  <c r="AC112" i="8"/>
  <c r="AB112" i="8"/>
  <c r="AM112" i="8"/>
  <c r="Q112" i="8" a="1"/>
  <c r="Q112" i="8" s="1"/>
  <c r="P112" i="8" s="1"/>
  <c r="AM111" i="8"/>
  <c r="AG111" i="8"/>
  <c r="AC111" i="8"/>
  <c r="AA111" i="8" s="1"/>
  <c r="Q111" i="8" a="1"/>
  <c r="Q111" i="8" s="1"/>
  <c r="P111" i="8" s="1"/>
  <c r="AM110" i="8"/>
  <c r="AG110" i="8"/>
  <c r="AC110" i="8"/>
  <c r="AA110" i="8" s="1"/>
  <c r="Q110" i="8" a="1"/>
  <c r="Q110" i="8" s="1"/>
  <c r="P110" i="8" s="1"/>
  <c r="AM109" i="8"/>
  <c r="AG109" i="8"/>
  <c r="AC109" i="8"/>
  <c r="AA109" i="8" s="1"/>
  <c r="Q109" i="8" a="1"/>
  <c r="Q109" i="8" s="1"/>
  <c r="P109" i="8" s="1"/>
  <c r="AC108" i="8"/>
  <c r="AM108" i="8"/>
  <c r="M108" i="8" s="1" a="1"/>
  <c r="M108" i="8" s="1"/>
  <c r="L108" i="8" s="1"/>
  <c r="Q108" i="8" a="1"/>
  <c r="Q108" i="8" s="1"/>
  <c r="P108" i="8" s="1"/>
  <c r="AC107" i="8"/>
  <c r="AC106" i="8"/>
  <c r="AC105" i="8"/>
  <c r="AM106" i="8"/>
  <c r="M106" i="8" s="1" a="1"/>
  <c r="M106" i="8" s="1"/>
  <c r="L106" i="8" s="1"/>
  <c r="AM107" i="8"/>
  <c r="AM105" i="8"/>
  <c r="M105" i="8" s="1" a="1"/>
  <c r="M105" i="8" s="1"/>
  <c r="L105" i="8" s="1"/>
  <c r="Q97" i="8" a="1"/>
  <c r="Q97" i="8" s="1"/>
  <c r="P97" i="8" s="1"/>
  <c r="Q98" i="8" a="1"/>
  <c r="Q98" i="8" s="1"/>
  <c r="P98" i="8" s="1"/>
  <c r="Q99" i="8" a="1"/>
  <c r="Q99" i="8" s="1"/>
  <c r="P99" i="8" s="1"/>
  <c r="Q100" i="8" a="1"/>
  <c r="Q100" i="8" s="1"/>
  <c r="P100" i="8" s="1"/>
  <c r="Q101" i="8" a="1"/>
  <c r="Q101" i="8" s="1"/>
  <c r="P101" i="8" s="1"/>
  <c r="Q102" i="8" a="1"/>
  <c r="Q102" i="8" s="1"/>
  <c r="P102" i="8" s="1"/>
  <c r="Q103" i="8" a="1"/>
  <c r="Q103" i="8" s="1"/>
  <c r="P103" i="8" s="1"/>
  <c r="Q104" i="8" a="1"/>
  <c r="Q104" i="8" s="1"/>
  <c r="P104" i="8" s="1"/>
  <c r="Q105" i="8" a="1"/>
  <c r="Q105" i="8" s="1"/>
  <c r="P105" i="8" s="1"/>
  <c r="Q106" i="8" a="1"/>
  <c r="Q106" i="8" s="1"/>
  <c r="P106" i="8" s="1"/>
  <c r="Q107" i="8" a="1"/>
  <c r="Q107" i="8" s="1"/>
  <c r="P107" i="8" s="1"/>
  <c r="M107" i="8" a="1"/>
  <c r="M107" i="8" s="1"/>
  <c r="L107" i="8" s="1"/>
  <c r="AM104" i="8"/>
  <c r="M104" i="8" s="1" a="1"/>
  <c r="M104" i="8" s="1"/>
  <c r="L104" i="8" s="1"/>
  <c r="AG104" i="8"/>
  <c r="AC104" i="8"/>
  <c r="AA104" i="8" s="1"/>
  <c r="K104" i="8" s="1" a="1"/>
  <c r="K104" i="8" s="1"/>
  <c r="J104" i="8" s="1"/>
  <c r="AM103" i="8"/>
  <c r="M103" i="8" s="1" a="1"/>
  <c r="M103" i="8" s="1"/>
  <c r="L103" i="8" s="1"/>
  <c r="AG103" i="8"/>
  <c r="AC103" i="8"/>
  <c r="AA103" i="8" s="1"/>
  <c r="AM102" i="8"/>
  <c r="M102" i="8" s="1" a="1"/>
  <c r="M102" i="8" s="1"/>
  <c r="L102" i="8" s="1"/>
  <c r="AG102" i="8"/>
  <c r="AC102" i="8"/>
  <c r="AA102" i="8" s="1"/>
  <c r="AC101" i="8"/>
  <c r="AA101" i="8" s="1"/>
  <c r="AC100" i="8"/>
  <c r="AA100" i="8" s="1"/>
  <c r="AC99" i="8"/>
  <c r="AM101" i="8"/>
  <c r="AG101" i="8"/>
  <c r="AM100" i="8"/>
  <c r="M100" i="8" s="1" a="1"/>
  <c r="M100" i="8" s="1"/>
  <c r="L100" i="8" s="1"/>
  <c r="AM99" i="8"/>
  <c r="M99" i="8" s="1" a="1"/>
  <c r="M99" i="8" s="1"/>
  <c r="L99" i="8" s="1"/>
  <c r="AM98" i="8"/>
  <c r="M98" i="8" s="1" a="1"/>
  <c r="M98" i="8" s="1"/>
  <c r="L98" i="8" s="1"/>
  <c r="AG98" i="8"/>
  <c r="AC98" i="8"/>
  <c r="O98" i="8" s="1" a="1"/>
  <c r="O98" i="8" s="1"/>
  <c r="N98" i="8" s="1"/>
  <c r="AM97" i="8"/>
  <c r="M97" i="8" s="1" a="1"/>
  <c r="M97" i="8" s="1"/>
  <c r="L97" i="8" s="1"/>
  <c r="AG97" i="8"/>
  <c r="AC97" i="8"/>
  <c r="AA97" i="8" s="1"/>
  <c r="Q95" i="8" a="1"/>
  <c r="Q95" i="8" s="1"/>
  <c r="P95" i="8" s="1"/>
  <c r="Q96" i="8" a="1"/>
  <c r="Q96" i="8" s="1"/>
  <c r="P96" i="8" s="1"/>
  <c r="AC96" i="8"/>
  <c r="AA96" i="8" s="1"/>
  <c r="AC95" i="8"/>
  <c r="AA95" i="8" s="1"/>
  <c r="AM96" i="8"/>
  <c r="M96" i="8" s="1" a="1"/>
  <c r="M96" i="8" s="1"/>
  <c r="L96" i="8" s="1"/>
  <c r="AM95" i="8"/>
  <c r="M95" i="8" s="1" a="1"/>
  <c r="M95" i="8" s="1"/>
  <c r="L95" i="8" s="1"/>
  <c r="AC94" i="8"/>
  <c r="O94" i="8" s="1" a="1"/>
  <c r="O94" i="8" s="1"/>
  <c r="N94" i="8" s="1"/>
  <c r="AC93" i="8"/>
  <c r="AA93" i="8" s="1"/>
  <c r="K93" i="8" s="1" a="1"/>
  <c r="K93" i="8" s="1"/>
  <c r="J93" i="8" s="1"/>
  <c r="AC92" i="8"/>
  <c r="AA92" i="8" s="1"/>
  <c r="K92" i="8" s="1" a="1"/>
  <c r="K92" i="8" s="1"/>
  <c r="J92" i="8" s="1"/>
  <c r="AC91" i="8"/>
  <c r="O91" i="8" s="1" a="1"/>
  <c r="O91" i="8" s="1"/>
  <c r="N91" i="8" s="1"/>
  <c r="AC90" i="8"/>
  <c r="O90" i="8" s="1" a="1"/>
  <c r="O90" i="8" s="1"/>
  <c r="N90" i="8" s="1"/>
  <c r="AB90" i="8"/>
  <c r="M90" i="8" s="1" a="1"/>
  <c r="M90" i="8" s="1"/>
  <c r="L90" i="8" s="1"/>
  <c r="K86" i="8" a="1"/>
  <c r="K86" i="8" s="1"/>
  <c r="AC89" i="8"/>
  <c r="AA89" i="8" s="1"/>
  <c r="AA94" i="8"/>
  <c r="K94" i="8" s="1" a="1"/>
  <c r="K94" i="8" s="1"/>
  <c r="J94" i="8" s="1"/>
  <c r="M89" i="8" a="1"/>
  <c r="M89" i="8" s="1"/>
  <c r="L89" i="8" s="1"/>
  <c r="Q89" i="8" a="1"/>
  <c r="Q89" i="8" s="1"/>
  <c r="P89" i="8" s="1"/>
  <c r="Q90" i="8" a="1"/>
  <c r="Q90" i="8" s="1"/>
  <c r="P90" i="8" s="1"/>
  <c r="M91" i="8" a="1"/>
  <c r="M91" i="8" s="1"/>
  <c r="L91" i="8" s="1"/>
  <c r="Q91" i="8" a="1"/>
  <c r="Q91" i="8" s="1"/>
  <c r="P91" i="8" s="1"/>
  <c r="M92" i="8" a="1"/>
  <c r="M92" i="8" s="1"/>
  <c r="L92" i="8" s="1"/>
  <c r="Q92" i="8" a="1"/>
  <c r="Q92" i="8" s="1"/>
  <c r="P92" i="8" s="1"/>
  <c r="M93" i="8" a="1"/>
  <c r="M93" i="8" s="1"/>
  <c r="L93" i="8" s="1"/>
  <c r="O93" i="8" a="1"/>
  <c r="O93" i="8" s="1"/>
  <c r="N93" i="8" s="1"/>
  <c r="Q93" i="8" a="1"/>
  <c r="Q93" i="8" s="1"/>
  <c r="P93" i="8" s="1"/>
  <c r="M94" i="8" a="1"/>
  <c r="M94" i="8" s="1"/>
  <c r="L94" i="8" s="1"/>
  <c r="Q94" i="8" a="1"/>
  <c r="Q94" i="8" s="1"/>
  <c r="P94" i="8" s="1"/>
  <c r="M88" i="8" a="1"/>
  <c r="M88" i="8" s="1"/>
  <c r="L88" i="8" s="1"/>
  <c r="AA88" i="8"/>
  <c r="H86" i="8"/>
  <c r="AE87" i="8"/>
  <c r="Q87" i="8" s="1" a="1"/>
  <c r="Q87" i="8" s="1"/>
  <c r="P87" i="8" s="1"/>
  <c r="AD87" i="8"/>
  <c r="AC87" i="8"/>
  <c r="AA87" i="8" s="1"/>
  <c r="K87" i="8" s="1" a="1"/>
  <c r="K87" i="8" s="1"/>
  <c r="J87" i="8" s="1"/>
  <c r="K88" i="8" a="1"/>
  <c r="K88" i="8" s="1"/>
  <c r="J88" i="8" s="1"/>
  <c r="M87" i="8" a="1"/>
  <c r="M87" i="8" s="1"/>
  <c r="L87" i="8" s="1"/>
  <c r="O88" i="8" a="1"/>
  <c r="O88" i="8" s="1"/>
  <c r="N88" i="8" s="1"/>
  <c r="Q88" i="8" a="1"/>
  <c r="Q88" i="8" s="1"/>
  <c r="P88" i="8" s="1"/>
  <c r="O151" i="8" l="1" a="1"/>
  <c r="O151" i="8" s="1"/>
  <c r="N151" i="8" s="1"/>
  <c r="Q151" i="8" a="1"/>
  <c r="Q151" i="8" s="1"/>
  <c r="P151" i="8" s="1"/>
  <c r="J17" i="9" a="1"/>
  <c r="J17" i="9" s="1"/>
  <c r="I17" i="9" s="1"/>
  <c r="J72" i="9" a="1"/>
  <c r="J72" i="9" s="1"/>
  <c r="I72" i="9" s="1"/>
  <c r="J16" i="9" a="1"/>
  <c r="J16" i="9" s="1"/>
  <c r="I16" i="9" s="1"/>
  <c r="M113" i="7" a="1"/>
  <c r="M113" i="7" s="1"/>
  <c r="L113" i="7" s="1"/>
  <c r="K143" i="8" a="1"/>
  <c r="K143" i="8" s="1"/>
  <c r="J143" i="8" s="1"/>
  <c r="K96" i="8" a="1"/>
  <c r="K96" i="8" s="1"/>
  <c r="J96" i="8" s="1"/>
  <c r="M151" i="8" a="1"/>
  <c r="M151" i="8" s="1"/>
  <c r="L151" i="8" s="1"/>
  <c r="O107" i="8" a="1"/>
  <c r="O107" i="8" s="1"/>
  <c r="N107" i="8" s="1"/>
  <c r="O140" i="8" a="1"/>
  <c r="O140" i="8" s="1"/>
  <c r="N140" i="8" s="1"/>
  <c r="AT178" i="7" a="1"/>
  <c r="AT178" i="7" s="1"/>
  <c r="Z75" i="9"/>
  <c r="AA151" i="8"/>
  <c r="K151" i="8" s="1" a="1"/>
  <c r="K151" i="8" s="1"/>
  <c r="J151" i="8" s="1"/>
  <c r="K152" i="8" a="1"/>
  <c r="K152" i="8" s="1"/>
  <c r="J152" i="8" s="1"/>
  <c r="O152" i="8" a="1"/>
  <c r="O152" i="8" s="1"/>
  <c r="N152" i="8" s="1"/>
  <c r="J153" i="8"/>
  <c r="O153" i="8" a="1"/>
  <c r="O153" i="8" s="1"/>
  <c r="N153" i="8" s="1"/>
  <c r="Z73" i="9"/>
  <c r="Z7" i="9"/>
  <c r="J7" i="9" s="1" a="1"/>
  <c r="J7" i="9" s="1"/>
  <c r="Z74" i="9"/>
  <c r="K126" i="8" a="1"/>
  <c r="K126" i="8" s="1"/>
  <c r="J126" i="8" s="1"/>
  <c r="K121" i="8" a="1"/>
  <c r="K121" i="8" s="1"/>
  <c r="J121" i="8" s="1"/>
  <c r="K141" i="8" a="1"/>
  <c r="K141" i="8" s="1"/>
  <c r="J141" i="8" s="1"/>
  <c r="K145" i="8" a="1"/>
  <c r="K145" i="8" s="1"/>
  <c r="J145" i="8" s="1"/>
  <c r="O95" i="7" a="1"/>
  <c r="O95" i="7" s="1"/>
  <c r="N95" i="7" s="1"/>
  <c r="AA112" i="8"/>
  <c r="K112" i="8" s="1" a="1"/>
  <c r="K112" i="8" s="1"/>
  <c r="J112" i="8" s="1"/>
  <c r="O132" i="8" a="1"/>
  <c r="O132" i="8" s="1"/>
  <c r="N132" i="8" s="1"/>
  <c r="O144" i="8" a="1"/>
  <c r="O144" i="8" s="1"/>
  <c r="N144" i="8" s="1"/>
  <c r="AA130" i="8"/>
  <c r="K130" i="8" s="1" a="1"/>
  <c r="K130" i="8" s="1"/>
  <c r="J130" i="8" s="1"/>
  <c r="AA87" i="7"/>
  <c r="K87" i="7" s="1" a="1"/>
  <c r="K87" i="7" s="1"/>
  <c r="J87" i="7" s="1"/>
  <c r="AA99" i="7"/>
  <c r="K99" i="7" s="1" a="1"/>
  <c r="K99" i="7" s="1"/>
  <c r="J99" i="7" s="1"/>
  <c r="AA126" i="7"/>
  <c r="K126" i="7" s="1" a="1"/>
  <c r="K126" i="7" s="1"/>
  <c r="J126" i="7" s="1"/>
  <c r="AA74" i="7"/>
  <c r="K74" i="7" s="1" a="1"/>
  <c r="K74" i="7" s="1"/>
  <c r="J74" i="7" s="1"/>
  <c r="AA128" i="7"/>
  <c r="K128" i="7" s="1" a="1"/>
  <c r="K128" i="7" s="1"/>
  <c r="J128" i="7" s="1"/>
  <c r="O104" i="7" a="1"/>
  <c r="O104" i="7" s="1"/>
  <c r="N104" i="7" s="1"/>
  <c r="M93" i="7" a="1"/>
  <c r="M93" i="7" s="1"/>
  <c r="L93" i="7" s="1"/>
  <c r="AA140" i="7"/>
  <c r="K140" i="7" s="1" a="1"/>
  <c r="K140" i="7" s="1"/>
  <c r="J140" i="7" s="1"/>
  <c r="AA73" i="7"/>
  <c r="K73" i="7" s="1" a="1"/>
  <c r="K73" i="7" s="1"/>
  <c r="J73" i="7" s="1"/>
  <c r="O79" i="7" a="1"/>
  <c r="O79" i="7" s="1"/>
  <c r="N79" i="7" s="1"/>
  <c r="O128" i="7" a="1"/>
  <c r="O128" i="7" s="1"/>
  <c r="N128" i="7" s="1"/>
  <c r="O146" i="7" a="1"/>
  <c r="O146" i="7" s="1"/>
  <c r="N146" i="7" s="1"/>
  <c r="M126" i="7" a="1"/>
  <c r="M126" i="7" s="1"/>
  <c r="L126" i="7" s="1"/>
  <c r="O150" i="7" a="1"/>
  <c r="O150" i="7" s="1"/>
  <c r="N150" i="7" s="1"/>
  <c r="AA142" i="7"/>
  <c r="K142" i="7" s="1" a="1"/>
  <c r="K142" i="7" s="1"/>
  <c r="J142" i="7" s="1"/>
  <c r="AA145" i="7"/>
  <c r="K145" i="7" s="1" a="1"/>
  <c r="K145" i="7" s="1"/>
  <c r="J145" i="7" s="1"/>
  <c r="AA138" i="7"/>
  <c r="K138" i="7" s="1" a="1"/>
  <c r="K138" i="7" s="1"/>
  <c r="J138" i="7" s="1"/>
  <c r="AA123" i="7"/>
  <c r="K123" i="7" s="1" a="1"/>
  <c r="K123" i="7" s="1"/>
  <c r="J123" i="7" s="1"/>
  <c r="AA132" i="7"/>
  <c r="K132" i="7" s="1" a="1"/>
  <c r="K132" i="7" s="1"/>
  <c r="J132" i="7" s="1"/>
  <c r="O163" i="7" a="1"/>
  <c r="O163" i="7" s="1"/>
  <c r="N163" i="7" s="1"/>
  <c r="O169" i="7" a="1"/>
  <c r="O169" i="7" s="1"/>
  <c r="N169" i="7" s="1"/>
  <c r="O73" i="7" a="1"/>
  <c r="O73" i="7" s="1"/>
  <c r="N73" i="7" s="1"/>
  <c r="O143" i="7" a="1"/>
  <c r="O143" i="7" s="1"/>
  <c r="N143" i="7" s="1"/>
  <c r="M99" i="7" a="1"/>
  <c r="M99" i="7" s="1"/>
  <c r="L99" i="7" s="1"/>
  <c r="AA161" i="7"/>
  <c r="K161" i="7" s="1" a="1"/>
  <c r="K161" i="7" s="1"/>
  <c r="J161" i="7" s="1"/>
  <c r="AA122" i="7"/>
  <c r="K122" i="7" s="1" a="1"/>
  <c r="K122" i="7" s="1"/>
  <c r="J122" i="7" s="1"/>
  <c r="AA136" i="7"/>
  <c r="K136" i="7" s="1" a="1"/>
  <c r="K136" i="7" s="1"/>
  <c r="J136" i="7" s="1"/>
  <c r="K137" i="7" a="1"/>
  <c r="K137" i="7" s="1"/>
  <c r="J137" i="7" s="1"/>
  <c r="K124" i="8" a="1"/>
  <c r="K124" i="8" s="1"/>
  <c r="J124" i="8" s="1"/>
  <c r="O135" i="8" a="1"/>
  <c r="O135" i="8" s="1"/>
  <c r="N135" i="8" s="1"/>
  <c r="K139" i="8" a="1"/>
  <c r="K139" i="8" s="1"/>
  <c r="J139" i="8" s="1"/>
  <c r="K118" i="8" a="1"/>
  <c r="K118" i="8" s="1"/>
  <c r="J118" i="8" s="1"/>
  <c r="O131" i="8" a="1"/>
  <c r="O131" i="8" s="1"/>
  <c r="N131" i="8" s="1"/>
  <c r="AA132" i="8"/>
  <c r="K132" i="8" s="1" a="1"/>
  <c r="K132" i="8" s="1"/>
  <c r="J132" i="8" s="1"/>
  <c r="K140" i="8" a="1"/>
  <c r="K140" i="8" s="1"/>
  <c r="J140" i="8" s="1"/>
  <c r="O137" i="7" a="1"/>
  <c r="O137" i="7" s="1"/>
  <c r="N137" i="7" s="1"/>
  <c r="O116" i="7" a="1"/>
  <c r="O116" i="7" s="1"/>
  <c r="N116" i="7" s="1"/>
  <c r="O133" i="7" a="1"/>
  <c r="O133" i="7" s="1"/>
  <c r="N133" i="7" s="1"/>
  <c r="O152" i="7" a="1"/>
  <c r="O152" i="7" s="1"/>
  <c r="N152" i="7" s="1"/>
  <c r="M87" i="7" a="1"/>
  <c r="M87" i="7" s="1"/>
  <c r="L87" i="7" s="1"/>
  <c r="AA118" i="7"/>
  <c r="K118" i="7" s="1" a="1"/>
  <c r="K118" i="7" s="1"/>
  <c r="J118" i="7" s="1"/>
  <c r="AA144" i="7"/>
  <c r="K144" i="7" s="1" a="1"/>
  <c r="K144" i="7" s="1"/>
  <c r="J144" i="7" s="1"/>
  <c r="AA156" i="7"/>
  <c r="K156" i="7" s="1" a="1"/>
  <c r="K156" i="7" s="1"/>
  <c r="J156" i="7" s="1"/>
  <c r="AA155" i="7"/>
  <c r="K155" i="7" s="1" a="1"/>
  <c r="K155" i="7" s="1"/>
  <c r="J155" i="7" s="1"/>
  <c r="K127" i="7" a="1"/>
  <c r="K127" i="7" s="1"/>
  <c r="J127" i="7" s="1"/>
  <c r="O110" i="8" a="1"/>
  <c r="O110" i="8" s="1"/>
  <c r="N110" i="8" s="1"/>
  <c r="O105" i="8" a="1"/>
  <c r="O105" i="8" s="1"/>
  <c r="N105" i="8" s="1"/>
  <c r="O129" i="8" a="1"/>
  <c r="O129" i="8" s="1"/>
  <c r="N129" i="8" s="1"/>
  <c r="K136" i="8" a="1"/>
  <c r="K136" i="8" s="1"/>
  <c r="J136" i="8" s="1"/>
  <c r="N72" i="15" a="1"/>
  <c r="N72" i="15" s="1"/>
  <c r="M72" i="15" s="1"/>
  <c r="O127" i="7" a="1"/>
  <c r="O127" i="7" s="1"/>
  <c r="N127" i="7" s="1"/>
  <c r="O92" i="7" a="1"/>
  <c r="O92" i="7" s="1"/>
  <c r="N92" i="7" s="1"/>
  <c r="O119" i="7" a="1"/>
  <c r="O119" i="7" s="1"/>
  <c r="N119" i="7" s="1"/>
  <c r="O134" i="7" a="1"/>
  <c r="O134" i="7" s="1"/>
  <c r="N134" i="7" s="1"/>
  <c r="AA117" i="7"/>
  <c r="K117" i="7" s="1" a="1"/>
  <c r="K117" i="7" s="1"/>
  <c r="J117" i="7" s="1"/>
  <c r="AA98" i="8"/>
  <c r="K98" i="8" s="1" a="1"/>
  <c r="K98" i="8" s="1"/>
  <c r="J98" i="8" s="1"/>
  <c r="O99" i="8" a="1"/>
  <c r="O99" i="8" s="1"/>
  <c r="N99" i="8" s="1"/>
  <c r="O8" i="7" a="1"/>
  <c r="O8" i="7" s="1"/>
  <c r="N8" i="7" s="1"/>
  <c r="O88" i="7" a="1"/>
  <c r="O88" i="7" s="1"/>
  <c r="N88" i="7" s="1"/>
  <c r="O109" i="7" a="1"/>
  <c r="O109" i="7" s="1"/>
  <c r="N109" i="7" s="1"/>
  <c r="O140" i="7" a="1"/>
  <c r="O140" i="7" s="1"/>
  <c r="N140" i="7" s="1"/>
  <c r="AA98" i="7"/>
  <c r="K98" i="7" s="1" a="1"/>
  <c r="K98" i="7" s="1"/>
  <c r="J98" i="7" s="1"/>
  <c r="AA135" i="7"/>
  <c r="K135" i="7" s="1" a="1"/>
  <c r="K135" i="7" s="1"/>
  <c r="J135" i="7" s="1"/>
  <c r="AA129" i="7"/>
  <c r="K129" i="7" s="1" a="1"/>
  <c r="K129" i="7" s="1"/>
  <c r="J129" i="7" s="1"/>
  <c r="K117" i="8" a="1"/>
  <c r="K117" i="8" s="1"/>
  <c r="J117" i="8" s="1"/>
  <c r="O133" i="8" a="1"/>
  <c r="O133" i="8" s="1"/>
  <c r="N133" i="8" s="1"/>
  <c r="O139" i="8" a="1"/>
  <c r="O139" i="8" s="1"/>
  <c r="N139" i="8" s="1"/>
  <c r="K147" i="8" a="1"/>
  <c r="K147" i="8" s="1"/>
  <c r="J147" i="8" s="1"/>
  <c r="AA72" i="7"/>
  <c r="K72" i="7" s="1" a="1"/>
  <c r="K72" i="7" s="1"/>
  <c r="J72" i="7" s="1"/>
  <c r="O76" i="7" a="1"/>
  <c r="O76" i="7" s="1"/>
  <c r="N76" i="7" s="1"/>
  <c r="O120" i="7" a="1"/>
  <c r="O120" i="7" s="1"/>
  <c r="N120" i="7" s="1"/>
  <c r="AA61" i="7"/>
  <c r="K61" i="7" s="1" a="1"/>
  <c r="K61" i="7" s="1"/>
  <c r="J61" i="7" s="1"/>
  <c r="K71" i="7" a="1"/>
  <c r="K71" i="7" s="1"/>
  <c r="J71" i="7" s="1"/>
  <c r="O77" i="7" a="1"/>
  <c r="O77" i="7" s="1"/>
  <c r="N77" i="7" s="1"/>
  <c r="AA77" i="7"/>
  <c r="K77" i="7" s="1" a="1"/>
  <c r="K77" i="7" s="1"/>
  <c r="J77" i="7" s="1"/>
  <c r="AA121" i="7"/>
  <c r="K121" i="7" s="1" a="1"/>
  <c r="K121" i="7" s="1"/>
  <c r="J121" i="7" s="1"/>
  <c r="O121" i="7" a="1"/>
  <c r="O121" i="7" s="1"/>
  <c r="N121" i="7" s="1"/>
  <c r="J32" i="7"/>
  <c r="J163" i="7"/>
  <c r="J67" i="7"/>
  <c r="J8" i="7"/>
  <c r="J108" i="7"/>
  <c r="J104" i="7"/>
  <c r="AA42" i="7"/>
  <c r="AA69" i="7"/>
  <c r="K100" i="8" a="1"/>
  <c r="K100" i="8" s="1"/>
  <c r="J100" i="8" s="1"/>
  <c r="M131" i="8" a="1"/>
  <c r="M131" i="8" s="1"/>
  <c r="L131" i="8" s="1"/>
  <c r="O138" i="8" a="1"/>
  <c r="O138" i="8" s="1"/>
  <c r="N138" i="8" s="1"/>
  <c r="K142" i="8" a="1"/>
  <c r="K142" i="8" s="1"/>
  <c r="J142" i="8" s="1"/>
  <c r="AA33" i="7"/>
  <c r="K33" i="7" s="1" a="1"/>
  <c r="K33" i="7" s="1"/>
  <c r="J33" i="7" s="1"/>
  <c r="O89" i="8" a="1"/>
  <c r="O89" i="8" s="1"/>
  <c r="N89" i="8" s="1"/>
  <c r="O111" i="8" a="1"/>
  <c r="O111" i="8" s="1"/>
  <c r="N111" i="8" s="1"/>
  <c r="O124" i="8" a="1"/>
  <c r="O124" i="8" s="1"/>
  <c r="N124" i="8" s="1"/>
  <c r="K148" i="8" a="1"/>
  <c r="K148" i="8" s="1"/>
  <c r="J148" i="8" s="1"/>
  <c r="O78" i="7" a="1"/>
  <c r="O78" i="7" s="1"/>
  <c r="N78" i="7" s="1"/>
  <c r="O147" i="7" a="1"/>
  <c r="O147" i="7" s="1"/>
  <c r="N147" i="7" s="1"/>
  <c r="O89" i="7" a="1"/>
  <c r="O89" i="7" s="1"/>
  <c r="N89" i="7" s="1"/>
  <c r="O70" i="7" a="1"/>
  <c r="O70" i="7" s="1"/>
  <c r="N70" i="7" s="1"/>
  <c r="O19" i="7" a="1"/>
  <c r="O19" i="7" s="1"/>
  <c r="N19" i="7" s="1"/>
  <c r="O33" i="7" a="1"/>
  <c r="O33" i="7" s="1"/>
  <c r="N33" i="7" s="1"/>
  <c r="AA23" i="7"/>
  <c r="AA168" i="7"/>
  <c r="AA22" i="7"/>
  <c r="K135" i="8" a="1"/>
  <c r="K135" i="8" s="1"/>
  <c r="J135" i="8" s="1"/>
  <c r="O121" i="8" a="1"/>
  <c r="O121" i="8" s="1"/>
  <c r="N121" i="8" s="1"/>
  <c r="O126" i="8" a="1"/>
  <c r="O126" i="8" s="1"/>
  <c r="N126" i="8" s="1"/>
  <c r="O127" i="8" a="1"/>
  <c r="O127" i="8" s="1"/>
  <c r="N127" i="8" s="1"/>
  <c r="O130" i="8" a="1"/>
  <c r="O130" i="8" s="1"/>
  <c r="N130" i="8" s="1"/>
  <c r="O134" i="8" a="1"/>
  <c r="O134" i="8" s="1"/>
  <c r="N134" i="8" s="1"/>
  <c r="O141" i="8" a="1"/>
  <c r="O141" i="8" s="1"/>
  <c r="N141" i="8" s="1"/>
  <c r="O143" i="8" a="1"/>
  <c r="O143" i="8" s="1"/>
  <c r="N143" i="8" s="1"/>
  <c r="O148" i="8" a="1"/>
  <c r="O148" i="8" s="1"/>
  <c r="N148" i="8" s="1"/>
  <c r="Q113" i="7" a="1"/>
  <c r="Q113" i="7" s="1"/>
  <c r="P113" i="7" s="1"/>
  <c r="AA89" i="7"/>
  <c r="O87" i="8" a="1"/>
  <c r="O87" i="8" s="1"/>
  <c r="N87" i="8" s="1"/>
  <c r="K97" i="8" a="1"/>
  <c r="K97" i="8" s="1"/>
  <c r="J97" i="8" s="1"/>
  <c r="O115" i="8" a="1"/>
  <c r="O115" i="8" s="1"/>
  <c r="N115" i="8" s="1"/>
  <c r="O136" i="8" a="1"/>
  <c r="O136" i="8" s="1"/>
  <c r="N136" i="8" s="1"/>
  <c r="AT175" i="7" a="1"/>
  <c r="AT175" i="7" s="1"/>
  <c r="J78" i="7"/>
  <c r="J147" i="7"/>
  <c r="J70" i="7"/>
  <c r="J19" i="7"/>
  <c r="AA80" i="7"/>
  <c r="AA14" i="7"/>
  <c r="K103" i="8" a="1"/>
  <c r="K103" i="8" s="1"/>
  <c r="J103" i="8" s="1"/>
  <c r="K128" i="8" a="1"/>
  <c r="K128" i="8" s="1"/>
  <c r="J128" i="8" s="1"/>
  <c r="O147" i="8" a="1"/>
  <c r="O147" i="8" s="1"/>
  <c r="N147" i="8" s="1"/>
  <c r="O108" i="7" a="1"/>
  <c r="O108" i="7" s="1"/>
  <c r="N108" i="7" s="1"/>
  <c r="O32" i="7" a="1"/>
  <c r="O32" i="7" s="1"/>
  <c r="N32" i="7" s="1"/>
  <c r="O69" i="7" a="1"/>
  <c r="O69" i="7" s="1"/>
  <c r="N69" i="7" s="1"/>
  <c r="K95" i="8" a="1"/>
  <c r="K95" i="8" s="1"/>
  <c r="J95" i="8" s="1"/>
  <c r="O106" i="8" a="1"/>
  <c r="O106" i="8" s="1"/>
  <c r="N106" i="8" s="1"/>
  <c r="O125" i="8" a="1"/>
  <c r="O125" i="8" s="1"/>
  <c r="N125" i="8" s="1"/>
  <c r="M130" i="8" a="1"/>
  <c r="M130" i="8" s="1"/>
  <c r="L130" i="8" s="1"/>
  <c r="AA95" i="7"/>
  <c r="K95" i="7" s="1" a="1"/>
  <c r="K95" i="7" s="1"/>
  <c r="J95" i="7" s="1"/>
  <c r="AT173" i="7" a="1"/>
  <c r="AT173" i="7" s="1"/>
  <c r="AT174" i="7" a="1"/>
  <c r="AT174" i="7" s="1"/>
  <c r="AT176" i="7" a="1"/>
  <c r="AT176" i="7" s="1"/>
  <c r="O113" i="7" a="1"/>
  <c r="O113" i="7" s="1"/>
  <c r="N113" i="7" s="1"/>
  <c r="M55" i="7" a="1"/>
  <c r="M55" i="7" s="1"/>
  <c r="L55" i="7" s="1"/>
  <c r="O110" i="7" a="1"/>
  <c r="O110" i="7" s="1"/>
  <c r="N110" i="7" s="1"/>
  <c r="AA110" i="7"/>
  <c r="K110" i="7" s="1" a="1"/>
  <c r="K110" i="7" s="1"/>
  <c r="J110" i="7" s="1"/>
  <c r="M113" i="8" a="1"/>
  <c r="M113" i="8" s="1"/>
  <c r="L113" i="8" s="1"/>
  <c r="O117" i="8" a="1"/>
  <c r="O117" i="8" s="1"/>
  <c r="N117" i="8" s="1"/>
  <c r="O100" i="8" a="1"/>
  <c r="O100" i="8" s="1"/>
  <c r="N100" i="8" s="1"/>
  <c r="AA107" i="8"/>
  <c r="K107" i="8" s="1" a="1"/>
  <c r="K107" i="8" s="1"/>
  <c r="J107" i="8" s="1"/>
  <c r="O109" i="8" a="1"/>
  <c r="O109" i="8" s="1"/>
  <c r="N109" i="8" s="1"/>
  <c r="O119" i="8" a="1"/>
  <c r="O119" i="8" s="1"/>
  <c r="N119" i="8" s="1"/>
  <c r="O120" i="8" a="1"/>
  <c r="O120" i="8" s="1"/>
  <c r="N120" i="8" s="1"/>
  <c r="AA133" i="8"/>
  <c r="K133" i="8" s="1" a="1"/>
  <c r="K133" i="8" s="1"/>
  <c r="J133" i="8" s="1"/>
  <c r="O146" i="8" a="1"/>
  <c r="O146" i="8" s="1"/>
  <c r="N146" i="8" s="1"/>
  <c r="M85" i="7" a="1"/>
  <c r="M85" i="7" s="1"/>
  <c r="L85" i="7" s="1"/>
  <c r="AA99" i="8"/>
  <c r="K99" i="8" s="1" a="1"/>
  <c r="K99" i="8" s="1"/>
  <c r="J99" i="8" s="1"/>
  <c r="O95" i="8" a="1"/>
  <c r="O95" i="8" s="1"/>
  <c r="N95" i="8" s="1"/>
  <c r="AA105" i="8"/>
  <c r="K105" i="8" s="1" a="1"/>
  <c r="K105" i="8" s="1"/>
  <c r="J105" i="8" s="1"/>
  <c r="O142" i="8" a="1"/>
  <c r="O142" i="8" s="1"/>
  <c r="N142" i="8" s="1"/>
  <c r="O104" i="8" a="1"/>
  <c r="O104" i="8" s="1"/>
  <c r="N104" i="8" s="1"/>
  <c r="AA113" i="8"/>
  <c r="K113" i="8" s="1" a="1"/>
  <c r="K113" i="8" s="1"/>
  <c r="J113" i="8" s="1"/>
  <c r="O116" i="8" a="1"/>
  <c r="O116" i="8" s="1"/>
  <c r="N116" i="8" s="1"/>
  <c r="M121" i="8" a="1"/>
  <c r="M121" i="8" s="1"/>
  <c r="L121" i="8" s="1"/>
  <c r="O128" i="8" a="1"/>
  <c r="O128" i="8" s="1"/>
  <c r="N128" i="8" s="1"/>
  <c r="K131" i="8" a="1"/>
  <c r="K131" i="8" s="1"/>
  <c r="J131" i="8" s="1"/>
  <c r="O137" i="8" a="1"/>
  <c r="O137" i="8" s="1"/>
  <c r="N137" i="8" s="1"/>
  <c r="M143" i="8" a="1"/>
  <c r="M143" i="8" s="1"/>
  <c r="L143" i="8" s="1"/>
  <c r="AA146" i="8"/>
  <c r="K146" i="8" s="1" a="1"/>
  <c r="K146" i="8" s="1"/>
  <c r="J146" i="8" s="1"/>
  <c r="O149" i="8" a="1"/>
  <c r="O149" i="8" s="1"/>
  <c r="N149" i="8" s="1"/>
  <c r="O150" i="8" a="1"/>
  <c r="O150" i="8" s="1"/>
  <c r="N150" i="8" s="1"/>
  <c r="K113" i="7" a="1"/>
  <c r="K113" i="7" s="1"/>
  <c r="J113" i="7" s="1"/>
  <c r="AA125" i="8"/>
  <c r="K125" i="8" s="1" a="1"/>
  <c r="K125" i="8" s="1"/>
  <c r="J125" i="8" s="1"/>
  <c r="O108" i="8" a="1"/>
  <c r="O108" i="8" s="1"/>
  <c r="N108" i="8" s="1"/>
  <c r="O145" i="8" a="1"/>
  <c r="O145" i="8" s="1"/>
  <c r="N145" i="8" s="1"/>
  <c r="AA85" i="7"/>
  <c r="K85" i="7" s="1" a="1"/>
  <c r="K85" i="7" s="1"/>
  <c r="J85" i="7" s="1"/>
  <c r="O97" i="8" a="1"/>
  <c r="O97" i="8" s="1"/>
  <c r="N97" i="8" s="1"/>
  <c r="O101" i="8" a="1"/>
  <c r="O101" i="8" s="1"/>
  <c r="N101" i="8" s="1"/>
  <c r="O103" i="8" a="1"/>
  <c r="O103" i="8" s="1"/>
  <c r="N103" i="8" s="1"/>
  <c r="K114" i="8" a="1"/>
  <c r="K114" i="8" s="1"/>
  <c r="J114" i="8" s="1"/>
  <c r="K149" i="8" a="1"/>
  <c r="K149" i="8" s="1"/>
  <c r="J149" i="8" s="1"/>
  <c r="K150" i="8" a="1"/>
  <c r="K150" i="8" s="1"/>
  <c r="J150" i="8" s="1"/>
  <c r="M95" i="7" a="1"/>
  <c r="M95" i="7" s="1"/>
  <c r="L95" i="7" s="1"/>
  <c r="M20" i="7" a="1"/>
  <c r="M20" i="7" s="1"/>
  <c r="L20" i="7" s="1"/>
  <c r="O85" i="7" a="1"/>
  <c r="O85" i="7" s="1"/>
  <c r="N85" i="7" s="1"/>
  <c r="AU113" i="7" a="1"/>
  <c r="AU113" i="7" s="1"/>
  <c r="AA55" i="7"/>
  <c r="K55" i="7" s="1" a="1"/>
  <c r="K55" i="7" s="1"/>
  <c r="J55" i="7" s="1"/>
  <c r="O55" i="7" a="1"/>
  <c r="O55" i="7" s="1"/>
  <c r="N55" i="7" s="1"/>
  <c r="K72" i="15"/>
  <c r="P72" i="15" a="1"/>
  <c r="P72" i="15" s="1"/>
  <c r="O72" i="15" s="1"/>
  <c r="AA91" i="8"/>
  <c r="K91" i="8" s="1" a="1"/>
  <c r="K91" i="8" s="1"/>
  <c r="J91" i="8" s="1"/>
  <c r="AA90" i="8"/>
  <c r="K90" i="8" s="1" a="1"/>
  <c r="K90" i="8" s="1"/>
  <c r="J90" i="8" s="1"/>
  <c r="K89" i="8" a="1"/>
  <c r="K89" i="8" s="1"/>
  <c r="J89" i="8" s="1"/>
  <c r="K101" i="8" a="1"/>
  <c r="K101" i="8" s="1"/>
  <c r="J101" i="8" s="1"/>
  <c r="AA108" i="8"/>
  <c r="K108" i="8" s="1" a="1"/>
  <c r="K108" i="8" s="1"/>
  <c r="J108" i="8" s="1"/>
  <c r="O114" i="8" a="1"/>
  <c r="O114" i="8" s="1"/>
  <c r="N114" i="8" s="1"/>
  <c r="K120" i="8" a="1"/>
  <c r="K120" i="8" s="1"/>
  <c r="J120" i="8" s="1"/>
  <c r="AA122" i="8"/>
  <c r="K122" i="8" s="1" a="1"/>
  <c r="K122" i="8" s="1"/>
  <c r="J122" i="8" s="1"/>
  <c r="K109" i="8" a="1"/>
  <c r="K109" i="8" s="1"/>
  <c r="J109" i="8" s="1"/>
  <c r="K110" i="8" a="1"/>
  <c r="K110" i="8" s="1"/>
  <c r="J110" i="8" s="1"/>
  <c r="K111" i="8" a="1"/>
  <c r="K111" i="8" s="1"/>
  <c r="J111" i="8" s="1"/>
  <c r="AA115" i="8"/>
  <c r="K115" i="8" s="1" a="1"/>
  <c r="K115" i="8" s="1"/>
  <c r="J115" i="8" s="1"/>
  <c r="AA106" i="8"/>
  <c r="K106" i="8" s="1" a="1"/>
  <c r="K106" i="8" s="1"/>
  <c r="J106" i="8" s="1"/>
  <c r="M109" i="8" a="1"/>
  <c r="M109" i="8" s="1"/>
  <c r="L109" i="8" s="1"/>
  <c r="M110" i="8" a="1"/>
  <c r="M110" i="8" s="1"/>
  <c r="L110" i="8" s="1"/>
  <c r="M111" i="8" a="1"/>
  <c r="M111" i="8" s="1"/>
  <c r="L111" i="8" s="1"/>
  <c r="AA116" i="8"/>
  <c r="K116" i="8" s="1" a="1"/>
  <c r="K116" i="8" s="1"/>
  <c r="J116" i="8" s="1"/>
  <c r="O122" i="8" a="1"/>
  <c r="O122" i="8" s="1"/>
  <c r="N122" i="8" s="1"/>
  <c r="O92" i="8" a="1"/>
  <c r="O92" i="8" s="1"/>
  <c r="N92" i="8" s="1"/>
  <c r="O96" i="8" a="1"/>
  <c r="O96" i="8" s="1"/>
  <c r="N96" i="8" s="1"/>
  <c r="O118" i="8" a="1"/>
  <c r="O118" i="8" s="1"/>
  <c r="N118" i="8" s="1"/>
  <c r="AA119" i="8"/>
  <c r="K119" i="8" s="1" a="1"/>
  <c r="K119" i="8" s="1"/>
  <c r="J119" i="8" s="1"/>
  <c r="M101" i="8" a="1"/>
  <c r="M101" i="8" s="1"/>
  <c r="L101" i="8" s="1"/>
  <c r="AA123" i="8"/>
  <c r="K123" i="8" s="1" a="1"/>
  <c r="K123" i="8" s="1"/>
  <c r="J123" i="8" s="1"/>
  <c r="O113" i="8" a="1"/>
  <c r="O113" i="8" s="1"/>
  <c r="N113" i="8" s="1"/>
  <c r="O112" i="8" a="1"/>
  <c r="O112" i="8" s="1"/>
  <c r="N112" i="8" s="1"/>
  <c r="M112" i="8" a="1"/>
  <c r="M112" i="8" s="1"/>
  <c r="L112" i="8" s="1"/>
  <c r="K102" i="8" a="1"/>
  <c r="K102" i="8" s="1"/>
  <c r="J102" i="8" s="1"/>
  <c r="O102" i="8" a="1"/>
  <c r="O102" i="8" s="1"/>
  <c r="N102" i="8" s="1"/>
  <c r="AC115" i="7"/>
  <c r="AC30" i="9"/>
  <c r="AB30" i="9"/>
  <c r="AA30" i="9"/>
  <c r="AF30" i="9"/>
  <c r="AK71" i="9"/>
  <c r="AC71" i="9"/>
  <c r="AB71" i="9"/>
  <c r="AK69" i="9"/>
  <c r="AB115" i="7"/>
  <c r="AU115" i="7" s="1" a="1"/>
  <c r="AU115" i="7" s="1"/>
  <c r="AD33" i="8"/>
  <c r="AB33" i="8"/>
  <c r="AC33" i="8"/>
  <c r="AM86" i="8"/>
  <c r="M86" i="8" s="1" a="1"/>
  <c r="M86" i="8" s="1"/>
  <c r="L86" i="8" s="1"/>
  <c r="AG86" i="8"/>
  <c r="AA86" i="8"/>
  <c r="Q86" i="8" a="1"/>
  <c r="Q86" i="8" s="1"/>
  <c r="P86" i="8" s="1"/>
  <c r="O86" i="8" a="1"/>
  <c r="O86" i="8" s="1"/>
  <c r="N86" i="8" s="1"/>
  <c r="J86" i="8"/>
  <c r="AM85" i="8"/>
  <c r="M85" i="8" s="1" a="1"/>
  <c r="M85" i="8" s="1"/>
  <c r="L85" i="8" s="1"/>
  <c r="AA85" i="8"/>
  <c r="K85" i="8" a="1"/>
  <c r="K85" i="8" s="1"/>
  <c r="J85" i="8" s="1"/>
  <c r="O85" i="8" a="1"/>
  <c r="O85" i="8" s="1"/>
  <c r="N85" i="8" s="1"/>
  <c r="Q85" i="8" a="1"/>
  <c r="Q85" i="8" s="1"/>
  <c r="P85" i="8" s="1"/>
  <c r="AA83" i="8"/>
  <c r="AA84" i="8"/>
  <c r="K84" i="8" a="1"/>
  <c r="K84" i="8" s="1"/>
  <c r="J84" i="8" s="1"/>
  <c r="M84" i="8" a="1"/>
  <c r="M84" i="8" s="1"/>
  <c r="L84" i="8" s="1"/>
  <c r="O84" i="8" a="1"/>
  <c r="O84" i="8" s="1"/>
  <c r="N84" i="8" s="1"/>
  <c r="Q84" i="8" a="1"/>
  <c r="Q84" i="8" s="1"/>
  <c r="P84" i="8" s="1"/>
  <c r="J83" i="8"/>
  <c r="K83" i="8" a="1"/>
  <c r="K83" i="8" s="1"/>
  <c r="O83" i="8" a="1"/>
  <c r="O83" i="8" s="1"/>
  <c r="N83" i="8" s="1"/>
  <c r="Q83" i="8" a="1"/>
  <c r="Q83" i="8" s="1"/>
  <c r="P83" i="8" s="1"/>
  <c r="AM83" i="8"/>
  <c r="M83" i="8" s="1" a="1"/>
  <c r="M83" i="8" s="1"/>
  <c r="L83" i="8" s="1"/>
  <c r="M82" i="8" a="1"/>
  <c r="M82" i="8" s="1"/>
  <c r="L82" i="8" s="1"/>
  <c r="Q82" i="8" a="1"/>
  <c r="Q82" i="8" s="1"/>
  <c r="P82" i="8" s="1"/>
  <c r="AC82" i="8"/>
  <c r="AA82" i="8" s="1"/>
  <c r="M81" i="8" a="1"/>
  <c r="M81" i="8" s="1"/>
  <c r="L81" i="8" s="1"/>
  <c r="Q81" i="8" a="1"/>
  <c r="Q81" i="8" s="1"/>
  <c r="P81" i="8" s="1"/>
  <c r="AC81" i="8"/>
  <c r="O81" i="8" s="1" a="1"/>
  <c r="O81" i="8" s="1"/>
  <c r="N81" i="8" s="1"/>
  <c r="AC78" i="8"/>
  <c r="AA78" i="8" s="1"/>
  <c r="AM78" i="8"/>
  <c r="M78" i="8" s="1" a="1"/>
  <c r="M78" i="8" s="1"/>
  <c r="L78" i="8" s="1"/>
  <c r="AD80" i="8"/>
  <c r="AC80" i="8"/>
  <c r="AA80" i="8" s="1"/>
  <c r="AC79" i="8"/>
  <c r="AA79" i="8" s="1"/>
  <c r="K79" i="8" s="1" a="1"/>
  <c r="K79" i="8" s="1"/>
  <c r="J79" i="8" s="1"/>
  <c r="M79" i="8" a="1"/>
  <c r="M79" i="8" s="1"/>
  <c r="L79" i="8" s="1"/>
  <c r="Q79" i="8" a="1"/>
  <c r="Q79" i="8" s="1"/>
  <c r="P79" i="8" s="1"/>
  <c r="M80" i="8" a="1"/>
  <c r="M80" i="8" s="1"/>
  <c r="L80" i="8" s="1"/>
  <c r="Q80" i="8" a="1"/>
  <c r="Q80" i="8" s="1"/>
  <c r="P80" i="8" s="1"/>
  <c r="AS57" i="15"/>
  <c r="AS56" i="15"/>
  <c r="AS55" i="15"/>
  <c r="AS54" i="15"/>
  <c r="AS53" i="15"/>
  <c r="AS52" i="15"/>
  <c r="AS51" i="15"/>
  <c r="AS50" i="15"/>
  <c r="AS37" i="15"/>
  <c r="AS36" i="15"/>
  <c r="AS35" i="15"/>
  <c r="AS34" i="15"/>
  <c r="AS33" i="15"/>
  <c r="AS32" i="15"/>
  <c r="AS31" i="15"/>
  <c r="AS30" i="15"/>
  <c r="AS29" i="15"/>
  <c r="AS28" i="15"/>
  <c r="AS27" i="15"/>
  <c r="AS26" i="15"/>
  <c r="AS25" i="15"/>
  <c r="AS24" i="15"/>
  <c r="AS23" i="15"/>
  <c r="AS22" i="15"/>
  <c r="AC51" i="16"/>
  <c r="AB51" i="16"/>
  <c r="AM51" i="16"/>
  <c r="AN51" i="16" s="1"/>
  <c r="AC35" i="16"/>
  <c r="AM37" i="16"/>
  <c r="AN37" i="16" s="1"/>
  <c r="AM38" i="16"/>
  <c r="AN38" i="16" s="1"/>
  <c r="AM39" i="16"/>
  <c r="AN39" i="16" s="1"/>
  <c r="AM36" i="16"/>
  <c r="AN36" i="16" s="1"/>
  <c r="AA53" i="16"/>
  <c r="K53" i="16" s="1" a="1"/>
  <c r="K53" i="16" s="1"/>
  <c r="Q53" i="16" a="1"/>
  <c r="Q53" i="16" s="1"/>
  <c r="P53" i="16" s="1"/>
  <c r="O53" i="16" a="1"/>
  <c r="O53" i="16" s="1"/>
  <c r="N53" i="16" s="1"/>
  <c r="M53" i="16" a="1"/>
  <c r="M53" i="16" s="1"/>
  <c r="L53" i="16" s="1"/>
  <c r="J53" i="16"/>
  <c r="AM80" i="16"/>
  <c r="AA80" i="16"/>
  <c r="AM79" i="16"/>
  <c r="AN79" i="16" s="1"/>
  <c r="AA79" i="16"/>
  <c r="AM77" i="16"/>
  <c r="AN77" i="16" s="1"/>
  <c r="AM78" i="16"/>
  <c r="AM76" i="16"/>
  <c r="AN76" i="16" s="1"/>
  <c r="AA76" i="16"/>
  <c r="AA77" i="16"/>
  <c r="AA78" i="16"/>
  <c r="AM75" i="16"/>
  <c r="AN75" i="16" s="1"/>
  <c r="AM74" i="16"/>
  <c r="AN74" i="16" s="1"/>
  <c r="AA74" i="16"/>
  <c r="AA75" i="16"/>
  <c r="AM73" i="16"/>
  <c r="AA73" i="16"/>
  <c r="AM72" i="16"/>
  <c r="AN72" i="16" s="1"/>
  <c r="AA72" i="16"/>
  <c r="AM71" i="16"/>
  <c r="AM70" i="16"/>
  <c r="AN70" i="16" s="1"/>
  <c r="AA70" i="16"/>
  <c r="AA71" i="16"/>
  <c r="AM69" i="16"/>
  <c r="AM68" i="16"/>
  <c r="AN68" i="16" s="1"/>
  <c r="M68" i="16" s="1" a="1"/>
  <c r="M68" i="16" s="1"/>
  <c r="L68" i="16" s="1"/>
  <c r="AA68" i="16"/>
  <c r="AA69" i="16"/>
  <c r="J66" i="16"/>
  <c r="J67" i="16"/>
  <c r="AA66" i="16"/>
  <c r="AA67" i="16"/>
  <c r="AM67" i="16"/>
  <c r="AM66" i="16"/>
  <c r="AM65" i="16"/>
  <c r="AN65" i="16" s="1"/>
  <c r="AM64" i="16"/>
  <c r="AN64" i="16" s="1"/>
  <c r="AA64" i="16"/>
  <c r="AA65" i="16"/>
  <c r="J62" i="16"/>
  <c r="J63" i="16"/>
  <c r="AA62" i="16"/>
  <c r="AA63" i="16"/>
  <c r="AM63" i="16"/>
  <c r="AM62" i="16"/>
  <c r="J59" i="16"/>
  <c r="J60" i="16"/>
  <c r="J61" i="16"/>
  <c r="AA59" i="16"/>
  <c r="AA60" i="16"/>
  <c r="AA61" i="16"/>
  <c r="AM61" i="16"/>
  <c r="AN61" i="16" s="1"/>
  <c r="AM60" i="16"/>
  <c r="AN60" i="16" s="1"/>
  <c r="AM59" i="16"/>
  <c r="AN59" i="16" s="1"/>
  <c r="Q59" i="16" s="1" a="1"/>
  <c r="Q59" i="16" s="1"/>
  <c r="P59" i="16" s="1"/>
  <c r="AM58" i="16"/>
  <c r="AN58" i="16" s="1"/>
  <c r="AM57" i="16"/>
  <c r="AA58" i="16"/>
  <c r="AM56" i="16"/>
  <c r="M56" i="16" s="1" a="1"/>
  <c r="M56" i="16" s="1"/>
  <c r="L56" i="16" s="1"/>
  <c r="K50" i="16" a="1"/>
  <c r="K50" i="16" s="1"/>
  <c r="K52" i="16" a="1"/>
  <c r="K52" i="16" s="1"/>
  <c r="AC56" i="16"/>
  <c r="AA56" i="16" s="1"/>
  <c r="AA52" i="16"/>
  <c r="AA54" i="16"/>
  <c r="K54" i="16" s="1" a="1"/>
  <c r="K54" i="16" s="1"/>
  <c r="AA55" i="16"/>
  <c r="K55" i="16" s="1" a="1"/>
  <c r="K55" i="16" s="1"/>
  <c r="J55" i="16" s="1"/>
  <c r="AA57" i="16"/>
  <c r="J52" i="16"/>
  <c r="M52" i="16" a="1"/>
  <c r="M52" i="16" s="1"/>
  <c r="L52" i="16" s="1"/>
  <c r="O52" i="16" a="1"/>
  <c r="O52" i="16" s="1"/>
  <c r="N52" i="16" s="1"/>
  <c r="Q52" i="16" a="1"/>
  <c r="Q52" i="16" s="1"/>
  <c r="P52" i="16" s="1"/>
  <c r="J54" i="16"/>
  <c r="M54" i="16" a="1"/>
  <c r="M54" i="16" s="1"/>
  <c r="L54" i="16" s="1"/>
  <c r="O54" i="16" a="1"/>
  <c r="O54" i="16" s="1"/>
  <c r="N54" i="16" s="1"/>
  <c r="Q54" i="16" a="1"/>
  <c r="Q54" i="16" s="1"/>
  <c r="P54" i="16" s="1"/>
  <c r="M55" i="16" a="1"/>
  <c r="M55" i="16" s="1"/>
  <c r="L55" i="16" s="1"/>
  <c r="O55" i="16" a="1"/>
  <c r="O55" i="16" s="1"/>
  <c r="N55" i="16" s="1"/>
  <c r="Q55" i="16" a="1"/>
  <c r="Q55" i="16" s="1"/>
  <c r="P55" i="16" s="1"/>
  <c r="J57" i="16"/>
  <c r="J74" i="9" l="1" a="1"/>
  <c r="J74" i="9" s="1"/>
  <c r="I74" i="9" s="1"/>
  <c r="J75" i="9" a="1"/>
  <c r="J75" i="9" s="1"/>
  <c r="I75" i="9" s="1"/>
  <c r="J73" i="9" a="1"/>
  <c r="J73" i="9" s="1"/>
  <c r="I73" i="9" s="1"/>
  <c r="I7" i="9"/>
  <c r="Z30" i="9"/>
  <c r="K65" i="16" a="1"/>
  <c r="K65" i="16" s="1"/>
  <c r="J65" i="16" s="1"/>
  <c r="K42" i="7" a="1"/>
  <c r="K42" i="7" s="1"/>
  <c r="J42" i="7" s="1"/>
  <c r="K89" i="7" a="1"/>
  <c r="K89" i="7" s="1"/>
  <c r="J89" i="7" s="1"/>
  <c r="K22" i="7" a="1"/>
  <c r="K22" i="7" s="1"/>
  <c r="J22" i="7" s="1"/>
  <c r="K14" i="7" a="1"/>
  <c r="K14" i="7" s="1"/>
  <c r="J14" i="7" s="1"/>
  <c r="K168" i="7" a="1"/>
  <c r="K168" i="7" s="1"/>
  <c r="J168" i="7" s="1"/>
  <c r="K80" i="7" a="1"/>
  <c r="K80" i="7" s="1"/>
  <c r="J80" i="7" s="1"/>
  <c r="K23" i="7" a="1"/>
  <c r="K23" i="7" s="1"/>
  <c r="J23" i="7" s="1"/>
  <c r="K69" i="7" a="1"/>
  <c r="K69" i="7" s="1"/>
  <c r="J69" i="7" s="1"/>
  <c r="AA51" i="16"/>
  <c r="K51" i="16" s="1" a="1"/>
  <c r="K51" i="16" s="1"/>
  <c r="J51" i="16" s="1"/>
  <c r="M61" i="16" a="1"/>
  <c r="M61" i="16" s="1"/>
  <c r="L61" i="16" s="1"/>
  <c r="O79" i="8" a="1"/>
  <c r="O79" i="8" s="1"/>
  <c r="N79" i="8" s="1"/>
  <c r="Q51" i="16" a="1"/>
  <c r="Q51" i="16" s="1"/>
  <c r="P51" i="16" s="1"/>
  <c r="M51" i="16" a="1"/>
  <c r="M51" i="16" s="1"/>
  <c r="L51" i="16" s="1"/>
  <c r="O51" i="16" a="1"/>
  <c r="O51" i="16" s="1"/>
  <c r="N51" i="16" s="1"/>
  <c r="AA81" i="8"/>
  <c r="K81" i="8" s="1" a="1"/>
  <c r="K81" i="8" s="1"/>
  <c r="J81" i="8" s="1"/>
  <c r="O78" i="8" a="1"/>
  <c r="O78" i="8" s="1"/>
  <c r="N78" i="8" s="1"/>
  <c r="O56" i="16" a="1"/>
  <c r="O56" i="16" s="1"/>
  <c r="N56" i="16" s="1"/>
  <c r="K60" i="16" a="1"/>
  <c r="K60" i="16" s="1"/>
  <c r="K82" i="8" a="1"/>
  <c r="K82" i="8" s="1"/>
  <c r="J82" i="8" s="1"/>
  <c r="K80" i="8" a="1"/>
  <c r="K80" i="8" s="1"/>
  <c r="J80" i="8" s="1"/>
  <c r="O82" i="8" a="1"/>
  <c r="O82" i="8" s="1"/>
  <c r="N82" i="8" s="1"/>
  <c r="K78" i="8" a="1"/>
  <c r="K78" i="8" s="1"/>
  <c r="J78" i="8" s="1"/>
  <c r="Q78" i="8" a="1"/>
  <c r="Q78" i="8" s="1"/>
  <c r="P78" i="8" s="1"/>
  <c r="O80" i="8" a="1"/>
  <c r="O80" i="8" s="1"/>
  <c r="N80" i="8" s="1"/>
  <c r="Q75" i="16" a="1"/>
  <c r="Q75" i="16" s="1"/>
  <c r="P75" i="16" s="1"/>
  <c r="O75" i="16" a="1"/>
  <c r="O75" i="16" s="1"/>
  <c r="N75" i="16" s="1"/>
  <c r="M60" i="16" a="1"/>
  <c r="M60" i="16" s="1"/>
  <c r="L60" i="16" s="1"/>
  <c r="AN57" i="16"/>
  <c r="M57" i="16" s="1" a="1"/>
  <c r="M57" i="16" s="1"/>
  <c r="L57" i="16" s="1"/>
  <c r="AN66" i="16"/>
  <c r="M66" i="16" s="1" a="1"/>
  <c r="M66" i="16" s="1"/>
  <c r="L66" i="16" s="1"/>
  <c r="O59" i="16" a="1"/>
  <c r="O59" i="16" s="1"/>
  <c r="N59" i="16" s="1"/>
  <c r="O65" i="16" a="1"/>
  <c r="O65" i="16" s="1"/>
  <c r="N65" i="16" s="1"/>
  <c r="K59" i="16" a="1"/>
  <c r="K59" i="16" s="1"/>
  <c r="O61" i="16" a="1"/>
  <c r="O61" i="16" s="1"/>
  <c r="N61" i="16" s="1"/>
  <c r="Q56" i="16" a="1"/>
  <c r="Q56" i="16" s="1"/>
  <c r="P56" i="16" s="1"/>
  <c r="O60" i="16" a="1"/>
  <c r="O60" i="16" s="1"/>
  <c r="N60" i="16" s="1"/>
  <c r="K61" i="16" a="1"/>
  <c r="K61" i="16" s="1"/>
  <c r="K75" i="16" a="1"/>
  <c r="K75" i="16" s="1"/>
  <c r="J75" i="16" s="1"/>
  <c r="Q60" i="16" a="1"/>
  <c r="Q60" i="16" s="1"/>
  <c r="P60" i="16" s="1"/>
  <c r="AN73" i="16"/>
  <c r="Q73" i="16" s="1" a="1"/>
  <c r="Q73" i="16" s="1"/>
  <c r="P73" i="16" s="1"/>
  <c r="K56" i="16" a="1"/>
  <c r="K56" i="16" s="1"/>
  <c r="J56" i="16" s="1"/>
  <c r="M76" i="16" a="1"/>
  <c r="M76" i="16" s="1"/>
  <c r="L76" i="16" s="1"/>
  <c r="O76" i="16" a="1"/>
  <c r="O76" i="16" s="1"/>
  <c r="N76" i="16" s="1"/>
  <c r="Q76" i="16" a="1"/>
  <c r="Q76" i="16" s="1"/>
  <c r="P76" i="16" s="1"/>
  <c r="Q64" i="16" a="1"/>
  <c r="Q64" i="16" s="1"/>
  <c r="P64" i="16" s="1"/>
  <c r="Q70" i="16" a="1"/>
  <c r="Q70" i="16" s="1"/>
  <c r="P70" i="16" s="1"/>
  <c r="O64" i="16" a="1"/>
  <c r="O64" i="16" s="1"/>
  <c r="N64" i="16" s="1"/>
  <c r="O70" i="16" a="1"/>
  <c r="O70" i="16" s="1"/>
  <c r="N70" i="16" s="1"/>
  <c r="Q72" i="16" a="1"/>
  <c r="Q72" i="16" s="1"/>
  <c r="P72" i="16" s="1"/>
  <c r="Q77" i="16" a="1"/>
  <c r="Q77" i="16" s="1"/>
  <c r="P77" i="16" s="1"/>
  <c r="Q79" i="16" a="1"/>
  <c r="Q79" i="16" s="1"/>
  <c r="P79" i="16" s="1"/>
  <c r="M64" i="16" a="1"/>
  <c r="M64" i="16" s="1"/>
  <c r="L64" i="16" s="1"/>
  <c r="M70" i="16" a="1"/>
  <c r="M70" i="16" s="1"/>
  <c r="L70" i="16" s="1"/>
  <c r="O72" i="16" a="1"/>
  <c r="O72" i="16" s="1"/>
  <c r="N72" i="16" s="1"/>
  <c r="O77" i="16" a="1"/>
  <c r="O77" i="16" s="1"/>
  <c r="N77" i="16" s="1"/>
  <c r="O79" i="16" a="1"/>
  <c r="O79" i="16" s="1"/>
  <c r="N79" i="16" s="1"/>
  <c r="AN62" i="16"/>
  <c r="AN67" i="16"/>
  <c r="O67" i="16" s="1" a="1"/>
  <c r="O67" i="16" s="1"/>
  <c r="N67" i="16" s="1"/>
  <c r="M72" i="16" a="1"/>
  <c r="M72" i="16" s="1"/>
  <c r="L72" i="16" s="1"/>
  <c r="M77" i="16" a="1"/>
  <c r="M77" i="16" s="1"/>
  <c r="L77" i="16" s="1"/>
  <c r="M79" i="16" a="1"/>
  <c r="M79" i="16" s="1"/>
  <c r="L79" i="16" s="1"/>
  <c r="AN63" i="16"/>
  <c r="Q63" i="16" s="1" a="1"/>
  <c r="Q63" i="16" s="1"/>
  <c r="P63" i="16" s="1"/>
  <c r="Q65" i="16" a="1"/>
  <c r="Q65" i="16" s="1"/>
  <c r="P65" i="16" s="1"/>
  <c r="K70" i="16" a="1"/>
  <c r="K70" i="16" s="1"/>
  <c r="J70" i="16" s="1"/>
  <c r="K77" i="16" a="1"/>
  <c r="K77" i="16" s="1"/>
  <c r="J77" i="16" s="1"/>
  <c r="K79" i="16" a="1"/>
  <c r="K79" i="16" s="1"/>
  <c r="J79" i="16" s="1"/>
  <c r="AN80" i="16"/>
  <c r="M80" i="16" s="1" a="1"/>
  <c r="M80" i="16" s="1"/>
  <c r="L80" i="16" s="1"/>
  <c r="M59" i="16" a="1"/>
  <c r="M59" i="16" s="1"/>
  <c r="L59" i="16" s="1"/>
  <c r="M65" i="16" a="1"/>
  <c r="M65" i="16" s="1"/>
  <c r="L65" i="16" s="1"/>
  <c r="AN69" i="16"/>
  <c r="O69" i="16" s="1" a="1"/>
  <c r="O69" i="16" s="1"/>
  <c r="N69" i="16" s="1"/>
  <c r="AN71" i="16"/>
  <c r="K71" i="16" s="1" a="1"/>
  <c r="K71" i="16" s="1"/>
  <c r="J71" i="16" s="1"/>
  <c r="M75" i="16" a="1"/>
  <c r="M75" i="16" s="1"/>
  <c r="L75" i="16" s="1"/>
  <c r="AN78" i="16"/>
  <c r="Q78" i="16" s="1" a="1"/>
  <c r="Q78" i="16" s="1"/>
  <c r="P78" i="16" s="1"/>
  <c r="Q61" i="16" a="1"/>
  <c r="Q61" i="16" s="1"/>
  <c r="P61" i="16" s="1"/>
  <c r="K76" i="16" a="1"/>
  <c r="K76" i="16" s="1"/>
  <c r="J76" i="16" s="1"/>
  <c r="M74" i="16" a="1"/>
  <c r="M74" i="16" s="1"/>
  <c r="L74" i="16" s="1"/>
  <c r="O74" i="16" a="1"/>
  <c r="O74" i="16" s="1"/>
  <c r="N74" i="16" s="1"/>
  <c r="Q74" i="16" a="1"/>
  <c r="Q74" i="16" s="1"/>
  <c r="P74" i="16" s="1"/>
  <c r="K74" i="16" a="1"/>
  <c r="K74" i="16" s="1"/>
  <c r="J74" i="16" s="1"/>
  <c r="K72" i="16" a="1"/>
  <c r="K72" i="16" s="1"/>
  <c r="J72" i="16" s="1"/>
  <c r="O68" i="16" a="1"/>
  <c r="O68" i="16" s="1"/>
  <c r="N68" i="16" s="1"/>
  <c r="Q68" i="16" a="1"/>
  <c r="Q68" i="16" s="1"/>
  <c r="P68" i="16" s="1"/>
  <c r="K68" i="16" a="1"/>
  <c r="K68" i="16" s="1"/>
  <c r="J68" i="16" s="1"/>
  <c r="K64" i="16" a="1"/>
  <c r="K64" i="16" s="1"/>
  <c r="J64" i="16" s="1"/>
  <c r="M58" i="16" a="1"/>
  <c r="M58" i="16" s="1"/>
  <c r="L58" i="16" s="1"/>
  <c r="O58" i="16" a="1"/>
  <c r="O58" i="16" s="1"/>
  <c r="N58" i="16" s="1"/>
  <c r="Q58" i="16" a="1"/>
  <c r="Q58" i="16" s="1"/>
  <c r="P58" i="16" s="1"/>
  <c r="K58" i="16" a="1"/>
  <c r="K58" i="16" s="1"/>
  <c r="J58" i="16" s="1"/>
  <c r="AN7" i="16"/>
  <c r="AN6" i="16"/>
  <c r="Q6" i="16" s="1" a="1"/>
  <c r="Q6" i="16" s="1"/>
  <c r="Q17" i="16" a="1"/>
  <c r="Q17" i="16" s="1"/>
  <c r="P17" i="16" s="1"/>
  <c r="Q18" i="16" a="1"/>
  <c r="Q18" i="16" s="1"/>
  <c r="P18" i="16" s="1"/>
  <c r="Q35" i="16" a="1"/>
  <c r="Q35" i="16" s="1"/>
  <c r="P35" i="16" s="1"/>
  <c r="Q36" i="16" a="1"/>
  <c r="Q36" i="16" s="1"/>
  <c r="P36" i="16" s="1"/>
  <c r="Q37" i="16" a="1"/>
  <c r="Q37" i="16" s="1"/>
  <c r="P37" i="16" s="1"/>
  <c r="Q38" i="16" a="1"/>
  <c r="Q38" i="16" s="1"/>
  <c r="P38" i="16" s="1"/>
  <c r="Q39" i="16" a="1"/>
  <c r="Q39" i="16" s="1"/>
  <c r="P39" i="16" s="1"/>
  <c r="Q50" i="16" a="1"/>
  <c r="Q50" i="16" s="1"/>
  <c r="P50" i="16" s="1"/>
  <c r="O17" i="16" a="1"/>
  <c r="O17" i="16" s="1"/>
  <c r="N17" i="16" s="1"/>
  <c r="O35" i="16" a="1"/>
  <c r="O35" i="16" s="1"/>
  <c r="N35" i="16" s="1"/>
  <c r="O36" i="16" a="1"/>
  <c r="O36" i="16" s="1"/>
  <c r="N36" i="16" s="1"/>
  <c r="O37" i="16" a="1"/>
  <c r="O37" i="16" s="1"/>
  <c r="N37" i="16" s="1"/>
  <c r="O38" i="16" a="1"/>
  <c r="O38" i="16" s="1"/>
  <c r="N38" i="16" s="1"/>
  <c r="O39" i="16" a="1"/>
  <c r="O39" i="16" s="1"/>
  <c r="N39" i="16" s="1"/>
  <c r="O50" i="16" a="1"/>
  <c r="O50" i="16" s="1"/>
  <c r="N50" i="16" s="1"/>
  <c r="M17" i="16" a="1"/>
  <c r="M17" i="16" s="1"/>
  <c r="M18" i="16" a="1"/>
  <c r="M18" i="16" s="1"/>
  <c r="M35" i="16" a="1"/>
  <c r="M35" i="16" s="1"/>
  <c r="M36" i="16" a="1"/>
  <c r="M36" i="16" s="1"/>
  <c r="M37" i="16" a="1"/>
  <c r="M37" i="16" s="1"/>
  <c r="M38" i="16" a="1"/>
  <c r="M38" i="16" s="1"/>
  <c r="M39" i="16" a="1"/>
  <c r="M39" i="16" s="1"/>
  <c r="M50" i="16" a="1"/>
  <c r="M50" i="16" s="1"/>
  <c r="L50" i="16" s="1"/>
  <c r="J50" i="16"/>
  <c r="AA50" i="16"/>
  <c r="AA49" i="16"/>
  <c r="AN49" i="16"/>
  <c r="AA48" i="16"/>
  <c r="AN48" i="16"/>
  <c r="AA47" i="16"/>
  <c r="AN47" i="16"/>
  <c r="AN46" i="16"/>
  <c r="AA46" i="16"/>
  <c r="AN45" i="16"/>
  <c r="AM15" i="16"/>
  <c r="AN15" i="16"/>
  <c r="AM44" i="16"/>
  <c r="AA44" i="16"/>
  <c r="AM43" i="16"/>
  <c r="AA43" i="16"/>
  <c r="AN42" i="16"/>
  <c r="AC34" i="16"/>
  <c r="AC33" i="16"/>
  <c r="AE28" i="16"/>
  <c r="AE27" i="16"/>
  <c r="AC27" i="16"/>
  <c r="AB27" i="16"/>
  <c r="AE26" i="16"/>
  <c r="AC26" i="16"/>
  <c r="AB26" i="16"/>
  <c r="AC25" i="16"/>
  <c r="AB25" i="16"/>
  <c r="AC24" i="16"/>
  <c r="AB24" i="16"/>
  <c r="AC23" i="16"/>
  <c r="AB23" i="16"/>
  <c r="AC22" i="16"/>
  <c r="AB22" i="16"/>
  <c r="AC21" i="16"/>
  <c r="AB21" i="16"/>
  <c r="AC20" i="16"/>
  <c r="AB20" i="16"/>
  <c r="AC19" i="16"/>
  <c r="AB19" i="16"/>
  <c r="AE25" i="16"/>
  <c r="AE24" i="16"/>
  <c r="AE23" i="16"/>
  <c r="AE22" i="16"/>
  <c r="AE21" i="16"/>
  <c r="AE20" i="16"/>
  <c r="AE19" i="16"/>
  <c r="AC18" i="16"/>
  <c r="O18" i="16" s="1" a="1"/>
  <c r="O18" i="16" s="1"/>
  <c r="AA42" i="16"/>
  <c r="Q71" i="16" l="1" a="1"/>
  <c r="Q71" i="16" s="1"/>
  <c r="P71" i="16" s="1"/>
  <c r="K80" i="16" a="1"/>
  <c r="K80" i="16" s="1"/>
  <c r="J80" i="16" s="1"/>
  <c r="K73" i="16" a="1"/>
  <c r="K73" i="16" s="1"/>
  <c r="J73" i="16" s="1"/>
  <c r="J30" i="9" a="1"/>
  <c r="J30" i="9" s="1"/>
  <c r="I30" i="9" s="1"/>
  <c r="O6" i="16" a="1"/>
  <c r="O6" i="16" s="1"/>
  <c r="Q57" i="16" a="1"/>
  <c r="Q57" i="16" s="1"/>
  <c r="P57" i="16" s="1"/>
  <c r="M71" i="16" a="1"/>
  <c r="M71" i="16" s="1"/>
  <c r="L71" i="16" s="1"/>
  <c r="AA19" i="16"/>
  <c r="AA23" i="16"/>
  <c r="K63" i="16" a="1"/>
  <c r="K63" i="16" s="1"/>
  <c r="K57" i="16" a="1"/>
  <c r="K57" i="16" s="1"/>
  <c r="K66" i="16" a="1"/>
  <c r="K66" i="16" s="1"/>
  <c r="O66" i="16" a="1"/>
  <c r="O66" i="16" s="1"/>
  <c r="N66" i="16" s="1"/>
  <c r="M69" i="16" a="1"/>
  <c r="M69" i="16" s="1"/>
  <c r="L69" i="16" s="1"/>
  <c r="Q66" i="16" a="1"/>
  <c r="Q66" i="16" s="1"/>
  <c r="P66" i="16" s="1"/>
  <c r="O57" i="16" a="1"/>
  <c r="O57" i="16" s="1"/>
  <c r="N57" i="16" s="1"/>
  <c r="O78" i="16" a="1"/>
  <c r="O78" i="16" s="1"/>
  <c r="N78" i="16" s="1"/>
  <c r="M73" i="16" a="1"/>
  <c r="M73" i="16" s="1"/>
  <c r="L73" i="16" s="1"/>
  <c r="O73" i="16" a="1"/>
  <c r="O73" i="16" s="1"/>
  <c r="N73" i="16" s="1"/>
  <c r="O63" i="16" a="1"/>
  <c r="O63" i="16" s="1"/>
  <c r="N63" i="16" s="1"/>
  <c r="AA20" i="16"/>
  <c r="Q48" i="16" a="1"/>
  <c r="Q48" i="16" s="1"/>
  <c r="P48" i="16" s="1"/>
  <c r="K48" i="16" a="1"/>
  <c r="K48" i="16" s="1"/>
  <c r="J48" i="16" s="1"/>
  <c r="O80" i="16" a="1"/>
  <c r="O80" i="16" s="1"/>
  <c r="N80" i="16" s="1"/>
  <c r="AN43" i="16"/>
  <c r="M43" i="16" s="1" a="1"/>
  <c r="M43" i="16" s="1"/>
  <c r="L43" i="16" s="1"/>
  <c r="O45" i="16" a="1"/>
  <c r="O45" i="16" s="1"/>
  <c r="N45" i="16" s="1"/>
  <c r="K45" i="16" a="1"/>
  <c r="K45" i="16" s="1"/>
  <c r="J45" i="16" s="1"/>
  <c r="K78" i="16" a="1"/>
  <c r="K78" i="16" s="1"/>
  <c r="J78" i="16" s="1"/>
  <c r="O71" i="16" a="1"/>
  <c r="O71" i="16" s="1"/>
  <c r="N71" i="16" s="1"/>
  <c r="Q80" i="16" a="1"/>
  <c r="Q80" i="16" s="1"/>
  <c r="P80" i="16" s="1"/>
  <c r="M46" i="16" a="1"/>
  <c r="M46" i="16" s="1"/>
  <c r="L46" i="16" s="1"/>
  <c r="K46" i="16" a="1"/>
  <c r="K46" i="16" s="1"/>
  <c r="J46" i="16" s="1"/>
  <c r="M33" i="16" a="1"/>
  <c r="M33" i="16" s="1"/>
  <c r="Q34" i="16" a="1"/>
  <c r="Q34" i="16" s="1"/>
  <c r="P34" i="16" s="1"/>
  <c r="AN44" i="16"/>
  <c r="K44" i="16" s="1" a="1"/>
  <c r="K44" i="16" s="1"/>
  <c r="J44" i="16" s="1"/>
  <c r="M49" i="16" a="1"/>
  <c r="M49" i="16" s="1"/>
  <c r="L49" i="16" s="1"/>
  <c r="K49" i="16" a="1"/>
  <c r="K49" i="16" s="1"/>
  <c r="J49" i="16" s="1"/>
  <c r="M6" i="16" a="1"/>
  <c r="M6" i="16" s="1"/>
  <c r="M78" i="16" a="1"/>
  <c r="M78" i="16" s="1"/>
  <c r="L78" i="16" s="1"/>
  <c r="K69" i="16" a="1"/>
  <c r="K69" i="16" s="1"/>
  <c r="J69" i="16" s="1"/>
  <c r="Q7" i="16" a="1"/>
  <c r="Q7" i="16" s="1"/>
  <c r="Q69" i="16" a="1"/>
  <c r="Q69" i="16" s="1"/>
  <c r="P69" i="16" s="1"/>
  <c r="K67" i="16" a="1"/>
  <c r="K67" i="16" s="1"/>
  <c r="Q67" i="16" a="1"/>
  <c r="Q67" i="16" s="1"/>
  <c r="P67" i="16" s="1"/>
  <c r="M63" i="16" a="1"/>
  <c r="M63" i="16" s="1"/>
  <c r="L63" i="16" s="1"/>
  <c r="M67" i="16" a="1"/>
  <c r="M67" i="16" s="1"/>
  <c r="L67" i="16" s="1"/>
  <c r="O42" i="16" a="1"/>
  <c r="O42" i="16" s="1"/>
  <c r="N42" i="16" s="1"/>
  <c r="K42" i="16" a="1"/>
  <c r="K42" i="16" s="1"/>
  <c r="M47" i="16" a="1"/>
  <c r="M47" i="16" s="1"/>
  <c r="L47" i="16" s="1"/>
  <c r="K47" i="16" a="1"/>
  <c r="K47" i="16" s="1"/>
  <c r="J47" i="16" s="1"/>
  <c r="K62" i="16" a="1"/>
  <c r="K62" i="16" s="1"/>
  <c r="O62" i="16" a="1"/>
  <c r="O62" i="16" s="1"/>
  <c r="N62" i="16" s="1"/>
  <c r="M62" i="16" a="1"/>
  <c r="M62" i="16" s="1"/>
  <c r="L62" i="16" s="1"/>
  <c r="Q62" i="16" a="1"/>
  <c r="Q62" i="16" s="1"/>
  <c r="P62" i="16" s="1"/>
  <c r="AA25" i="16"/>
  <c r="Q45" i="16" a="1"/>
  <c r="Q45" i="16" s="1"/>
  <c r="P45" i="16" s="1"/>
  <c r="AA21" i="16"/>
  <c r="M48" i="16" a="1"/>
  <c r="M48" i="16" s="1"/>
  <c r="L48" i="16" s="1"/>
  <c r="M45" i="16" a="1"/>
  <c r="M45" i="16" s="1"/>
  <c r="L45" i="16" s="1"/>
  <c r="AL15" i="16"/>
  <c r="O15" i="16" s="1" a="1"/>
  <c r="O15" i="16" s="1"/>
  <c r="N15" i="16" s="1"/>
  <c r="O49" i="16" a="1"/>
  <c r="O49" i="16" s="1"/>
  <c r="N49" i="16" s="1"/>
  <c r="Q49" i="16" a="1"/>
  <c r="Q49" i="16" s="1"/>
  <c r="P49" i="16" s="1"/>
  <c r="O47" i="16" a="1"/>
  <c r="O47" i="16" s="1"/>
  <c r="N47" i="16" s="1"/>
  <c r="Q47" i="16" a="1"/>
  <c r="Q47" i="16" s="1"/>
  <c r="P47" i="16" s="1"/>
  <c r="AA24" i="16"/>
  <c r="O46" i="16" a="1"/>
  <c r="O46" i="16" s="1"/>
  <c r="N46" i="16" s="1"/>
  <c r="O33" i="16" a="1"/>
  <c r="O33" i="16" s="1"/>
  <c r="N33" i="16" s="1"/>
  <c r="Q46" i="16" a="1"/>
  <c r="Q46" i="16" s="1"/>
  <c r="P46" i="16" s="1"/>
  <c r="Q33" i="16" a="1"/>
  <c r="Q33" i="16" s="1"/>
  <c r="P33" i="16" s="1"/>
  <c r="M7" i="16" a="1"/>
  <c r="M7" i="16" s="1"/>
  <c r="O7" i="16" a="1"/>
  <c r="O7" i="16" s="1"/>
  <c r="Q42" i="16" a="1"/>
  <c r="Q42" i="16" s="1"/>
  <c r="P42" i="16" s="1"/>
  <c r="AA22" i="16"/>
  <c r="M42" i="16" a="1"/>
  <c r="M42" i="16" s="1"/>
  <c r="M34" i="16" a="1"/>
  <c r="M34" i="16" s="1"/>
  <c r="O48" i="16" a="1"/>
  <c r="O48" i="16" s="1"/>
  <c r="N48" i="16" s="1"/>
  <c r="O34" i="16" a="1"/>
  <c r="O34" i="16" s="1"/>
  <c r="N34" i="16" s="1"/>
  <c r="N18" i="16"/>
  <c r="AE14" i="16"/>
  <c r="AD14" i="16"/>
  <c r="AC14" i="16"/>
  <c r="AD13" i="16"/>
  <c r="AC13" i="16"/>
  <c r="AC12" i="16"/>
  <c r="AC11" i="16"/>
  <c r="AC10" i="16"/>
  <c r="M44" i="16" l="1" a="1"/>
  <c r="M44" i="16" s="1"/>
  <c r="L44" i="16" s="1"/>
  <c r="K43" i="16" a="1"/>
  <c r="K43" i="16" s="1"/>
  <c r="J43" i="16" s="1"/>
  <c r="O43" i="16" a="1"/>
  <c r="O43" i="16" s="1"/>
  <c r="N43" i="16" s="1"/>
  <c r="Q43" i="16" a="1"/>
  <c r="Q43" i="16" s="1"/>
  <c r="P43" i="16" s="1"/>
  <c r="Q44" i="16" a="1"/>
  <c r="Q44" i="16" s="1"/>
  <c r="P44" i="16" s="1"/>
  <c r="O44" i="16" a="1"/>
  <c r="O44" i="16" s="1"/>
  <c r="N44" i="16" s="1"/>
  <c r="M15" i="16" a="1"/>
  <c r="M15" i="16" s="1"/>
  <c r="Q15" i="16" a="1"/>
  <c r="Q15" i="16" s="1"/>
  <c r="P15" i="16" s="1"/>
  <c r="AD6" i="16"/>
  <c r="K25" i="12" a="1"/>
  <c r="K25" i="12" s="1"/>
  <c r="J25" i="12" s="1"/>
  <c r="M25" i="12" a="1"/>
  <c r="M25" i="12" s="1"/>
  <c r="L25" i="12" s="1"/>
  <c r="O25" i="12" a="1"/>
  <c r="O25" i="12" s="1"/>
  <c r="N25" i="12" s="1"/>
  <c r="Q25" i="12" a="1"/>
  <c r="Q25" i="12" s="1"/>
  <c r="P25" i="12" s="1"/>
  <c r="K26" i="12" a="1"/>
  <c r="K26" i="12" s="1"/>
  <c r="J26" i="12" s="1"/>
  <c r="M26" i="12" a="1"/>
  <c r="M26" i="12" s="1"/>
  <c r="L26" i="12" s="1"/>
  <c r="O26" i="12" a="1"/>
  <c r="O26" i="12" s="1"/>
  <c r="N26" i="12" s="1"/>
  <c r="Q26" i="12" a="1"/>
  <c r="Q26" i="12" s="1"/>
  <c r="P26" i="12" s="1"/>
  <c r="K27" i="12" a="1"/>
  <c r="K27" i="12" s="1"/>
  <c r="J27" i="12" s="1"/>
  <c r="M27" i="12" a="1"/>
  <c r="M27" i="12" s="1"/>
  <c r="L27" i="12" s="1"/>
  <c r="O27" i="12" a="1"/>
  <c r="O27" i="12" s="1"/>
  <c r="N27" i="12" s="1"/>
  <c r="Q27" i="12" a="1"/>
  <c r="Q27" i="12" s="1"/>
  <c r="P27" i="12" s="1"/>
  <c r="K28" i="12" a="1"/>
  <c r="K28" i="12" s="1"/>
  <c r="J28" i="12" s="1"/>
  <c r="M28" i="12" a="1"/>
  <c r="M28" i="12" s="1"/>
  <c r="L28" i="12" s="1"/>
  <c r="O28" i="12" a="1"/>
  <c r="O28" i="12" s="1"/>
  <c r="N28" i="12" s="1"/>
  <c r="Q28" i="12" a="1"/>
  <c r="Q28" i="12" s="1"/>
  <c r="P28" i="12" s="1"/>
  <c r="K29" i="12" a="1"/>
  <c r="K29" i="12" s="1"/>
  <c r="J29" i="12" s="1"/>
  <c r="M29" i="12" a="1"/>
  <c r="M29" i="12" s="1"/>
  <c r="L29" i="12" s="1"/>
  <c r="O29" i="12" a="1"/>
  <c r="O29" i="12" s="1"/>
  <c r="N29" i="12" s="1"/>
  <c r="Q29" i="12" a="1"/>
  <c r="Q29" i="12" s="1"/>
  <c r="P29" i="12" s="1"/>
  <c r="K30" i="12" a="1"/>
  <c r="K30" i="12" s="1"/>
  <c r="J30" i="12" s="1"/>
  <c r="M30" i="12" a="1"/>
  <c r="M30" i="12" s="1"/>
  <c r="L30" i="12" s="1"/>
  <c r="O30" i="12" a="1"/>
  <c r="O30" i="12" s="1"/>
  <c r="N30" i="12" s="1"/>
  <c r="Q30" i="12" a="1"/>
  <c r="Q30" i="12" s="1"/>
  <c r="P30" i="12" s="1"/>
  <c r="K31" i="12" a="1"/>
  <c r="K31" i="12" s="1"/>
  <c r="J31" i="12" s="1"/>
  <c r="M31" i="12" a="1"/>
  <c r="M31" i="12" s="1"/>
  <c r="L31" i="12" s="1"/>
  <c r="O31" i="12" a="1"/>
  <c r="O31" i="12" s="1"/>
  <c r="N31" i="12" s="1"/>
  <c r="Q31" i="12" a="1"/>
  <c r="Q31" i="12" s="1"/>
  <c r="P31" i="12" s="1"/>
  <c r="AM16" i="16" l="1"/>
  <c r="J42" i="16"/>
  <c r="L42" i="16"/>
  <c r="AN41" i="16"/>
  <c r="AA36" i="16"/>
  <c r="K36" i="16" s="1" a="1"/>
  <c r="K36" i="16" s="1"/>
  <c r="J36" i="16" s="1"/>
  <c r="AA37" i="16"/>
  <c r="K37" i="16" s="1" a="1"/>
  <c r="K37" i="16" s="1"/>
  <c r="J37" i="16" s="1"/>
  <c r="AA38" i="16"/>
  <c r="K38" i="16" s="1" a="1"/>
  <c r="K38" i="16" s="1"/>
  <c r="J38" i="16" s="1"/>
  <c r="AA39" i="16"/>
  <c r="K39" i="16" s="1" a="1"/>
  <c r="K39" i="16" s="1"/>
  <c r="J39" i="16" s="1"/>
  <c r="AA40" i="16"/>
  <c r="AA41" i="16"/>
  <c r="AN40" i="16"/>
  <c r="L36" i="16"/>
  <c r="L37" i="16"/>
  <c r="L38" i="16"/>
  <c r="L39" i="16"/>
  <c r="AA35" i="16"/>
  <c r="K35" i="16" s="1" a="1"/>
  <c r="K35" i="16" s="1"/>
  <c r="J35" i="16" s="1"/>
  <c r="L35" i="16"/>
  <c r="AA34" i="16"/>
  <c r="K34" i="16" s="1" a="1"/>
  <c r="K34" i="16" s="1"/>
  <c r="J34" i="16" s="1"/>
  <c r="L34" i="16"/>
  <c r="AA33" i="16"/>
  <c r="K33" i="16" s="1" a="1"/>
  <c r="K33" i="16" s="1"/>
  <c r="J33" i="16" s="1"/>
  <c r="L33" i="16"/>
  <c r="AM32" i="16"/>
  <c r="AA32" i="16"/>
  <c r="AA31" i="16"/>
  <c r="AM31" i="16"/>
  <c r="AM30" i="16"/>
  <c r="AA29" i="16"/>
  <c r="AM29" i="16"/>
  <c r="AM28" i="16"/>
  <c r="AA28" i="16"/>
  <c r="AM27" i="16"/>
  <c r="AM26" i="16"/>
  <c r="AA27" i="16"/>
  <c r="AA26" i="16"/>
  <c r="AM25" i="16"/>
  <c r="AM24" i="16"/>
  <c r="AM23" i="16"/>
  <c r="K40" i="16" l="1" a="1"/>
  <c r="K40" i="16" s="1"/>
  <c r="J40" i="16" s="1"/>
  <c r="K41" i="16" a="1"/>
  <c r="K41" i="16" s="1"/>
  <c r="J41" i="16" s="1"/>
  <c r="AN32" i="16"/>
  <c r="K32" i="16" s="1" a="1"/>
  <c r="K32" i="16" s="1"/>
  <c r="J32" i="16" s="1"/>
  <c r="AN27" i="16"/>
  <c r="M27" i="16" s="1" a="1"/>
  <c r="M27" i="16" s="1"/>
  <c r="L27" i="16" s="1"/>
  <c r="AN24" i="16"/>
  <c r="Q24" i="16" s="1" a="1"/>
  <c r="Q24" i="16" s="1"/>
  <c r="P24" i="16" s="1"/>
  <c r="M41" i="16" a="1"/>
  <c r="M41" i="16" s="1"/>
  <c r="L41" i="16" s="1"/>
  <c r="Q41" i="16" a="1"/>
  <c r="Q41" i="16" s="1"/>
  <c r="P41" i="16" s="1"/>
  <c r="O41" i="16" a="1"/>
  <c r="O41" i="16" s="1"/>
  <c r="N41" i="16" s="1"/>
  <c r="AN26" i="16"/>
  <c r="M26" i="16" s="1" a="1"/>
  <c r="M26" i="16" s="1"/>
  <c r="L26" i="16" s="1"/>
  <c r="AN30" i="16"/>
  <c r="O30" i="16" s="1" a="1"/>
  <c r="O30" i="16" s="1"/>
  <c r="N30" i="16" s="1"/>
  <c r="AN28" i="16"/>
  <c r="Q28" i="16" s="1" a="1"/>
  <c r="Q28" i="16" s="1"/>
  <c r="P28" i="16" s="1"/>
  <c r="AN31" i="16"/>
  <c r="O31" i="16" s="1" a="1"/>
  <c r="O31" i="16" s="1"/>
  <c r="N31" i="16" s="1"/>
  <c r="Q40" i="16" a="1"/>
  <c r="Q40" i="16" s="1"/>
  <c r="P40" i="16" s="1"/>
  <c r="O40" i="16" a="1"/>
  <c r="O40" i="16" s="1"/>
  <c r="N40" i="16" s="1"/>
  <c r="M40" i="16" a="1"/>
  <c r="M40" i="16" s="1"/>
  <c r="L40" i="16" s="1"/>
  <c r="AN25" i="16"/>
  <c r="M25" i="16" s="1" a="1"/>
  <c r="M25" i="16" s="1"/>
  <c r="L25" i="16" s="1"/>
  <c r="AN29" i="16"/>
  <c r="O29" i="16" s="1" a="1"/>
  <c r="O29" i="16" s="1"/>
  <c r="N29" i="16" s="1"/>
  <c r="AN23" i="16"/>
  <c r="Q23" i="16" s="1" a="1"/>
  <c r="Q23" i="16" s="1"/>
  <c r="P23" i="16" s="1"/>
  <c r="AN16" i="16"/>
  <c r="O16" i="16" s="1" a="1"/>
  <c r="O16" i="16" s="1"/>
  <c r="N16" i="16" s="1"/>
  <c r="AM22" i="16"/>
  <c r="AM21" i="16"/>
  <c r="AM20" i="16"/>
  <c r="AM19" i="16"/>
  <c r="AM13" i="16"/>
  <c r="AM12" i="16"/>
  <c r="AM10" i="16"/>
  <c r="AN8" i="16"/>
  <c r="AN9" i="16"/>
  <c r="AN14" i="16"/>
  <c r="AM11" i="16"/>
  <c r="AA9" i="16"/>
  <c r="AA10" i="16"/>
  <c r="AA11" i="16"/>
  <c r="AA12" i="16"/>
  <c r="AA13" i="16"/>
  <c r="AA14" i="16"/>
  <c r="K15" i="16" a="1"/>
  <c r="K15" i="16" s="1"/>
  <c r="J15" i="16" s="1"/>
  <c r="K17" i="16" a="1"/>
  <c r="K17" i="16" s="1"/>
  <c r="J17" i="16" s="1"/>
  <c r="AA18" i="16"/>
  <c r="K18" i="16" s="1" a="1"/>
  <c r="K18" i="16" s="1"/>
  <c r="J18" i="16" s="1"/>
  <c r="L15" i="16"/>
  <c r="L17" i="16"/>
  <c r="L18" i="16"/>
  <c r="O25" i="16" l="1" a="1"/>
  <c r="O25" i="16" s="1"/>
  <c r="N25" i="16" s="1"/>
  <c r="K14" i="16" a="1"/>
  <c r="K14" i="16" s="1"/>
  <c r="J14" i="16" s="1"/>
  <c r="K12" i="16" a="1"/>
  <c r="K12" i="16" s="1"/>
  <c r="J12" i="16" s="1"/>
  <c r="K13" i="16" a="1"/>
  <c r="K13" i="16" s="1"/>
  <c r="J13" i="16" s="1"/>
  <c r="O27" i="16" a="1"/>
  <c r="O27" i="16" s="1"/>
  <c r="N27" i="16" s="1"/>
  <c r="O32" i="16" a="1"/>
  <c r="O32" i="16" s="1"/>
  <c r="N32" i="16" s="1"/>
  <c r="Q32" i="16" a="1"/>
  <c r="Q32" i="16" s="1"/>
  <c r="P32" i="16" s="1"/>
  <c r="K25" i="16" a="1"/>
  <c r="K25" i="16" s="1"/>
  <c r="J25" i="16" s="1"/>
  <c r="K9" i="16" a="1"/>
  <c r="K9" i="16" s="1"/>
  <c r="J9" i="16" s="1"/>
  <c r="K30" i="16" a="1"/>
  <c r="K30" i="16" s="1"/>
  <c r="J30" i="16" s="1"/>
  <c r="Q25" i="16" a="1"/>
  <c r="Q25" i="16" s="1"/>
  <c r="P25" i="16" s="1"/>
  <c r="M32" i="16" a="1"/>
  <c r="M32" i="16" s="1"/>
  <c r="L32" i="16" s="1"/>
  <c r="K29" i="16" a="1"/>
  <c r="K29" i="16" s="1"/>
  <c r="J29" i="16" s="1"/>
  <c r="K11" i="16" a="1"/>
  <c r="K11" i="16" s="1"/>
  <c r="J11" i="16" s="1"/>
  <c r="K28" i="16" a="1"/>
  <c r="K28" i="16" s="1"/>
  <c r="J28" i="16" s="1"/>
  <c r="K27" i="16" a="1"/>
  <c r="K27" i="16" s="1"/>
  <c r="J27" i="16" s="1"/>
  <c r="K23" i="16" a="1"/>
  <c r="K23" i="16" s="1"/>
  <c r="J23" i="16" s="1"/>
  <c r="K26" i="16" a="1"/>
  <c r="K26" i="16" s="1"/>
  <c r="J26" i="16" s="1"/>
  <c r="K31" i="16" a="1"/>
  <c r="K31" i="16" s="1"/>
  <c r="J31" i="16" s="1"/>
  <c r="K10" i="16" a="1"/>
  <c r="K10" i="16" s="1"/>
  <c r="J10" i="16" s="1"/>
  <c r="Q27" i="16" a="1"/>
  <c r="Q27" i="16" s="1"/>
  <c r="P27" i="16" s="1"/>
  <c r="K16" i="16" a="1"/>
  <c r="K16" i="16" s="1"/>
  <c r="J16" i="16" s="1"/>
  <c r="K24" i="16" a="1"/>
  <c r="K24" i="16" s="1"/>
  <c r="J24" i="16" s="1"/>
  <c r="Q31" i="16" a="1"/>
  <c r="Q31" i="16" s="1"/>
  <c r="P31" i="16" s="1"/>
  <c r="Q29" i="16" a="1"/>
  <c r="Q29" i="16" s="1"/>
  <c r="P29" i="16" s="1"/>
  <c r="M31" i="16" a="1"/>
  <c r="M31" i="16" s="1"/>
  <c r="L31" i="16" s="1"/>
  <c r="Q16" i="16" a="1"/>
  <c r="Q16" i="16" s="1"/>
  <c r="P16" i="16" s="1"/>
  <c r="M24" i="16" a="1"/>
  <c r="M24" i="16" s="1"/>
  <c r="L24" i="16" s="1"/>
  <c r="M23" i="16" a="1"/>
  <c r="M23" i="16" s="1"/>
  <c r="L23" i="16" s="1"/>
  <c r="O23" i="16" a="1"/>
  <c r="O23" i="16" s="1"/>
  <c r="N23" i="16" s="1"/>
  <c r="M30" i="16" a="1"/>
  <c r="M30" i="16" s="1"/>
  <c r="L30" i="16" s="1"/>
  <c r="O24" i="16" a="1"/>
  <c r="O24" i="16" s="1"/>
  <c r="N24" i="16" s="1"/>
  <c r="Q30" i="16" a="1"/>
  <c r="Q30" i="16" s="1"/>
  <c r="P30" i="16" s="1"/>
  <c r="AN19" i="16"/>
  <c r="M19" i="16" s="1" a="1"/>
  <c r="M19" i="16" s="1"/>
  <c r="L19" i="16" s="1"/>
  <c r="Q10" i="16" a="1"/>
  <c r="Q10" i="16" s="1"/>
  <c r="P10" i="16" s="1"/>
  <c r="O10" i="16" a="1"/>
  <c r="O10" i="16" s="1"/>
  <c r="N10" i="16" s="1"/>
  <c r="M10" i="16" a="1"/>
  <c r="M10" i="16" s="1"/>
  <c r="L10" i="16" s="1"/>
  <c r="AN20" i="16"/>
  <c r="M20" i="16" s="1" a="1"/>
  <c r="M20" i="16" s="1"/>
  <c r="L20" i="16" s="1"/>
  <c r="M12" i="16" a="1"/>
  <c r="M12" i="16" s="1"/>
  <c r="L12" i="16" s="1"/>
  <c r="Q12" i="16" a="1"/>
  <c r="Q12" i="16" s="1"/>
  <c r="P12" i="16" s="1"/>
  <c r="O12" i="16" a="1"/>
  <c r="O12" i="16" s="1"/>
  <c r="N12" i="16" s="1"/>
  <c r="M13" i="16" a="1"/>
  <c r="M13" i="16" s="1"/>
  <c r="L13" i="16" s="1"/>
  <c r="Q13" i="16" a="1"/>
  <c r="Q13" i="16" s="1"/>
  <c r="P13" i="16" s="1"/>
  <c r="O13" i="16" a="1"/>
  <c r="O13" i="16" s="1"/>
  <c r="N13" i="16" s="1"/>
  <c r="O9" i="16" a="1"/>
  <c r="O9" i="16" s="1"/>
  <c r="N9" i="16" s="1"/>
  <c r="Q9" i="16" a="1"/>
  <c r="Q9" i="16" s="1"/>
  <c r="P9" i="16" s="1"/>
  <c r="M9" i="16" a="1"/>
  <c r="M9" i="16" s="1"/>
  <c r="L9" i="16" s="1"/>
  <c r="AN21" i="16"/>
  <c r="O21" i="16" s="1" a="1"/>
  <c r="O21" i="16" s="1"/>
  <c r="N21" i="16" s="1"/>
  <c r="M28" i="16" a="1"/>
  <c r="M28" i="16" s="1"/>
  <c r="L28" i="16" s="1"/>
  <c r="O26" i="16" a="1"/>
  <c r="O26" i="16" s="1"/>
  <c r="N26" i="16" s="1"/>
  <c r="M11" i="16" a="1"/>
  <c r="M11" i="16" s="1"/>
  <c r="L11" i="16" s="1"/>
  <c r="Q11" i="16" a="1"/>
  <c r="Q11" i="16" s="1"/>
  <c r="P11" i="16" s="1"/>
  <c r="O11" i="16" a="1"/>
  <c r="O11" i="16" s="1"/>
  <c r="N11" i="16" s="1"/>
  <c r="O28" i="16" a="1"/>
  <c r="O28" i="16" s="1"/>
  <c r="N28" i="16" s="1"/>
  <c r="Q26" i="16" a="1"/>
  <c r="Q26" i="16" s="1"/>
  <c r="P26" i="16" s="1"/>
  <c r="Q8" i="16" a="1"/>
  <c r="Q8" i="16" s="1"/>
  <c r="P8" i="16" s="1"/>
  <c r="O8" i="16" a="1"/>
  <c r="O8" i="16" s="1"/>
  <c r="N8" i="16" s="1"/>
  <c r="M8" i="16" a="1"/>
  <c r="M8" i="16" s="1"/>
  <c r="AN22" i="16"/>
  <c r="Q22" i="16" s="1" a="1"/>
  <c r="Q22" i="16" s="1"/>
  <c r="P22" i="16" s="1"/>
  <c r="M16" i="16" a="1"/>
  <c r="M16" i="16" s="1"/>
  <c r="L16" i="16" s="1"/>
  <c r="M29" i="16" a="1"/>
  <c r="M29" i="16" s="1"/>
  <c r="L29" i="16" s="1"/>
  <c r="Q14" i="16" a="1"/>
  <c r="Q14" i="16" s="1"/>
  <c r="P14" i="16" s="1"/>
  <c r="O14" i="16" a="1"/>
  <c r="O14" i="16" s="1"/>
  <c r="N14" i="16" s="1"/>
  <c r="M14" i="16" a="1"/>
  <c r="M14" i="16" s="1"/>
  <c r="L14" i="16" s="1"/>
  <c r="P7" i="16"/>
  <c r="N7" i="16"/>
  <c r="AE10" i="7"/>
  <c r="AD10" i="7"/>
  <c r="AC10" i="7"/>
  <c r="AB10" i="7"/>
  <c r="O22" i="16" l="1" a="1"/>
  <c r="O22" i="16" s="1"/>
  <c r="N22" i="16" s="1"/>
  <c r="K20" i="16" a="1"/>
  <c r="K20" i="16" s="1"/>
  <c r="J20" i="16" s="1"/>
  <c r="K19" i="16" a="1"/>
  <c r="K19" i="16" s="1"/>
  <c r="J19" i="16" s="1"/>
  <c r="K22" i="16" a="1"/>
  <c r="K22" i="16" s="1"/>
  <c r="J22" i="16" s="1"/>
  <c r="K21" i="16" a="1"/>
  <c r="K21" i="16" s="1"/>
  <c r="J21" i="16" s="1"/>
  <c r="Q21" i="16" a="1"/>
  <c r="Q21" i="16" s="1"/>
  <c r="P21" i="16" s="1"/>
  <c r="M21" i="16" a="1"/>
  <c r="M21" i="16" s="1"/>
  <c r="L21" i="16" s="1"/>
  <c r="O19" i="16" a="1"/>
  <c r="O19" i="16" s="1"/>
  <c r="N19" i="16" s="1"/>
  <c r="M22" i="16" a="1"/>
  <c r="M22" i="16" s="1"/>
  <c r="L22" i="16" s="1"/>
  <c r="Q19" i="16" a="1"/>
  <c r="Q19" i="16" s="1"/>
  <c r="P19" i="16" s="1"/>
  <c r="O20" i="16" a="1"/>
  <c r="O20" i="16" s="1"/>
  <c r="N20" i="16" s="1"/>
  <c r="Q20" i="16" a="1"/>
  <c r="Q20" i="16" s="1"/>
  <c r="P20" i="16" s="1"/>
  <c r="AC86" i="7" l="1"/>
  <c r="R7" i="15" a="1"/>
  <c r="R7" i="15" s="1"/>
  <c r="R6" i="15" a="1"/>
  <c r="R6" i="15" s="1"/>
  <c r="P7" i="15" a="1"/>
  <c r="P7" i="15" s="1"/>
  <c r="P6" i="15" a="1"/>
  <c r="P6" i="15" s="1"/>
  <c r="N65" i="15" a="1"/>
  <c r="N65" i="15" s="1"/>
  <c r="M65" i="15" s="1"/>
  <c r="N7" i="15" a="1"/>
  <c r="N7" i="15" s="1"/>
  <c r="N20" i="15" a="1"/>
  <c r="N20" i="15" s="1"/>
  <c r="N6" i="15" a="1"/>
  <c r="N6" i="15" s="1"/>
  <c r="L7" i="15" a="1"/>
  <c r="L7" i="15" s="1"/>
  <c r="L6" i="15" a="1"/>
  <c r="L6" i="15" s="1"/>
  <c r="K6" i="12" a="1"/>
  <c r="K6" i="12" s="1"/>
  <c r="AG159" i="7"/>
  <c r="AG165" i="7"/>
  <c r="AG16" i="7"/>
  <c r="AG37" i="7"/>
  <c r="AG39" i="7"/>
  <c r="AG44" i="7"/>
  <c r="AG45" i="7"/>
  <c r="AG47" i="7"/>
  <c r="AG50" i="7"/>
  <c r="AG51" i="7"/>
  <c r="AG83" i="7"/>
  <c r="AG86" i="7"/>
  <c r="AG57" i="7"/>
  <c r="AG56" i="7"/>
  <c r="AG58" i="7"/>
  <c r="AG25" i="7"/>
  <c r="AG94" i="7"/>
  <c r="AG96" i="7"/>
  <c r="AG90" i="7"/>
  <c r="AG166" i="7"/>
  <c r="AG167" i="7"/>
  <c r="AG101" i="7"/>
  <c r="AG103" i="7"/>
  <c r="AG171" i="7"/>
  <c r="AG105" i="7"/>
  <c r="AG180" i="7"/>
  <c r="AG181" i="7"/>
  <c r="AG182" i="7"/>
  <c r="AG184" i="7"/>
  <c r="AG185" i="7"/>
  <c r="AG111" i="7"/>
  <c r="AG112" i="7"/>
  <c r="AG46" i="7"/>
  <c r="AG114" i="7"/>
  <c r="AG115" i="7"/>
  <c r="AG186" i="7"/>
  <c r="AG15" i="7"/>
  <c r="AG43" i="7"/>
  <c r="AG60" i="7"/>
  <c r="AG162" i="7"/>
  <c r="AG41" i="7"/>
  <c r="AG40" i="7"/>
  <c r="AG9" i="7"/>
  <c r="AG75" i="7"/>
  <c r="AG6" i="7"/>
  <c r="AG7" i="7"/>
  <c r="AG10" i="7"/>
  <c r="AG68" i="7"/>
  <c r="AG11" i="7"/>
  <c r="AG13" i="7"/>
  <c r="AG91" i="7"/>
  <c r="AG12" i="7"/>
  <c r="AG26" i="7"/>
  <c r="AG27" i="7"/>
  <c r="AG28" i="7"/>
  <c r="AG63" i="7"/>
  <c r="AG52" i="7"/>
  <c r="AG30" i="7"/>
  <c r="AG177" i="7"/>
  <c r="AG59" i="7"/>
  <c r="AG130" i="7"/>
  <c r="AG131" i="7"/>
  <c r="AG151" i="7"/>
  <c r="AG149" i="7"/>
  <c r="AG81" i="7"/>
  <c r="AG148" i="7"/>
  <c r="AG153" i="7"/>
  <c r="AG154" i="7"/>
  <c r="AG62" i="7"/>
  <c r="AG172" i="7"/>
  <c r="AG29" i="7"/>
  <c r="AG64" i="7"/>
  <c r="AG124" i="7"/>
  <c r="AG125" i="7"/>
  <c r="AG84" i="7"/>
  <c r="AG107" i="7"/>
  <c r="AG141" i="7"/>
  <c r="AG179" i="7"/>
  <c r="AG178" i="7"/>
  <c r="AG174" i="7"/>
  <c r="AG176" i="7"/>
  <c r="AG49" i="7"/>
  <c r="AG48" i="7"/>
  <c r="AG160" i="7"/>
  <c r="AG164" i="7"/>
  <c r="AG170" i="7"/>
  <c r="AG158" i="7"/>
  <c r="AG157" i="7"/>
  <c r="AG97" i="7"/>
  <c r="AG18" i="7"/>
  <c r="AG34" i="7"/>
  <c r="AG31" i="7"/>
  <c r="AG35" i="7"/>
  <c r="AG53" i="7"/>
  <c r="AG36" i="7"/>
  <c r="AG65" i="7"/>
  <c r="AG54" i="7"/>
  <c r="AG17" i="7"/>
  <c r="AG66" i="7"/>
  <c r="AG38" i="7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F12" i="9"/>
  <c r="AF8" i="9"/>
  <c r="AF24" i="9"/>
  <c r="AF25" i="9"/>
  <c r="AF26" i="9"/>
  <c r="AF27" i="9"/>
  <c r="AF28" i="9"/>
  <c r="AF29" i="9"/>
  <c r="AF47" i="9"/>
  <c r="AF36" i="9"/>
  <c r="AF38" i="9"/>
  <c r="AF31" i="9"/>
  <c r="AF32" i="9"/>
  <c r="AF33" i="9"/>
  <c r="AF48" i="9"/>
  <c r="AF49" i="9"/>
  <c r="AF50" i="9"/>
  <c r="AF58" i="9"/>
  <c r="AF51" i="9"/>
  <c r="AF52" i="9"/>
  <c r="AF61" i="9"/>
  <c r="AF62" i="9"/>
  <c r="AF21" i="9"/>
  <c r="AF22" i="9"/>
  <c r="AF23" i="9"/>
  <c r="AF43" i="9"/>
  <c r="AF44" i="9"/>
  <c r="AF68" i="9"/>
  <c r="AF69" i="9"/>
  <c r="AF70" i="9"/>
  <c r="AF71" i="9"/>
  <c r="AF59" i="9"/>
  <c r="AF64" i="9"/>
  <c r="AF11" i="9"/>
  <c r="AF66" i="9"/>
  <c r="AF67" i="9"/>
  <c r="AF35" i="9"/>
  <c r="AF39" i="9"/>
  <c r="AF63" i="9"/>
  <c r="AF15" i="9"/>
  <c r="AF41" i="9"/>
  <c r="AF40" i="9"/>
  <c r="AF37" i="9"/>
  <c r="AF65" i="9"/>
  <c r="AF6" i="9"/>
  <c r="AF9" i="9"/>
  <c r="AF34" i="9"/>
  <c r="AF42" i="9"/>
  <c r="AF45" i="9"/>
  <c r="AF46" i="9"/>
  <c r="AF60" i="9"/>
  <c r="AF56" i="9"/>
  <c r="AF57" i="9"/>
  <c r="AF53" i="9"/>
  <c r="AF54" i="9"/>
  <c r="AF55" i="9"/>
  <c r="AF13" i="9"/>
  <c r="AF14" i="9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7" i="16"/>
  <c r="AG8" i="16"/>
  <c r="AI7" i="15"/>
  <c r="AI8" i="15"/>
  <c r="AI9" i="15"/>
  <c r="AI10" i="15"/>
  <c r="AI11" i="15"/>
  <c r="AI12" i="15"/>
  <c r="AI13" i="15"/>
  <c r="AI14" i="15"/>
  <c r="AI15" i="15"/>
  <c r="AI16" i="15"/>
  <c r="AI17" i="15"/>
  <c r="AI18" i="15"/>
  <c r="AI19" i="15"/>
  <c r="AI20" i="15"/>
  <c r="AI21" i="15"/>
  <c r="AI22" i="15"/>
  <c r="AI23" i="15"/>
  <c r="AI24" i="15"/>
  <c r="AI25" i="15"/>
  <c r="AI26" i="15"/>
  <c r="AI27" i="15"/>
  <c r="AI28" i="15"/>
  <c r="AI29" i="15"/>
  <c r="AI30" i="15"/>
  <c r="AI31" i="15"/>
  <c r="AI32" i="15"/>
  <c r="AI33" i="15"/>
  <c r="AI34" i="15"/>
  <c r="AI35" i="15"/>
  <c r="AI36" i="15"/>
  <c r="AI37" i="15"/>
  <c r="AI38" i="15"/>
  <c r="AI39" i="15"/>
  <c r="AI40" i="15"/>
  <c r="AI41" i="15"/>
  <c r="AI42" i="15"/>
  <c r="AI43" i="15"/>
  <c r="AI44" i="15"/>
  <c r="AI45" i="15"/>
  <c r="AI46" i="15"/>
  <c r="AI47" i="15"/>
  <c r="AI48" i="15"/>
  <c r="AI49" i="15"/>
  <c r="AI50" i="15"/>
  <c r="AI51" i="15"/>
  <c r="AI52" i="15"/>
  <c r="AI53" i="15"/>
  <c r="AI54" i="15"/>
  <c r="AI55" i="15"/>
  <c r="AI56" i="15"/>
  <c r="AI57" i="15"/>
  <c r="AI58" i="15"/>
  <c r="AI59" i="15"/>
  <c r="AI60" i="15"/>
  <c r="AI61" i="15"/>
  <c r="AI62" i="15"/>
  <c r="AI63" i="15"/>
  <c r="AI64" i="15"/>
  <c r="AI65" i="15"/>
  <c r="AI66" i="15"/>
  <c r="AI67" i="15"/>
  <c r="AI68" i="15"/>
  <c r="AI69" i="15"/>
  <c r="AI70" i="15"/>
  <c r="AI71" i="15"/>
  <c r="AG57" i="15"/>
  <c r="R57" i="15" s="1" a="1"/>
  <c r="R57" i="15" s="1"/>
  <c r="Q57" i="15" s="1"/>
  <c r="AG55" i="15"/>
  <c r="R55" i="15" s="1" a="1"/>
  <c r="R55" i="15" s="1"/>
  <c r="Q55" i="15" s="1"/>
  <c r="AG53" i="15"/>
  <c r="R53" i="15" s="1" a="1"/>
  <c r="R53" i="15" s="1"/>
  <c r="AG51" i="15"/>
  <c r="R51" i="15" s="1" a="1"/>
  <c r="R51" i="15" s="1"/>
  <c r="Q51" i="15" s="1"/>
  <c r="AF57" i="15"/>
  <c r="AF55" i="15"/>
  <c r="AF53" i="15"/>
  <c r="AF51" i="15"/>
  <c r="AE57" i="15"/>
  <c r="P57" i="15" s="1" a="1"/>
  <c r="P57" i="15" s="1"/>
  <c r="O57" i="15" s="1"/>
  <c r="AE55" i="15"/>
  <c r="P55" i="15" s="1" a="1"/>
  <c r="P55" i="15" s="1"/>
  <c r="O55" i="15" s="1"/>
  <c r="AE53" i="15"/>
  <c r="AE51" i="15"/>
  <c r="AD57" i="15"/>
  <c r="N57" i="15" s="1" a="1"/>
  <c r="N57" i="15" s="1"/>
  <c r="M57" i="15" s="1"/>
  <c r="AD55" i="15"/>
  <c r="N55" i="15" s="1" a="1"/>
  <c r="N55" i="15" s="1"/>
  <c r="M55" i="15" s="1"/>
  <c r="AD53" i="15"/>
  <c r="N53" i="15" s="1" a="1"/>
  <c r="N53" i="15" s="1"/>
  <c r="M53" i="15" s="1"/>
  <c r="AD51" i="15"/>
  <c r="N51" i="15" s="1" a="1"/>
  <c r="N51" i="15" s="1"/>
  <c r="M51" i="15" s="1"/>
  <c r="AG56" i="15"/>
  <c r="R56" i="15" s="1" a="1"/>
  <c r="R56" i="15" s="1"/>
  <c r="Q56" i="15" s="1"/>
  <c r="AG54" i="15"/>
  <c r="R54" i="15" s="1" a="1"/>
  <c r="R54" i="15" s="1"/>
  <c r="Q54" i="15" s="1"/>
  <c r="AG52" i="15"/>
  <c r="R52" i="15" s="1" a="1"/>
  <c r="R52" i="15" s="1"/>
  <c r="AG50" i="15"/>
  <c r="R50" i="15" s="1" a="1"/>
  <c r="R50" i="15" s="1"/>
  <c r="Q50" i="15" s="1"/>
  <c r="AF56" i="15"/>
  <c r="AF54" i="15"/>
  <c r="AF52" i="15"/>
  <c r="AF50" i="15"/>
  <c r="AE56" i="15"/>
  <c r="AE54" i="15"/>
  <c r="AE52" i="15"/>
  <c r="AE50" i="15"/>
  <c r="P50" i="15" s="1" a="1"/>
  <c r="P50" i="15" s="1"/>
  <c r="O50" i="15" s="1"/>
  <c r="AD56" i="15"/>
  <c r="N56" i="15" s="1" a="1"/>
  <c r="N56" i="15" s="1"/>
  <c r="M56" i="15" s="1"/>
  <c r="AD54" i="15"/>
  <c r="N54" i="15" s="1" a="1"/>
  <c r="N54" i="15" s="1"/>
  <c r="M54" i="15" s="1"/>
  <c r="AD52" i="15"/>
  <c r="N52" i="15" s="1" a="1"/>
  <c r="N52" i="15" s="1"/>
  <c r="M52" i="15" s="1"/>
  <c r="AD50" i="15"/>
  <c r="AG37" i="15"/>
  <c r="R37" i="15" s="1" a="1"/>
  <c r="R37" i="15" s="1"/>
  <c r="AG35" i="15"/>
  <c r="R35" i="15" s="1" a="1"/>
  <c r="R35" i="15" s="1"/>
  <c r="AF37" i="15"/>
  <c r="AF35" i="15"/>
  <c r="AE37" i="15"/>
  <c r="P37" i="15" s="1" a="1"/>
  <c r="P37" i="15" s="1"/>
  <c r="AE35" i="15"/>
  <c r="AD37" i="15"/>
  <c r="N37" i="15" s="1" a="1"/>
  <c r="N37" i="15" s="1"/>
  <c r="AD35" i="15"/>
  <c r="N35" i="15" s="1" a="1"/>
  <c r="N35" i="15" s="1"/>
  <c r="AG36" i="15"/>
  <c r="R36" i="15" s="1" a="1"/>
  <c r="R36" i="15" s="1"/>
  <c r="AG34" i="15"/>
  <c r="R34" i="15" s="1" a="1"/>
  <c r="R34" i="15" s="1"/>
  <c r="AF36" i="15"/>
  <c r="AF34" i="15"/>
  <c r="AE36" i="15"/>
  <c r="P36" i="15" s="1" a="1"/>
  <c r="P36" i="15" s="1"/>
  <c r="AE34" i="15"/>
  <c r="AD36" i="15"/>
  <c r="N36" i="15" s="1" a="1"/>
  <c r="N36" i="15" s="1"/>
  <c r="AD34" i="15"/>
  <c r="N34" i="15" s="1" a="1"/>
  <c r="N34" i="15" s="1"/>
  <c r="AG33" i="15"/>
  <c r="R33" i="15" s="1" a="1"/>
  <c r="R33" i="15" s="1"/>
  <c r="AG31" i="15"/>
  <c r="R31" i="15" s="1" a="1"/>
  <c r="R31" i="15" s="1"/>
  <c r="AF33" i="15"/>
  <c r="AF31" i="15"/>
  <c r="AE33" i="15"/>
  <c r="AE31" i="15"/>
  <c r="P31" i="15" s="1" a="1"/>
  <c r="P31" i="15" s="1"/>
  <c r="AD33" i="15"/>
  <c r="N33" i="15" s="1" a="1"/>
  <c r="N33" i="15" s="1"/>
  <c r="AD31" i="15"/>
  <c r="N31" i="15" s="1" a="1"/>
  <c r="N31" i="15" s="1"/>
  <c r="AG32" i="15"/>
  <c r="R32" i="15" s="1" a="1"/>
  <c r="R32" i="15" s="1"/>
  <c r="AG30" i="15"/>
  <c r="R30" i="15" s="1" a="1"/>
  <c r="R30" i="15" s="1"/>
  <c r="AF32" i="15"/>
  <c r="AF30" i="15"/>
  <c r="AE32" i="15"/>
  <c r="P32" i="15" s="1" a="1"/>
  <c r="P32" i="15" s="1"/>
  <c r="AE30" i="15"/>
  <c r="P30" i="15" s="1" a="1"/>
  <c r="P30" i="15" s="1"/>
  <c r="AD32" i="15"/>
  <c r="N32" i="15" s="1" a="1"/>
  <c r="N32" i="15" s="1"/>
  <c r="AD30" i="15"/>
  <c r="N30" i="15" s="1" a="1"/>
  <c r="N30" i="15" s="1"/>
  <c r="AE66" i="7"/>
  <c r="Q66" i="7" s="1" a="1"/>
  <c r="Q66" i="7" s="1"/>
  <c r="P66" i="7" s="1"/>
  <c r="AE54" i="7"/>
  <c r="Q54" i="7" s="1" a="1"/>
  <c r="Q54" i="7" s="1"/>
  <c r="P54" i="7" s="1"/>
  <c r="AE65" i="7"/>
  <c r="Q65" i="7" s="1" a="1"/>
  <c r="Q65" i="7" s="1"/>
  <c r="P65" i="7" s="1"/>
  <c r="AE53" i="7"/>
  <c r="Q53" i="7" s="1" a="1"/>
  <c r="Q53" i="7" s="1"/>
  <c r="P53" i="7" s="1"/>
  <c r="AE35" i="7"/>
  <c r="Q35" i="7" s="1" a="1"/>
  <c r="Q35" i="7" s="1"/>
  <c r="P35" i="7" s="1"/>
  <c r="AE34" i="7"/>
  <c r="AD31" i="7"/>
  <c r="AD66" i="7"/>
  <c r="AD54" i="7"/>
  <c r="AD65" i="7"/>
  <c r="AD53" i="7"/>
  <c r="AD35" i="7"/>
  <c r="AD34" i="7"/>
  <c r="AC66" i="7"/>
  <c r="AC54" i="7"/>
  <c r="AC65" i="7"/>
  <c r="AC53" i="7"/>
  <c r="AC35" i="7"/>
  <c r="O35" i="7" s="1" a="1"/>
  <c r="O35" i="7" s="1"/>
  <c r="N35" i="7" s="1"/>
  <c r="AC31" i="7"/>
  <c r="AA31" i="7" s="1"/>
  <c r="K31" i="7" s="1" a="1"/>
  <c r="K31" i="7" s="1"/>
  <c r="AC38" i="7"/>
  <c r="AC17" i="7"/>
  <c r="AC36" i="7"/>
  <c r="AC34" i="7"/>
  <c r="AB66" i="7"/>
  <c r="M66" i="7" s="1" a="1"/>
  <c r="M66" i="7" s="1"/>
  <c r="L66" i="7" s="1"/>
  <c r="AB54" i="7"/>
  <c r="AU103" i="7" s="1" a="1"/>
  <c r="AU103" i="7" s="1"/>
  <c r="AB65" i="7"/>
  <c r="M65" i="7" s="1" a="1"/>
  <c r="M65" i="7" s="1"/>
  <c r="L65" i="7" s="1"/>
  <c r="AB53" i="7"/>
  <c r="AU100" i="7" s="1" a="1"/>
  <c r="AU100" i="7" s="1"/>
  <c r="AB35" i="7"/>
  <c r="AB34" i="7"/>
  <c r="AA34" i="7" s="1"/>
  <c r="AE38" i="7"/>
  <c r="Q38" i="7" s="1" a="1"/>
  <c r="Q38" i="7" s="1"/>
  <c r="P38" i="7" s="1"/>
  <c r="AE17" i="7"/>
  <c r="Q17" i="7" s="1" a="1"/>
  <c r="Q17" i="7" s="1"/>
  <c r="P17" i="7" s="1"/>
  <c r="AE36" i="7"/>
  <c r="AD38" i="7"/>
  <c r="AD17" i="7"/>
  <c r="AD36" i="7"/>
  <c r="AB38" i="7"/>
  <c r="M38" i="7" s="1" a="1"/>
  <c r="M38" i="7" s="1"/>
  <c r="L38" i="7" s="1"/>
  <c r="AB17" i="7"/>
  <c r="M17" i="7" s="1" a="1"/>
  <c r="M17" i="7" s="1"/>
  <c r="L17" i="7" s="1"/>
  <c r="AB36" i="7"/>
  <c r="M36" i="7" s="1" a="1"/>
  <c r="M36" i="7" s="1"/>
  <c r="L36" i="7" s="1"/>
  <c r="AU106" i="7" a="1"/>
  <c r="AU106" i="7" s="1"/>
  <c r="AA38" i="7"/>
  <c r="K38" i="7" s="1" a="1"/>
  <c r="K38" i="7" s="1"/>
  <c r="J38" i="7" s="1"/>
  <c r="O38" i="7" a="1"/>
  <c r="O38" i="7" s="1"/>
  <c r="N38" i="7" s="1"/>
  <c r="O66" i="7" a="1"/>
  <c r="O66" i="7" s="1"/>
  <c r="N66" i="7" s="1"/>
  <c r="AU104" i="7" a="1"/>
  <c r="AU104" i="7" s="1"/>
  <c r="AU102" i="7" a="1"/>
  <c r="AU102" i="7" s="1"/>
  <c r="AU101" i="7" a="1"/>
  <c r="AU101" i="7" s="1"/>
  <c r="Q36" i="7" a="1"/>
  <c r="Q36" i="7" s="1"/>
  <c r="P36" i="7" s="1"/>
  <c r="AU99" i="7" a="1"/>
  <c r="AU99" i="7" s="1"/>
  <c r="M35" i="7" a="1"/>
  <c r="M35" i="7" s="1"/>
  <c r="L35" i="7" s="1"/>
  <c r="AU98" i="7" a="1"/>
  <c r="AU98" i="7" s="1"/>
  <c r="Q31" i="7" a="1"/>
  <c r="Q31" i="7" s="1"/>
  <c r="P31" i="7" s="1"/>
  <c r="M31" i="7" a="1"/>
  <c r="M31" i="7" s="1"/>
  <c r="L31" i="7" s="1"/>
  <c r="AU97" i="7" a="1"/>
  <c r="AU97" i="7" s="1"/>
  <c r="Q34" i="7" a="1"/>
  <c r="Q34" i="7" s="1"/>
  <c r="P34" i="7" s="1"/>
  <c r="AE18" i="7"/>
  <c r="Q18" i="7" s="1" a="1"/>
  <c r="Q18" i="7" s="1"/>
  <c r="P18" i="7" s="1"/>
  <c r="AD18" i="7"/>
  <c r="AC18" i="7"/>
  <c r="AB18" i="7"/>
  <c r="AA76" i="8"/>
  <c r="AA77" i="8"/>
  <c r="K76" i="8" a="1"/>
  <c r="K76" i="8" s="1"/>
  <c r="J76" i="8" s="1"/>
  <c r="M76" i="8" a="1"/>
  <c r="M76" i="8" s="1"/>
  <c r="L76" i="8" s="1"/>
  <c r="O76" i="8" a="1"/>
  <c r="O76" i="8" s="1"/>
  <c r="N76" i="8" s="1"/>
  <c r="Q76" i="8" a="1"/>
  <c r="Q76" i="8" s="1"/>
  <c r="P76" i="8" s="1"/>
  <c r="K77" i="8" a="1"/>
  <c r="K77" i="8" s="1"/>
  <c r="J77" i="8" s="1"/>
  <c r="M77" i="8" a="1"/>
  <c r="M77" i="8" s="1"/>
  <c r="L77" i="8" s="1"/>
  <c r="O77" i="8" a="1"/>
  <c r="O77" i="8" s="1"/>
  <c r="N77" i="8" s="1"/>
  <c r="Q77" i="8" a="1"/>
  <c r="Q77" i="8" s="1"/>
  <c r="P77" i="8" s="1"/>
  <c r="AA75" i="8"/>
  <c r="AA74" i="8"/>
  <c r="K74" i="8" a="1"/>
  <c r="K74" i="8" s="1"/>
  <c r="J74" i="8" s="1"/>
  <c r="M74" i="8" a="1"/>
  <c r="M74" i="8" s="1"/>
  <c r="L74" i="8" s="1"/>
  <c r="O74" i="8" a="1"/>
  <c r="O74" i="8" s="1"/>
  <c r="N74" i="8" s="1"/>
  <c r="Q74" i="8" a="1"/>
  <c r="Q74" i="8" s="1"/>
  <c r="P74" i="8" s="1"/>
  <c r="K75" i="8" a="1"/>
  <c r="K75" i="8" s="1"/>
  <c r="J75" i="8" s="1"/>
  <c r="M75" i="8" a="1"/>
  <c r="M75" i="8" s="1"/>
  <c r="L75" i="8" s="1"/>
  <c r="O75" i="8" a="1"/>
  <c r="O75" i="8" s="1"/>
  <c r="N75" i="8" s="1"/>
  <c r="Q75" i="8" a="1"/>
  <c r="Q75" i="8" s="1"/>
  <c r="P75" i="8" s="1"/>
  <c r="AC73" i="8"/>
  <c r="Q73" i="8" a="1"/>
  <c r="Q73" i="8" s="1"/>
  <c r="P73" i="8" s="1"/>
  <c r="M73" i="8" a="1"/>
  <c r="M73" i="8" s="1"/>
  <c r="L73" i="8" s="1"/>
  <c r="AC72" i="8"/>
  <c r="AA72" i="8" s="1"/>
  <c r="Q72" i="8" a="1"/>
  <c r="Q72" i="8" s="1"/>
  <c r="P72" i="8" s="1"/>
  <c r="M72" i="8" a="1"/>
  <c r="M72" i="8" s="1"/>
  <c r="L72" i="8" s="1"/>
  <c r="AC71" i="8"/>
  <c r="AA71" i="8" s="1"/>
  <c r="Q71" i="8" a="1"/>
  <c r="Q71" i="8" s="1"/>
  <c r="P71" i="8" s="1"/>
  <c r="M71" i="8" a="1"/>
  <c r="M71" i="8" s="1"/>
  <c r="L71" i="8" s="1"/>
  <c r="AA70" i="8"/>
  <c r="K70" i="8" a="1"/>
  <c r="K70" i="8" s="1"/>
  <c r="J70" i="8" s="1"/>
  <c r="M70" i="8" a="1"/>
  <c r="M70" i="8" s="1"/>
  <c r="L70" i="8" s="1"/>
  <c r="O70" i="8" a="1"/>
  <c r="O70" i="8" s="1"/>
  <c r="N70" i="8" s="1"/>
  <c r="Q70" i="8" a="1"/>
  <c r="Q70" i="8" s="1"/>
  <c r="P70" i="8" s="1"/>
  <c r="AC69" i="8"/>
  <c r="AA69" i="8" s="1"/>
  <c r="K69" i="8" s="1" a="1"/>
  <c r="K69" i="8" s="1"/>
  <c r="J69" i="8" s="1"/>
  <c r="Q69" i="8" a="1"/>
  <c r="Q69" i="8" s="1"/>
  <c r="P69" i="8" s="1"/>
  <c r="M69" i="8" a="1"/>
  <c r="M69" i="8" s="1"/>
  <c r="L69" i="8" s="1"/>
  <c r="AC68" i="8"/>
  <c r="AA68" i="8" s="1"/>
  <c r="Q68" i="8" a="1"/>
  <c r="Q68" i="8" s="1"/>
  <c r="P68" i="8" s="1"/>
  <c r="M68" i="8" a="1"/>
  <c r="M68" i="8" s="1"/>
  <c r="L68" i="8" s="1"/>
  <c r="AC67" i="8"/>
  <c r="AA67" i="8" s="1"/>
  <c r="Q67" i="8" a="1"/>
  <c r="Q67" i="8" s="1"/>
  <c r="P67" i="8" s="1"/>
  <c r="M67" i="8" a="1"/>
  <c r="M67" i="8" s="1"/>
  <c r="L67" i="8" s="1"/>
  <c r="AC66" i="8"/>
  <c r="AA66" i="8" s="1"/>
  <c r="K66" i="8" s="1" a="1"/>
  <c r="K66" i="8" s="1"/>
  <c r="J66" i="8" s="1"/>
  <c r="Q66" i="8" a="1"/>
  <c r="Q66" i="8" s="1"/>
  <c r="P66" i="8" s="1"/>
  <c r="M66" i="8" a="1"/>
  <c r="M66" i="8" s="1"/>
  <c r="L66" i="8" s="1"/>
  <c r="AC65" i="8"/>
  <c r="AA65" i="8" s="1"/>
  <c r="M65" i="8" a="1"/>
  <c r="M65" i="8" s="1"/>
  <c r="L65" i="8" s="1"/>
  <c r="Q65" i="8" a="1"/>
  <c r="Q65" i="8" s="1"/>
  <c r="P65" i="8" s="1"/>
  <c r="AA64" i="8"/>
  <c r="Q64" i="8" a="1"/>
  <c r="Q64" i="8" s="1"/>
  <c r="P64" i="8" s="1"/>
  <c r="J63" i="8"/>
  <c r="K63" i="8" a="1"/>
  <c r="K63" i="8" s="1"/>
  <c r="M63" i="8" a="1"/>
  <c r="M63" i="8" s="1"/>
  <c r="L63" i="8" s="1"/>
  <c r="O63" i="8" a="1"/>
  <c r="O63" i="8" s="1"/>
  <c r="N63" i="8" s="1"/>
  <c r="Q63" i="8" a="1"/>
  <c r="Q63" i="8" s="1"/>
  <c r="P63" i="8" s="1"/>
  <c r="K64" i="8" a="1"/>
  <c r="K64" i="8" s="1"/>
  <c r="J64" i="8" s="1"/>
  <c r="M64" i="8" a="1"/>
  <c r="M64" i="8" s="1"/>
  <c r="L64" i="8" s="1"/>
  <c r="O64" i="8" a="1"/>
  <c r="O64" i="8" s="1"/>
  <c r="N64" i="8" s="1"/>
  <c r="AA63" i="8"/>
  <c r="AD62" i="8"/>
  <c r="AC62" i="8"/>
  <c r="AM62" i="8"/>
  <c r="M62" i="8" a="1"/>
  <c r="M62" i="8" s="1"/>
  <c r="L62" i="8" s="1"/>
  <c r="Q62" i="8" a="1"/>
  <c r="Q62" i="8" s="1"/>
  <c r="P62" i="8" s="1"/>
  <c r="AC61" i="8"/>
  <c r="AA61" i="8" s="1"/>
  <c r="K61" i="8" s="1" a="1"/>
  <c r="K61" i="8" s="1"/>
  <c r="J61" i="8" s="1"/>
  <c r="AC58" i="8"/>
  <c r="AA58" i="8" s="1"/>
  <c r="K58" i="8" s="1" a="1"/>
  <c r="K58" i="8" s="1"/>
  <c r="J58" i="8" s="1"/>
  <c r="AC60" i="8"/>
  <c r="O60" i="8" s="1" a="1"/>
  <c r="O60" i="8" s="1"/>
  <c r="N60" i="8" s="1"/>
  <c r="AC57" i="8"/>
  <c r="AC59" i="8"/>
  <c r="AA59" i="8" s="1"/>
  <c r="K59" i="8" s="1" a="1"/>
  <c r="K59" i="8" s="1"/>
  <c r="J59" i="8" s="1"/>
  <c r="AC56" i="8"/>
  <c r="O56" i="8" s="1" a="1"/>
  <c r="O56" i="8" s="1"/>
  <c r="N56" i="8" s="1"/>
  <c r="Q61" i="8" a="1"/>
  <c r="Q61" i="8" s="1"/>
  <c r="P61" i="8" s="1"/>
  <c r="M61" i="8" a="1"/>
  <c r="M61" i="8" s="1"/>
  <c r="L61" i="8" s="1"/>
  <c r="Q60" i="8" a="1"/>
  <c r="Q60" i="8" s="1"/>
  <c r="P60" i="8" s="1"/>
  <c r="M60" i="8" a="1"/>
  <c r="M60" i="8" s="1"/>
  <c r="L60" i="8" s="1"/>
  <c r="Q59" i="8" a="1"/>
  <c r="Q59" i="8" s="1"/>
  <c r="P59" i="8" s="1"/>
  <c r="M59" i="8" a="1"/>
  <c r="M59" i="8" s="1"/>
  <c r="L59" i="8" s="1"/>
  <c r="Q58" i="8" a="1"/>
  <c r="Q58" i="8" s="1"/>
  <c r="P58" i="8" s="1"/>
  <c r="M58" i="8" a="1"/>
  <c r="M58" i="8" s="1"/>
  <c r="L58" i="8" s="1"/>
  <c r="AA57" i="8"/>
  <c r="K57" i="8" s="1" a="1"/>
  <c r="K57" i="8" s="1"/>
  <c r="J57" i="8" s="1"/>
  <c r="Q57" i="8" a="1"/>
  <c r="Q57" i="8" s="1"/>
  <c r="P57" i="8" s="1"/>
  <c r="O57" i="8" a="1"/>
  <c r="O57" i="8" s="1"/>
  <c r="N57" i="8" s="1"/>
  <c r="M57" i="8" a="1"/>
  <c r="M57" i="8" s="1"/>
  <c r="L57" i="8" s="1"/>
  <c r="M56" i="8" a="1"/>
  <c r="M56" i="8" s="1"/>
  <c r="L56" i="8" s="1"/>
  <c r="Q56" i="8" a="1"/>
  <c r="Q56" i="8" s="1"/>
  <c r="P56" i="8" s="1"/>
  <c r="AC55" i="8"/>
  <c r="AA55" i="8" s="1"/>
  <c r="Q55" i="8" a="1"/>
  <c r="Q55" i="8" s="1"/>
  <c r="P55" i="8" s="1"/>
  <c r="M55" i="8" a="1"/>
  <c r="M55" i="8" s="1"/>
  <c r="L55" i="8" s="1"/>
  <c r="AC54" i="8"/>
  <c r="Q54" i="8" a="1"/>
  <c r="Q54" i="8" s="1"/>
  <c r="P54" i="8" s="1"/>
  <c r="M54" i="8" a="1"/>
  <c r="M54" i="8" s="1"/>
  <c r="L54" i="8" s="1"/>
  <c r="AC53" i="8"/>
  <c r="AA53" i="8" s="1"/>
  <c r="K53" i="8" s="1" a="1"/>
  <c r="K53" i="8" s="1"/>
  <c r="J53" i="8" s="1"/>
  <c r="Q53" i="8" a="1"/>
  <c r="Q53" i="8" s="1"/>
  <c r="P53" i="8" s="1"/>
  <c r="M53" i="8" a="1"/>
  <c r="M53" i="8" s="1"/>
  <c r="L53" i="8" s="1"/>
  <c r="O29" i="8" a="1"/>
  <c r="O29" i="8" s="1"/>
  <c r="N29" i="8" s="1"/>
  <c r="Q29" i="8" a="1"/>
  <c r="Q29" i="8" s="1"/>
  <c r="P29" i="8" s="1"/>
  <c r="O30" i="8" a="1"/>
  <c r="O30" i="8" s="1"/>
  <c r="N30" i="8" s="1"/>
  <c r="Q30" i="8" a="1"/>
  <c r="Q30" i="8" s="1"/>
  <c r="P30" i="8" s="1"/>
  <c r="O31" i="8" a="1"/>
  <c r="O31" i="8" s="1"/>
  <c r="N31" i="8" s="1"/>
  <c r="Q31" i="8" a="1"/>
  <c r="Q31" i="8" s="1"/>
  <c r="P31" i="8" s="1"/>
  <c r="O32" i="8" a="1"/>
  <c r="O32" i="8" s="1"/>
  <c r="N32" i="8" s="1"/>
  <c r="Q32" i="8" a="1"/>
  <c r="Q32" i="8" s="1"/>
  <c r="P32" i="8" s="1"/>
  <c r="O33" i="8" a="1"/>
  <c r="O33" i="8" s="1"/>
  <c r="N33" i="8" s="1"/>
  <c r="Q33" i="8" a="1"/>
  <c r="Q33" i="8" s="1"/>
  <c r="P33" i="8" s="1"/>
  <c r="Q34" i="8" a="1"/>
  <c r="Q34" i="8" s="1"/>
  <c r="P34" i="8" s="1"/>
  <c r="Q35" i="8" a="1"/>
  <c r="Q35" i="8" s="1"/>
  <c r="P35" i="8" s="1"/>
  <c r="Q36" i="8" a="1"/>
  <c r="Q36" i="8" s="1"/>
  <c r="P36" i="8" s="1"/>
  <c r="O37" i="8" a="1"/>
  <c r="O37" i="8" s="1"/>
  <c r="N37" i="8" s="1"/>
  <c r="Q37" i="8" a="1"/>
  <c r="Q37" i="8" s="1"/>
  <c r="P37" i="8" s="1"/>
  <c r="Q38" i="8" a="1"/>
  <c r="Q38" i="8" s="1"/>
  <c r="P38" i="8" s="1"/>
  <c r="Q39" i="8" a="1"/>
  <c r="Q39" i="8" s="1"/>
  <c r="P39" i="8" s="1"/>
  <c r="O40" i="8" a="1"/>
  <c r="O40" i="8" s="1"/>
  <c r="N40" i="8" s="1"/>
  <c r="Q40" i="8" a="1"/>
  <c r="Q40" i="8" s="1"/>
  <c r="P40" i="8" s="1"/>
  <c r="O41" i="8" a="1"/>
  <c r="O41" i="8" s="1"/>
  <c r="N41" i="8" s="1"/>
  <c r="Q41" i="8" a="1"/>
  <c r="Q41" i="8" s="1"/>
  <c r="P41" i="8" s="1"/>
  <c r="O42" i="8" a="1"/>
  <c r="O42" i="8" s="1"/>
  <c r="N42" i="8" s="1"/>
  <c r="Q42" i="8" a="1"/>
  <c r="Q42" i="8" s="1"/>
  <c r="P42" i="8" s="1"/>
  <c r="O43" i="8" a="1"/>
  <c r="O43" i="8" s="1"/>
  <c r="N43" i="8" s="1"/>
  <c r="Q43" i="8" a="1"/>
  <c r="Q43" i="8" s="1"/>
  <c r="P43" i="8" s="1"/>
  <c r="O44" i="8" a="1"/>
  <c r="O44" i="8" s="1"/>
  <c r="N44" i="8" s="1"/>
  <c r="Q44" i="8" a="1"/>
  <c r="Q44" i="8" s="1"/>
  <c r="P44" i="8" s="1"/>
  <c r="O45" i="8" a="1"/>
  <c r="O45" i="8" s="1"/>
  <c r="N45" i="8" s="1"/>
  <c r="Q45" i="8" a="1"/>
  <c r="Q45" i="8" s="1"/>
  <c r="P45" i="8" s="1"/>
  <c r="O46" i="8" a="1"/>
  <c r="O46" i="8" s="1"/>
  <c r="N46" i="8" s="1"/>
  <c r="Q46" i="8" a="1"/>
  <c r="Q46" i="8" s="1"/>
  <c r="P46" i="8" s="1"/>
  <c r="O47" i="8" a="1"/>
  <c r="O47" i="8" s="1"/>
  <c r="N47" i="8" s="1"/>
  <c r="Q47" i="8" a="1"/>
  <c r="Q47" i="8" s="1"/>
  <c r="P47" i="8" s="1"/>
  <c r="O48" i="8" a="1"/>
  <c r="O48" i="8" s="1"/>
  <c r="N48" i="8" s="1"/>
  <c r="Q48" i="8" a="1"/>
  <c r="Q48" i="8" s="1"/>
  <c r="P48" i="8" s="1"/>
  <c r="O49" i="8" a="1"/>
  <c r="O49" i="8" s="1"/>
  <c r="N49" i="8" s="1"/>
  <c r="Q49" i="8" a="1"/>
  <c r="Q49" i="8" s="1"/>
  <c r="P49" i="8" s="1"/>
  <c r="O50" i="8" a="1"/>
  <c r="O50" i="8" s="1"/>
  <c r="N50" i="8" s="1"/>
  <c r="Q50" i="8" a="1"/>
  <c r="Q50" i="8" s="1"/>
  <c r="P50" i="8" s="1"/>
  <c r="O51" i="8" a="1"/>
  <c r="O51" i="8" s="1"/>
  <c r="N51" i="8" s="1"/>
  <c r="Q51" i="8" a="1"/>
  <c r="Q51" i="8" s="1"/>
  <c r="P51" i="8" s="1"/>
  <c r="Q52" i="8" a="1"/>
  <c r="Q52" i="8" s="1"/>
  <c r="P52" i="8" s="1"/>
  <c r="AC52" i="8"/>
  <c r="O52" i="8" s="1" a="1"/>
  <c r="O52" i="8" s="1"/>
  <c r="N52" i="8" s="1"/>
  <c r="M52" i="8" a="1"/>
  <c r="M52" i="8" s="1"/>
  <c r="L52" i="8" s="1"/>
  <c r="AB9" i="7"/>
  <c r="AC9" i="7"/>
  <c r="AD9" i="7"/>
  <c r="AE9" i="7"/>
  <c r="AG71" i="15"/>
  <c r="R71" i="15" s="1" a="1"/>
  <c r="R71" i="15" s="1"/>
  <c r="AF71" i="15"/>
  <c r="AE71" i="15"/>
  <c r="P71" i="15" s="1" a="1"/>
  <c r="P71" i="15" s="1"/>
  <c r="O71" i="15" s="1"/>
  <c r="AD71" i="15"/>
  <c r="N71" i="15" s="1" a="1"/>
  <c r="N71" i="15" s="1"/>
  <c r="M71" i="15" s="1"/>
  <c r="AG70" i="15"/>
  <c r="R70" i="15" s="1" a="1"/>
  <c r="R70" i="15" s="1"/>
  <c r="Q70" i="15" s="1"/>
  <c r="AF70" i="15"/>
  <c r="AE70" i="15"/>
  <c r="AD70" i="15"/>
  <c r="N70" i="15" s="1" a="1"/>
  <c r="N70" i="15" s="1"/>
  <c r="AG69" i="15"/>
  <c r="R69" i="15" s="1" a="1"/>
  <c r="R69" i="15" s="1"/>
  <c r="AF69" i="15"/>
  <c r="AE69" i="15"/>
  <c r="P69" i="15" s="1" a="1"/>
  <c r="P69" i="15" s="1"/>
  <c r="O69" i="15" s="1"/>
  <c r="AD69" i="15"/>
  <c r="AG68" i="15"/>
  <c r="R68" i="15" s="1" a="1"/>
  <c r="R68" i="15" s="1"/>
  <c r="Q68" i="15" s="1"/>
  <c r="AF68" i="15"/>
  <c r="AE68" i="15"/>
  <c r="AD68" i="15"/>
  <c r="N68" i="15" s="1" a="1"/>
  <c r="N68" i="15" s="1"/>
  <c r="M68" i="15" s="1"/>
  <c r="AG67" i="15"/>
  <c r="R67" i="15" s="1" a="1"/>
  <c r="R67" i="15" s="1"/>
  <c r="AF67" i="15"/>
  <c r="AE67" i="15"/>
  <c r="AD67" i="15"/>
  <c r="N67" i="15" s="1" a="1"/>
  <c r="N67" i="15" s="1"/>
  <c r="M67" i="15" s="1"/>
  <c r="AG66" i="15"/>
  <c r="R66" i="15" s="1" a="1"/>
  <c r="R66" i="15" s="1"/>
  <c r="Q66" i="15" s="1"/>
  <c r="AF66" i="15"/>
  <c r="AE66" i="15"/>
  <c r="AD66" i="15"/>
  <c r="N66" i="15" s="1" a="1"/>
  <c r="N66" i="15" s="1"/>
  <c r="M66" i="15" s="1"/>
  <c r="AG65" i="15"/>
  <c r="R65" i="15" s="1" a="1"/>
  <c r="R65" i="15" s="1"/>
  <c r="AF65" i="15"/>
  <c r="AE65" i="15"/>
  <c r="P65" i="15" s="1" a="1"/>
  <c r="P65" i="15" s="1"/>
  <c r="O65" i="15" s="1"/>
  <c r="AG64" i="15"/>
  <c r="R64" i="15" s="1" a="1"/>
  <c r="R64" i="15" s="1"/>
  <c r="AF64" i="15"/>
  <c r="AE64" i="15"/>
  <c r="P64" i="15" s="1" a="1"/>
  <c r="P64" i="15" s="1"/>
  <c r="AD64" i="15"/>
  <c r="N64" i="15" s="1" a="1"/>
  <c r="N64" i="15" s="1"/>
  <c r="M64" i="15" s="1"/>
  <c r="AG63" i="15"/>
  <c r="R63" i="15" s="1" a="1"/>
  <c r="R63" i="15" s="1"/>
  <c r="Q63" i="15" s="1"/>
  <c r="AF63" i="15"/>
  <c r="AE63" i="15"/>
  <c r="AD63" i="15"/>
  <c r="N63" i="15" s="1" a="1"/>
  <c r="N63" i="15" s="1"/>
  <c r="AG62" i="15"/>
  <c r="R62" i="15" s="1" a="1"/>
  <c r="R62" i="15" s="1"/>
  <c r="AF62" i="15"/>
  <c r="AE62" i="15"/>
  <c r="AD62" i="15"/>
  <c r="N62" i="15" s="1" a="1"/>
  <c r="N62" i="15" s="1"/>
  <c r="M62" i="15" s="1"/>
  <c r="AG61" i="15"/>
  <c r="R61" i="15" s="1" a="1"/>
  <c r="R61" i="15" s="1"/>
  <c r="Q61" i="15" s="1"/>
  <c r="AF61" i="15"/>
  <c r="AE61" i="15"/>
  <c r="AD61" i="15"/>
  <c r="N61" i="15" s="1" a="1"/>
  <c r="N61" i="15" s="1"/>
  <c r="AG60" i="15"/>
  <c r="R60" i="15" s="1" a="1"/>
  <c r="R60" i="15" s="1"/>
  <c r="Q60" i="15" s="1"/>
  <c r="AF60" i="15"/>
  <c r="AE60" i="15"/>
  <c r="P60" i="15" s="1" a="1"/>
  <c r="P60" i="15" s="1"/>
  <c r="AD60" i="15"/>
  <c r="N60" i="15" s="1" a="1"/>
  <c r="N60" i="15" s="1"/>
  <c r="AG59" i="15"/>
  <c r="R59" i="15" s="1" a="1"/>
  <c r="R59" i="15" s="1"/>
  <c r="AF59" i="15"/>
  <c r="AE59" i="15"/>
  <c r="P59" i="15" s="1" a="1"/>
  <c r="P59" i="15" s="1"/>
  <c r="AD59" i="15"/>
  <c r="N59" i="15" s="1" a="1"/>
  <c r="N59" i="15" s="1"/>
  <c r="AG58" i="15"/>
  <c r="R58" i="15" s="1" a="1"/>
  <c r="R58" i="15" s="1"/>
  <c r="Q58" i="15" s="1"/>
  <c r="AF58" i="15"/>
  <c r="AE58" i="15"/>
  <c r="P58" i="15" s="1" a="1"/>
  <c r="P58" i="15" s="1"/>
  <c r="O58" i="15" s="1"/>
  <c r="AD58" i="15"/>
  <c r="N58" i="15" s="1" a="1"/>
  <c r="N58" i="15" s="1"/>
  <c r="AG49" i="15"/>
  <c r="R49" i="15" s="1" a="1"/>
  <c r="R49" i="15" s="1"/>
  <c r="Q49" i="15" s="1"/>
  <c r="AF49" i="15"/>
  <c r="AE49" i="15"/>
  <c r="P49" i="15" s="1" a="1"/>
  <c r="P49" i="15" s="1"/>
  <c r="O49" i="15" s="1"/>
  <c r="AD49" i="15"/>
  <c r="N49" i="15" s="1" a="1"/>
  <c r="N49" i="15" s="1"/>
  <c r="M49" i="15" s="1"/>
  <c r="AG48" i="15"/>
  <c r="R48" i="15" s="1" a="1"/>
  <c r="R48" i="15" s="1"/>
  <c r="Q48" i="15" s="1"/>
  <c r="AF48" i="15"/>
  <c r="AE48" i="15"/>
  <c r="P48" i="15" s="1" a="1"/>
  <c r="P48" i="15" s="1"/>
  <c r="O48" i="15" s="1"/>
  <c r="AD48" i="15"/>
  <c r="AG47" i="15"/>
  <c r="R47" i="15" s="1" a="1"/>
  <c r="R47" i="15" s="1"/>
  <c r="Q47" i="15" s="1"/>
  <c r="AF47" i="15"/>
  <c r="AE47" i="15"/>
  <c r="AD47" i="15"/>
  <c r="N47" i="15" s="1" a="1"/>
  <c r="N47" i="15" s="1"/>
  <c r="M47" i="15" s="1"/>
  <c r="AG46" i="15"/>
  <c r="R46" i="15" s="1" a="1"/>
  <c r="R46" i="15" s="1"/>
  <c r="Q46" i="15" s="1"/>
  <c r="AF43" i="15"/>
  <c r="AF46" i="15"/>
  <c r="AE46" i="15"/>
  <c r="P46" i="15" s="1" a="1"/>
  <c r="P46" i="15" s="1"/>
  <c r="AD46" i="15"/>
  <c r="N46" i="15" s="1" a="1"/>
  <c r="N46" i="15" s="1"/>
  <c r="M46" i="15" s="1"/>
  <c r="AG45" i="15"/>
  <c r="R45" i="15" s="1" a="1"/>
  <c r="R45" i="15" s="1"/>
  <c r="AF45" i="15"/>
  <c r="AE45" i="15"/>
  <c r="P45" i="15" s="1" a="1"/>
  <c r="P45" i="15" s="1"/>
  <c r="O45" i="15" s="1"/>
  <c r="AD45" i="15"/>
  <c r="AG44" i="15"/>
  <c r="R44" i="15" s="1" a="1"/>
  <c r="R44" i="15" s="1"/>
  <c r="AF44" i="15"/>
  <c r="AE44" i="15"/>
  <c r="AD44" i="15"/>
  <c r="P6" i="16"/>
  <c r="AG43" i="15"/>
  <c r="R43" i="15" s="1" a="1"/>
  <c r="R43" i="15" s="1"/>
  <c r="AE43" i="15"/>
  <c r="P43" i="15" s="1" a="1"/>
  <c r="P43" i="15" s="1"/>
  <c r="AD43" i="15"/>
  <c r="AF42" i="15"/>
  <c r="AG42" i="15"/>
  <c r="R42" i="15" s="1" a="1"/>
  <c r="R42" i="15" s="1"/>
  <c r="AE42" i="15"/>
  <c r="P42" i="15" s="1" a="1"/>
  <c r="P42" i="15" s="1"/>
  <c r="AD42" i="15"/>
  <c r="N42" i="15" s="1" a="1"/>
  <c r="N42" i="15" s="1"/>
  <c r="AG41" i="15"/>
  <c r="R41" i="15" s="1" a="1"/>
  <c r="R41" i="15" s="1"/>
  <c r="AF41" i="15"/>
  <c r="AE41" i="15"/>
  <c r="AD41" i="15"/>
  <c r="N41" i="15" s="1" a="1"/>
  <c r="N41" i="15" s="1"/>
  <c r="AI6" i="15"/>
  <c r="AG40" i="15"/>
  <c r="R40" i="15" s="1" a="1"/>
  <c r="R40" i="15" s="1"/>
  <c r="AF40" i="15"/>
  <c r="AE40" i="15"/>
  <c r="P40" i="15" s="1" a="1"/>
  <c r="P40" i="15" s="1"/>
  <c r="O40" i="15" s="1"/>
  <c r="AD40" i="15"/>
  <c r="N40" i="15" s="1" a="1"/>
  <c r="N40" i="15" s="1"/>
  <c r="AG39" i="15"/>
  <c r="R39" i="15" s="1" a="1"/>
  <c r="R39" i="15" s="1"/>
  <c r="AF39" i="15"/>
  <c r="AE39" i="15"/>
  <c r="P39" i="15" s="1" a="1"/>
  <c r="P39" i="15" s="1"/>
  <c r="AD39" i="15"/>
  <c r="N39" i="15" s="1" a="1"/>
  <c r="N39" i="15" s="1"/>
  <c r="AF38" i="15"/>
  <c r="AE38" i="15"/>
  <c r="P38" i="15" s="1" a="1"/>
  <c r="P38" i="15" s="1"/>
  <c r="AD38" i="15"/>
  <c r="N38" i="15" s="1" a="1"/>
  <c r="N38" i="15" s="1"/>
  <c r="AG38" i="15"/>
  <c r="R38" i="15" s="1" a="1"/>
  <c r="R38" i="15" s="1"/>
  <c r="AA7" i="16"/>
  <c r="K7" i="16" s="1" a="1"/>
  <c r="K7" i="16" s="1"/>
  <c r="J7" i="16" s="1"/>
  <c r="AA8" i="16"/>
  <c r="K8" i="16" s="1" a="1"/>
  <c r="K8" i="16" s="1"/>
  <c r="J8" i="16" s="1"/>
  <c r="L8" i="16"/>
  <c r="L7" i="16"/>
  <c r="AG6" i="16"/>
  <c r="AA6" i="16"/>
  <c r="K6" i="16" s="1" a="1"/>
  <c r="K6" i="16" s="1"/>
  <c r="J6" i="16" s="1"/>
  <c r="N6" i="16"/>
  <c r="L6" i="16"/>
  <c r="AA36" i="7" l="1"/>
  <c r="M54" i="7" a="1"/>
  <c r="M54" i="7" s="1"/>
  <c r="L54" i="7" s="1"/>
  <c r="O58" i="8" a="1"/>
  <c r="O58" i="8" s="1"/>
  <c r="N58" i="8" s="1"/>
  <c r="AA60" i="8"/>
  <c r="K60" i="8" s="1" a="1"/>
  <c r="K60" i="8" s="1"/>
  <c r="J60" i="8" s="1"/>
  <c r="AA66" i="7"/>
  <c r="K66" i="7" s="1" a="1"/>
  <c r="K66" i="7" s="1"/>
  <c r="J66" i="7" s="1"/>
  <c r="O61" i="8" a="1"/>
  <c r="O61" i="8" s="1"/>
  <c r="N61" i="8" s="1"/>
  <c r="AA35" i="7"/>
  <c r="K35" i="7" s="1" a="1"/>
  <c r="K35" i="7" s="1"/>
  <c r="J35" i="7" s="1"/>
  <c r="AA17" i="7"/>
  <c r="K17" i="7" s="1" a="1"/>
  <c r="K17" i="7" s="1"/>
  <c r="J17" i="7" s="1"/>
  <c r="M34" i="7" a="1"/>
  <c r="M34" i="7" s="1"/>
  <c r="L34" i="7" s="1"/>
  <c r="AA54" i="7"/>
  <c r="K54" i="7" s="1" a="1"/>
  <c r="K54" i="7" s="1"/>
  <c r="J54" i="7" s="1"/>
  <c r="O65" i="7" a="1"/>
  <c r="O65" i="7" s="1"/>
  <c r="N65" i="7" s="1"/>
  <c r="AA65" i="7"/>
  <c r="K65" i="7" s="1" a="1"/>
  <c r="K65" i="7" s="1"/>
  <c r="J65" i="7" s="1"/>
  <c r="AA18" i="7"/>
  <c r="K18" i="7" s="1" a="1"/>
  <c r="K18" i="7" s="1"/>
  <c r="J18" i="7" s="1"/>
  <c r="AC51" i="15"/>
  <c r="AC54" i="15"/>
  <c r="L54" i="15" s="1" a="1"/>
  <c r="L54" i="15" s="1"/>
  <c r="K54" i="15" s="1"/>
  <c r="O62" i="8" a="1"/>
  <c r="O62" i="8" s="1"/>
  <c r="N62" i="8" s="1"/>
  <c r="AA56" i="8"/>
  <c r="K56" i="8" s="1" a="1"/>
  <c r="K56" i="8" s="1"/>
  <c r="J56" i="8" s="1"/>
  <c r="O69" i="8" a="1"/>
  <c r="O69" i="8" s="1"/>
  <c r="N69" i="8" s="1"/>
  <c r="O55" i="8" a="1"/>
  <c r="O55" i="8" s="1"/>
  <c r="N55" i="8" s="1"/>
  <c r="O65" i="8" a="1"/>
  <c r="O65" i="8" s="1"/>
  <c r="N65" i="8" s="1"/>
  <c r="K55" i="8" a="1"/>
  <c r="K55" i="8" s="1"/>
  <c r="J55" i="8" s="1"/>
  <c r="O66" i="8" a="1"/>
  <c r="O66" i="8" s="1"/>
  <c r="N66" i="8" s="1"/>
  <c r="AA52" i="8"/>
  <c r="K52" i="8" s="1" a="1"/>
  <c r="K52" i="8" s="1"/>
  <c r="J52" i="8" s="1"/>
  <c r="AC34" i="15"/>
  <c r="AC33" i="15"/>
  <c r="AC69" i="15"/>
  <c r="L69" i="15" s="1" a="1"/>
  <c r="L69" i="15" s="1"/>
  <c r="K69" i="15" s="1"/>
  <c r="AC44" i="15"/>
  <c r="L44" i="15" s="1" a="1"/>
  <c r="L44" i="15" s="1"/>
  <c r="K44" i="15" s="1"/>
  <c r="AC32" i="15"/>
  <c r="L32" i="15" s="1" a="1"/>
  <c r="L32" i="15" s="1"/>
  <c r="K32" i="15" s="1"/>
  <c r="AC37" i="15"/>
  <c r="AC70" i="15"/>
  <c r="L70" i="15" s="1" a="1"/>
  <c r="L70" i="15" s="1"/>
  <c r="K70" i="15" s="1"/>
  <c r="AC50" i="15"/>
  <c r="L50" i="15" s="1" a="1"/>
  <c r="L50" i="15" s="1"/>
  <c r="K50" i="15" s="1"/>
  <c r="AC36" i="15"/>
  <c r="L36" i="15" s="1" a="1"/>
  <c r="L36" i="15" s="1"/>
  <c r="K36" i="15" s="1"/>
  <c r="AC43" i="15"/>
  <c r="L43" i="15" s="1" a="1"/>
  <c r="L43" i="15" s="1"/>
  <c r="K43" i="15" s="1"/>
  <c r="AC45" i="15"/>
  <c r="L45" i="15" s="1" a="1"/>
  <c r="L45" i="15" s="1"/>
  <c r="K45" i="15" s="1"/>
  <c r="AC49" i="15"/>
  <c r="P66" i="15" a="1"/>
  <c r="P66" i="15" s="1"/>
  <c r="O66" i="15" s="1"/>
  <c r="AC35" i="15"/>
  <c r="L35" i="15" s="1" a="1"/>
  <c r="L35" i="15" s="1"/>
  <c r="K35" i="15" s="1"/>
  <c r="AC55" i="15"/>
  <c r="L55" i="15" s="1" a="1"/>
  <c r="L55" i="15" s="1"/>
  <c r="K55" i="15" s="1"/>
  <c r="AC66" i="15"/>
  <c r="L66" i="15" s="1" a="1"/>
  <c r="L66" i="15" s="1"/>
  <c r="K66" i="15" s="1"/>
  <c r="AC65" i="15"/>
  <c r="AC71" i="15"/>
  <c r="L71" i="15" s="1" a="1"/>
  <c r="L71" i="15" s="1"/>
  <c r="K71" i="15" s="1"/>
  <c r="L34" i="15" a="1"/>
  <c r="L34" i="15" s="1"/>
  <c r="K34" i="15" s="1"/>
  <c r="P68" i="15" a="1"/>
  <c r="P68" i="15" s="1"/>
  <c r="O68" i="15" s="1"/>
  <c r="AC68" i="15"/>
  <c r="L68" i="15" s="1" a="1"/>
  <c r="L68" i="15" s="1"/>
  <c r="K68" i="15" s="1"/>
  <c r="L33" i="15" a="1"/>
  <c r="L33" i="15" s="1"/>
  <c r="K33" i="15" s="1"/>
  <c r="L51" i="15" a="1"/>
  <c r="L51" i="15" s="1"/>
  <c r="K51" i="15" s="1"/>
  <c r="AC31" i="15"/>
  <c r="L31" i="15" s="1" a="1"/>
  <c r="L31" i="15" s="1"/>
  <c r="K31" i="15" s="1"/>
  <c r="AC60" i="15"/>
  <c r="AC52" i="15"/>
  <c r="L52" i="15" s="1" a="1"/>
  <c r="L52" i="15" s="1"/>
  <c r="K52" i="15" s="1"/>
  <c r="AC53" i="15"/>
  <c r="L53" i="15" s="1" a="1"/>
  <c r="L53" i="15" s="1"/>
  <c r="K53" i="15" s="1"/>
  <c r="P51" i="15" a="1"/>
  <c r="P51" i="15" s="1"/>
  <c r="O51" i="15" s="1"/>
  <c r="P44" i="15" a="1"/>
  <c r="P44" i="15" s="1"/>
  <c r="O44" i="15" s="1"/>
  <c r="M53" i="7" a="1"/>
  <c r="M53" i="7" s="1"/>
  <c r="L53" i="7" s="1"/>
  <c r="AA53" i="7"/>
  <c r="K53" i="7" s="1" a="1"/>
  <c r="K53" i="7" s="1"/>
  <c r="J53" i="7" s="1"/>
  <c r="M18" i="7" a="1"/>
  <c r="M18" i="7" s="1"/>
  <c r="L18" i="7" s="1"/>
  <c r="K68" i="8" a="1"/>
  <c r="K68" i="8" s="1"/>
  <c r="J68" i="8" s="1"/>
  <c r="K72" i="8" a="1"/>
  <c r="K72" i="8" s="1"/>
  <c r="J72" i="8" s="1"/>
  <c r="O73" i="8" a="1"/>
  <c r="O73" i="8" s="1"/>
  <c r="N73" i="8" s="1"/>
  <c r="K67" i="8" a="1"/>
  <c r="K67" i="8" s="1"/>
  <c r="J67" i="8" s="1"/>
  <c r="O53" i="8" a="1"/>
  <c r="O53" i="8" s="1"/>
  <c r="N53" i="8" s="1"/>
  <c r="O54" i="8" a="1"/>
  <c r="O54" i="8" s="1"/>
  <c r="N54" i="8" s="1"/>
  <c r="O68" i="8" a="1"/>
  <c r="O68" i="8" s="1"/>
  <c r="N68" i="8" s="1"/>
  <c r="K71" i="8" a="1"/>
  <c r="K71" i="8" s="1"/>
  <c r="J71" i="8" s="1"/>
  <c r="O72" i="8" a="1"/>
  <c r="O72" i="8" s="1"/>
  <c r="N72" i="8" s="1"/>
  <c r="AA73" i="8"/>
  <c r="K73" i="8" s="1" a="1"/>
  <c r="K73" i="8" s="1"/>
  <c r="J73" i="8" s="1"/>
  <c r="O59" i="8" a="1"/>
  <c r="O59" i="8" s="1"/>
  <c r="N59" i="8" s="1"/>
  <c r="AA54" i="8"/>
  <c r="K54" i="8" s="1" a="1"/>
  <c r="K54" i="8" s="1"/>
  <c r="J54" i="8" s="1"/>
  <c r="AA62" i="8"/>
  <c r="K62" i="8" s="1" a="1"/>
  <c r="K62" i="8" s="1"/>
  <c r="J62" i="8" s="1"/>
  <c r="O67" i="8" a="1"/>
  <c r="O67" i="8" s="1"/>
  <c r="N67" i="8" s="1"/>
  <c r="O71" i="8" a="1"/>
  <c r="O71" i="8" s="1"/>
  <c r="N71" i="8" s="1"/>
  <c r="AC62" i="15"/>
  <c r="L62" i="15" s="1" a="1"/>
  <c r="L62" i="15" s="1"/>
  <c r="K62" i="15" s="1"/>
  <c r="P54" i="15" a="1"/>
  <c r="P54" i="15" s="1"/>
  <c r="O54" i="15" s="1"/>
  <c r="P41" i="15" a="1"/>
  <c r="P41" i="15" s="1"/>
  <c r="O41" i="15" s="1"/>
  <c r="P35" i="15" a="1"/>
  <c r="P35" i="15" s="1"/>
  <c r="O35" i="15" s="1"/>
  <c r="P63" i="15" a="1"/>
  <c r="P63" i="15" s="1"/>
  <c r="O63" i="15" s="1"/>
  <c r="AC48" i="15"/>
  <c r="L48" i="15" s="1" a="1"/>
  <c r="L48" i="15" s="1"/>
  <c r="K48" i="15" s="1"/>
  <c r="AC58" i="15"/>
  <c r="L58" i="15" s="1" a="1"/>
  <c r="L58" i="15" s="1"/>
  <c r="K58" i="15" s="1"/>
  <c r="L65" i="15" a="1"/>
  <c r="L65" i="15" s="1"/>
  <c r="K65" i="15" s="1"/>
  <c r="N45" i="15" a="1"/>
  <c r="N45" i="15" s="1"/>
  <c r="M45" i="15" s="1"/>
  <c r="P53" i="15" a="1"/>
  <c r="P53" i="15" s="1"/>
  <c r="O53" i="15" s="1"/>
  <c r="P47" i="15" a="1"/>
  <c r="P47" i="15" s="1"/>
  <c r="O47" i="15" s="1"/>
  <c r="P34" i="15" a="1"/>
  <c r="P34" i="15" s="1"/>
  <c r="O34" i="15" s="1"/>
  <c r="P62" i="15" a="1"/>
  <c r="P62" i="15" s="1"/>
  <c r="O62" i="15" s="1"/>
  <c r="AC57" i="15"/>
  <c r="L57" i="15" s="1" a="1"/>
  <c r="L57" i="15" s="1"/>
  <c r="K57" i="15" s="1"/>
  <c r="L37" i="15" a="1"/>
  <c r="L37" i="15" s="1"/>
  <c r="K37" i="15" s="1"/>
  <c r="N44" i="15" a="1"/>
  <c r="N44" i="15" s="1"/>
  <c r="M44" i="15" s="1"/>
  <c r="N48" i="15" a="1"/>
  <c r="N48" i="15" s="1"/>
  <c r="M48" i="15" s="1"/>
  <c r="P52" i="15" a="1"/>
  <c r="P52" i="15" s="1"/>
  <c r="O52" i="15" s="1"/>
  <c r="P33" i="15" a="1"/>
  <c r="P33" i="15" s="1"/>
  <c r="O33" i="15" s="1"/>
  <c r="P61" i="15" a="1"/>
  <c r="P61" i="15" s="1"/>
  <c r="O61" i="15" s="1"/>
  <c r="P70" i="15" a="1"/>
  <c r="P70" i="15" s="1"/>
  <c r="O70" i="15" s="1"/>
  <c r="AC56" i="15"/>
  <c r="L56" i="15" s="1" a="1"/>
  <c r="L56" i="15" s="1"/>
  <c r="K56" i="15" s="1"/>
  <c r="N43" i="15" a="1"/>
  <c r="N43" i="15" s="1"/>
  <c r="M43" i="15" s="1"/>
  <c r="P67" i="15" a="1"/>
  <c r="P67" i="15" s="1"/>
  <c r="O67" i="15" s="1"/>
  <c r="AC47" i="15"/>
  <c r="L47" i="15" s="1" a="1"/>
  <c r="L47" i="15" s="1"/>
  <c r="K47" i="15" s="1"/>
  <c r="L49" i="15" a="1"/>
  <c r="L49" i="15" s="1"/>
  <c r="K49" i="15" s="1"/>
  <c r="P56" i="15" a="1"/>
  <c r="P56" i="15" s="1"/>
  <c r="O56" i="15" s="1"/>
  <c r="M38" i="15"/>
  <c r="L60" i="15" a="1"/>
  <c r="L60" i="15" s="1"/>
  <c r="K60" i="15" s="1"/>
  <c r="N50" i="15" a="1"/>
  <c r="N50" i="15" s="1"/>
  <c r="M50" i="15" s="1"/>
  <c r="N69" i="15" a="1"/>
  <c r="N69" i="15" s="1"/>
  <c r="M69" i="15" s="1"/>
  <c r="Q65" i="15"/>
  <c r="Q67" i="15"/>
  <c r="Q69" i="15"/>
  <c r="Q71" i="15"/>
  <c r="Q64" i="15"/>
  <c r="Q62" i="15"/>
  <c r="Q59" i="15"/>
  <c r="Q52" i="15"/>
  <c r="Q53" i="15"/>
  <c r="Q43" i="15"/>
  <c r="Q45" i="15"/>
  <c r="Q44" i="15"/>
  <c r="Q42" i="15"/>
  <c r="Q39" i="15"/>
  <c r="Q40" i="15"/>
  <c r="Q38" i="15"/>
  <c r="Q41" i="15"/>
  <c r="O59" i="15"/>
  <c r="O39" i="15"/>
  <c r="O43" i="15"/>
  <c r="O42" i="15"/>
  <c r="O38" i="15"/>
  <c r="M70" i="15"/>
  <c r="M59" i="15"/>
  <c r="M60" i="15"/>
  <c r="M63" i="15"/>
  <c r="M58" i="15"/>
  <c r="M61" i="15"/>
  <c r="M40" i="15"/>
  <c r="M42" i="15"/>
  <c r="M39" i="15"/>
  <c r="M41" i="15"/>
  <c r="AC40" i="15"/>
  <c r="L40" i="15" s="1" a="1"/>
  <c r="L40" i="15" s="1"/>
  <c r="AC41" i="15"/>
  <c r="AC64" i="15"/>
  <c r="L64" i="15" s="1" a="1"/>
  <c r="L64" i="15" s="1"/>
  <c r="AC42" i="15"/>
  <c r="AC46" i="15"/>
  <c r="AC67" i="15"/>
  <c r="L67" i="15" s="1" a="1"/>
  <c r="L67" i="15" s="1"/>
  <c r="O60" i="15"/>
  <c r="O64" i="15"/>
  <c r="AC59" i="15"/>
  <c r="O46" i="15"/>
  <c r="AC61" i="15"/>
  <c r="L61" i="15" s="1" a="1"/>
  <c r="L61" i="15" s="1"/>
  <c r="AC63" i="15"/>
  <c r="AC39" i="15"/>
  <c r="L39" i="15" s="1" a="1"/>
  <c r="L39" i="15" s="1"/>
  <c r="AC38" i="15"/>
  <c r="O17" i="7" a="1"/>
  <c r="O17" i="7" s="1"/>
  <c r="N17" i="7" s="1"/>
  <c r="O54" i="7" a="1"/>
  <c r="O54" i="7" s="1"/>
  <c r="N54" i="7" s="1"/>
  <c r="O36" i="7" a="1"/>
  <c r="O36" i="7" s="1"/>
  <c r="N36" i="7" s="1"/>
  <c r="K36" i="7" a="1"/>
  <c r="K36" i="7" s="1"/>
  <c r="J36" i="7" s="1"/>
  <c r="O53" i="7" a="1"/>
  <c r="O53" i="7" s="1"/>
  <c r="N53" i="7" s="1"/>
  <c r="J31" i="7"/>
  <c r="O31" i="7" a="1"/>
  <c r="O31" i="7" s="1"/>
  <c r="N31" i="7" s="1"/>
  <c r="O34" i="7" a="1"/>
  <c r="O34" i="7" s="1"/>
  <c r="N34" i="7" s="1"/>
  <c r="K34" i="7" a="1"/>
  <c r="K34" i="7" s="1"/>
  <c r="J34" i="7" s="1"/>
  <c r="O18" i="7" a="1"/>
  <c r="O18" i="7" s="1"/>
  <c r="N18" i="7" s="1"/>
  <c r="K65" i="8" a="1"/>
  <c r="K65" i="8" s="1"/>
  <c r="J65" i="8" s="1"/>
  <c r="H37" i="3"/>
  <c r="H38" i="3"/>
  <c r="H36" i="3"/>
  <c r="H31" i="3"/>
  <c r="H11" i="3"/>
  <c r="G11" i="3"/>
  <c r="G16" i="3"/>
  <c r="H17" i="3"/>
  <c r="H18" i="3"/>
  <c r="H16" i="3"/>
  <c r="H22" i="3"/>
  <c r="H23" i="3"/>
  <c r="H21" i="3"/>
  <c r="G21" i="3"/>
  <c r="G27" i="3"/>
  <c r="G28" i="3"/>
  <c r="H27" i="3"/>
  <c r="H28" i="3"/>
  <c r="H26" i="3"/>
  <c r="G37" i="3"/>
  <c r="G38" i="3"/>
  <c r="G36" i="3"/>
  <c r="H32" i="3"/>
  <c r="H33" i="3"/>
  <c r="G34" i="3"/>
  <c r="H34" i="3"/>
  <c r="M31" i="15"/>
  <c r="O31" i="15"/>
  <c r="Q31" i="15"/>
  <c r="M32" i="15"/>
  <c r="O32" i="15"/>
  <c r="Q32" i="15"/>
  <c r="M33" i="15"/>
  <c r="Q33" i="15"/>
  <c r="M34" i="15"/>
  <c r="Q34" i="15"/>
  <c r="M35" i="15"/>
  <c r="Q35" i="15"/>
  <c r="M36" i="15"/>
  <c r="O36" i="15"/>
  <c r="Q36" i="15"/>
  <c r="M37" i="15"/>
  <c r="O37" i="15"/>
  <c r="Q37" i="15"/>
  <c r="AC30" i="15"/>
  <c r="M30" i="15"/>
  <c r="O30" i="15"/>
  <c r="Q30" i="15"/>
  <c r="AG29" i="15"/>
  <c r="R29" i="15" s="1" a="1"/>
  <c r="R29" i="15" s="1"/>
  <c r="AF29" i="15"/>
  <c r="AE29" i="15"/>
  <c r="AD29" i="15"/>
  <c r="N29" i="15" s="1" a="1"/>
  <c r="N29" i="15" s="1"/>
  <c r="M29" i="15" s="1"/>
  <c r="AG28" i="15"/>
  <c r="R28" i="15" s="1" a="1"/>
  <c r="R28" i="15" s="1"/>
  <c r="AF28" i="15"/>
  <c r="AE28" i="15"/>
  <c r="AD28" i="15"/>
  <c r="AG27" i="15"/>
  <c r="R27" i="15" s="1" a="1"/>
  <c r="R27" i="15" s="1"/>
  <c r="AF27" i="15"/>
  <c r="AE27" i="15"/>
  <c r="AD27" i="15"/>
  <c r="AG26" i="15"/>
  <c r="R26" i="15" s="1" a="1"/>
  <c r="R26" i="15" s="1"/>
  <c r="AF26" i="15"/>
  <c r="AE26" i="15"/>
  <c r="AD26" i="15"/>
  <c r="AG25" i="15"/>
  <c r="R25" i="15" s="1" a="1"/>
  <c r="R25" i="15" s="1"/>
  <c r="AF25" i="15"/>
  <c r="AE25" i="15"/>
  <c r="AD25" i="15"/>
  <c r="AG23" i="15"/>
  <c r="AF23" i="15"/>
  <c r="AE23" i="15"/>
  <c r="AD23" i="15"/>
  <c r="AG24" i="15"/>
  <c r="R24" i="15" s="1" a="1"/>
  <c r="R24" i="15" s="1"/>
  <c r="AF24" i="15"/>
  <c r="AE24" i="15"/>
  <c r="AD24" i="15"/>
  <c r="AD22" i="15"/>
  <c r="AG22" i="15"/>
  <c r="R22" i="15" s="1" a="1"/>
  <c r="R22" i="15" s="1"/>
  <c r="AF22" i="15"/>
  <c r="AE22" i="15"/>
  <c r="K6" i="15"/>
  <c r="M6" i="15"/>
  <c r="O6" i="15"/>
  <c r="Q6" i="15"/>
  <c r="K7" i="15"/>
  <c r="M7" i="15"/>
  <c r="O7" i="15"/>
  <c r="Q7" i="15"/>
  <c r="M20" i="15"/>
  <c r="AG21" i="15"/>
  <c r="R21" i="15" s="1" a="1"/>
  <c r="R21" i="15" s="1"/>
  <c r="AF21" i="15"/>
  <c r="AE21" i="15"/>
  <c r="AG20" i="15"/>
  <c r="R20" i="15" s="1" a="1"/>
  <c r="R20" i="15" s="1"/>
  <c r="AF20" i="15"/>
  <c r="AE20" i="15"/>
  <c r="AD21" i="15"/>
  <c r="AG19" i="15"/>
  <c r="R19" i="15" s="1" a="1"/>
  <c r="R19" i="15" s="1"/>
  <c r="AF19" i="15"/>
  <c r="AE19" i="15"/>
  <c r="AD19" i="15"/>
  <c r="AG18" i="15"/>
  <c r="R18" i="15" s="1" a="1"/>
  <c r="R18" i="15" s="1"/>
  <c r="AF18" i="15"/>
  <c r="AE18" i="15"/>
  <c r="AD18" i="15"/>
  <c r="AG17" i="15"/>
  <c r="R17" i="15" s="1" a="1"/>
  <c r="R17" i="15" s="1"/>
  <c r="AF17" i="15"/>
  <c r="AE17" i="15"/>
  <c r="AD17" i="15"/>
  <c r="AG16" i="15"/>
  <c r="R16" i="15" s="1" a="1"/>
  <c r="R16" i="15" s="1"/>
  <c r="AF16" i="15"/>
  <c r="AE16" i="15"/>
  <c r="AD16" i="15"/>
  <c r="Q27" i="15" l="1"/>
  <c r="L42" i="15" a="1"/>
  <c r="L42" i="15" s="1"/>
  <c r="K42" i="15" s="1"/>
  <c r="L46" i="15" a="1"/>
  <c r="L46" i="15" s="1"/>
  <c r="K46" i="15" s="1"/>
  <c r="N17" i="15" a="1"/>
  <c r="N17" i="15" s="1"/>
  <c r="M17" i="15" s="1"/>
  <c r="N19" i="15" a="1"/>
  <c r="N19" i="15" s="1"/>
  <c r="M19" i="15" s="1"/>
  <c r="P21" i="15" a="1"/>
  <c r="P21" i="15" s="1"/>
  <c r="O21" i="15" s="1"/>
  <c r="P22" i="15" a="1"/>
  <c r="P22" i="15" s="1"/>
  <c r="O22" i="15" s="1"/>
  <c r="N23" i="15" a="1"/>
  <c r="N23" i="15" s="1"/>
  <c r="M23" i="15" s="1"/>
  <c r="N26" i="15" a="1"/>
  <c r="N26" i="15" s="1"/>
  <c r="M26" i="15" s="1"/>
  <c r="K64" i="15"/>
  <c r="Q22" i="15"/>
  <c r="P23" i="15" a="1"/>
  <c r="P23" i="15" s="1"/>
  <c r="O23" i="15" s="1"/>
  <c r="P26" i="15" a="1"/>
  <c r="P26" i="15" s="1"/>
  <c r="O26" i="15" s="1"/>
  <c r="P29" i="15" a="1"/>
  <c r="P29" i="15" s="1"/>
  <c r="O29" i="15" s="1"/>
  <c r="K39" i="15"/>
  <c r="L38" i="15" a="1"/>
  <c r="L38" i="15" s="1"/>
  <c r="K38" i="15" s="1"/>
  <c r="P17" i="15" a="1"/>
  <c r="P17" i="15" s="1"/>
  <c r="O17" i="15" s="1"/>
  <c r="P19" i="15" a="1"/>
  <c r="P19" i="15" s="1"/>
  <c r="O19" i="15" s="1"/>
  <c r="Q17" i="15"/>
  <c r="Q19" i="15"/>
  <c r="N28" i="15" a="1"/>
  <c r="N28" i="15" s="1"/>
  <c r="M28" i="15" s="1"/>
  <c r="P16" i="15" a="1"/>
  <c r="P16" i="15" s="1"/>
  <c r="O16" i="15" s="1"/>
  <c r="P18" i="15" a="1"/>
  <c r="P18" i="15" s="1"/>
  <c r="O18" i="15" s="1"/>
  <c r="P20" i="15" a="1"/>
  <c r="P20" i="15" s="1"/>
  <c r="O20" i="15" s="1"/>
  <c r="P25" i="15" a="1"/>
  <c r="P25" i="15" s="1"/>
  <c r="O25" i="15" s="1"/>
  <c r="K61" i="15"/>
  <c r="L30" i="15" a="1"/>
  <c r="L30" i="15" s="1"/>
  <c r="K30" i="15" s="1"/>
  <c r="L41" i="15" a="1"/>
  <c r="L41" i="15" s="1"/>
  <c r="K41" i="15" s="1"/>
  <c r="P24" i="15" a="1"/>
  <c r="P24" i="15" s="1"/>
  <c r="O24" i="15" s="1"/>
  <c r="N27" i="15" a="1"/>
  <c r="N27" i="15" s="1"/>
  <c r="M27" i="15" s="1"/>
  <c r="P27" i="15" a="1"/>
  <c r="P27" i="15" s="1"/>
  <c r="O27" i="15" s="1"/>
  <c r="N22" i="15" a="1"/>
  <c r="N22" i="15" s="1"/>
  <c r="M22" i="15" s="1"/>
  <c r="R23" i="15" a="1"/>
  <c r="R23" i="15" s="1"/>
  <c r="Q23" i="15" s="1"/>
  <c r="P28" i="15" a="1"/>
  <c r="P28" i="15" s="1"/>
  <c r="O28" i="15" s="1"/>
  <c r="N16" i="15" a="1"/>
  <c r="N16" i="15" s="1"/>
  <c r="M16" i="15" s="1"/>
  <c r="N18" i="15" a="1"/>
  <c r="N18" i="15" s="1"/>
  <c r="M18" i="15" s="1"/>
  <c r="N21" i="15" a="1"/>
  <c r="N21" i="15" s="1"/>
  <c r="M21" i="15" s="1"/>
  <c r="N24" i="15" a="1"/>
  <c r="N24" i="15" s="1"/>
  <c r="M24" i="15" s="1"/>
  <c r="N25" i="15" a="1"/>
  <c r="N25" i="15" s="1"/>
  <c r="M25" i="15" s="1"/>
  <c r="K67" i="15"/>
  <c r="K40" i="15"/>
  <c r="L59" i="15" a="1"/>
  <c r="L59" i="15" s="1"/>
  <c r="K59" i="15" s="1"/>
  <c r="L63" i="15" a="1"/>
  <c r="L63" i="15" s="1"/>
  <c r="K63" i="15" s="1"/>
  <c r="Q26" i="15"/>
  <c r="Q24" i="15"/>
  <c r="Q25" i="15"/>
  <c r="Q28" i="15"/>
  <c r="Q21" i="15"/>
  <c r="AC20" i="15"/>
  <c r="Q16" i="15"/>
  <c r="Q18" i="15"/>
  <c r="Q20" i="15"/>
  <c r="Q29" i="15"/>
  <c r="K2" i="16"/>
  <c r="K1" i="16"/>
  <c r="AC23" i="15"/>
  <c r="L23" i="15" s="1" a="1"/>
  <c r="L23" i="15" s="1"/>
  <c r="AC26" i="15"/>
  <c r="AC28" i="15"/>
  <c r="L28" i="15" s="1" a="1"/>
  <c r="L28" i="15" s="1"/>
  <c r="AC25" i="15"/>
  <c r="L25" i="15" s="1" a="1"/>
  <c r="L25" i="15" s="1"/>
  <c r="AC24" i="15"/>
  <c r="L24" i="15" s="1" a="1"/>
  <c r="L24" i="15" s="1"/>
  <c r="AC27" i="15"/>
  <c r="AC29" i="15"/>
  <c r="L29" i="15" s="1" a="1"/>
  <c r="L29" i="15" s="1"/>
  <c r="AC22" i="15"/>
  <c r="L22" i="15" s="1" a="1"/>
  <c r="L22" i="15" s="1"/>
  <c r="AC21" i="15"/>
  <c r="AG15" i="15"/>
  <c r="R15" i="15" s="1" a="1"/>
  <c r="R15" i="15" s="1"/>
  <c r="AF15" i="15"/>
  <c r="AE15" i="15"/>
  <c r="AD15" i="15"/>
  <c r="AG14" i="15"/>
  <c r="R14" i="15" s="1" a="1"/>
  <c r="R14" i="15" s="1"/>
  <c r="AF14" i="15"/>
  <c r="AE14" i="15"/>
  <c r="AD14" i="15"/>
  <c r="AG13" i="15"/>
  <c r="R13" i="15" s="1" a="1"/>
  <c r="R13" i="15" s="1"/>
  <c r="AF13" i="15"/>
  <c r="AE13" i="15"/>
  <c r="AD13" i="15"/>
  <c r="AG12" i="15"/>
  <c r="AE12" i="15"/>
  <c r="AD12" i="15"/>
  <c r="AC19" i="15"/>
  <c r="AC18" i="15"/>
  <c r="AC17" i="15"/>
  <c r="L17" i="15" s="1" a="1"/>
  <c r="L17" i="15" s="1"/>
  <c r="AC16" i="15"/>
  <c r="L16" i="15" s="1" a="1"/>
  <c r="L16" i="15" s="1"/>
  <c r="AG11" i="15"/>
  <c r="R11" i="15" s="1" a="1"/>
  <c r="R11" i="15" s="1"/>
  <c r="AF11" i="15"/>
  <c r="AE11" i="15"/>
  <c r="AD11" i="15"/>
  <c r="AG10" i="15"/>
  <c r="R10" i="15" s="1" a="1"/>
  <c r="R10" i="15" s="1"/>
  <c r="AF10" i="15"/>
  <c r="AE10" i="15"/>
  <c r="AD10" i="15"/>
  <c r="AG9" i="15"/>
  <c r="R9" i="15" s="1" a="1"/>
  <c r="R9" i="15" s="1"/>
  <c r="AF9" i="15"/>
  <c r="AE9" i="15"/>
  <c r="AD9" i="15"/>
  <c r="AG8" i="15"/>
  <c r="R8" i="15" s="1" a="1"/>
  <c r="R8" i="15" s="1"/>
  <c r="AF8" i="15"/>
  <c r="AE8" i="15"/>
  <c r="AD8" i="15"/>
  <c r="AC6" i="15"/>
  <c r="AC7" i="15"/>
  <c r="P12" i="15" l="1" a="1"/>
  <c r="P12" i="15" s="1"/>
  <c r="N14" i="15" a="1"/>
  <c r="N14" i="15" s="1"/>
  <c r="M14" i="15" s="1"/>
  <c r="L27" i="15" a="1"/>
  <c r="L27" i="15" s="1"/>
  <c r="K27" i="15" s="1"/>
  <c r="P9" i="15" a="1"/>
  <c r="P9" i="15" s="1"/>
  <c r="O9" i="15" s="1"/>
  <c r="N9" i="15" a="1"/>
  <c r="N9" i="15" s="1"/>
  <c r="M9" i="15" s="1"/>
  <c r="N11" i="15" a="1"/>
  <c r="N11" i="15" s="1"/>
  <c r="M11" i="15" s="1"/>
  <c r="N12" i="15" a="1"/>
  <c r="N12" i="15" s="1"/>
  <c r="M12" i="15" s="1"/>
  <c r="P14" i="15" a="1"/>
  <c r="P14" i="15" s="1"/>
  <c r="O14" i="15" s="1"/>
  <c r="K24" i="15"/>
  <c r="R12" i="15" a="1"/>
  <c r="R12" i="15" s="1"/>
  <c r="Q12" i="15" s="1"/>
  <c r="K25" i="15"/>
  <c r="N13" i="15" a="1"/>
  <c r="N13" i="15" s="1"/>
  <c r="M13" i="15" s="1"/>
  <c r="N15" i="15" a="1"/>
  <c r="N15" i="15" s="1"/>
  <c r="M15" i="15" s="1"/>
  <c r="K22" i="15"/>
  <c r="K28" i="15"/>
  <c r="P11" i="15" a="1"/>
  <c r="P11" i="15" s="1"/>
  <c r="O11" i="15" s="1"/>
  <c r="N10" i="15" a="1"/>
  <c r="N10" i="15" s="1"/>
  <c r="M10" i="15" s="1"/>
  <c r="P13" i="15" a="1"/>
  <c r="P13" i="15" s="1"/>
  <c r="O13" i="15" s="1"/>
  <c r="L18" i="15" a="1"/>
  <c r="L18" i="15" s="1"/>
  <c r="K18" i="15" s="1"/>
  <c r="L21" i="15" a="1"/>
  <c r="L21" i="15" s="1"/>
  <c r="K21" i="15" s="1"/>
  <c r="L20" i="15" a="1"/>
  <c r="L20" i="15" s="1"/>
  <c r="K20" i="15" s="1"/>
  <c r="N8" i="15" a="1"/>
  <c r="N8" i="15" s="1"/>
  <c r="M8" i="15" s="1"/>
  <c r="K16" i="15"/>
  <c r="P15" i="15" a="1"/>
  <c r="P15" i="15" s="1"/>
  <c r="O15" i="15" s="1"/>
  <c r="P8" i="15" a="1"/>
  <c r="P8" i="15" s="1"/>
  <c r="O8" i="15" s="1"/>
  <c r="P10" i="15" a="1"/>
  <c r="P10" i="15" s="1"/>
  <c r="O10" i="15" s="1"/>
  <c r="K17" i="15"/>
  <c r="Q15" i="15"/>
  <c r="K29" i="15"/>
  <c r="K23" i="15"/>
  <c r="L19" i="15" a="1"/>
  <c r="L19" i="15" s="1"/>
  <c r="K19" i="15" s="1"/>
  <c r="L26" i="15" a="1"/>
  <c r="L26" i="15" s="1"/>
  <c r="K26" i="15" s="1"/>
  <c r="Q13" i="15"/>
  <c r="Q10" i="15"/>
  <c r="Q9" i="15"/>
  <c r="Q11" i="15"/>
  <c r="Q8" i="15"/>
  <c r="Q14" i="15"/>
  <c r="AC12" i="15"/>
  <c r="AC9" i="15"/>
  <c r="O12" i="15"/>
  <c r="AC11" i="15"/>
  <c r="L11" i="15" s="1" a="1"/>
  <c r="L11" i="15" s="1"/>
  <c r="AC8" i="15"/>
  <c r="L8" i="15" s="1" a="1"/>
  <c r="L8" i="15" s="1"/>
  <c r="AC10" i="15"/>
  <c r="L10" i="15" s="1" a="1"/>
  <c r="L10" i="15" s="1"/>
  <c r="AC15" i="15"/>
  <c r="AC14" i="15"/>
  <c r="AC13" i="15"/>
  <c r="AE125" i="7"/>
  <c r="AD125" i="7"/>
  <c r="AC125" i="7"/>
  <c r="O125" i="7" s="1" a="1"/>
  <c r="O125" i="7" s="1"/>
  <c r="N125" i="7" s="1"/>
  <c r="J90" i="7"/>
  <c r="K90" i="7" a="1"/>
  <c r="K90" i="7" s="1"/>
  <c r="M90" i="7" a="1"/>
  <c r="M90" i="7" s="1"/>
  <c r="L90" i="7" s="1"/>
  <c r="O90" i="7" a="1"/>
  <c r="O90" i="7" s="1"/>
  <c r="N90" i="7" s="1"/>
  <c r="Q90" i="7" a="1"/>
  <c r="Q90" i="7" s="1"/>
  <c r="P90" i="7" s="1"/>
  <c r="J166" i="7"/>
  <c r="K166" i="7" a="1"/>
  <c r="K166" i="7" s="1"/>
  <c r="M166" i="7" a="1"/>
  <c r="M166" i="7" s="1"/>
  <c r="L166" i="7" s="1"/>
  <c r="O166" i="7" a="1"/>
  <c r="O166" i="7" s="1"/>
  <c r="N166" i="7" s="1"/>
  <c r="Q166" i="7" a="1"/>
  <c r="Q166" i="7" s="1"/>
  <c r="P166" i="7" s="1"/>
  <c r="J167" i="7"/>
  <c r="K167" i="7" a="1"/>
  <c r="K167" i="7" s="1"/>
  <c r="M167" i="7" a="1"/>
  <c r="M167" i="7" s="1"/>
  <c r="L167" i="7" s="1"/>
  <c r="O167" i="7" a="1"/>
  <c r="O167" i="7" s="1"/>
  <c r="N167" i="7" s="1"/>
  <c r="Q167" i="7" a="1"/>
  <c r="Q167" i="7" s="1"/>
  <c r="P167" i="7" s="1"/>
  <c r="J101" i="7"/>
  <c r="K101" i="7" a="1"/>
  <c r="K101" i="7" s="1"/>
  <c r="O101" i="7" a="1"/>
  <c r="O101" i="7" s="1"/>
  <c r="N101" i="7" s="1"/>
  <c r="Q101" i="7" a="1"/>
  <c r="Q101" i="7" s="1"/>
  <c r="P101" i="7" s="1"/>
  <c r="J103" i="7"/>
  <c r="K103" i="7" a="1"/>
  <c r="K103" i="7" s="1"/>
  <c r="O103" i="7" a="1"/>
  <c r="O103" i="7" s="1"/>
  <c r="N103" i="7" s="1"/>
  <c r="Q103" i="7" a="1"/>
  <c r="Q103" i="7" s="1"/>
  <c r="P103" i="7" s="1"/>
  <c r="J171" i="7"/>
  <c r="K171" i="7" a="1"/>
  <c r="K171" i="7" s="1"/>
  <c r="M171" i="7" a="1"/>
  <c r="M171" i="7" s="1"/>
  <c r="L171" i="7" s="1"/>
  <c r="O171" i="7" a="1"/>
  <c r="O171" i="7" s="1"/>
  <c r="N171" i="7" s="1"/>
  <c r="Q171" i="7" a="1"/>
  <c r="Q171" i="7" s="1"/>
  <c r="P171" i="7" s="1"/>
  <c r="J180" i="7"/>
  <c r="K180" i="7" a="1"/>
  <c r="K180" i="7" s="1"/>
  <c r="M180" i="7" a="1"/>
  <c r="M180" i="7" s="1"/>
  <c r="L180" i="7" s="1"/>
  <c r="O180" i="7" a="1"/>
  <c r="O180" i="7" s="1"/>
  <c r="N180" i="7" s="1"/>
  <c r="Q180" i="7" a="1"/>
  <c r="Q180" i="7" s="1"/>
  <c r="P180" i="7" s="1"/>
  <c r="J181" i="7"/>
  <c r="K181" i="7" a="1"/>
  <c r="K181" i="7" s="1"/>
  <c r="M181" i="7" a="1"/>
  <c r="M181" i="7" s="1"/>
  <c r="L181" i="7" s="1"/>
  <c r="O181" i="7" a="1"/>
  <c r="O181" i="7" s="1"/>
  <c r="N181" i="7" s="1"/>
  <c r="Q181" i="7" a="1"/>
  <c r="Q181" i="7" s="1"/>
  <c r="P181" i="7" s="1"/>
  <c r="J182" i="7"/>
  <c r="K182" i="7" a="1"/>
  <c r="K182" i="7" s="1"/>
  <c r="M182" i="7" a="1"/>
  <c r="M182" i="7" s="1"/>
  <c r="L182" i="7" s="1"/>
  <c r="O182" i="7" a="1"/>
  <c r="O182" i="7" s="1"/>
  <c r="N182" i="7" s="1"/>
  <c r="Q182" i="7" a="1"/>
  <c r="Q182" i="7" s="1"/>
  <c r="P182" i="7" s="1"/>
  <c r="J184" i="7"/>
  <c r="K184" i="7" a="1"/>
  <c r="K184" i="7" s="1"/>
  <c r="M184" i="7" a="1"/>
  <c r="M184" i="7" s="1"/>
  <c r="L184" i="7" s="1"/>
  <c r="O184" i="7" a="1"/>
  <c r="O184" i="7" s="1"/>
  <c r="N184" i="7" s="1"/>
  <c r="Q184" i="7" a="1"/>
  <c r="Q184" i="7" s="1"/>
  <c r="P184" i="7" s="1"/>
  <c r="J185" i="7"/>
  <c r="K185" i="7" a="1"/>
  <c r="K185" i="7" s="1"/>
  <c r="M185" i="7" a="1"/>
  <c r="M185" i="7" s="1"/>
  <c r="L185" i="7" s="1"/>
  <c r="O185" i="7" a="1"/>
  <c r="O185" i="7" s="1"/>
  <c r="N185" i="7" s="1"/>
  <c r="Q185" i="7" a="1"/>
  <c r="Q185" i="7" s="1"/>
  <c r="P185" i="7" s="1"/>
  <c r="J111" i="7"/>
  <c r="K111" i="7" a="1"/>
  <c r="K111" i="7" s="1"/>
  <c r="M111" i="7" a="1"/>
  <c r="M111" i="7" s="1"/>
  <c r="L111" i="7" s="1"/>
  <c r="O111" i="7" a="1"/>
  <c r="O111" i="7" s="1"/>
  <c r="N111" i="7" s="1"/>
  <c r="Q111" i="7" a="1"/>
  <c r="Q111" i="7" s="1"/>
  <c r="P111" i="7" s="1"/>
  <c r="J46" i="7"/>
  <c r="K46" i="7" a="1"/>
  <c r="K46" i="7" s="1"/>
  <c r="M46" i="7" a="1"/>
  <c r="M46" i="7" s="1"/>
  <c r="L46" i="7" s="1"/>
  <c r="O46" i="7" a="1"/>
  <c r="O46" i="7" s="1"/>
  <c r="N46" i="7" s="1"/>
  <c r="Q46" i="7" a="1"/>
  <c r="Q46" i="7" s="1"/>
  <c r="P46" i="7" s="1"/>
  <c r="M115" i="7" a="1"/>
  <c r="M115" i="7" s="1"/>
  <c r="L115" i="7" s="1"/>
  <c r="O115" i="7" a="1"/>
  <c r="O115" i="7" s="1"/>
  <c r="N115" i="7" s="1"/>
  <c r="P115" i="7"/>
  <c r="J186" i="7"/>
  <c r="K186" i="7" a="1"/>
  <c r="K186" i="7" s="1"/>
  <c r="O186" i="7" a="1"/>
  <c r="O186" i="7" s="1"/>
  <c r="N186" i="7" s="1"/>
  <c r="Q186" i="7" a="1"/>
  <c r="Q186" i="7" s="1"/>
  <c r="P186" i="7" s="1"/>
  <c r="M15" i="7" a="1"/>
  <c r="M15" i="7" s="1"/>
  <c r="L15" i="7" s="1"/>
  <c r="J43" i="7"/>
  <c r="K43" i="7" a="1"/>
  <c r="K43" i="7" s="1"/>
  <c r="M43" i="7" a="1"/>
  <c r="M43" i="7" s="1"/>
  <c r="L43" i="7" s="1"/>
  <c r="O43" i="7" a="1"/>
  <c r="O43" i="7" s="1"/>
  <c r="N43" i="7" s="1"/>
  <c r="Q43" i="7" a="1"/>
  <c r="Q43" i="7" s="1"/>
  <c r="P43" i="7" s="1"/>
  <c r="J60" i="7"/>
  <c r="K60" i="7" a="1"/>
  <c r="K60" i="7" s="1"/>
  <c r="M60" i="7" a="1"/>
  <c r="M60" i="7" s="1"/>
  <c r="L60" i="7" s="1"/>
  <c r="O60" i="7" a="1"/>
  <c r="O60" i="7" s="1"/>
  <c r="N60" i="7" s="1"/>
  <c r="Q60" i="7" a="1"/>
  <c r="Q60" i="7" s="1"/>
  <c r="P60" i="7" s="1"/>
  <c r="M162" i="7" a="1"/>
  <c r="M162" i="7" s="1"/>
  <c r="L162" i="7" s="1"/>
  <c r="J41" i="7"/>
  <c r="K41" i="7" a="1"/>
  <c r="K41" i="7" s="1"/>
  <c r="M41" i="7" a="1"/>
  <c r="M41" i="7" s="1"/>
  <c r="L41" i="7" s="1"/>
  <c r="O41" i="7" a="1"/>
  <c r="O41" i="7" s="1"/>
  <c r="N41" i="7" s="1"/>
  <c r="Q41" i="7" a="1"/>
  <c r="Q41" i="7" s="1"/>
  <c r="P41" i="7" s="1"/>
  <c r="J40" i="7"/>
  <c r="K40" i="7" a="1"/>
  <c r="K40" i="7" s="1"/>
  <c r="M40" i="7" a="1"/>
  <c r="M40" i="7" s="1"/>
  <c r="L40" i="7" s="1"/>
  <c r="O40" i="7" a="1"/>
  <c r="O40" i="7" s="1"/>
  <c r="N40" i="7" s="1"/>
  <c r="Q40" i="7" a="1"/>
  <c r="Q40" i="7" s="1"/>
  <c r="P40" i="7" s="1"/>
  <c r="M75" i="7" a="1"/>
  <c r="M75" i="7" s="1"/>
  <c r="L75" i="7" s="1"/>
  <c r="Q75" i="7" a="1"/>
  <c r="Q75" i="7" s="1"/>
  <c r="P75" i="7" s="1"/>
  <c r="M6" i="7" a="1"/>
  <c r="M6" i="7" s="1"/>
  <c r="L6" i="7" s="1"/>
  <c r="Q6" i="7" a="1"/>
  <c r="Q6" i="7" s="1"/>
  <c r="P6" i="7" s="1"/>
  <c r="M68" i="7" a="1"/>
  <c r="M68" i="7" s="1"/>
  <c r="L68" i="7" s="1"/>
  <c r="Q68" i="7" a="1"/>
  <c r="Q68" i="7" s="1"/>
  <c r="P68" i="7" s="1"/>
  <c r="Q11" i="7" a="1"/>
  <c r="Q11" i="7" s="1"/>
  <c r="P11" i="7" s="1"/>
  <c r="Q91" i="7" a="1"/>
  <c r="Q91" i="7" s="1"/>
  <c r="P91" i="7" s="1"/>
  <c r="Q12" i="7" a="1"/>
  <c r="Q12" i="7" s="1"/>
  <c r="P12" i="7" s="1"/>
  <c r="Q26" i="7" a="1"/>
  <c r="Q26" i="7" s="1"/>
  <c r="P26" i="7" s="1"/>
  <c r="Q27" i="7" a="1"/>
  <c r="Q27" i="7" s="1"/>
  <c r="P27" i="7" s="1"/>
  <c r="Q28" i="7" a="1"/>
  <c r="Q28" i="7" s="1"/>
  <c r="P28" i="7" s="1"/>
  <c r="Q63" i="7" a="1"/>
  <c r="Q63" i="7" s="1"/>
  <c r="P63" i="7" s="1"/>
  <c r="Q52" i="7" a="1"/>
  <c r="Q52" i="7" s="1"/>
  <c r="P52" i="7" s="1"/>
  <c r="Q30" i="7" a="1"/>
  <c r="Q30" i="7" s="1"/>
  <c r="P30" i="7" s="1"/>
  <c r="J177" i="7"/>
  <c r="K177" i="7" a="1"/>
  <c r="K177" i="7" s="1"/>
  <c r="M177" i="7" a="1"/>
  <c r="M177" i="7" s="1"/>
  <c r="L177" i="7" s="1"/>
  <c r="O177" i="7" a="1"/>
  <c r="O177" i="7" s="1"/>
  <c r="N177" i="7" s="1"/>
  <c r="Q177" i="7" a="1"/>
  <c r="Q177" i="7" s="1"/>
  <c r="P177" i="7" s="1"/>
  <c r="M59" i="7" a="1"/>
  <c r="M59" i="7" s="1"/>
  <c r="L59" i="7" s="1"/>
  <c r="Q59" i="7" a="1"/>
  <c r="Q59" i="7" s="1"/>
  <c r="P59" i="7" s="1"/>
  <c r="M130" i="7" a="1"/>
  <c r="M130" i="7" s="1"/>
  <c r="L130" i="7" s="1"/>
  <c r="Q130" i="7" a="1"/>
  <c r="Q130" i="7" s="1"/>
  <c r="P130" i="7" s="1"/>
  <c r="M131" i="7" a="1"/>
  <c r="M131" i="7" s="1"/>
  <c r="L131" i="7" s="1"/>
  <c r="Q131" i="7" a="1"/>
  <c r="Q131" i="7" s="1"/>
  <c r="P131" i="7" s="1"/>
  <c r="Q151" i="7" a="1"/>
  <c r="Q151" i="7" s="1"/>
  <c r="P151" i="7" s="1"/>
  <c r="Q81" i="7" a="1"/>
  <c r="Q81" i="7" s="1"/>
  <c r="P81" i="7" s="1"/>
  <c r="M62" i="7" a="1"/>
  <c r="M62" i="7" s="1"/>
  <c r="L62" i="7" s="1"/>
  <c r="O62" i="7" a="1"/>
  <c r="O62" i="7" s="1"/>
  <c r="N62" i="7" s="1"/>
  <c r="Q62" i="7" a="1"/>
  <c r="Q62" i="7" s="1"/>
  <c r="P62" i="7" s="1"/>
  <c r="Q172" i="7" a="1"/>
  <c r="Q172" i="7" s="1"/>
  <c r="P172" i="7" s="1"/>
  <c r="M29" i="7" a="1"/>
  <c r="M29" i="7" s="1"/>
  <c r="L29" i="7" s="1"/>
  <c r="Q29" i="7" a="1"/>
  <c r="Q29" i="7" s="1"/>
  <c r="P29" i="7" s="1"/>
  <c r="M64" i="7" a="1"/>
  <c r="M64" i="7" s="1"/>
  <c r="L64" i="7" s="1"/>
  <c r="Q64" i="7" a="1"/>
  <c r="Q64" i="7" s="1"/>
  <c r="P64" i="7" s="1"/>
  <c r="M124" i="7" a="1"/>
  <c r="M124" i="7" s="1"/>
  <c r="L124" i="7" s="1"/>
  <c r="Q124" i="7" a="1"/>
  <c r="Q124" i="7" s="1"/>
  <c r="P124" i="7" s="1"/>
  <c r="M125" i="7" a="1"/>
  <c r="M125" i="7" s="1"/>
  <c r="L125" i="7" s="1"/>
  <c r="Q125" i="7" a="1"/>
  <c r="Q125" i="7" s="1"/>
  <c r="P125" i="7" s="1"/>
  <c r="M84" i="7" a="1"/>
  <c r="M84" i="7" s="1"/>
  <c r="L84" i="7" s="1"/>
  <c r="Q84" i="7" a="1"/>
  <c r="Q84" i="7" s="1"/>
  <c r="P84" i="7" s="1"/>
  <c r="M107" i="7" a="1"/>
  <c r="M107" i="7" s="1"/>
  <c r="L107" i="7" s="1"/>
  <c r="Q107" i="7" a="1"/>
  <c r="Q107" i="7" s="1"/>
  <c r="P107" i="7" s="1"/>
  <c r="M141" i="7" a="1"/>
  <c r="M141" i="7" s="1"/>
  <c r="L141" i="7" s="1"/>
  <c r="Q141" i="7" a="1"/>
  <c r="Q141" i="7" s="1"/>
  <c r="P141" i="7" s="1"/>
  <c r="J179" i="7"/>
  <c r="K179" i="7" a="1"/>
  <c r="K179" i="7" s="1"/>
  <c r="M179" i="7" a="1"/>
  <c r="M179" i="7" s="1"/>
  <c r="L179" i="7" s="1"/>
  <c r="O179" i="7" a="1"/>
  <c r="O179" i="7" s="1"/>
  <c r="N179" i="7" s="1"/>
  <c r="Q179" i="7" a="1"/>
  <c r="Q179" i="7" s="1"/>
  <c r="P179" i="7" s="1"/>
  <c r="J178" i="7"/>
  <c r="K178" i="7" a="1"/>
  <c r="K178" i="7" s="1"/>
  <c r="M178" i="7" a="1"/>
  <c r="M178" i="7" s="1"/>
  <c r="L178" i="7" s="1"/>
  <c r="O178" i="7" a="1"/>
  <c r="O178" i="7" s="1"/>
  <c r="N178" i="7" s="1"/>
  <c r="Q178" i="7" a="1"/>
  <c r="Q178" i="7" s="1"/>
  <c r="P178" i="7" s="1"/>
  <c r="J174" i="7"/>
  <c r="K174" i="7" a="1"/>
  <c r="K174" i="7" s="1"/>
  <c r="O174" i="7" a="1"/>
  <c r="O174" i="7" s="1"/>
  <c r="N174" i="7" s="1"/>
  <c r="Q174" i="7" a="1"/>
  <c r="Q174" i="7" s="1"/>
  <c r="P174" i="7" s="1"/>
  <c r="J176" i="7"/>
  <c r="K176" i="7" a="1"/>
  <c r="K176" i="7" s="1"/>
  <c r="O176" i="7" a="1"/>
  <c r="O176" i="7" s="1"/>
  <c r="N176" i="7" s="1"/>
  <c r="Q176" i="7" a="1"/>
  <c r="Q176" i="7" s="1"/>
  <c r="P176" i="7" s="1"/>
  <c r="J49" i="7"/>
  <c r="K49" i="7" a="1"/>
  <c r="K49" i="7" s="1"/>
  <c r="M49" i="7" a="1"/>
  <c r="M49" i="7" s="1"/>
  <c r="L49" i="7" s="1"/>
  <c r="O49" i="7" a="1"/>
  <c r="O49" i="7" s="1"/>
  <c r="N49" i="7" s="1"/>
  <c r="Q49" i="7" a="1"/>
  <c r="Q49" i="7" s="1"/>
  <c r="P49" i="7" s="1"/>
  <c r="J48" i="7"/>
  <c r="K48" i="7" a="1"/>
  <c r="K48" i="7" s="1"/>
  <c r="M48" i="7" a="1"/>
  <c r="M48" i="7" s="1"/>
  <c r="L48" i="7" s="1"/>
  <c r="O48" i="7" a="1"/>
  <c r="O48" i="7" s="1"/>
  <c r="N48" i="7" s="1"/>
  <c r="Q48" i="7" a="1"/>
  <c r="Q48" i="7" s="1"/>
  <c r="P48" i="7" s="1"/>
  <c r="J160" i="7"/>
  <c r="K160" i="7" a="1"/>
  <c r="K160" i="7" s="1"/>
  <c r="M160" i="7" a="1"/>
  <c r="M160" i="7" s="1"/>
  <c r="L160" i="7" s="1"/>
  <c r="O160" i="7" a="1"/>
  <c r="O160" i="7" s="1"/>
  <c r="N160" i="7" s="1"/>
  <c r="Q160" i="7" a="1"/>
  <c r="Q160" i="7" s="1"/>
  <c r="P160" i="7" s="1"/>
  <c r="J164" i="7"/>
  <c r="K164" i="7" a="1"/>
  <c r="K164" i="7" s="1"/>
  <c r="M164" i="7" a="1"/>
  <c r="M164" i="7" s="1"/>
  <c r="L164" i="7" s="1"/>
  <c r="O164" i="7" a="1"/>
  <c r="O164" i="7" s="1"/>
  <c r="N164" i="7" s="1"/>
  <c r="Q164" i="7" a="1"/>
  <c r="Q164" i="7" s="1"/>
  <c r="P164" i="7" s="1"/>
  <c r="J170" i="7"/>
  <c r="K170" i="7" a="1"/>
  <c r="K170" i="7" s="1"/>
  <c r="M170" i="7" a="1"/>
  <c r="M170" i="7" s="1"/>
  <c r="L170" i="7" s="1"/>
  <c r="O170" i="7" a="1"/>
  <c r="O170" i="7" s="1"/>
  <c r="N170" i="7" s="1"/>
  <c r="Q170" i="7" a="1"/>
  <c r="Q170" i="7" s="1"/>
  <c r="P170" i="7" s="1"/>
  <c r="J158" i="7"/>
  <c r="K158" i="7" a="1"/>
  <c r="K158" i="7" s="1"/>
  <c r="M158" i="7" a="1"/>
  <c r="M158" i="7" s="1"/>
  <c r="L158" i="7" s="1"/>
  <c r="O158" i="7" a="1"/>
  <c r="O158" i="7" s="1"/>
  <c r="N158" i="7" s="1"/>
  <c r="Q158" i="7" a="1"/>
  <c r="Q158" i="7" s="1"/>
  <c r="P158" i="7" s="1"/>
  <c r="J157" i="7"/>
  <c r="K157" i="7" a="1"/>
  <c r="K157" i="7" s="1"/>
  <c r="M157" i="7" a="1"/>
  <c r="M157" i="7" s="1"/>
  <c r="L157" i="7" s="1"/>
  <c r="O157" i="7" a="1"/>
  <c r="O157" i="7" s="1"/>
  <c r="N157" i="7" s="1"/>
  <c r="Q157" i="7" a="1"/>
  <c r="Q157" i="7" s="1"/>
  <c r="P157" i="7" s="1"/>
  <c r="J97" i="7"/>
  <c r="K97" i="7" a="1"/>
  <c r="K97" i="7" s="1"/>
  <c r="M97" i="7" a="1"/>
  <c r="M97" i="7" s="1"/>
  <c r="L97" i="7" s="1"/>
  <c r="O97" i="7" a="1"/>
  <c r="O97" i="7" s="1"/>
  <c r="N97" i="7" s="1"/>
  <c r="Q97" i="7" a="1"/>
  <c r="Q97" i="7" s="1"/>
  <c r="P97" i="7" s="1"/>
  <c r="J159" i="7"/>
  <c r="K159" i="7" a="1"/>
  <c r="K159" i="7" s="1"/>
  <c r="M159" i="7" a="1"/>
  <c r="M159" i="7" s="1"/>
  <c r="L159" i="7" s="1"/>
  <c r="O159" i="7" a="1"/>
  <c r="O159" i="7" s="1"/>
  <c r="N159" i="7" s="1"/>
  <c r="Q159" i="7" a="1"/>
  <c r="Q159" i="7" s="1"/>
  <c r="P159" i="7" s="1"/>
  <c r="J165" i="7"/>
  <c r="K165" i="7" a="1"/>
  <c r="K165" i="7" s="1"/>
  <c r="M165" i="7" a="1"/>
  <c r="M165" i="7" s="1"/>
  <c r="L165" i="7" s="1"/>
  <c r="O165" i="7" a="1"/>
  <c r="O165" i="7" s="1"/>
  <c r="N165" i="7" s="1"/>
  <c r="Q165" i="7" a="1"/>
  <c r="Q165" i="7" s="1"/>
  <c r="P165" i="7" s="1"/>
  <c r="J16" i="7"/>
  <c r="K16" i="7" a="1"/>
  <c r="K16" i="7" s="1"/>
  <c r="O16" i="7" a="1"/>
  <c r="O16" i="7" s="1"/>
  <c r="N16" i="7" s="1"/>
  <c r="M37" i="7" a="1"/>
  <c r="M37" i="7" s="1"/>
  <c r="L37" i="7" s="1"/>
  <c r="Q37" i="7" a="1"/>
  <c r="Q37" i="7" s="1"/>
  <c r="P37" i="7" s="1"/>
  <c r="J39" i="7"/>
  <c r="K39" i="7" a="1"/>
  <c r="K39" i="7" s="1"/>
  <c r="M39" i="7" a="1"/>
  <c r="M39" i="7" s="1"/>
  <c r="L39" i="7" s="1"/>
  <c r="O39" i="7" a="1"/>
  <c r="O39" i="7" s="1"/>
  <c r="N39" i="7" s="1"/>
  <c r="Q39" i="7" a="1"/>
  <c r="Q39" i="7" s="1"/>
  <c r="P39" i="7" s="1"/>
  <c r="J44" i="7"/>
  <c r="K44" i="7" a="1"/>
  <c r="K44" i="7" s="1"/>
  <c r="M44" i="7" a="1"/>
  <c r="M44" i="7" s="1"/>
  <c r="L44" i="7" s="1"/>
  <c r="O44" i="7" a="1"/>
  <c r="O44" i="7" s="1"/>
  <c r="N44" i="7" s="1"/>
  <c r="Q44" i="7" a="1"/>
  <c r="Q44" i="7" s="1"/>
  <c r="P44" i="7" s="1"/>
  <c r="J45" i="7"/>
  <c r="K45" i="7" a="1"/>
  <c r="K45" i="7" s="1"/>
  <c r="M45" i="7" a="1"/>
  <c r="M45" i="7" s="1"/>
  <c r="L45" i="7" s="1"/>
  <c r="O45" i="7" a="1"/>
  <c r="O45" i="7" s="1"/>
  <c r="N45" i="7" s="1"/>
  <c r="Q45" i="7" a="1"/>
  <c r="Q45" i="7" s="1"/>
  <c r="P45" i="7" s="1"/>
  <c r="J47" i="7"/>
  <c r="K47" i="7" a="1"/>
  <c r="K47" i="7" s="1"/>
  <c r="M47" i="7" a="1"/>
  <c r="M47" i="7" s="1"/>
  <c r="L47" i="7" s="1"/>
  <c r="O47" i="7" a="1"/>
  <c r="O47" i="7" s="1"/>
  <c r="N47" i="7" s="1"/>
  <c r="Q47" i="7" a="1"/>
  <c r="Q47" i="7" s="1"/>
  <c r="P47" i="7" s="1"/>
  <c r="M50" i="7" a="1"/>
  <c r="M50" i="7" s="1"/>
  <c r="L50" i="7" s="1"/>
  <c r="Q50" i="7" a="1"/>
  <c r="Q50" i="7" s="1"/>
  <c r="P50" i="7" s="1"/>
  <c r="Q51" i="7" a="1"/>
  <c r="Q51" i="7" s="1"/>
  <c r="P51" i="7" s="1"/>
  <c r="J83" i="7"/>
  <c r="K83" i="7" a="1"/>
  <c r="K83" i="7" s="1"/>
  <c r="O83" i="7" a="1"/>
  <c r="O83" i="7" s="1"/>
  <c r="N83" i="7" s="1"/>
  <c r="Q83" i="7" a="1"/>
  <c r="Q83" i="7" s="1"/>
  <c r="P83" i="7" s="1"/>
  <c r="Q86" i="7" a="1"/>
  <c r="Q86" i="7" s="1"/>
  <c r="P86" i="7" s="1"/>
  <c r="Q57" i="7" a="1"/>
  <c r="Q57" i="7" s="1"/>
  <c r="P57" i="7" s="1"/>
  <c r="Q56" i="7" a="1"/>
  <c r="Q56" i="7" s="1"/>
  <c r="P56" i="7" s="1"/>
  <c r="J58" i="7"/>
  <c r="K58" i="7" a="1"/>
  <c r="K58" i="7" s="1"/>
  <c r="M58" i="7" a="1"/>
  <c r="M58" i="7" s="1"/>
  <c r="L58" i="7" s="1"/>
  <c r="O58" i="7" a="1"/>
  <c r="O58" i="7" s="1"/>
  <c r="N58" i="7" s="1"/>
  <c r="Q58" i="7" a="1"/>
  <c r="Q58" i="7" s="1"/>
  <c r="P58" i="7" s="1"/>
  <c r="J25" i="7"/>
  <c r="K25" i="7" a="1"/>
  <c r="K25" i="7" s="1"/>
  <c r="O25" i="7" a="1"/>
  <c r="O25" i="7" s="1"/>
  <c r="N25" i="7" s="1"/>
  <c r="Q25" i="7" a="1"/>
  <c r="Q25" i="7" s="1"/>
  <c r="P25" i="7" s="1"/>
  <c r="J94" i="7"/>
  <c r="K94" i="7" a="1"/>
  <c r="K94" i="7" s="1"/>
  <c r="O94" i="7" a="1"/>
  <c r="O94" i="7" s="1"/>
  <c r="N94" i="7" s="1"/>
  <c r="Q94" i="7" a="1"/>
  <c r="Q94" i="7" s="1"/>
  <c r="P94" i="7" s="1"/>
  <c r="Q96" i="7" a="1"/>
  <c r="Q96" i="7" s="1"/>
  <c r="P96" i="7" s="1"/>
  <c r="Q21" i="7" a="1"/>
  <c r="Q21" i="7" s="1"/>
  <c r="O21" i="7" a="1"/>
  <c r="O21" i="7" s="1"/>
  <c r="K21" i="7" a="1"/>
  <c r="K21" i="7" s="1"/>
  <c r="AA97" i="7"/>
  <c r="M56" i="7" a="1"/>
  <c r="M56" i="7" s="1"/>
  <c r="L56" i="7" s="1"/>
  <c r="AE15" i="7"/>
  <c r="Q15" i="7" s="1" a="1"/>
  <c r="Q15" i="7" s="1"/>
  <c r="P15" i="7" s="1"/>
  <c r="AD15" i="7"/>
  <c r="AC15" i="7"/>
  <c r="O15" i="7" s="1" a="1"/>
  <c r="O15" i="7" s="1"/>
  <c r="N15" i="7" s="1"/>
  <c r="L13" i="15" l="1" a="1"/>
  <c r="L13" i="15" s="1"/>
  <c r="K13" i="15" s="1"/>
  <c r="K11" i="15"/>
  <c r="L15" i="15" a="1"/>
  <c r="L15" i="15" s="1"/>
  <c r="K15" i="15" s="1"/>
  <c r="L14" i="15" a="1"/>
  <c r="L14" i="15" s="1"/>
  <c r="K14" i="15" s="1"/>
  <c r="K10" i="15"/>
  <c r="L9" i="15" a="1"/>
  <c r="L9" i="15" s="1"/>
  <c r="K9" i="15" s="1"/>
  <c r="L12" i="15" a="1"/>
  <c r="L12" i="15" s="1"/>
  <c r="K12" i="15" s="1"/>
  <c r="K8" i="15"/>
  <c r="AA48" i="7"/>
  <c r="AA160" i="7"/>
  <c r="AA164" i="7"/>
  <c r="AA170" i="7"/>
  <c r="AA158" i="7"/>
  <c r="AA157" i="7"/>
  <c r="AA49" i="7"/>
  <c r="Z13" i="9"/>
  <c r="Z14" i="9"/>
  <c r="AA51" i="8"/>
  <c r="K51" i="8" a="1"/>
  <c r="K51" i="8" s="1"/>
  <c r="J51" i="8" s="1"/>
  <c r="M51" i="8" a="1"/>
  <c r="M51" i="8" s="1"/>
  <c r="L51" i="8" s="1"/>
  <c r="AC39" i="8"/>
  <c r="AC38" i="8"/>
  <c r="O38" i="8" s="1" a="1"/>
  <c r="O38" i="8" s="1"/>
  <c r="N38" i="8" s="1"/>
  <c r="AC36" i="8"/>
  <c r="O36" i="8" s="1" a="1"/>
  <c r="O36" i="8" s="1"/>
  <c r="N36" i="8" s="1"/>
  <c r="AC35" i="8"/>
  <c r="O35" i="8" s="1" a="1"/>
  <c r="O35" i="8" s="1"/>
  <c r="N35" i="8" s="1"/>
  <c r="AC34" i="8"/>
  <c r="AA37" i="8"/>
  <c r="AA40" i="8"/>
  <c r="AA41" i="8"/>
  <c r="AA42" i="8"/>
  <c r="AA43" i="8"/>
  <c r="AA44" i="8"/>
  <c r="AA45" i="8"/>
  <c r="AA46" i="8"/>
  <c r="AA47" i="8"/>
  <c r="AA48" i="8"/>
  <c r="AA49" i="8"/>
  <c r="AA50" i="8"/>
  <c r="M35" i="8" a="1"/>
  <c r="M35" i="8" s="1"/>
  <c r="L35" i="8" s="1"/>
  <c r="M36" i="8" a="1"/>
  <c r="M36" i="8" s="1"/>
  <c r="L36" i="8" s="1"/>
  <c r="K37" i="8" a="1"/>
  <c r="K37" i="8" s="1"/>
  <c r="J37" i="8" s="1"/>
  <c r="M37" i="8" a="1"/>
  <c r="M37" i="8" s="1"/>
  <c r="L37" i="8" s="1"/>
  <c r="M38" i="8" a="1"/>
  <c r="M38" i="8" s="1"/>
  <c r="L38" i="8" s="1"/>
  <c r="M39" i="8" a="1"/>
  <c r="M39" i="8" s="1"/>
  <c r="L39" i="8" s="1"/>
  <c r="K40" i="8" a="1"/>
  <c r="K40" i="8" s="1"/>
  <c r="J40" i="8" s="1"/>
  <c r="M40" i="8" a="1"/>
  <c r="M40" i="8" s="1"/>
  <c r="L40" i="8" s="1"/>
  <c r="K41" i="8" a="1"/>
  <c r="K41" i="8" s="1"/>
  <c r="J41" i="8" s="1"/>
  <c r="M41" i="8" a="1"/>
  <c r="M41" i="8" s="1"/>
  <c r="L41" i="8" s="1"/>
  <c r="K42" i="8" a="1"/>
  <c r="K42" i="8" s="1"/>
  <c r="J42" i="8" s="1"/>
  <c r="M42" i="8" a="1"/>
  <c r="M42" i="8" s="1"/>
  <c r="L42" i="8" s="1"/>
  <c r="K43" i="8" a="1"/>
  <c r="K43" i="8" s="1"/>
  <c r="J43" i="8" s="1"/>
  <c r="M43" i="8" a="1"/>
  <c r="M43" i="8" s="1"/>
  <c r="L43" i="8" s="1"/>
  <c r="K44" i="8" a="1"/>
  <c r="K44" i="8" s="1"/>
  <c r="J44" i="8" s="1"/>
  <c r="M44" i="8" a="1"/>
  <c r="M44" i="8" s="1"/>
  <c r="L44" i="8" s="1"/>
  <c r="K45" i="8" a="1"/>
  <c r="K45" i="8" s="1"/>
  <c r="J45" i="8" s="1"/>
  <c r="M45" i="8" a="1"/>
  <c r="M45" i="8" s="1"/>
  <c r="L45" i="8" s="1"/>
  <c r="K46" i="8" a="1"/>
  <c r="K46" i="8" s="1"/>
  <c r="J46" i="8" s="1"/>
  <c r="M46" i="8" a="1"/>
  <c r="M46" i="8" s="1"/>
  <c r="L46" i="8" s="1"/>
  <c r="K47" i="8" a="1"/>
  <c r="K47" i="8" s="1"/>
  <c r="J47" i="8" s="1"/>
  <c r="M47" i="8" a="1"/>
  <c r="M47" i="8" s="1"/>
  <c r="L47" i="8" s="1"/>
  <c r="K48" i="8" a="1"/>
  <c r="K48" i="8" s="1"/>
  <c r="J48" i="8" s="1"/>
  <c r="M48" i="8" a="1"/>
  <c r="M48" i="8" s="1"/>
  <c r="L48" i="8" s="1"/>
  <c r="K49" i="8" a="1"/>
  <c r="K49" i="8" s="1"/>
  <c r="J49" i="8" s="1"/>
  <c r="M49" i="8" a="1"/>
  <c r="M49" i="8" s="1"/>
  <c r="L49" i="8" s="1"/>
  <c r="K50" i="8" a="1"/>
  <c r="K50" i="8" s="1"/>
  <c r="J50" i="8" s="1"/>
  <c r="M50" i="8" a="1"/>
  <c r="M50" i="8" s="1"/>
  <c r="L50" i="8" s="1"/>
  <c r="M34" i="8" a="1"/>
  <c r="M34" i="8" s="1"/>
  <c r="L34" i="8" s="1"/>
  <c r="AC24" i="12"/>
  <c r="AA24" i="12" s="1"/>
  <c r="Q24" i="12" a="1"/>
  <c r="Q24" i="12" s="1"/>
  <c r="P24" i="12" s="1"/>
  <c r="M24" i="12" a="1"/>
  <c r="M24" i="12" s="1"/>
  <c r="L24" i="12" s="1"/>
  <c r="AC23" i="12"/>
  <c r="AA23" i="12" s="1"/>
  <c r="K23" i="12" s="1" a="1"/>
  <c r="K23" i="12" s="1"/>
  <c r="Q23" i="12" a="1"/>
  <c r="Q23" i="12" s="1"/>
  <c r="P23" i="12" s="1"/>
  <c r="M23" i="12" a="1"/>
  <c r="M23" i="12" s="1"/>
  <c r="L23" i="12" s="1"/>
  <c r="AA33" i="8"/>
  <c r="K33" i="8" s="1" a="1"/>
  <c r="K33" i="8" s="1"/>
  <c r="J33" i="8" s="1"/>
  <c r="M33" i="8" a="1"/>
  <c r="M33" i="8" s="1"/>
  <c r="L33" i="8" s="1"/>
  <c r="J19" i="12"/>
  <c r="K19" i="12" a="1"/>
  <c r="K19" i="12" s="1"/>
  <c r="M19" i="12" a="1"/>
  <c r="M19" i="12" s="1"/>
  <c r="L19" i="12" s="1"/>
  <c r="O19" i="12" a="1"/>
  <c r="O19" i="12" s="1"/>
  <c r="N19" i="12" s="1"/>
  <c r="Q19" i="12" a="1"/>
  <c r="Q19" i="12" s="1"/>
  <c r="P19" i="12" s="1"/>
  <c r="J20" i="12"/>
  <c r="K20" i="12" a="1"/>
  <c r="K20" i="12" s="1"/>
  <c r="M20" i="12" a="1"/>
  <c r="M20" i="12" s="1"/>
  <c r="L20" i="12" s="1"/>
  <c r="O20" i="12" a="1"/>
  <c r="O20" i="12" s="1"/>
  <c r="N20" i="12" s="1"/>
  <c r="Q20" i="12" a="1"/>
  <c r="Q20" i="12" s="1"/>
  <c r="P20" i="12" s="1"/>
  <c r="J21" i="12"/>
  <c r="K21" i="12" a="1"/>
  <c r="K21" i="12" s="1"/>
  <c r="M21" i="12" a="1"/>
  <c r="M21" i="12" s="1"/>
  <c r="L21" i="12" s="1"/>
  <c r="O21" i="12" a="1"/>
  <c r="O21" i="12" s="1"/>
  <c r="N21" i="12" s="1"/>
  <c r="Q21" i="12" a="1"/>
  <c r="Q21" i="12" s="1"/>
  <c r="P21" i="12" s="1"/>
  <c r="J22" i="12"/>
  <c r="K22" i="12" a="1"/>
  <c r="K22" i="12" s="1"/>
  <c r="M22" i="12" a="1"/>
  <c r="M22" i="12" s="1"/>
  <c r="L22" i="12" s="1"/>
  <c r="O22" i="12" a="1"/>
  <c r="O22" i="12" s="1"/>
  <c r="N22" i="12" s="1"/>
  <c r="Q22" i="12" a="1"/>
  <c r="Q22" i="12" s="1"/>
  <c r="P22" i="12" s="1"/>
  <c r="AA19" i="12"/>
  <c r="AA20" i="12"/>
  <c r="AA21" i="12"/>
  <c r="AA22" i="12"/>
  <c r="J32" i="8"/>
  <c r="K32" i="8" a="1"/>
  <c r="K32" i="8" s="1"/>
  <c r="M32" i="8" a="1"/>
  <c r="M32" i="8" s="1"/>
  <c r="L32" i="8" s="1"/>
  <c r="AA32" i="8"/>
  <c r="AA31" i="8"/>
  <c r="M31" i="8" a="1"/>
  <c r="M31" i="8" s="1"/>
  <c r="L31" i="8" s="1"/>
  <c r="K31" i="8" a="1"/>
  <c r="K31" i="8" s="1"/>
  <c r="J31" i="8"/>
  <c r="AA30" i="8"/>
  <c r="M30" i="8" a="1"/>
  <c r="M30" i="8" s="1"/>
  <c r="L30" i="8" s="1"/>
  <c r="K30" i="8" a="1"/>
  <c r="K30" i="8" s="1"/>
  <c r="J30" i="8"/>
  <c r="J29" i="8"/>
  <c r="K29" i="8" a="1"/>
  <c r="K29" i="8" s="1"/>
  <c r="M29" i="8" a="1"/>
  <c r="M29" i="8" s="1"/>
  <c r="L29" i="8" s="1"/>
  <c r="AA29" i="8"/>
  <c r="Z57" i="9"/>
  <c r="Z53" i="9"/>
  <c r="Z54" i="9"/>
  <c r="Z55" i="9"/>
  <c r="Z56" i="9"/>
  <c r="AA15" i="12"/>
  <c r="AA16" i="12"/>
  <c r="AA17" i="12"/>
  <c r="AA18" i="12"/>
  <c r="K15" i="12" a="1"/>
  <c r="K15" i="12" s="1"/>
  <c r="J15" i="12" s="1"/>
  <c r="M15" i="12" a="1"/>
  <c r="M15" i="12" s="1"/>
  <c r="L15" i="12" s="1"/>
  <c r="O15" i="12" a="1"/>
  <c r="O15" i="12" s="1"/>
  <c r="N15" i="12" s="1"/>
  <c r="Q15" i="12" a="1"/>
  <c r="Q15" i="12" s="1"/>
  <c r="P15" i="12" s="1"/>
  <c r="K16" i="12" a="1"/>
  <c r="K16" i="12" s="1"/>
  <c r="J16" i="12" s="1"/>
  <c r="M16" i="12" a="1"/>
  <c r="M16" i="12" s="1"/>
  <c r="L16" i="12" s="1"/>
  <c r="O16" i="12" a="1"/>
  <c r="O16" i="12" s="1"/>
  <c r="N16" i="12" s="1"/>
  <c r="Q16" i="12" a="1"/>
  <c r="Q16" i="12" s="1"/>
  <c r="P16" i="12" s="1"/>
  <c r="K17" i="12" a="1"/>
  <c r="K17" i="12" s="1"/>
  <c r="J17" i="12" s="1"/>
  <c r="M17" i="12" a="1"/>
  <c r="M17" i="12" s="1"/>
  <c r="L17" i="12" s="1"/>
  <c r="O17" i="12" a="1"/>
  <c r="O17" i="12" s="1"/>
  <c r="N17" i="12" s="1"/>
  <c r="Q17" i="12" a="1"/>
  <c r="Q17" i="12" s="1"/>
  <c r="P17" i="12" s="1"/>
  <c r="K18" i="12" a="1"/>
  <c r="K18" i="12" s="1"/>
  <c r="J18" i="12" s="1"/>
  <c r="M18" i="12" a="1"/>
  <c r="M18" i="12" s="1"/>
  <c r="L18" i="12" s="1"/>
  <c r="O18" i="12" a="1"/>
  <c r="O18" i="12" s="1"/>
  <c r="N18" i="12" s="1"/>
  <c r="Q18" i="12" a="1"/>
  <c r="Q18" i="12" s="1"/>
  <c r="P18" i="12" s="1"/>
  <c r="J14" i="12"/>
  <c r="K14" i="12" a="1"/>
  <c r="K14" i="12" s="1"/>
  <c r="O14" i="12" a="1"/>
  <c r="O14" i="12" s="1"/>
  <c r="N14" i="12" s="1"/>
  <c r="Q14" i="12" a="1"/>
  <c r="Q14" i="12" s="1"/>
  <c r="P14" i="12" s="1"/>
  <c r="AA14" i="12"/>
  <c r="AM14" i="12"/>
  <c r="M14" i="12" s="1" a="1"/>
  <c r="M14" i="12" s="1"/>
  <c r="L14" i="12" s="1"/>
  <c r="P21" i="7"/>
  <c r="K6" i="8" a="1"/>
  <c r="K6" i="8" s="1"/>
  <c r="G24" i="3"/>
  <c r="G19" i="3"/>
  <c r="G14" i="3"/>
  <c r="AG78" i="8"/>
  <c r="AG79" i="8"/>
  <c r="AG80" i="8"/>
  <c r="AG81" i="8"/>
  <c r="AG82" i="8"/>
  <c r="AG83" i="8"/>
  <c r="AG84" i="8"/>
  <c r="AG85" i="8"/>
  <c r="AG87" i="8"/>
  <c r="AG88" i="8"/>
  <c r="AG89" i="8"/>
  <c r="AG90" i="8"/>
  <c r="AG91" i="8"/>
  <c r="AG92" i="8"/>
  <c r="AG93" i="8"/>
  <c r="AG94" i="8"/>
  <c r="AG95" i="8"/>
  <c r="AG96" i="8"/>
  <c r="AG99" i="8"/>
  <c r="AG100" i="8"/>
  <c r="AG105" i="8"/>
  <c r="AG106" i="8"/>
  <c r="AG107" i="8"/>
  <c r="AG108" i="8"/>
  <c r="AG112" i="8"/>
  <c r="AG114" i="8"/>
  <c r="AG115" i="8"/>
  <c r="AG116" i="8"/>
  <c r="AG118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7" i="8"/>
  <c r="AG148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U95" i="7" a="1"/>
  <c r="AU95" i="7" s="1"/>
  <c r="G9" i="3"/>
  <c r="AA38" i="8" l="1"/>
  <c r="K38" i="8" s="1" a="1"/>
  <c r="K38" i="8" s="1"/>
  <c r="J38" i="8" s="1"/>
  <c r="AA35" i="8"/>
  <c r="K35" i="8" s="1" a="1"/>
  <c r="K35" i="8" s="1"/>
  <c r="J35" i="8" s="1"/>
  <c r="AA39" i="8"/>
  <c r="K39" i="8" s="1" a="1"/>
  <c r="K39" i="8" s="1"/>
  <c r="J39" i="8" s="1"/>
  <c r="O39" i="8" a="1"/>
  <c r="O39" i="8" s="1"/>
  <c r="N39" i="8" s="1"/>
  <c r="AA36" i="8"/>
  <c r="K36" i="8" s="1" a="1"/>
  <c r="K36" i="8" s="1"/>
  <c r="J36" i="8" s="1"/>
  <c r="AA34" i="8"/>
  <c r="K34" i="8" s="1" a="1"/>
  <c r="K34" i="8" s="1"/>
  <c r="J34" i="8" s="1"/>
  <c r="O34" i="8" a="1"/>
  <c r="O34" i="8" s="1"/>
  <c r="N34" i="8" s="1"/>
  <c r="L2" i="15"/>
  <c r="L1" i="15"/>
  <c r="K24" i="12" a="1"/>
  <c r="K24" i="12" s="1"/>
  <c r="J24" i="12" s="1"/>
  <c r="O24" i="12" a="1"/>
  <c r="O24" i="12" s="1"/>
  <c r="N24" i="12" s="1"/>
  <c r="J23" i="12"/>
  <c r="O23" i="12" a="1"/>
  <c r="O23" i="12" s="1"/>
  <c r="N23" i="12" s="1"/>
  <c r="O6" i="12" a="1"/>
  <c r="O6" i="12" s="1"/>
  <c r="N6" i="12" s="1"/>
  <c r="O7" i="12" a="1"/>
  <c r="O7" i="12" s="1"/>
  <c r="N7" i="12" s="1"/>
  <c r="O8" i="12" a="1"/>
  <c r="O8" i="12" s="1"/>
  <c r="N8" i="12" s="1"/>
  <c r="O10" i="12" a="1"/>
  <c r="O10" i="12" s="1"/>
  <c r="N10" i="12" s="1"/>
  <c r="O11" i="12" a="1"/>
  <c r="O11" i="12" s="1"/>
  <c r="N11" i="12" s="1"/>
  <c r="O13" i="12" a="1"/>
  <c r="O13" i="12" s="1"/>
  <c r="N13" i="12" s="1"/>
  <c r="J6" i="10" a="1"/>
  <c r="J6" i="10" s="1"/>
  <c r="N7" i="10" a="1"/>
  <c r="N7" i="10" s="1"/>
  <c r="P7" i="10" a="1"/>
  <c r="P7" i="10" s="1"/>
  <c r="O7" i="10" s="1"/>
  <c r="N8" i="10" a="1"/>
  <c r="N8" i="10" s="1"/>
  <c r="P8" i="10" a="1"/>
  <c r="P8" i="10" s="1"/>
  <c r="O8" i="10" s="1"/>
  <c r="N9" i="10" a="1"/>
  <c r="N9" i="10" s="1"/>
  <c r="P9" i="10" a="1"/>
  <c r="P9" i="10" s="1"/>
  <c r="O9" i="10" s="1"/>
  <c r="N10" i="10" a="1"/>
  <c r="N10" i="10" s="1"/>
  <c r="N11" i="10" a="1"/>
  <c r="N11" i="10" s="1"/>
  <c r="N12" i="10" a="1"/>
  <c r="N12" i="10" s="1"/>
  <c r="N13" i="10" a="1"/>
  <c r="N13" i="10" s="1"/>
  <c r="N14" i="10" a="1"/>
  <c r="N14" i="10" s="1"/>
  <c r="N15" i="10" a="1"/>
  <c r="N15" i="10" s="1"/>
  <c r="P15" i="10" a="1"/>
  <c r="P15" i="10" s="1"/>
  <c r="O15" i="10" s="1"/>
  <c r="N16" i="10" a="1"/>
  <c r="N16" i="10" s="1"/>
  <c r="P16" i="10" a="1"/>
  <c r="P16" i="10" s="1"/>
  <c r="O16" i="10" s="1"/>
  <c r="N17" i="10" a="1"/>
  <c r="N17" i="10" s="1"/>
  <c r="P17" i="10" a="1"/>
  <c r="P17" i="10" s="1"/>
  <c r="O17" i="10" s="1"/>
  <c r="N18" i="10" a="1"/>
  <c r="N18" i="10" s="1"/>
  <c r="P18" i="10" a="1"/>
  <c r="P18" i="10" s="1"/>
  <c r="O18" i="10" s="1"/>
  <c r="N19" i="10" a="1"/>
  <c r="N19" i="10" s="1"/>
  <c r="P19" i="10" a="1"/>
  <c r="P19" i="10" s="1"/>
  <c r="O19" i="10" s="1"/>
  <c r="N20" i="10" a="1"/>
  <c r="N20" i="10" s="1"/>
  <c r="N21" i="10" a="1"/>
  <c r="N21" i="10" s="1"/>
  <c r="P6" i="10" a="1"/>
  <c r="P6" i="10" s="1"/>
  <c r="N6" i="10" a="1"/>
  <c r="N6" i="10" s="1"/>
  <c r="M6" i="10" s="1"/>
  <c r="AC141" i="7"/>
  <c r="O141" i="7" s="1" a="1"/>
  <c r="O141" i="7" s="1"/>
  <c r="N141" i="7" s="1"/>
  <c r="O24" i="8" a="1"/>
  <c r="O24" i="8" s="1"/>
  <c r="N24" i="8" s="1"/>
  <c r="O26" i="8" a="1"/>
  <c r="O26" i="8" s="1"/>
  <c r="N26" i="8" s="1"/>
  <c r="O27" i="8" a="1"/>
  <c r="O27" i="8" s="1"/>
  <c r="N27" i="8" s="1"/>
  <c r="O7" i="8" a="1"/>
  <c r="O7" i="8" s="1"/>
  <c r="N7" i="8" s="1"/>
  <c r="O10" i="8" a="1"/>
  <c r="O10" i="8" s="1"/>
  <c r="N10" i="8" s="1"/>
  <c r="O11" i="8" a="1"/>
  <c r="O11" i="8" s="1"/>
  <c r="N11" i="8" s="1"/>
  <c r="O12" i="8" a="1"/>
  <c r="O12" i="8" s="1"/>
  <c r="N12" i="8" s="1"/>
  <c r="O13" i="8" a="1"/>
  <c r="O13" i="8" s="1"/>
  <c r="N13" i="8" s="1"/>
  <c r="O17" i="8" a="1"/>
  <c r="O17" i="8" s="1"/>
  <c r="N17" i="8" s="1"/>
  <c r="O20" i="8" a="1"/>
  <c r="O20" i="8" s="1"/>
  <c r="N20" i="8" s="1"/>
  <c r="O21" i="8" a="1"/>
  <c r="O21" i="8" s="1"/>
  <c r="N21" i="8" s="1"/>
  <c r="O23" i="8" a="1"/>
  <c r="O23" i="8" s="1"/>
  <c r="N23" i="8" s="1"/>
  <c r="M6" i="8" a="1"/>
  <c r="M6" i="8" s="1"/>
  <c r="O6" i="8" a="1"/>
  <c r="O6" i="8" s="1"/>
  <c r="N6" i="8" s="1"/>
  <c r="N21" i="7"/>
  <c r="H24" i="3"/>
  <c r="H19" i="3"/>
  <c r="H14" i="3"/>
  <c r="AG6" i="12"/>
  <c r="AE28" i="8"/>
  <c r="Q28" i="8" s="1" a="1"/>
  <c r="Q28" i="8" s="1"/>
  <c r="P28" i="8" s="1"/>
  <c r="AD28" i="8"/>
  <c r="AC28" i="8"/>
  <c r="O28" i="8" s="1" a="1"/>
  <c r="O28" i="8" s="1"/>
  <c r="N28" i="8" s="1"/>
  <c r="AB28" i="8"/>
  <c r="M28" i="8" s="1" a="1"/>
  <c r="M28" i="8" s="1"/>
  <c r="L28" i="8" s="1"/>
  <c r="H9" i="3"/>
  <c r="H12" i="3"/>
  <c r="H13" i="3"/>
  <c r="M174" i="7" l="1" a="1"/>
  <c r="M174" i="7" s="1"/>
  <c r="L174" i="7" s="1"/>
  <c r="M176" i="7" a="1"/>
  <c r="M176" i="7" s="1"/>
  <c r="L176" i="7" s="1"/>
  <c r="AA28" i="8"/>
  <c r="K28" i="8" s="1" a="1"/>
  <c r="K28" i="8" s="1"/>
  <c r="J28" i="8" s="1"/>
  <c r="K141" i="7" l="1" a="1"/>
  <c r="K141" i="7" s="1"/>
  <c r="J141" i="7" s="1"/>
  <c r="G32" i="3"/>
  <c r="G33" i="3"/>
  <c r="G26" i="3"/>
  <c r="G23" i="3"/>
  <c r="G22" i="3"/>
  <c r="G17" i="3"/>
  <c r="G18" i="3"/>
  <c r="G12" i="3"/>
  <c r="G13" i="3"/>
  <c r="AB60" i="9"/>
  <c r="AB46" i="9"/>
  <c r="AB45" i="9"/>
  <c r="AB42" i="9"/>
  <c r="AB34" i="9"/>
  <c r="AB9" i="9"/>
  <c r="AB6" i="9"/>
  <c r="N6" i="9" s="1" a="1"/>
  <c r="N6" i="9" s="1"/>
  <c r="M6" i="9" s="1"/>
  <c r="AB65" i="9"/>
  <c r="AB37" i="9"/>
  <c r="AB40" i="9"/>
  <c r="AB41" i="9"/>
  <c r="AB15" i="9"/>
  <c r="AB63" i="9"/>
  <c r="Z40" i="9" l="1"/>
  <c r="Z37" i="9"/>
  <c r="Z41" i="9"/>
  <c r="AA8" i="12"/>
  <c r="K8" i="12" s="1" a="1"/>
  <c r="K8" i="12" s="1"/>
  <c r="J8" i="12" s="1"/>
  <c r="AA10" i="12"/>
  <c r="AA11" i="12"/>
  <c r="AA13" i="12"/>
  <c r="AA7" i="12"/>
  <c r="K7" i="12" s="1" a="1"/>
  <c r="K7" i="12" s="1"/>
  <c r="J7" i="12" s="1"/>
  <c r="AA6" i="12"/>
  <c r="M7" i="12" a="1"/>
  <c r="M7" i="12" s="1"/>
  <c r="L7" i="12" s="1"/>
  <c r="Q7" i="12" a="1"/>
  <c r="Q7" i="12" s="1"/>
  <c r="P7" i="12" s="1"/>
  <c r="M8" i="12" a="1"/>
  <c r="M8" i="12" s="1"/>
  <c r="L8" i="12" s="1"/>
  <c r="Q8" i="12" a="1"/>
  <c r="Q8" i="12" s="1"/>
  <c r="P8" i="12" s="1"/>
  <c r="M10" i="12" a="1"/>
  <c r="M10" i="12" s="1"/>
  <c r="L10" i="12" s="1"/>
  <c r="J10" i="12"/>
  <c r="K10" i="12" a="1"/>
  <c r="K10" i="12" s="1"/>
  <c r="Q10" i="12" a="1"/>
  <c r="Q10" i="12" s="1"/>
  <c r="P10" i="12" s="1"/>
  <c r="M11" i="12" a="1"/>
  <c r="M11" i="12" s="1"/>
  <c r="L11" i="12" s="1"/>
  <c r="J11" i="12"/>
  <c r="K11" i="12" a="1"/>
  <c r="K11" i="12" s="1"/>
  <c r="Q11" i="12" a="1"/>
  <c r="Q11" i="12" s="1"/>
  <c r="P11" i="12" s="1"/>
  <c r="M12" i="12" a="1"/>
  <c r="M12" i="12" s="1"/>
  <c r="L12" i="12" s="1"/>
  <c r="M13" i="12" a="1"/>
  <c r="M13" i="12" s="1"/>
  <c r="L13" i="12" s="1"/>
  <c r="J13" i="12"/>
  <c r="K13" i="12" a="1"/>
  <c r="K13" i="12" s="1"/>
  <c r="Q13" i="12" a="1"/>
  <c r="Q13" i="12" s="1"/>
  <c r="P13" i="12" s="1"/>
  <c r="Q6" i="12" a="1"/>
  <c r="Q6" i="12" s="1"/>
  <c r="P6" i="12" s="1"/>
  <c r="M6" i="12" a="1"/>
  <c r="M6" i="12" s="1"/>
  <c r="L6" i="12" s="1"/>
  <c r="J6" i="12"/>
  <c r="AD21" i="10"/>
  <c r="P21" i="10" s="1" a="1"/>
  <c r="P21" i="10" s="1"/>
  <c r="O21" i="10" s="1"/>
  <c r="AD20" i="10"/>
  <c r="P20" i="10" s="1" a="1"/>
  <c r="P20" i="10" s="1"/>
  <c r="O20" i="10" s="1"/>
  <c r="AA21" i="10"/>
  <c r="AA20" i="10"/>
  <c r="AD14" i="10"/>
  <c r="P14" i="10" s="1" a="1"/>
  <c r="P14" i="10" s="1"/>
  <c r="O14" i="10" s="1"/>
  <c r="AA14" i="10"/>
  <c r="AA13" i="10"/>
  <c r="AA12" i="10"/>
  <c r="AD13" i="10"/>
  <c r="P13" i="10" s="1" a="1"/>
  <c r="P13" i="10" s="1"/>
  <c r="O13" i="10" s="1"/>
  <c r="AD12" i="10"/>
  <c r="P12" i="10" s="1" a="1"/>
  <c r="P12" i="10" s="1"/>
  <c r="O12" i="10" s="1"/>
  <c r="AD11" i="10"/>
  <c r="P11" i="10" s="1" a="1"/>
  <c r="P11" i="10" s="1"/>
  <c r="O11" i="10" s="1"/>
  <c r="AD10" i="10"/>
  <c r="P10" i="10" s="1" a="1"/>
  <c r="P10" i="10" s="1"/>
  <c r="O10" i="10" s="1"/>
  <c r="AA10" i="10"/>
  <c r="Z6" i="10"/>
  <c r="L6" i="10" a="1"/>
  <c r="L6" i="10" s="1"/>
  <c r="J9" i="10" a="1"/>
  <c r="J9" i="10" s="1"/>
  <c r="L7" i="10" a="1"/>
  <c r="L7" i="10" s="1"/>
  <c r="Z7" i="10"/>
  <c r="Z8" i="10"/>
  <c r="Z9" i="10"/>
  <c r="M9" i="10" s="1"/>
  <c r="Z10" i="10"/>
  <c r="Z11" i="10"/>
  <c r="Z12" i="10"/>
  <c r="Z13" i="10"/>
  <c r="Z14" i="10"/>
  <c r="Z15" i="10"/>
  <c r="Z16" i="10"/>
  <c r="Z17" i="10"/>
  <c r="Z18" i="10"/>
  <c r="Z19" i="10"/>
  <c r="Z20" i="10"/>
  <c r="Z21" i="10"/>
  <c r="Z12" i="9"/>
  <c r="Z8" i="9"/>
  <c r="Z36" i="9"/>
  <c r="Z38" i="9"/>
  <c r="Z31" i="9"/>
  <c r="Z32" i="9"/>
  <c r="Z33" i="9"/>
  <c r="Z58" i="9"/>
  <c r="Z51" i="9"/>
  <c r="Z52" i="9"/>
  <c r="Z62" i="9"/>
  <c r="Z21" i="9"/>
  <c r="Z22" i="9"/>
  <c r="Z23" i="9"/>
  <c r="Z43" i="9"/>
  <c r="Z44" i="9"/>
  <c r="Z68" i="9"/>
  <c r="Z69" i="9"/>
  <c r="Z70" i="9"/>
  <c r="Z71" i="9"/>
  <c r="Z59" i="9"/>
  <c r="Z39" i="9"/>
  <c r="Z63" i="9"/>
  <c r="Z15" i="9"/>
  <c r="Z65" i="9"/>
  <c r="Z6" i="9"/>
  <c r="J6" i="9" s="1" a="1"/>
  <c r="J6" i="9" s="1"/>
  <c r="Z9" i="9"/>
  <c r="Z34" i="9"/>
  <c r="Z42" i="9"/>
  <c r="Z45" i="9"/>
  <c r="Z46" i="9"/>
  <c r="Z60" i="9"/>
  <c r="Z10" i="9"/>
  <c r="AA27" i="8"/>
  <c r="AA17" i="8"/>
  <c r="AA20" i="8"/>
  <c r="AA21" i="8"/>
  <c r="AA23" i="8"/>
  <c r="AA24" i="8"/>
  <c r="AA26" i="8"/>
  <c r="AA7" i="8"/>
  <c r="AA10" i="8"/>
  <c r="AA11" i="8"/>
  <c r="AA12" i="8"/>
  <c r="AA13" i="8"/>
  <c r="AA6" i="8"/>
  <c r="AA101" i="7"/>
  <c r="AA103" i="7"/>
  <c r="AA171" i="7"/>
  <c r="AA180" i="7"/>
  <c r="AA181" i="7"/>
  <c r="AA182" i="7"/>
  <c r="AA184" i="7"/>
  <c r="AA185" i="7"/>
  <c r="AA111" i="7"/>
  <c r="AA46" i="7"/>
  <c r="AA114" i="7"/>
  <c r="AA115" i="7"/>
  <c r="K115" i="7" s="1" a="1"/>
  <c r="K115" i="7" s="1"/>
  <c r="J115" i="7" s="1"/>
  <c r="AA186" i="7"/>
  <c r="AA43" i="7"/>
  <c r="AA60" i="7"/>
  <c r="AA41" i="7"/>
  <c r="AA40" i="7"/>
  <c r="AA177" i="7"/>
  <c r="AA62" i="7"/>
  <c r="K62" i="7" s="1" a="1"/>
  <c r="K62" i="7" s="1"/>
  <c r="J62" i="7" s="1"/>
  <c r="AA179" i="7"/>
  <c r="AA178" i="7"/>
  <c r="AA174" i="7"/>
  <c r="AA176" i="7"/>
  <c r="AA94" i="7"/>
  <c r="AA90" i="7"/>
  <c r="AA166" i="7"/>
  <c r="AA167" i="7"/>
  <c r="AA45" i="7"/>
  <c r="AA47" i="7"/>
  <c r="AA83" i="7"/>
  <c r="AA58" i="7"/>
  <c r="AA25" i="7"/>
  <c r="AA159" i="7"/>
  <c r="AA165" i="7"/>
  <c r="AA16" i="7"/>
  <c r="AA39" i="7"/>
  <c r="AA44" i="7"/>
  <c r="AA21" i="7"/>
  <c r="AC130" i="7"/>
  <c r="O130" i="7" s="1" a="1"/>
  <c r="O130" i="7" s="1"/>
  <c r="N130" i="7" s="1"/>
  <c r="AC59" i="7"/>
  <c r="O59" i="7" s="1" a="1"/>
  <c r="O59" i="7" s="1"/>
  <c r="N59" i="7" s="1"/>
  <c r="AC107" i="7"/>
  <c r="O107" i="7" s="1" a="1"/>
  <c r="O107" i="7" s="1"/>
  <c r="N107" i="7" s="1"/>
  <c r="AC84" i="7"/>
  <c r="O84" i="7" s="1" a="1"/>
  <c r="O84" i="7" s="1"/>
  <c r="N84" i="7" s="1"/>
  <c r="AC131" i="7"/>
  <c r="O131" i="7" s="1" a="1"/>
  <c r="O131" i="7" s="1"/>
  <c r="N131" i="7" s="1"/>
  <c r="AC124" i="7"/>
  <c r="O124" i="7" s="1" a="1"/>
  <c r="O124" i="7" s="1"/>
  <c r="N124" i="7" s="1"/>
  <c r="AC64" i="7"/>
  <c r="O64" i="7" s="1" a="1"/>
  <c r="O64" i="7" s="1"/>
  <c r="N64" i="7" s="1"/>
  <c r="AC29" i="7"/>
  <c r="O29" i="7" s="1" a="1"/>
  <c r="O29" i="7" s="1"/>
  <c r="N29" i="7" s="1"/>
  <c r="AC172" i="7"/>
  <c r="AM172" i="7"/>
  <c r="AM153" i="7"/>
  <c r="AM154" i="7"/>
  <c r="AL154" i="7"/>
  <c r="AL153" i="7"/>
  <c r="AC154" i="7"/>
  <c r="AC153" i="7"/>
  <c r="AC148" i="7"/>
  <c r="O148" i="7" s="1" a="1"/>
  <c r="O148" i="7" s="1"/>
  <c r="N148" i="7" s="1"/>
  <c r="AB148" i="7"/>
  <c r="M148" i="7" s="1" a="1"/>
  <c r="M148" i="7" s="1"/>
  <c r="L148" i="7" s="1"/>
  <c r="J69" i="9" l="1" a="1"/>
  <c r="J69" i="9" s="1"/>
  <c r="I69" i="9" s="1"/>
  <c r="J65" i="9" a="1"/>
  <c r="J65" i="9" s="1"/>
  <c r="I65" i="9" s="1"/>
  <c r="J9" i="9" a="1"/>
  <c r="J9" i="9" s="1"/>
  <c r="I9" i="9" s="1"/>
  <c r="J60" i="9" a="1"/>
  <c r="J60" i="9" s="1"/>
  <c r="I60" i="9" s="1"/>
  <c r="J15" i="9" a="1"/>
  <c r="J15" i="9" s="1"/>
  <c r="I15" i="9" s="1"/>
  <c r="J58" i="9" a="1"/>
  <c r="J58" i="9" s="1"/>
  <c r="I58" i="9" s="1"/>
  <c r="J46" i="9" a="1"/>
  <c r="J46" i="9" s="1"/>
  <c r="I46" i="9" s="1"/>
  <c r="J63" i="9" a="1"/>
  <c r="J63" i="9" s="1"/>
  <c r="I63" i="9" s="1"/>
  <c r="J41" i="9" a="1"/>
  <c r="J41" i="9" s="1"/>
  <c r="I41" i="9" s="1"/>
  <c r="J37" i="9" a="1"/>
  <c r="J37" i="9" s="1"/>
  <c r="I37" i="9" s="1"/>
  <c r="J45" i="9" a="1"/>
  <c r="J45" i="9" s="1"/>
  <c r="I45" i="9" s="1"/>
  <c r="J42" i="9" a="1"/>
  <c r="J42" i="9" s="1"/>
  <c r="I42" i="9" s="1"/>
  <c r="J34" i="9" a="1"/>
  <c r="J34" i="9" s="1"/>
  <c r="I34" i="9" s="1"/>
  <c r="J71" i="9" a="1"/>
  <c r="J71" i="9" s="1"/>
  <c r="I71" i="9" s="1"/>
  <c r="J40" i="9" a="1"/>
  <c r="J40" i="9" s="1"/>
  <c r="I40" i="9" s="1"/>
  <c r="M154" i="7" a="1"/>
  <c r="M154" i="7" s="1"/>
  <c r="L154" i="7" s="1"/>
  <c r="M153" i="7" a="1"/>
  <c r="M153" i="7" s="1"/>
  <c r="L153" i="7" s="1"/>
  <c r="M172" i="7" a="1"/>
  <c r="M172" i="7" s="1"/>
  <c r="L172" i="7" s="1"/>
  <c r="O172" i="7" a="1"/>
  <c r="O172" i="7" s="1"/>
  <c r="N172" i="7" s="1"/>
  <c r="O153" i="7" a="1"/>
  <c r="O153" i="7" s="1"/>
  <c r="N153" i="7" s="1"/>
  <c r="O154" i="7" a="1"/>
  <c r="O154" i="7" s="1"/>
  <c r="N154" i="7" s="1"/>
  <c r="AA124" i="7"/>
  <c r="K124" i="7" s="1" a="1"/>
  <c r="K124" i="7" s="1"/>
  <c r="J124" i="7" s="1"/>
  <c r="AA153" i="7"/>
  <c r="K153" i="7" s="1" a="1"/>
  <c r="K153" i="7" s="1"/>
  <c r="J153" i="7" s="1"/>
  <c r="AA29" i="7"/>
  <c r="K29" i="7" s="1" a="1"/>
  <c r="K29" i="7" s="1"/>
  <c r="J29" i="7" s="1"/>
  <c r="AA84" i="7"/>
  <c r="K84" i="7" s="1" a="1"/>
  <c r="K84" i="7" s="1"/>
  <c r="J84" i="7" s="1"/>
  <c r="AA154" i="7"/>
  <c r="K154" i="7" s="1" a="1"/>
  <c r="K154" i="7" s="1"/>
  <c r="J154" i="7" s="1"/>
  <c r="AA64" i="7"/>
  <c r="K64" i="7" s="1" a="1"/>
  <c r="K64" i="7" s="1"/>
  <c r="J64" i="7" s="1"/>
  <c r="AA107" i="7"/>
  <c r="K107" i="7" s="1" a="1"/>
  <c r="K107" i="7" s="1"/>
  <c r="J107" i="7" s="1"/>
  <c r="AA59" i="7"/>
  <c r="K59" i="7" s="1" a="1"/>
  <c r="K59" i="7" s="1"/>
  <c r="J59" i="7" s="1"/>
  <c r="AA130" i="7"/>
  <c r="K130" i="7" s="1" a="1"/>
  <c r="K130" i="7" s="1"/>
  <c r="J130" i="7" s="1"/>
  <c r="AA131" i="7"/>
  <c r="K131" i="7" s="1" a="1"/>
  <c r="K131" i="7" s="1"/>
  <c r="J131" i="7" s="1"/>
  <c r="AA125" i="7"/>
  <c r="K125" i="7" s="1" a="1"/>
  <c r="K125" i="7" s="1"/>
  <c r="J125" i="7" s="1"/>
  <c r="AA172" i="7"/>
  <c r="K172" i="7" s="1" a="1"/>
  <c r="K172" i="7" s="1"/>
  <c r="J172" i="7" s="1"/>
  <c r="AA148" i="7"/>
  <c r="K148" i="7" s="1" a="1"/>
  <c r="K148" i="7" s="1"/>
  <c r="J148" i="7" s="1"/>
  <c r="AE148" i="7" l="1"/>
  <c r="Q148" i="7" s="1" a="1"/>
  <c r="Q148" i="7" s="1"/>
  <c r="P148" i="7" s="1"/>
  <c r="AE153" i="7"/>
  <c r="Q153" i="7" s="1" a="1"/>
  <c r="Q153" i="7" s="1"/>
  <c r="P153" i="7" s="1"/>
  <c r="AE154" i="7"/>
  <c r="Q154" i="7" s="1" a="1"/>
  <c r="Q154" i="7" s="1"/>
  <c r="P154" i="7" s="1"/>
  <c r="AB86" i="7"/>
  <c r="AD81" i="7"/>
  <c r="AC81" i="7"/>
  <c r="AB81" i="7"/>
  <c r="AC151" i="7"/>
  <c r="AB151" i="7"/>
  <c r="L11" i="10" a="1"/>
  <c r="L11" i="10" s="1"/>
  <c r="K11" i="10" s="1"/>
  <c r="O6" i="10"/>
  <c r="J7" i="10" a="1"/>
  <c r="J7" i="10" s="1"/>
  <c r="J8" i="10" a="1"/>
  <c r="J8" i="10" s="1"/>
  <c r="I9" i="10"/>
  <c r="J10" i="10" a="1"/>
  <c r="J10" i="10" s="1"/>
  <c r="J11" i="10" a="1"/>
  <c r="J11" i="10" s="1"/>
  <c r="J12" i="10" a="1"/>
  <c r="J12" i="10" s="1"/>
  <c r="J13" i="10" a="1"/>
  <c r="J13" i="10" s="1"/>
  <c r="J14" i="10" a="1"/>
  <c r="J14" i="10" s="1"/>
  <c r="J15" i="10" a="1"/>
  <c r="J15" i="10" s="1"/>
  <c r="J16" i="10" a="1"/>
  <c r="J16" i="10" s="1"/>
  <c r="I16" i="10" s="1"/>
  <c r="J17" i="10" a="1"/>
  <c r="J17" i="10" s="1"/>
  <c r="J18" i="10" a="1"/>
  <c r="J18" i="10" s="1"/>
  <c r="J19" i="10" a="1"/>
  <c r="J19" i="10" s="1"/>
  <c r="J20" i="10" a="1"/>
  <c r="J20" i="10" s="1"/>
  <c r="J21" i="10" a="1"/>
  <c r="J21" i="10" s="1"/>
  <c r="I6" i="10"/>
  <c r="L21" i="10" a="1"/>
  <c r="L21" i="10" s="1"/>
  <c r="K21" i="10" s="1"/>
  <c r="K7" i="10"/>
  <c r="L8" i="10" a="1"/>
  <c r="L8" i="10" s="1"/>
  <c r="K8" i="10" s="1"/>
  <c r="L9" i="10" a="1"/>
  <c r="L9" i="10" s="1"/>
  <c r="K9" i="10" s="1"/>
  <c r="L10" i="10" a="1"/>
  <c r="L10" i="10" s="1"/>
  <c r="K10" i="10" s="1"/>
  <c r="L12" i="10" a="1"/>
  <c r="L12" i="10" s="1"/>
  <c r="K12" i="10" s="1"/>
  <c r="L13" i="10" a="1"/>
  <c r="L13" i="10" s="1"/>
  <c r="K13" i="10" s="1"/>
  <c r="L14" i="10" a="1"/>
  <c r="L14" i="10" s="1"/>
  <c r="K14" i="10" s="1"/>
  <c r="L17" i="10" a="1"/>
  <c r="L17" i="10" s="1"/>
  <c r="K17" i="10" s="1"/>
  <c r="L18" i="10" a="1"/>
  <c r="L18" i="10" s="1"/>
  <c r="K18" i="10" s="1"/>
  <c r="L19" i="10" a="1"/>
  <c r="L19" i="10" s="1"/>
  <c r="K19" i="10" s="1"/>
  <c r="L20" i="10" a="1"/>
  <c r="L20" i="10" s="1"/>
  <c r="K20" i="10" s="1"/>
  <c r="K6" i="10"/>
  <c r="L6" i="9" a="1"/>
  <c r="L6" i="9" s="1"/>
  <c r="K6" i="9" s="1"/>
  <c r="P6" i="9" a="1"/>
  <c r="P6" i="9" s="1"/>
  <c r="AB35" i="9"/>
  <c r="AB11" i="9"/>
  <c r="AB66" i="9"/>
  <c r="AB67" i="9"/>
  <c r="Q24" i="8" a="1"/>
  <c r="Q24" i="8" s="1"/>
  <c r="Q26" i="8" a="1"/>
  <c r="Q26" i="8" s="1"/>
  <c r="Q27" i="8" a="1"/>
  <c r="Q27" i="8" s="1"/>
  <c r="Q16" i="8" a="1"/>
  <c r="Q16" i="8" s="1"/>
  <c r="Q17" i="8" a="1"/>
  <c r="Q17" i="8" s="1"/>
  <c r="Q20" i="8" a="1"/>
  <c r="Q20" i="8" s="1"/>
  <c r="Q21" i="8" a="1"/>
  <c r="Q21" i="8" s="1"/>
  <c r="Q22" i="8" a="1"/>
  <c r="Q22" i="8" s="1"/>
  <c r="Q23" i="8" a="1"/>
  <c r="Q23" i="8" s="1"/>
  <c r="Q7" i="8" a="1"/>
  <c r="Q7" i="8" s="1"/>
  <c r="Q8" i="8" a="1"/>
  <c r="Q8" i="8" s="1"/>
  <c r="Q9" i="8" a="1"/>
  <c r="Q9" i="8" s="1"/>
  <c r="Q10" i="8" a="1"/>
  <c r="Q10" i="8" s="1"/>
  <c r="Q11" i="8" a="1"/>
  <c r="Q11" i="8" s="1"/>
  <c r="Q12" i="8" a="1"/>
  <c r="Q12" i="8" s="1"/>
  <c r="Q13" i="8" a="1"/>
  <c r="Q13" i="8" s="1"/>
  <c r="Q14" i="8" a="1"/>
  <c r="Q14" i="8" s="1"/>
  <c r="Q15" i="8" a="1"/>
  <c r="Q15" i="8" s="1"/>
  <c r="Q6" i="8" a="1"/>
  <c r="Q6" i="8" s="1"/>
  <c r="K27" i="8" a="1"/>
  <c r="K27" i="8" s="1"/>
  <c r="K20" i="8" a="1"/>
  <c r="K20" i="8" s="1"/>
  <c r="K21" i="8" a="1"/>
  <c r="K21" i="8" s="1"/>
  <c r="K23" i="8" a="1"/>
  <c r="K23" i="8" s="1"/>
  <c r="K24" i="8" a="1"/>
  <c r="K24" i="8" s="1"/>
  <c r="K26" i="8" a="1"/>
  <c r="K26" i="8" s="1"/>
  <c r="K17" i="8" a="1"/>
  <c r="K17" i="8" s="1"/>
  <c r="K12" i="8" a="1"/>
  <c r="K12" i="8" s="1"/>
  <c r="K13" i="8" a="1"/>
  <c r="K13" i="8" s="1"/>
  <c r="K7" i="8" a="1"/>
  <c r="K7" i="8" s="1"/>
  <c r="K10" i="8" a="1"/>
  <c r="K10" i="8" s="1"/>
  <c r="K11" i="8" a="1"/>
  <c r="K11" i="8" s="1"/>
  <c r="AB24" i="8"/>
  <c r="M27" i="8" a="1"/>
  <c r="M27" i="8" s="1"/>
  <c r="M20" i="8" a="1"/>
  <c r="M20" i="8" s="1"/>
  <c r="M21" i="8" a="1"/>
  <c r="M21" i="8" s="1"/>
  <c r="M22" i="8" a="1"/>
  <c r="M22" i="8" s="1"/>
  <c r="M23" i="8" a="1"/>
  <c r="M23" i="8" s="1"/>
  <c r="M25" i="8" a="1"/>
  <c r="M25" i="8" s="1"/>
  <c r="M26" i="8" a="1"/>
  <c r="M26" i="8" s="1"/>
  <c r="M16" i="8" a="1"/>
  <c r="M16" i="8" s="1"/>
  <c r="M17" i="8" a="1"/>
  <c r="M17" i="8" s="1"/>
  <c r="M11" i="8" a="1"/>
  <c r="M11" i="8" s="1"/>
  <c r="M12" i="8" a="1"/>
  <c r="M12" i="8" s="1"/>
  <c r="M13" i="8" a="1"/>
  <c r="M13" i="8" s="1"/>
  <c r="M14" i="8" a="1"/>
  <c r="M14" i="8" s="1"/>
  <c r="M15" i="8" a="1"/>
  <c r="M15" i="8" s="1"/>
  <c r="M7" i="8" a="1"/>
  <c r="M7" i="8" s="1"/>
  <c r="M8" i="8" a="1"/>
  <c r="M8" i="8" s="1"/>
  <c r="M9" i="8" a="1"/>
  <c r="M9" i="8" s="1"/>
  <c r="M10" i="8" a="1"/>
  <c r="M10" i="8" s="1"/>
  <c r="AU21" i="7" a="1"/>
  <c r="AU21" i="7" s="1"/>
  <c r="AU25" i="7" a="1"/>
  <c r="AU25" i="7" s="1"/>
  <c r="AU27" i="7" a="1"/>
  <c r="AU27" i="7" s="1"/>
  <c r="AU30" i="7" a="1"/>
  <c r="AU30" i="7" s="1"/>
  <c r="AU32" i="7" a="1"/>
  <c r="AU32" i="7" s="1"/>
  <c r="AU33" i="7" a="1"/>
  <c r="AU33" i="7" s="1"/>
  <c r="AU36" i="7" a="1"/>
  <c r="AU36" i="7" s="1"/>
  <c r="AU37" i="7" a="1"/>
  <c r="AU37" i="7" s="1"/>
  <c r="AU39" i="7" a="1"/>
  <c r="AU39" i="7" s="1"/>
  <c r="AU41" i="7" a="1"/>
  <c r="AU41" i="7" s="1"/>
  <c r="AU43" i="7" a="1"/>
  <c r="AU43" i="7" s="1"/>
  <c r="AU44" i="7" a="1"/>
  <c r="AU44" i="7" s="1"/>
  <c r="AU46" i="7" a="1"/>
  <c r="AU46" i="7" s="1"/>
  <c r="AU47" i="7" a="1"/>
  <c r="AU47" i="7" s="1"/>
  <c r="AU50" i="7" a="1"/>
  <c r="AU50" i="7" s="1"/>
  <c r="AU54" i="7" a="1"/>
  <c r="AU54" i="7" s="1"/>
  <c r="AU65" i="7" a="1"/>
  <c r="AU65" i="7" s="1"/>
  <c r="AU66" i="7" a="1"/>
  <c r="AU66" i="7" s="1"/>
  <c r="AU67" i="7" a="1"/>
  <c r="AU67" i="7" s="1"/>
  <c r="AU68" i="7" a="1"/>
  <c r="AU68" i="7" s="1"/>
  <c r="AU8" i="7" a="1"/>
  <c r="AU8" i="7" s="1"/>
  <c r="AU10" i="7" a="1"/>
  <c r="AU10" i="7" s="1"/>
  <c r="AU11" i="7" a="1"/>
  <c r="AU11" i="7" s="1"/>
  <c r="AU12" i="7" a="1"/>
  <c r="AU12" i="7" s="1"/>
  <c r="AU13" i="7" a="1"/>
  <c r="AU13" i="7" s="1"/>
  <c r="AU14" i="7" a="1"/>
  <c r="AU14" i="7" s="1"/>
  <c r="AU15" i="7" a="1"/>
  <c r="AU15" i="7" s="1"/>
  <c r="M151" i="7" l="1" a="1"/>
  <c r="M151" i="7" s="1"/>
  <c r="L151" i="7" s="1"/>
  <c r="AU117" i="7" a="1"/>
  <c r="AU117" i="7" s="1"/>
  <c r="AU118" i="7" a="1"/>
  <c r="AU118" i="7" s="1"/>
  <c r="M81" i="7" a="1"/>
  <c r="M81" i="7" s="1"/>
  <c r="L81" i="7" s="1"/>
  <c r="AU81" i="7" a="1"/>
  <c r="AU81" i="7" s="1"/>
  <c r="O81" i="7" a="1"/>
  <c r="O81" i="7" s="1"/>
  <c r="N81" i="7" s="1"/>
  <c r="O151" i="7" a="1"/>
  <c r="O151" i="7" s="1"/>
  <c r="N151" i="7" s="1"/>
  <c r="AU69" i="7" a="1"/>
  <c r="AU69" i="7" s="1"/>
  <c r="Z66" i="9"/>
  <c r="Z11" i="9"/>
  <c r="Z67" i="9"/>
  <c r="Z35" i="9"/>
  <c r="I14" i="10"/>
  <c r="M14" i="10"/>
  <c r="I13" i="10"/>
  <c r="M13" i="10"/>
  <c r="I20" i="10"/>
  <c r="M20" i="10"/>
  <c r="I12" i="10"/>
  <c r="M12" i="10"/>
  <c r="I19" i="10"/>
  <c r="M19" i="10"/>
  <c r="I11" i="10"/>
  <c r="M11" i="10"/>
  <c r="I18" i="10"/>
  <c r="M18" i="10"/>
  <c r="I10" i="10"/>
  <c r="M10" i="10"/>
  <c r="I17" i="10"/>
  <c r="M17" i="10"/>
  <c r="I21" i="10"/>
  <c r="M21" i="10"/>
  <c r="I8" i="10"/>
  <c r="M8" i="10"/>
  <c r="I15" i="10"/>
  <c r="M15" i="10"/>
  <c r="I7" i="10"/>
  <c r="M7" i="10"/>
  <c r="AA151" i="7"/>
  <c r="K151" i="7" s="1" a="1"/>
  <c r="K151" i="7" s="1"/>
  <c r="J151" i="7" s="1"/>
  <c r="AA86" i="7"/>
  <c r="AA149" i="7"/>
  <c r="K149" i="7" s="1" a="1"/>
  <c r="K149" i="7" s="1"/>
  <c r="J149" i="7" s="1"/>
  <c r="AA81" i="7"/>
  <c r="K81" i="7" s="1" a="1"/>
  <c r="K81" i="7" s="1"/>
  <c r="J81" i="7" s="1"/>
  <c r="AU78" i="7" a="1"/>
  <c r="AU78" i="7" s="1"/>
  <c r="AU77" i="7" a="1"/>
  <c r="AU77" i="7" s="1"/>
  <c r="AU84" i="7" a="1"/>
  <c r="AU84" i="7" s="1"/>
  <c r="AU76" i="7" a="1"/>
  <c r="AU76" i="7" s="1"/>
  <c r="AU85" i="7" a="1"/>
  <c r="AU85" i="7" s="1"/>
  <c r="AU74" i="7" a="1"/>
  <c r="AU74" i="7" s="1"/>
  <c r="AU73" i="7" a="1"/>
  <c r="AU73" i="7" s="1"/>
  <c r="AU86" i="7" a="1"/>
  <c r="AU86" i="7" s="1"/>
  <c r="AU79" i="7" a="1"/>
  <c r="AU79" i="7" s="1"/>
  <c r="AU72" i="7" a="1"/>
  <c r="AU72" i="7" s="1"/>
  <c r="J35" i="9" l="1" a="1"/>
  <c r="J35" i="9" s="1"/>
  <c r="I35" i="9" s="1"/>
  <c r="J67" i="9" a="1"/>
  <c r="J67" i="9" s="1"/>
  <c r="I67" i="9" s="1"/>
  <c r="J11" i="9" a="1"/>
  <c r="J11" i="9" s="1"/>
  <c r="I11" i="9" s="1"/>
  <c r="J66" i="9" a="1"/>
  <c r="J66" i="9" s="1"/>
  <c r="I66" i="9" s="1"/>
  <c r="AU75" i="7" a="1"/>
  <c r="AU75" i="7" s="1"/>
  <c r="AU48" i="7" a="1"/>
  <c r="AU48" i="7" s="1"/>
  <c r="I6" i="9" l="1"/>
  <c r="O6" i="9"/>
  <c r="J26" i="8"/>
  <c r="P26" i="8"/>
  <c r="L26" i="8"/>
  <c r="AE25" i="8"/>
  <c r="Q25" i="8" s="1" a="1"/>
  <c r="Q25" i="8" s="1"/>
  <c r="P25" i="8" s="1"/>
  <c r="AC25" i="8"/>
  <c r="O25" i="8" s="1" a="1"/>
  <c r="O25" i="8" s="1"/>
  <c r="N25" i="8" s="1"/>
  <c r="L25" i="8"/>
  <c r="AC9" i="8"/>
  <c r="O9" i="8" s="1" a="1"/>
  <c r="O9" i="8" s="1"/>
  <c r="N9" i="8" s="1"/>
  <c r="AC8" i="8"/>
  <c r="O8" i="8" s="1" a="1"/>
  <c r="O8" i="8" s="1"/>
  <c r="N8" i="8" s="1"/>
  <c r="AM24" i="8"/>
  <c r="M24" i="8" s="1" a="1"/>
  <c r="M24" i="8" s="1"/>
  <c r="L24" i="8" s="1"/>
  <c r="AC22" i="8"/>
  <c r="O22" i="8" s="1" a="1"/>
  <c r="O22" i="8" s="1"/>
  <c r="N22" i="8" s="1"/>
  <c r="J24" i="8"/>
  <c r="L6" i="8"/>
  <c r="P16" i="8"/>
  <c r="P17" i="8"/>
  <c r="P20" i="8"/>
  <c r="P21" i="8"/>
  <c r="P22" i="8"/>
  <c r="P23" i="8"/>
  <c r="P24" i="8"/>
  <c r="P27" i="8"/>
  <c r="P7" i="8"/>
  <c r="P8" i="8"/>
  <c r="P9" i="8"/>
  <c r="P10" i="8"/>
  <c r="P11" i="8"/>
  <c r="P12" i="8"/>
  <c r="P13" i="8"/>
  <c r="P14" i="8"/>
  <c r="P15" i="8"/>
  <c r="P6" i="8"/>
  <c r="J17" i="8"/>
  <c r="J20" i="8"/>
  <c r="J21" i="8"/>
  <c r="J23" i="8"/>
  <c r="J27" i="8"/>
  <c r="J7" i="8"/>
  <c r="J10" i="8"/>
  <c r="J11" i="8"/>
  <c r="J12" i="8"/>
  <c r="J13" i="8"/>
  <c r="J6" i="8"/>
  <c r="L20" i="8"/>
  <c r="L21" i="8"/>
  <c r="L22" i="8"/>
  <c r="L23" i="8"/>
  <c r="L27" i="8"/>
  <c r="L7" i="8"/>
  <c r="L8" i="8"/>
  <c r="L9" i="8"/>
  <c r="L10" i="8"/>
  <c r="L11" i="8"/>
  <c r="L12" i="8"/>
  <c r="L13" i="8"/>
  <c r="L14" i="8"/>
  <c r="L15" i="8"/>
  <c r="L16" i="8"/>
  <c r="L17" i="8"/>
  <c r="AL28" i="7"/>
  <c r="AC63" i="7"/>
  <c r="AC52" i="7"/>
  <c r="AB52" i="7"/>
  <c r="AC28" i="7"/>
  <c r="AB28" i="7"/>
  <c r="AC27" i="7"/>
  <c r="AB27" i="7"/>
  <c r="AC30" i="7"/>
  <c r="AB30" i="7"/>
  <c r="AL30" i="7"/>
  <c r="AL52" i="7"/>
  <c r="AC26" i="7"/>
  <c r="AB26" i="7"/>
  <c r="AL63" i="7"/>
  <c r="AL27" i="7"/>
  <c r="AL26" i="7"/>
  <c r="AC12" i="7"/>
  <c r="AB12" i="7"/>
  <c r="AC91" i="7"/>
  <c r="AB91" i="7"/>
  <c r="M91" i="7" s="1" a="1"/>
  <c r="M91" i="7" s="1"/>
  <c r="L91" i="7" s="1"/>
  <c r="AC13" i="7"/>
  <c r="AB13" i="7"/>
  <c r="M13" i="7" s="1" a="1"/>
  <c r="M13" i="7" s="1"/>
  <c r="L13" i="7" s="1"/>
  <c r="AC11" i="7"/>
  <c r="AB11" i="7"/>
  <c r="AC68" i="7"/>
  <c r="Q10" i="7" a="1"/>
  <c r="Q10" i="7" s="1"/>
  <c r="P10" i="7" s="1"/>
  <c r="O10" i="7" a="1"/>
  <c r="O10" i="7" s="1"/>
  <c r="N10" i="7" s="1"/>
  <c r="M10" i="7" a="1"/>
  <c r="M10" i="7" s="1"/>
  <c r="L10" i="7" s="1"/>
  <c r="AE7" i="7"/>
  <c r="AD7" i="7"/>
  <c r="AC7" i="7"/>
  <c r="AB7" i="7"/>
  <c r="Z7" i="7"/>
  <c r="AU7" i="7" s="1" a="1"/>
  <c r="AU7" i="7" s="1"/>
  <c r="AC6" i="7"/>
  <c r="AC75" i="7"/>
  <c r="Q9" i="7" a="1"/>
  <c r="Q9" i="7" s="1"/>
  <c r="P9" i="7" s="1"/>
  <c r="O9" i="7" a="1"/>
  <c r="O9" i="7" s="1"/>
  <c r="N9" i="7" s="1"/>
  <c r="M9" i="7" a="1"/>
  <c r="M9" i="7" s="1"/>
  <c r="L9" i="7" s="1"/>
  <c r="O13" i="7" l="1" a="1"/>
  <c r="O13" i="7" s="1"/>
  <c r="N13" i="7" s="1"/>
  <c r="AA13" i="7"/>
  <c r="K13" i="7" s="1" a="1"/>
  <c r="K13" i="7" s="1"/>
  <c r="J13" i="7" s="1"/>
  <c r="AU71" i="7" a="1"/>
  <c r="AU71" i="7" s="1"/>
  <c r="O6" i="7" a="1"/>
  <c r="O6" i="7" s="1"/>
  <c r="N6" i="7" s="1"/>
  <c r="M12" i="7" a="1"/>
  <c r="M12" i="7" s="1"/>
  <c r="L12" i="7" s="1"/>
  <c r="AU26" i="7" a="1"/>
  <c r="AU26" i="7" s="1"/>
  <c r="O68" i="7" a="1"/>
  <c r="O68" i="7" s="1"/>
  <c r="N68" i="7" s="1"/>
  <c r="O12" i="7" a="1"/>
  <c r="O12" i="7" s="1"/>
  <c r="N12" i="7" s="1"/>
  <c r="M11" i="7" a="1"/>
  <c r="M11" i="7" s="1"/>
  <c r="L11" i="7" s="1"/>
  <c r="AU34" i="7" a="1"/>
  <c r="AU34" i="7" s="1"/>
  <c r="AU70" i="7" a="1"/>
  <c r="AU70" i="7" s="1"/>
  <c r="AU87" i="7" a="1"/>
  <c r="AU87" i="7" s="1"/>
  <c r="AU35" i="7" a="1"/>
  <c r="AU35" i="7" s="1"/>
  <c r="AU80" i="7" a="1"/>
  <c r="AU80" i="7" s="1"/>
  <c r="O11" i="7" a="1"/>
  <c r="O11" i="7" s="1"/>
  <c r="N11" i="7" s="1"/>
  <c r="O75" i="7" a="1"/>
  <c r="O75" i="7" s="1"/>
  <c r="N75" i="7" s="1"/>
  <c r="O91" i="7" a="1"/>
  <c r="O91" i="7" s="1"/>
  <c r="N91" i="7" s="1"/>
  <c r="O28" i="7" a="1"/>
  <c r="O28" i="7" s="1"/>
  <c r="N28" i="7" s="1"/>
  <c r="M63" i="7" a="1"/>
  <c r="M63" i="7" s="1"/>
  <c r="L63" i="7" s="1"/>
  <c r="O26" i="7" a="1"/>
  <c r="O26" i="7" s="1"/>
  <c r="N26" i="7" s="1"/>
  <c r="O63" i="7" a="1"/>
  <c r="O63" i="7" s="1"/>
  <c r="N63" i="7" s="1"/>
  <c r="M26" i="7" a="1"/>
  <c r="M26" i="7" s="1"/>
  <c r="L26" i="7" s="1"/>
  <c r="M28" i="7" a="1"/>
  <c r="M28" i="7" s="1"/>
  <c r="L28" i="7" s="1"/>
  <c r="M30" i="7" a="1"/>
  <c r="M30" i="7" s="1"/>
  <c r="L30" i="7" s="1"/>
  <c r="M52" i="7" a="1"/>
  <c r="M52" i="7" s="1"/>
  <c r="L52" i="7" s="1"/>
  <c r="O52" i="7" a="1"/>
  <c r="O52" i="7" s="1"/>
  <c r="N52" i="7" s="1"/>
  <c r="O30" i="7" a="1"/>
  <c r="O30" i="7" s="1"/>
  <c r="N30" i="7" s="1"/>
  <c r="M27" i="7" a="1"/>
  <c r="M27" i="7" s="1"/>
  <c r="L27" i="7" s="1"/>
  <c r="O27" i="7" a="1"/>
  <c r="O27" i="7" s="1"/>
  <c r="N27" i="7" s="1"/>
  <c r="Q7" i="7" a="1"/>
  <c r="Q7" i="7" s="1"/>
  <c r="P7" i="7" s="1"/>
  <c r="M7" i="7" a="1"/>
  <c r="M7" i="7" s="1"/>
  <c r="L7" i="7" s="1"/>
  <c r="O7" i="7" a="1"/>
  <c r="O7" i="7" s="1"/>
  <c r="N7" i="7" s="1"/>
  <c r="AU58" i="7" a="1"/>
  <c r="AU58" i="7" s="1"/>
  <c r="AU49" i="7" a="1"/>
  <c r="AU49" i="7" s="1"/>
  <c r="AU55" i="7" a="1"/>
  <c r="AU55" i="7" s="1"/>
  <c r="AU56" i="7" a="1"/>
  <c r="AU56" i="7" s="1"/>
  <c r="AU62" i="7" a="1"/>
  <c r="AU62" i="7" s="1"/>
  <c r="AU53" i="7" a="1"/>
  <c r="AU53" i="7" s="1"/>
  <c r="AA63" i="7"/>
  <c r="K63" i="7" s="1" a="1"/>
  <c r="K63" i="7" s="1"/>
  <c r="J63" i="7" s="1"/>
  <c r="AA28" i="7"/>
  <c r="K28" i="7" s="1" a="1"/>
  <c r="K28" i="7" s="1"/>
  <c r="J28" i="7" s="1"/>
  <c r="AA7" i="7"/>
  <c r="K7" i="7" s="1" a="1"/>
  <c r="K7" i="7" s="1"/>
  <c r="J7" i="7" s="1"/>
  <c r="AA22" i="8"/>
  <c r="K22" i="8" s="1" a="1"/>
  <c r="K22" i="8" s="1"/>
  <c r="J22" i="8" s="1"/>
  <c r="AA8" i="8"/>
  <c r="K8" i="8" s="1" a="1"/>
  <c r="K8" i="8" s="1"/>
  <c r="J8" i="8" s="1"/>
  <c r="AA9" i="8"/>
  <c r="K9" i="8" s="1" a="1"/>
  <c r="K9" i="8" s="1"/>
  <c r="J9" i="8" s="1"/>
  <c r="AA25" i="8"/>
  <c r="K25" i="8" s="1" a="1"/>
  <c r="K25" i="8" s="1"/>
  <c r="J25" i="8" s="1"/>
  <c r="AA52" i="7"/>
  <c r="K52" i="7" s="1" a="1"/>
  <c r="K52" i="7" s="1"/>
  <c r="J52" i="7" s="1"/>
  <c r="AA11" i="7"/>
  <c r="K11" i="7" s="1" a="1"/>
  <c r="K11" i="7" s="1"/>
  <c r="J11" i="7" s="1"/>
  <c r="AA9" i="7"/>
  <c r="K9" i="7" s="1" a="1"/>
  <c r="K9" i="7" s="1"/>
  <c r="J9" i="7" s="1"/>
  <c r="AA75" i="7"/>
  <c r="K75" i="7" s="1" a="1"/>
  <c r="K75" i="7" s="1"/>
  <c r="J75" i="7" s="1"/>
  <c r="AA10" i="7"/>
  <c r="K10" i="7" s="1" a="1"/>
  <c r="K10" i="7" s="1"/>
  <c r="J10" i="7" s="1"/>
  <c r="AA26" i="7"/>
  <c r="K26" i="7" s="1" a="1"/>
  <c r="K26" i="7" s="1"/>
  <c r="J26" i="7" s="1"/>
  <c r="AA6" i="7"/>
  <c r="K6" i="7" s="1" a="1"/>
  <c r="K6" i="7" s="1"/>
  <c r="J6" i="7" s="1"/>
  <c r="AA91" i="7"/>
  <c r="K91" i="7" s="1" a="1"/>
  <c r="K91" i="7" s="1"/>
  <c r="J91" i="7" s="1"/>
  <c r="AA30" i="7"/>
  <c r="K30" i="7" s="1" a="1"/>
  <c r="K30" i="7" s="1"/>
  <c r="J30" i="7" s="1"/>
  <c r="AA68" i="7"/>
  <c r="K68" i="7" s="1" a="1"/>
  <c r="K68" i="7" s="1"/>
  <c r="J68" i="7" s="1"/>
  <c r="AA12" i="7"/>
  <c r="AA27" i="7"/>
  <c r="K27" i="7" s="1" a="1"/>
  <c r="K27" i="7" s="1"/>
  <c r="J27" i="7" s="1"/>
  <c r="AU64" i="7" a="1"/>
  <c r="AU64" i="7" s="1"/>
  <c r="AU45" i="7" a="1"/>
  <c r="AU45" i="7" s="1"/>
  <c r="AU60" i="7" a="1"/>
  <c r="AU60" i="7" s="1"/>
  <c r="AU61" i="7" a="1"/>
  <c r="AU61" i="7" s="1"/>
  <c r="AU59" i="7" a="1"/>
  <c r="AU59" i="7" s="1"/>
  <c r="AU63" i="7" a="1"/>
  <c r="AU63" i="7" s="1"/>
  <c r="AU52" i="7" a="1"/>
  <c r="AU52" i="7" s="1"/>
  <c r="K12" i="7" l="1" a="1"/>
  <c r="K12" i="7" s="1"/>
  <c r="J12" i="7" s="1"/>
  <c r="J21" i="7"/>
  <c r="AE12" i="12" l="1"/>
  <c r="Q12" i="12" s="1" a="1"/>
  <c r="Q12" i="12" s="1"/>
  <c r="P12" i="12" s="1"/>
  <c r="AC12" i="12"/>
  <c r="O12" i="12" s="1" a="1"/>
  <c r="O12" i="12" s="1"/>
  <c r="N12" i="12" s="1"/>
  <c r="AE9" i="12"/>
  <c r="Q9" i="12" s="1" a="1"/>
  <c r="Q9" i="12" s="1"/>
  <c r="P9" i="12" s="1"/>
  <c r="AD9" i="12"/>
  <c r="AC9" i="12"/>
  <c r="O9" i="12" s="1" a="1"/>
  <c r="O9" i="12" s="1"/>
  <c r="N9" i="12" s="1"/>
  <c r="AB9" i="12"/>
  <c r="M9" i="12" s="1" a="1"/>
  <c r="M9" i="12" s="1"/>
  <c r="L9" i="12" s="1"/>
  <c r="AL15" i="10"/>
  <c r="L15" i="10" s="1" a="1"/>
  <c r="L15" i="10" s="1"/>
  <c r="K15" i="10" s="1"/>
  <c r="AF6" i="10"/>
  <c r="AB64" i="9"/>
  <c r="AA64" i="9"/>
  <c r="AL59" i="9"/>
  <c r="AD61" i="9"/>
  <c r="AC61" i="9"/>
  <c r="AB61" i="9"/>
  <c r="AA61" i="9"/>
  <c r="AB50" i="9"/>
  <c r="AB49" i="9"/>
  <c r="AB48" i="9"/>
  <c r="AM33" i="9"/>
  <c r="AM32" i="9"/>
  <c r="AM31" i="9"/>
  <c r="AB47" i="9"/>
  <c r="AL47" i="9"/>
  <c r="AB29" i="9"/>
  <c r="AB28" i="9"/>
  <c r="AB27" i="9"/>
  <c r="AB26" i="9"/>
  <c r="AL26" i="9"/>
  <c r="AB25" i="9"/>
  <c r="AL25" i="9"/>
  <c r="AB24" i="9"/>
  <c r="AL12" i="9"/>
  <c r="AF10" i="9"/>
  <c r="AL10" i="9"/>
  <c r="AE19" i="8"/>
  <c r="Q19" i="8" s="1" a="1"/>
  <c r="Q19" i="8" s="1"/>
  <c r="P19" i="8" s="1"/>
  <c r="AD19" i="8"/>
  <c r="AC19" i="8"/>
  <c r="O19" i="8" s="1" a="1"/>
  <c r="O19" i="8" s="1"/>
  <c r="N19" i="8" s="1"/>
  <c r="AB19" i="8"/>
  <c r="M19" i="8" s="1" a="1"/>
  <c r="M19" i="8" s="1"/>
  <c r="L19" i="8" s="1"/>
  <c r="AE18" i="8"/>
  <c r="Q18" i="8" s="1" a="1"/>
  <c r="Q18" i="8" s="1"/>
  <c r="P18" i="8" s="1"/>
  <c r="AD18" i="8"/>
  <c r="AC18" i="8"/>
  <c r="O18" i="8" s="1" a="1"/>
  <c r="O18" i="8" s="1"/>
  <c r="N18" i="8" s="1"/>
  <c r="AB18" i="8"/>
  <c r="M18" i="8" s="1" a="1"/>
  <c r="M18" i="8" s="1"/>
  <c r="L18" i="8" s="1"/>
  <c r="AC16" i="8"/>
  <c r="O16" i="8" s="1" a="1"/>
  <c r="O16" i="8" s="1"/>
  <c r="N16" i="8" s="1"/>
  <c r="AC15" i="8"/>
  <c r="O15" i="8" s="1" a="1"/>
  <c r="O15" i="8" s="1"/>
  <c r="N15" i="8" s="1"/>
  <c r="AC14" i="8"/>
  <c r="O14" i="8" s="1" a="1"/>
  <c r="O14" i="8" s="1"/>
  <c r="N14" i="8" s="1"/>
  <c r="AG6" i="8"/>
  <c r="AE162" i="7"/>
  <c r="Q162" i="7" s="1" a="1"/>
  <c r="Q162" i="7" s="1"/>
  <c r="P162" i="7" s="1"/>
  <c r="AD162" i="7"/>
  <c r="AC162" i="7"/>
  <c r="AM186" i="7"/>
  <c r="AM114" i="7"/>
  <c r="AE112" i="7"/>
  <c r="Q112" i="7" s="1" a="1"/>
  <c r="Q112" i="7" s="1"/>
  <c r="P112" i="7" s="1"/>
  <c r="AC112" i="7"/>
  <c r="AB112" i="7"/>
  <c r="AE105" i="7"/>
  <c r="Q105" i="7" s="1" a="1"/>
  <c r="Q105" i="7" s="1"/>
  <c r="P105" i="7" s="1"/>
  <c r="AC105" i="7"/>
  <c r="AB105" i="7"/>
  <c r="M103" i="7" a="1"/>
  <c r="M103" i="7" s="1"/>
  <c r="L103" i="7" s="1"/>
  <c r="M101" i="7" a="1"/>
  <c r="M101" i="7" s="1"/>
  <c r="L101" i="7" s="1"/>
  <c r="AM96" i="7"/>
  <c r="AC96" i="7"/>
  <c r="AM94" i="7"/>
  <c r="M25" i="7" a="1"/>
  <c r="M25" i="7" s="1"/>
  <c r="L25" i="7" s="1"/>
  <c r="AN56" i="7"/>
  <c r="AC56" i="7"/>
  <c r="AD57" i="7"/>
  <c r="AC57" i="7"/>
  <c r="AB57" i="7"/>
  <c r="M83" i="7" a="1"/>
  <c r="M83" i="7" s="1"/>
  <c r="L83" i="7" s="1"/>
  <c r="AD51" i="7"/>
  <c r="AC51" i="7"/>
  <c r="AB51" i="7"/>
  <c r="AC50" i="7"/>
  <c r="AC37" i="7"/>
  <c r="AL16" i="7"/>
  <c r="AB16" i="7"/>
  <c r="M21" i="7" a="1"/>
  <c r="M21" i="7" s="1"/>
  <c r="AI21" i="7"/>
  <c r="AG21" i="7" s="1"/>
  <c r="O50" i="7" l="1" a="1"/>
  <c r="O50" i="7" s="1"/>
  <c r="N50" i="7" s="1"/>
  <c r="O56" i="7" a="1"/>
  <c r="O56" i="7" s="1"/>
  <c r="N56" i="7" s="1"/>
  <c r="M105" i="7" a="1"/>
  <c r="M105" i="7" s="1"/>
  <c r="L105" i="7" s="1"/>
  <c r="AU105" i="7" a="1"/>
  <c r="AU105" i="7" s="1"/>
  <c r="O162" i="7" a="1"/>
  <c r="O162" i="7" s="1"/>
  <c r="N162" i="7" s="1"/>
  <c r="O57" i="7" a="1"/>
  <c r="O57" i="7" s="1"/>
  <c r="N57" i="7" s="1"/>
  <c r="AU116" i="7" a="1"/>
  <c r="AU116" i="7" s="1"/>
  <c r="O51" i="7" a="1"/>
  <c r="O51" i="7" s="1"/>
  <c r="N51" i="7" s="1"/>
  <c r="M112" i="7" a="1"/>
  <c r="M112" i="7" s="1"/>
  <c r="L112" i="7" s="1"/>
  <c r="AU112" i="7" a="1"/>
  <c r="AU112" i="7" s="1"/>
  <c r="O112" i="7" a="1"/>
  <c r="O112" i="7" s="1"/>
  <c r="N112" i="7" s="1"/>
  <c r="AU114" i="7" a="1"/>
  <c r="AU114" i="7" s="1"/>
  <c r="O37" i="7" a="1"/>
  <c r="O37" i="7" s="1"/>
  <c r="N37" i="7" s="1"/>
  <c r="M51" i="7" a="1"/>
  <c r="M51" i="7" s="1"/>
  <c r="L51" i="7" s="1"/>
  <c r="AU51" i="7" a="1"/>
  <c r="AU51" i="7" s="1"/>
  <c r="O105" i="7" a="1"/>
  <c r="O105" i="7" s="1"/>
  <c r="N105" i="7" s="1"/>
  <c r="M57" i="7" a="1"/>
  <c r="M57" i="7" s="1"/>
  <c r="L57" i="7" s="1"/>
  <c r="AU57" i="7" a="1"/>
  <c r="AU57" i="7" s="1"/>
  <c r="AU96" i="7" a="1"/>
  <c r="AU96" i="7" s="1"/>
  <c r="Q16" i="7" a="1"/>
  <c r="Q16" i="7" s="1"/>
  <c r="P16" i="7" s="1"/>
  <c r="M96" i="7" a="1"/>
  <c r="M96" i="7" s="1"/>
  <c r="L96" i="7" s="1"/>
  <c r="M186" i="7" a="1"/>
  <c r="M186" i="7" s="1"/>
  <c r="L186" i="7" s="1"/>
  <c r="M16" i="7" a="1"/>
  <c r="M16" i="7" s="1"/>
  <c r="L16" i="7" s="1"/>
  <c r="M86" i="7" a="1"/>
  <c r="M86" i="7" s="1"/>
  <c r="L86" i="7" s="1"/>
  <c r="O86" i="7" a="1"/>
  <c r="O86" i="7" s="1"/>
  <c r="N86" i="7" s="1"/>
  <c r="K86" i="7" a="1"/>
  <c r="K86" i="7" s="1"/>
  <c r="J86" i="7" s="1"/>
  <c r="M94" i="7" a="1"/>
  <c r="M94" i="7" s="1"/>
  <c r="L94" i="7" s="1"/>
  <c r="O96" i="7" a="1"/>
  <c r="O96" i="7" s="1"/>
  <c r="N96" i="7" s="1"/>
  <c r="Q114" i="7" a="1"/>
  <c r="Q114" i="7" s="1"/>
  <c r="P114" i="7" s="1"/>
  <c r="M114" i="7" a="1"/>
  <c r="M114" i="7" s="1"/>
  <c r="L114" i="7" s="1"/>
  <c r="O114" i="7" a="1"/>
  <c r="O114" i="7" s="1"/>
  <c r="N114" i="7" s="1"/>
  <c r="K114" i="7" a="1"/>
  <c r="K114" i="7" s="1"/>
  <c r="J114" i="7" s="1"/>
  <c r="AU22" i="7" a="1"/>
  <c r="AU22" i="7" s="1"/>
  <c r="AU19" i="7" a="1"/>
  <c r="AU19" i="7" s="1"/>
  <c r="AU28" i="7" a="1"/>
  <c r="AU28" i="7" s="1"/>
  <c r="AU16" i="7" a="1"/>
  <c r="AU16" i="7" s="1"/>
  <c r="AU17" i="7" a="1"/>
  <c r="AU17" i="7" s="1"/>
  <c r="AU29" i="7" a="1"/>
  <c r="AU29" i="7" s="1"/>
  <c r="AU31" i="7" a="1"/>
  <c r="AU31" i="7" s="1"/>
  <c r="AU20" i="7" a="1"/>
  <c r="AU20" i="7" s="1"/>
  <c r="AU38" i="7" a="1"/>
  <c r="AU38" i="7" s="1"/>
  <c r="AU6" i="7" a="1"/>
  <c r="AU6" i="7" s="1"/>
  <c r="L21" i="7"/>
  <c r="L16" i="10" a="1"/>
  <c r="L16" i="10" s="1"/>
  <c r="K16" i="10" s="1"/>
  <c r="M16" i="10"/>
  <c r="AA16" i="8"/>
  <c r="K16" i="8" s="1" a="1"/>
  <c r="K16" i="8" s="1"/>
  <c r="J16" i="8" s="1"/>
  <c r="AA14" i="8"/>
  <c r="K14" i="8" s="1" a="1"/>
  <c r="K14" i="8" s="1"/>
  <c r="J14" i="8" s="1"/>
  <c r="AA18" i="8"/>
  <c r="K18" i="8" s="1" a="1"/>
  <c r="K18" i="8" s="1"/>
  <c r="J18" i="8" s="1"/>
  <c r="AA19" i="8"/>
  <c r="K19" i="8" s="1" a="1"/>
  <c r="K19" i="8" s="1"/>
  <c r="J19" i="8" s="1"/>
  <c r="AA15" i="8"/>
  <c r="K15" i="8" s="1" a="1"/>
  <c r="K15" i="8" s="1"/>
  <c r="J15" i="8" s="1"/>
  <c r="AU42" i="7" a="1"/>
  <c r="AU42" i="7" s="1"/>
  <c r="AA162" i="7"/>
  <c r="AA50" i="7"/>
  <c r="K50" i="7" s="1" a="1"/>
  <c r="K50" i="7" s="1"/>
  <c r="J50" i="7" s="1"/>
  <c r="AU9" i="7" a="1"/>
  <c r="AU9" i="7" s="1"/>
  <c r="AA96" i="7"/>
  <c r="K96" i="7" s="1" a="1"/>
  <c r="K96" i="7" s="1"/>
  <c r="J96" i="7" s="1"/>
  <c r="AA15" i="7"/>
  <c r="K15" i="7" s="1" a="1"/>
  <c r="K15" i="7" s="1"/>
  <c r="J15" i="7" s="1"/>
  <c r="AA51" i="7"/>
  <c r="K51" i="7" s="1" a="1"/>
  <c r="K51" i="7" s="1"/>
  <c r="J51" i="7" s="1"/>
  <c r="AA57" i="7"/>
  <c r="K57" i="7" s="1" a="1"/>
  <c r="K57" i="7" s="1"/>
  <c r="J57" i="7" s="1"/>
  <c r="AA37" i="7"/>
  <c r="K37" i="7" s="1" a="1"/>
  <c r="K37" i="7" s="1"/>
  <c r="J37" i="7" s="1"/>
  <c r="AA112" i="7"/>
  <c r="K112" i="7" s="1" a="1"/>
  <c r="K112" i="7" s="1"/>
  <c r="J112" i="7" s="1"/>
  <c r="AA56" i="7"/>
  <c r="K56" i="7" s="1" a="1"/>
  <c r="K56" i="7" s="1"/>
  <c r="J56" i="7" s="1"/>
  <c r="AA105" i="7"/>
  <c r="K105" i="7" s="1" a="1"/>
  <c r="K105" i="7" s="1"/>
  <c r="J105" i="7" s="1"/>
  <c r="Z47" i="9"/>
  <c r="Z24" i="9"/>
  <c r="Z27" i="9"/>
  <c r="Z48" i="9"/>
  <c r="Z61" i="9"/>
  <c r="Z49" i="9"/>
  <c r="Z28" i="9"/>
  <c r="Z64" i="9"/>
  <c r="Z25" i="9"/>
  <c r="Z29" i="9"/>
  <c r="Z50" i="9"/>
  <c r="Z26" i="9"/>
  <c r="AA9" i="12"/>
  <c r="K9" i="12" s="1" a="1"/>
  <c r="K9" i="12" s="1"/>
  <c r="J9" i="12" s="1"/>
  <c r="AA12" i="12"/>
  <c r="K12" i="12" s="1" a="1"/>
  <c r="K12" i="12" s="1"/>
  <c r="J12" i="12" s="1"/>
  <c r="AU18" i="7" a="1"/>
  <c r="AU18" i="7" s="1"/>
  <c r="AU23" i="7" a="1"/>
  <c r="AU23" i="7" s="1"/>
  <c r="AU40" i="7" a="1"/>
  <c r="AU40" i="7" s="1"/>
  <c r="AU24" i="7" a="1"/>
  <c r="AU24" i="7" s="1"/>
  <c r="J29" i="9" l="1" a="1"/>
  <c r="J29" i="9" s="1"/>
  <c r="I29" i="9" s="1"/>
  <c r="J28" i="9" a="1"/>
  <c r="J28" i="9" s="1"/>
  <c r="I28" i="9" s="1"/>
  <c r="J49" i="9" a="1"/>
  <c r="J49" i="9" s="1"/>
  <c r="I49" i="9" s="1"/>
  <c r="J24" i="9" a="1"/>
  <c r="J24" i="9" s="1"/>
  <c r="I24" i="9" s="1"/>
  <c r="J64" i="9" a="1"/>
  <c r="J64" i="9" s="1"/>
  <c r="I64" i="9" s="1"/>
  <c r="J61" i="9" a="1"/>
  <c r="J61" i="9" s="1"/>
  <c r="I61" i="9" s="1"/>
  <c r="J25" i="9" a="1"/>
  <c r="J25" i="9" s="1"/>
  <c r="I25" i="9" s="1"/>
  <c r="J26" i="9" a="1"/>
  <c r="J26" i="9" s="1"/>
  <c r="I26" i="9" s="1"/>
  <c r="J48" i="9" a="1"/>
  <c r="J48" i="9" s="1"/>
  <c r="I48" i="9" s="1"/>
  <c r="J47" i="9" a="1"/>
  <c r="J47" i="9" s="1"/>
  <c r="I47" i="9" s="1"/>
  <c r="J50" i="9" a="1"/>
  <c r="J50" i="9" s="1"/>
  <c r="I50" i="9" s="1"/>
  <c r="J27" i="9" a="1"/>
  <c r="J27" i="9" s="1"/>
  <c r="I27" i="9" s="1"/>
  <c r="K162" i="7" a="1"/>
  <c r="K162" i="7" s="1"/>
  <c r="J162" i="7" s="1"/>
  <c r="J2" i="10"/>
  <c r="K2" i="12"/>
  <c r="K1" i="12"/>
  <c r="J1" i="10"/>
  <c r="K2" i="8"/>
  <c r="K1" i="8"/>
  <c r="J1" i="9" l="1"/>
  <c r="J2" i="9"/>
  <c r="K2" i="7"/>
  <c r="K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Helene Sjørup Lyngaa</author>
  </authors>
  <commentList>
    <comment ref="I4" authorId="0" shapeId="0" xr:uid="{7310139C-F309-4926-9C0D-332729EAC408}">
      <text>
        <r>
          <rPr>
            <sz val="10"/>
            <color indexed="81"/>
            <rFont val="Tahoma"/>
            <family val="2"/>
          </rPr>
          <t>Skaleringsfaktor: Angiv om der skal bruges mere eller mindre materiale pr. m2 konstruktion. F.eks. materialeoverlap ved 1 på 2 beklædning (faktor &gt;1) eller ved murstensfacade som også inderholder mørtel (faktor &lt; 1).</t>
        </r>
      </text>
    </comment>
    <comment ref="AG4" authorId="0" shapeId="0" xr:uid="{8767837C-90A2-45FA-8FF5-B55D0695BB36}">
      <text>
        <r>
          <rPr>
            <sz val="10"/>
            <color indexed="81"/>
            <rFont val="Tahoma"/>
            <family val="2"/>
          </rPr>
          <t>Reaktion på brand er angivet ud fra følgende bogstavkodning, hvoraf A1 indikerer ubrandbart materiale og F indikerer uprøvet materiale. s identificerer røgudvikling fordelt på niveauer fra 1 til 3 og d identifiverer ilddråber fordelt på niveauer fra 0 til 2, hvoraf mindsteværdier er bedste performance.</t>
        </r>
      </text>
    </comment>
    <comment ref="J37" authorId="0" shapeId="0" xr:uid="{AF76E6B8-5C77-4DB1-9540-8670D654FEAB}">
      <text>
        <r>
          <rPr>
            <sz val="9"/>
            <color indexed="81"/>
            <rFont val="Tahoma"/>
            <family val="2"/>
          </rPr>
          <t>OBS! Denne EPD følger ikke gældende standarder, da det biogene carbon ikke går i nul over materialets livscyklusfaser.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Helene Sjørup Lyngaa</author>
  </authors>
  <commentList>
    <comment ref="I4" authorId="0" shapeId="0" xr:uid="{B07FD2A0-CADA-49C5-A6C2-9CE3311CF3CE}">
      <text>
        <r>
          <rPr>
            <sz val="10"/>
            <color indexed="81"/>
            <rFont val="Tahoma"/>
            <family val="2"/>
          </rPr>
          <t>Skaleringsfaktor: Angiv om der skal bruges mere eller mindre materiale pr. m2 konstruktion. F.eks. materialeoverlap ved 1 på 2 beklædning (faktor &gt;1) eller ved murstensfacade som også inderholder mørtel (faktor &lt; 1).</t>
        </r>
      </text>
    </comment>
    <comment ref="AG4" authorId="0" shapeId="0" xr:uid="{34B52AE7-DBC1-4EFF-9695-1802F9673E41}">
      <text>
        <r>
          <rPr>
            <sz val="10"/>
            <color indexed="81"/>
            <rFont val="Tahoma"/>
            <family val="2"/>
          </rPr>
          <t>Reaktion på brand er angivet ud fra følgende bogstavkodning, hvoraf A1 indikerer ubrandbart materiale og F indikerer uprøvet materiale. s identificerer røgudvikling fordelt på niveauer fra 1 til 3 og d identifiverer ilddråber fordelt på niveauer fra 0 til 2, hvoraf mindsteværdier er bedste performance.</t>
        </r>
      </text>
    </comment>
    <comment ref="A8" authorId="0" shapeId="0" xr:uid="{1EA3CB52-D4B9-4E83-9778-EEA1DCE49557}">
      <text>
        <r>
          <rPr>
            <sz val="9"/>
            <color indexed="81"/>
            <rFont val="Tahoma"/>
            <family val="2"/>
          </rPr>
          <t>OBS! uden træ - kun behandling</t>
        </r>
      </text>
    </comment>
    <comment ref="A9" authorId="0" shapeId="0" xr:uid="{2DEC7E89-A83D-47BC-AFA8-CF5BD294DB69}">
      <text>
        <r>
          <rPr>
            <sz val="9"/>
            <color indexed="81"/>
            <rFont val="Tahoma"/>
            <family val="2"/>
          </rPr>
          <t>OBS! Uden træ - kun behandling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Helene Sjørup Lyngaa</author>
  </authors>
  <commentList>
    <comment ref="H4" authorId="0" shapeId="0" xr:uid="{EB799784-1275-4366-A41A-2DF3D0BB76A3}">
      <text>
        <r>
          <rPr>
            <sz val="10"/>
            <color indexed="81"/>
            <rFont val="Tahoma"/>
            <family val="2"/>
          </rPr>
          <t xml:space="preserve">Skaleringsfaktor: Angiv om der skal bruges mere eller mindre materiale pr. m2 konstruktion. F.eks. hvis der skal bruges to plader for at opfylde samme performancekrav. </t>
        </r>
      </text>
    </comment>
    <comment ref="AF4" authorId="0" shapeId="0" xr:uid="{5F8EF15B-146B-440B-B4D8-8DE9726751C5}">
      <text>
        <r>
          <rPr>
            <sz val="10"/>
            <color indexed="81"/>
            <rFont val="Tahoma"/>
            <family val="2"/>
          </rPr>
          <t>Reaktion på brand er angivet ud fra følgende bogstavkodning, hvoraf A1 indikerer ubrandbart materiale og F indikerer uprøvet materiale. s identificerer røgudvikling fordelt på niveauer fra 1 til 3 og d identifiverer ilddråber fordelt på niveauer fra 0 til 2, hvoraf mindsteværdier er bedste performance.</t>
        </r>
      </text>
    </comment>
    <comment ref="E12" authorId="0" shapeId="0" xr:uid="{F0A9DCD6-7E9E-4800-AA8E-F5B0FF667E07}">
      <text>
        <r>
          <rPr>
            <b/>
            <sz val="9"/>
            <color indexed="81"/>
            <rFont val="Tahoma"/>
            <family val="2"/>
          </rPr>
          <t>Helene Sjørup Lyngaa:</t>
        </r>
        <r>
          <rPr>
            <sz val="9"/>
            <color indexed="81"/>
            <rFont val="Tahoma"/>
            <family val="2"/>
          </rPr>
          <t xml:space="preserve">
Antagelse udfra andet produkt fra samme producent</t>
        </r>
      </text>
    </comment>
    <comment ref="AL59" authorId="0" shapeId="0" xr:uid="{36F4435D-03DF-45FA-A73E-748B1412400C}">
      <text>
        <r>
          <rPr>
            <b/>
            <sz val="9"/>
            <color indexed="81"/>
            <rFont val="Tahoma"/>
            <family val="2"/>
          </rPr>
          <t>Helene Sjørup Lyngaa:</t>
        </r>
        <r>
          <rPr>
            <sz val="9"/>
            <color indexed="81"/>
            <rFont val="Tahoma"/>
            <family val="2"/>
          </rPr>
          <t xml:space="preserve">
3 kg/m2 t=3,2mm</t>
        </r>
      </text>
    </comment>
    <comment ref="AL74" authorId="0" shapeId="0" xr:uid="{F9815D16-54EA-427A-BA35-D690909252D9}">
      <text>
        <r>
          <rPr>
            <b/>
            <sz val="9"/>
            <color indexed="81"/>
            <rFont val="Tahoma"/>
            <family val="2"/>
          </rPr>
          <t>Helene Sjørup Lyngaa:</t>
        </r>
        <r>
          <rPr>
            <sz val="9"/>
            <color indexed="81"/>
            <rFont val="Tahoma"/>
            <family val="2"/>
          </rPr>
          <t xml:space="preserve">
3 kg/m2 t=3,2mm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Helene Sjørup Lyngaa</author>
  </authors>
  <commentList>
    <comment ref="H4" authorId="0" shapeId="0" xr:uid="{B5C2F857-232A-43F9-AA47-63C3F1D33B55}">
      <text>
        <r>
          <rPr>
            <sz val="10"/>
            <color indexed="81"/>
            <rFont val="Tahoma"/>
            <family val="2"/>
          </rPr>
          <t xml:space="preserve">Skaleringsfaktor: Angiv om der skal bruges mere eller mindre materiale pr. m2 konstruktion. </t>
        </r>
      </text>
    </comment>
    <comment ref="AF4" authorId="0" shapeId="0" xr:uid="{3DDE9966-79D6-4462-B527-2CBEE1A97C53}">
      <text>
        <r>
          <rPr>
            <sz val="10"/>
            <color indexed="81"/>
            <rFont val="Tahoma"/>
            <family val="2"/>
          </rPr>
          <t>Reaktion på brand er angivet ud fra følgende bogstavkodning, hvoraf A1 indikerer ubrandbart materiale og F indikerer uprøvet materiale. s identificerer røgudvikling fordelt på niveauer fra 1 til 3 og d identifiverer ilddråber fordelt på niveauer fra 0 til 2, hvoraf mindsteværdier er bedste performance.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Helene Sjørup Lyngaa</author>
  </authors>
  <commentList>
    <comment ref="I4" authorId="0" shapeId="0" xr:uid="{7DBCDA16-AE35-40A0-B164-551EE6AA6E31}">
      <text>
        <r>
          <rPr>
            <sz val="10"/>
            <color indexed="81"/>
            <rFont val="Tahoma"/>
            <family val="2"/>
          </rPr>
          <t xml:space="preserve">Skaleringsfaktor: Angiv om der skal bruges mere eller mindre materiale pr. m2 konstruktion. </t>
        </r>
      </text>
    </comment>
    <comment ref="AG4" authorId="0" shapeId="0" xr:uid="{4B0B1FF3-5498-403B-A2B6-BAB064100113}">
      <text>
        <r>
          <rPr>
            <sz val="10"/>
            <color indexed="81"/>
            <rFont val="Tahoma"/>
            <family val="2"/>
          </rPr>
          <t>Reaktion på brand er angivet ud fra følgende bogstavkodning, hvoraf A1 indikerer ubrandbart materiale og F indikerer uprøvet materiale. s identificerer røgudvikling fordelt på niveauer fra 1 til 3 og d identifiverer ilddråber fordelt på niveauer fra 0 til 2, hvoraf mindsteværdier er bedste performance.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Helene Sjørup Lyngaa</author>
  </authors>
  <commentList>
    <comment ref="J4" authorId="0" shapeId="0" xr:uid="{AC3B302B-FBB3-44E1-B4AC-36034E08D1C7}">
      <text>
        <r>
          <rPr>
            <sz val="10"/>
            <color indexed="81"/>
            <rFont val="Tahoma"/>
            <family val="2"/>
          </rPr>
          <t xml:space="preserve">Skaleringsfaktor: Angiv om der skal bruges mere eller mindre materiale pr. m2 konstruktion. </t>
        </r>
      </text>
    </comment>
    <comment ref="AI4" authorId="0" shapeId="0" xr:uid="{223E0700-87BE-4516-BA98-4ABADD8FE6C6}">
      <text>
        <r>
          <rPr>
            <sz val="10"/>
            <color indexed="81"/>
            <rFont val="Tahoma"/>
            <family val="2"/>
          </rPr>
          <t>Reaktion på brand er angivet ud fra følgende bogstavkodning, hvoraf A1 indikerer ubrandbart materiale og F indikerer uprøvet materiale. s identificerer røgudvikling fordelt på niveauer fra 1 til 3 og d identifiverer ilddråber fordelt på niveauer fra 0 til 2, hvoraf mindsteværdier er bedste performance.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Helene Sjørup Lyngaa</author>
    <author>Rasmus Søgaard</author>
  </authors>
  <commentList>
    <comment ref="I4" authorId="0" shapeId="0" xr:uid="{9C24B2B3-A054-4167-9BF3-133F31E707A3}">
      <text>
        <r>
          <rPr>
            <sz val="10"/>
            <color indexed="81"/>
            <rFont val="Tahoma"/>
            <family val="2"/>
          </rPr>
          <t xml:space="preserve">Skaleringsfaktor: Angiv om der skal bruges mere eller mindre materiale pr. m2 konstruktion. </t>
        </r>
      </text>
    </comment>
    <comment ref="AG4" authorId="0" shapeId="0" xr:uid="{201A2C6E-11EC-4E01-989A-4215C87F64AB}">
      <text>
        <r>
          <rPr>
            <sz val="10"/>
            <color indexed="81"/>
            <rFont val="Tahoma"/>
            <family val="2"/>
          </rPr>
          <t>Reaktion på brand er angivet ud fra følgende bogstavkodning, hvoraf A1 indikerer ubrandbart materiale og F indikerer uprøvet materiale. s identificerer røgudvikling fordelt på niveauer fra 1 til 3 og d identifiverer ilddråber fordelt på niveauer fra 0 til 2, hvoraf mindsteværdier er bedste performance.</t>
        </r>
      </text>
    </comment>
    <comment ref="AC6" authorId="0" shapeId="0" xr:uid="{9A95DED0-B1D6-4F3D-A747-34A1D013B87C}">
      <text>
        <r>
          <rPr>
            <sz val="9"/>
            <color indexed="81"/>
            <rFont val="Tahoma"/>
            <family val="2"/>
          </rPr>
          <t xml:space="preserve">C1-C4
</t>
        </r>
      </text>
    </comment>
    <comment ref="AC7" authorId="0" shapeId="0" xr:uid="{B13D3F27-4E2B-40B2-A914-4356918C60AC}">
      <text>
        <r>
          <rPr>
            <sz val="9"/>
            <color indexed="81"/>
            <rFont val="Tahoma"/>
            <family val="2"/>
          </rPr>
          <t>C1-C4</t>
        </r>
      </text>
    </comment>
    <comment ref="AC8" authorId="0" shapeId="0" xr:uid="{401FBE96-4D98-409C-A82F-4A2C913FCC45}">
      <text>
        <r>
          <rPr>
            <sz val="9"/>
            <color indexed="81"/>
            <rFont val="Tahoma"/>
            <family val="2"/>
          </rPr>
          <t>C1-C4</t>
        </r>
      </text>
    </comment>
    <comment ref="AC16" authorId="0" shapeId="0" xr:uid="{61A4918B-C9D6-46B7-A820-318772D73834}">
      <text>
        <r>
          <rPr>
            <sz val="9"/>
            <color indexed="81"/>
            <rFont val="Tahoma"/>
            <family val="2"/>
          </rPr>
          <t>C1-C4</t>
        </r>
      </text>
    </comment>
    <comment ref="AC28" authorId="0" shapeId="0" xr:uid="{DFE58BD8-E5B2-4811-A25F-EA7EB9EA47C1}">
      <text>
        <r>
          <rPr>
            <sz val="9"/>
            <color indexed="81"/>
            <rFont val="Tahoma"/>
            <family val="2"/>
          </rPr>
          <t>C1-C4</t>
        </r>
      </text>
    </comment>
    <comment ref="AC30" authorId="0" shapeId="0" xr:uid="{55EA6EB4-B8C6-4903-A8B4-F8A7DACE871C}">
      <text>
        <r>
          <rPr>
            <sz val="9"/>
            <color indexed="81"/>
            <rFont val="Tahoma"/>
            <family val="2"/>
          </rPr>
          <t>C1-C4</t>
        </r>
      </text>
    </comment>
    <comment ref="AC45" authorId="1" shapeId="0" xr:uid="{753B6D5E-3707-4ADC-9B69-8A3F8D309968}">
      <text>
        <r>
          <rPr>
            <sz val="9"/>
            <color indexed="81"/>
            <rFont val="Tahoma"/>
            <family val="2"/>
          </rPr>
          <t>C1-C4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90DE656-96B3-49E3-90FB-E5F702A3C383}" keepAlive="1" name="Forespørgsel - Tabel3" description="Forbindelse til forespørgslen 'Tabel3' i projektmappen." type="5" refreshedVersion="0" background="1">
    <dbPr connection="Provider=Microsoft.Mashup.OleDb.1;Data Source=$Workbook$;Location=Tabel3;Extended Properties=&quot;&quot;" command="SELECT * FROM [Tabel3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<sst xmlns="http://schemas.openxmlformats.org/spreadsheetml/2006/main" count="10648" uniqueCount="1235">
  <si>
    <t>Produkt</t>
  </si>
  <si>
    <t>Producent</t>
  </si>
  <si>
    <t>Materiale</t>
  </si>
  <si>
    <t>Densitet</t>
  </si>
  <si>
    <t>Standard</t>
  </si>
  <si>
    <t>EPD</t>
  </si>
  <si>
    <t>A1-A3</t>
  </si>
  <si>
    <t>C3-C4</t>
  </si>
  <si>
    <t>D</t>
  </si>
  <si>
    <t>[J/(kg*K)]</t>
  </si>
  <si>
    <t>[år]</t>
  </si>
  <si>
    <t>(EN 13501-1)</t>
  </si>
  <si>
    <t>GRAMITHERM® 100</t>
  </si>
  <si>
    <t>Græs</t>
  </si>
  <si>
    <t>EN 15804+A1</t>
  </si>
  <si>
    <t>m2</t>
  </si>
  <si>
    <t>E</t>
  </si>
  <si>
    <t>Link</t>
  </si>
  <si>
    <t>Amorim Isolamentos</t>
  </si>
  <si>
    <t>Kork</t>
  </si>
  <si>
    <t>m3</t>
  </si>
  <si>
    <t>MD Facade</t>
  </si>
  <si>
    <t>Lambourdé</t>
  </si>
  <si>
    <t>COCO</t>
  </si>
  <si>
    <t>Plantefiber</t>
  </si>
  <si>
    <t>Corkoco</t>
  </si>
  <si>
    <t>VestaEco WALL</t>
  </si>
  <si>
    <t>VestaEco</t>
  </si>
  <si>
    <t>EN 15804+A2</t>
  </si>
  <si>
    <t>VestaEco FLAT</t>
  </si>
  <si>
    <t>VestaEco STRAWBLOCK</t>
  </si>
  <si>
    <t>VestaEco SCREED</t>
  </si>
  <si>
    <t>VestaEco FILL</t>
  </si>
  <si>
    <t>VestaEco INTERNAL</t>
  </si>
  <si>
    <t>VestaEco PROTECT</t>
  </si>
  <si>
    <t>VestaEco PROTECT W</t>
  </si>
  <si>
    <t>VestaEco ROOF</t>
  </si>
  <si>
    <t>VestaEco LDF</t>
  </si>
  <si>
    <t>VestaEco LIGHT MDF</t>
  </si>
  <si>
    <t>IsoHemp</t>
  </si>
  <si>
    <t>Hamp</t>
  </si>
  <si>
    <t>Lehm-Putzträgerplatte 10 mm</t>
  </si>
  <si>
    <t>Schleusner</t>
  </si>
  <si>
    <t>Ler</t>
  </si>
  <si>
    <t>Leichtlehmbauplatte 14 mm</t>
  </si>
  <si>
    <t>Leichtlehmbauplatte 22 mm</t>
  </si>
  <si>
    <t>Silentlith® Akustikplatte (20mm)</t>
  </si>
  <si>
    <t>Von Hanf</t>
  </si>
  <si>
    <t>Silentlith® Akustikplatte (30mm)</t>
  </si>
  <si>
    <t>Hemplith® Bauplatte</t>
  </si>
  <si>
    <t>Hemplith® Leichtbauplatte (20 mm)</t>
  </si>
  <si>
    <t>Hemplith® Leichtbauplatte (30 mm)</t>
  </si>
  <si>
    <t>Hemplith®  Baustoffe</t>
  </si>
  <si>
    <t>P5 LivingBoard</t>
  </si>
  <si>
    <t>Pfleiderer</t>
  </si>
  <si>
    <t>Træ</t>
  </si>
  <si>
    <t>Clay panels</t>
  </si>
  <si>
    <t>Conluto</t>
  </si>
  <si>
    <t>A1</t>
  </si>
  <si>
    <t>KALK</t>
  </si>
  <si>
    <t>Kalk</t>
  </si>
  <si>
    <t>kg</t>
  </si>
  <si>
    <t>REN Facademaling</t>
  </si>
  <si>
    <t>BioLITH Tile</t>
  </si>
  <si>
    <t>Biomason</t>
  </si>
  <si>
    <t>Søuld Acoustic Mats FR</t>
  </si>
  <si>
    <t>Søuld</t>
  </si>
  <si>
    <t>Ålegræs</t>
  </si>
  <si>
    <t>Søuld Acoustic Mats</t>
  </si>
  <si>
    <t>Søuld Acoustic Boards</t>
  </si>
  <si>
    <t>Naturpladen</t>
  </si>
  <si>
    <t>Naturpladen A/S</t>
  </si>
  <si>
    <t>EcoCocon panelsystemer</t>
  </si>
  <si>
    <t>EcoCocon</t>
  </si>
  <si>
    <t>Kalle Balle Byg</t>
  </si>
  <si>
    <t>Halm</t>
  </si>
  <si>
    <t>Volvox Espressivo Lermaling</t>
  </si>
  <si>
    <t>Volvox</t>
  </si>
  <si>
    <t>Hunton Nativo® Træfiberisolering Plade</t>
  </si>
  <si>
    <t>Hunton</t>
  </si>
  <si>
    <t>Hunton Nativo® Træfiberisolering Indblæst</t>
  </si>
  <si>
    <t>Hunton Vindtett™</t>
  </si>
  <si>
    <t>F</t>
  </si>
  <si>
    <t>Hunton Vindtæt Plus™</t>
  </si>
  <si>
    <t>Hunton Silencio® Trinlydplade</t>
  </si>
  <si>
    <t>Hunton Silencio® Thermo</t>
  </si>
  <si>
    <t>Hunton Undertag</t>
  </si>
  <si>
    <t>Thermofloc</t>
  </si>
  <si>
    <t>Woodfiber FLEX</t>
  </si>
  <si>
    <t>Woodfiber</t>
  </si>
  <si>
    <t>Woodfiber SAFE</t>
  </si>
  <si>
    <t>Woodfiber TOP</t>
  </si>
  <si>
    <t>Woodfiber WALL</t>
  </si>
  <si>
    <t>Woodfiber ROOM</t>
  </si>
  <si>
    <t>Woodfiber SOUND</t>
  </si>
  <si>
    <t>Papir</t>
  </si>
  <si>
    <t>Troldtekt</t>
  </si>
  <si>
    <t>Kronospan</t>
  </si>
  <si>
    <t>FRØSLEV Heatwood solid wood panelling</t>
  </si>
  <si>
    <t>Frøslev</t>
  </si>
  <si>
    <t>FRØSLEV ABODO solid wood panelling</t>
  </si>
  <si>
    <t>HampByg Hempcrete</t>
  </si>
  <si>
    <t>HampByg</t>
  </si>
  <si>
    <t>Burntwood 21 mm spruce with Burnblock Gran</t>
  </si>
  <si>
    <t>Burntwood</t>
  </si>
  <si>
    <t>Burntwood 21 mm spruce with Burnblock Fyr</t>
  </si>
  <si>
    <t>Hempwool</t>
  </si>
  <si>
    <t>Hempitecture</t>
  </si>
  <si>
    <t>Hemp and Lime for Cast-in-Place</t>
  </si>
  <si>
    <t>Hemp and Lime Blocks</t>
  </si>
  <si>
    <t>Isolet papirisolering</t>
  </si>
  <si>
    <t>Nviro</t>
  </si>
  <si>
    <t>TFDK FLEX</t>
  </si>
  <si>
    <t>Træfiber Danmark</t>
  </si>
  <si>
    <t>TFDK Vindspærreplade</t>
  </si>
  <si>
    <t>TFDK PRO Undertagsog vindspærreplade</t>
  </si>
  <si>
    <t>TFDK mellemisoleringsplade, skarpkant eller fals</t>
  </si>
  <si>
    <t>TFDK mellemisoleringsplade, fer og not</t>
  </si>
  <si>
    <t>Thermocell</t>
  </si>
  <si>
    <t>ThermoWood® Fyrretræ</t>
  </si>
  <si>
    <t>Moelven</t>
  </si>
  <si>
    <t>ThermoWood® Fyrretræ brandimprægneret</t>
  </si>
  <si>
    <t>Ekolution® Hemp Fibre Insulation</t>
  </si>
  <si>
    <t>Ekolution</t>
  </si>
  <si>
    <t>Lehm Flächenspachtel Farbig</t>
  </si>
  <si>
    <t>Lehm Farbe</t>
  </si>
  <si>
    <t>Lehmputzmörtel</t>
  </si>
  <si>
    <t>Lehmstein</t>
  </si>
  <si>
    <t>Rødvig Juramørtel KKh 100/400 + 20/80/475</t>
  </si>
  <si>
    <t>Leichtlehmstein</t>
  </si>
  <si>
    <t>Mycelium</t>
  </si>
  <si>
    <t>Hunton Silencio® Parkettunderlag</t>
  </si>
  <si>
    <t>Træfiber</t>
  </si>
  <si>
    <t>Træcement</t>
  </si>
  <si>
    <t>Produktionsland</t>
  </si>
  <si>
    <t>Dasso</t>
  </si>
  <si>
    <t>Bambus</t>
  </si>
  <si>
    <t>Kina</t>
  </si>
  <si>
    <t>DassoCTECH</t>
  </si>
  <si>
    <t>DassoXTR</t>
  </si>
  <si>
    <t>Belgien</t>
  </si>
  <si>
    <t>Portugal</t>
  </si>
  <si>
    <t>Polen</t>
  </si>
  <si>
    <t>Tyskland</t>
  </si>
  <si>
    <t>Østrig</t>
  </si>
  <si>
    <t>Schweiz</t>
  </si>
  <si>
    <t>Danmark</t>
  </si>
  <si>
    <t>Italien</t>
  </si>
  <si>
    <t>Litauen</t>
  </si>
  <si>
    <t>Sverige</t>
  </si>
  <si>
    <t>Introduktion</t>
  </si>
  <si>
    <t>Estland</t>
  </si>
  <si>
    <t>USA</t>
  </si>
  <si>
    <t>Norge</t>
  </si>
  <si>
    <t>Diasen</t>
  </si>
  <si>
    <t>Huntonit</t>
  </si>
  <si>
    <t>FIBO</t>
  </si>
  <si>
    <t>Vådrumspaneler</t>
  </si>
  <si>
    <t>Gramitherm</t>
  </si>
  <si>
    <t>Hemboo</t>
  </si>
  <si>
    <t>X-treme</t>
  </si>
  <si>
    <t>Moso</t>
  </si>
  <si>
    <t>Holland</t>
  </si>
  <si>
    <t>Kebony</t>
  </si>
  <si>
    <t>Character (Scots Pine) Roofing</t>
  </si>
  <si>
    <t>Character (Scots Pine) Cladding</t>
  </si>
  <si>
    <t>Tykkelse</t>
  </si>
  <si>
    <t>Plader</t>
  </si>
  <si>
    <t>Biocement</t>
  </si>
  <si>
    <t>Algebaseret beton</t>
  </si>
  <si>
    <t>Biocrete</t>
  </si>
  <si>
    <t>University of Colorado</t>
  </si>
  <si>
    <t>Snøhetta</t>
  </si>
  <si>
    <t>Kährs</t>
  </si>
  <si>
    <t>15 mm, 14 mm, 13 mm engineered wood floors</t>
  </si>
  <si>
    <t>Blokke</t>
  </si>
  <si>
    <t>s1
d0</t>
  </si>
  <si>
    <t>s2
d0</t>
  </si>
  <si>
    <t>B</t>
  </si>
  <si>
    <t>Type</t>
  </si>
  <si>
    <t>[J / kg K]</t>
  </si>
  <si>
    <t>[W / m K]</t>
  </si>
  <si>
    <t>Kalle Balle Byg Elementer</t>
  </si>
  <si>
    <t>Dasso Traditional Bamboo</t>
  </si>
  <si>
    <t>C</t>
  </si>
  <si>
    <t>s1
d1</t>
  </si>
  <si>
    <t>Links</t>
  </si>
  <si>
    <t>Foamglas</t>
  </si>
  <si>
    <t>Havelock wool batt insulation</t>
  </si>
  <si>
    <t>Havelock loose-wool insulation</t>
  </si>
  <si>
    <t>Havelock</t>
  </si>
  <si>
    <t>N/A</t>
  </si>
  <si>
    <t>Væg</t>
  </si>
  <si>
    <t>Deklaret 
enhed</t>
  </si>
  <si>
    <t>EN 15804+A1 /+A2</t>
  </si>
  <si>
    <t>(R=1)  [kg CO2-ækv.]</t>
  </si>
  <si>
    <t>(R=1) [kg CO2-ækv.]</t>
  </si>
  <si>
    <t>Samlet LCA
(A1-A3+C4-C3)</t>
  </si>
  <si>
    <t>LCA
(A1-A3)</t>
  </si>
  <si>
    <t>Reaktion 
på brand</t>
  </si>
  <si>
    <t>Varme-
ledningsevne</t>
  </si>
  <si>
    <t>Varme-
kapcitet</t>
  </si>
  <si>
    <t>Biogen carbon
(A1-A3)</t>
  </si>
  <si>
    <t>Samlet LCA
(A1-A3+C3-C4)</t>
  </si>
  <si>
    <t>Expanded insulation corkboard (ICB)</t>
  </si>
  <si>
    <t>Hemboo vægsystem</t>
  </si>
  <si>
    <t>[m]</t>
  </si>
  <si>
    <t>Kategori</t>
  </si>
  <si>
    <t>Biobaseret</t>
  </si>
  <si>
    <t>Rockwool</t>
  </si>
  <si>
    <t>Mineralsk</t>
  </si>
  <si>
    <t>A-batts</t>
  </si>
  <si>
    <t xml:space="preserve">                                                                                                          </t>
  </si>
  <si>
    <t>Flexibatts 37</t>
  </si>
  <si>
    <t>A2</t>
  </si>
  <si>
    <t>Toprock System (250 mm)</t>
  </si>
  <si>
    <t>Murbatts 37</t>
  </si>
  <si>
    <t>Rockorbit 50 mm</t>
  </si>
  <si>
    <t>Isover</t>
  </si>
  <si>
    <t>Knauf</t>
  </si>
  <si>
    <t>Formstykker 37 (Ecobatt)</t>
  </si>
  <si>
    <t>Murisolering 37</t>
  </si>
  <si>
    <t>Papirbelagt Rulle Lambda 37</t>
  </si>
  <si>
    <t>Supafil Frame (0,033)</t>
  </si>
  <si>
    <t>Supafil Frame (0,038)</t>
  </si>
  <si>
    <t>England</t>
  </si>
  <si>
    <t>Supafil Frame (0,034)</t>
  </si>
  <si>
    <t>Rulle Lambda 37 (Ecoblanket)</t>
  </si>
  <si>
    <r>
      <t>[kg / m</t>
    </r>
    <r>
      <rPr>
        <vertAlign val="super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>]</t>
    </r>
  </si>
  <si>
    <r>
      <t>[kg/m</t>
    </r>
    <r>
      <rPr>
        <vertAlign val="super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>]</t>
    </r>
  </si>
  <si>
    <t>Patina</t>
  </si>
  <si>
    <t>Cembrit</t>
  </si>
  <si>
    <t>Ungarn</t>
  </si>
  <si>
    <t>Transparent</t>
  </si>
  <si>
    <t>ton</t>
  </si>
  <si>
    <t>Bølgeplader</t>
  </si>
  <si>
    <t>Construction</t>
  </si>
  <si>
    <t>Windstopper Extreme</t>
  </si>
  <si>
    <t>Windstopper Basic</t>
  </si>
  <si>
    <t>Multi Force</t>
  </si>
  <si>
    <t>Finland</t>
  </si>
  <si>
    <t>Billedereferencer</t>
  </si>
  <si>
    <t xml:space="preserve">Gyldig indtil </t>
  </si>
  <si>
    <t>Levetid 
i EPD</t>
  </si>
  <si>
    <t>(R=1)</t>
  </si>
  <si>
    <t>Faktor</t>
  </si>
  <si>
    <t>Tykkelse
i EPD</t>
  </si>
  <si>
    <t>Diathonite Evolution</t>
  </si>
  <si>
    <t>Plantd</t>
  </si>
  <si>
    <t>Plantd OSB board</t>
  </si>
  <si>
    <t>Diathonite Acoustix</t>
  </si>
  <si>
    <t>Diathonite Acoustix+</t>
  </si>
  <si>
    <t>Diathonite Deumix+</t>
  </si>
  <si>
    <t>Diathonite Massetto</t>
  </si>
  <si>
    <t>EPS S80</t>
  </si>
  <si>
    <t>Sundolitt</t>
  </si>
  <si>
    <t>Bewi</t>
  </si>
  <si>
    <t>XPS Jackofoam</t>
  </si>
  <si>
    <t>XPS Sundolitt</t>
  </si>
  <si>
    <t>Plast</t>
  </si>
  <si>
    <t>Steico</t>
  </si>
  <si>
    <t>Steico Flex</t>
  </si>
  <si>
    <t>Frankrig</t>
  </si>
  <si>
    <t>Isolering</t>
  </si>
  <si>
    <t>Steicotherm dry</t>
  </si>
  <si>
    <t>RedAir</t>
  </si>
  <si>
    <t>Rockzero</t>
  </si>
  <si>
    <t>Paroc</t>
  </si>
  <si>
    <t>Paroc Natura Lana</t>
  </si>
  <si>
    <t>Paroc eXtra bygningsisolering</t>
  </si>
  <si>
    <t>Kingspan</t>
  </si>
  <si>
    <t>G80</t>
  </si>
  <si>
    <t>RE80</t>
  </si>
  <si>
    <t>P80</t>
  </si>
  <si>
    <t>Jackopor 80</t>
  </si>
  <si>
    <t>pr. m2 BE [kg CO2-ækv.]</t>
  </si>
  <si>
    <t>Diathonite Thermaactive 37</t>
  </si>
  <si>
    <t>Diathonite Sismactive</t>
  </si>
  <si>
    <t>Gyproc</t>
  </si>
  <si>
    <t>Webertherm 500</t>
  </si>
  <si>
    <t>Classic Board</t>
  </si>
  <si>
    <t>Clima Board</t>
  </si>
  <si>
    <t>Light Board</t>
  </si>
  <si>
    <t>Secura Board</t>
  </si>
  <si>
    <t>Solid Board</t>
  </si>
  <si>
    <t>Solid Wet Board</t>
  </si>
  <si>
    <t>Ultra Board</t>
  </si>
  <si>
    <t>Farmacell</t>
  </si>
  <si>
    <t>Indtast</t>
  </si>
  <si>
    <t>Indhold</t>
  </si>
  <si>
    <t>Overflader</t>
  </si>
  <si>
    <t>Gulv</t>
  </si>
  <si>
    <t>Løs</t>
  </si>
  <si>
    <t>Udvendig beklædning</t>
  </si>
  <si>
    <t>Genbrug</t>
  </si>
  <si>
    <t>Fåruld</t>
  </si>
  <si>
    <t>Sten</t>
  </si>
  <si>
    <t>Maks</t>
  </si>
  <si>
    <t>Min</t>
  </si>
  <si>
    <t>Fanen indeholder pladematerialer til indvendig brug, beskyttelse mod vind, akustiske formål etc.</t>
  </si>
  <si>
    <t>Fibercement</t>
  </si>
  <si>
    <t>Gips</t>
  </si>
  <si>
    <t>Bemærkninger</t>
  </si>
  <si>
    <t>LCA
(C3-C4)</t>
  </si>
  <si>
    <t>Glapor</t>
  </si>
  <si>
    <t>Celleglasblok PG 900</t>
  </si>
  <si>
    <t>Celleglasblok PG 1600</t>
  </si>
  <si>
    <t>Glas</t>
  </si>
  <si>
    <t>Fanen indeholder isoleringsmaterialer i løs -, plade - og blokform såvel som vægkonstruktioner med isolerende lag samt akustiske materialevarer, der i fremtiden vil kunne sælges som isolering.</t>
  </si>
  <si>
    <t>Fanen indeholder udvendige beklædninger til både tag og facade.</t>
  </si>
  <si>
    <t>Fanen indeholder afsluttende indvendige overflader såsom mørtel, puds og maling.</t>
  </si>
  <si>
    <t>Norto Floor Up</t>
  </si>
  <si>
    <t>Norto</t>
  </si>
  <si>
    <t>Traces Tea</t>
  </si>
  <si>
    <t>Amorim Wise</t>
  </si>
  <si>
    <t>Fashionable Cement</t>
  </si>
  <si>
    <t>Shell Jasmim</t>
  </si>
  <si>
    <t>Personality Tea</t>
  </si>
  <si>
    <t>Tricoya MDF 6 mm</t>
  </si>
  <si>
    <t xml:space="preserve">Tricoya </t>
  </si>
  <si>
    <t>Tricoya MDF 9 mm</t>
  </si>
  <si>
    <t>Tricoya MDF 12 mm</t>
  </si>
  <si>
    <t>Tricoya MDF 15 mm</t>
  </si>
  <si>
    <t>Tricoya MDF 18 mm</t>
  </si>
  <si>
    <t>Accoya cladding</t>
  </si>
  <si>
    <t>Accoya</t>
  </si>
  <si>
    <t>HardiePanel</t>
  </si>
  <si>
    <t>HardiePlank</t>
  </si>
  <si>
    <t>HardieLinea</t>
  </si>
  <si>
    <t>OrganoWood Paneltræ</t>
  </si>
  <si>
    <t>OrganoWood</t>
  </si>
  <si>
    <t>OrganoWood Basic terrassetræ</t>
  </si>
  <si>
    <t>OrganoWood Select terrassetræ</t>
  </si>
  <si>
    <t>OrganoWood Select Plus terrassetræ</t>
  </si>
  <si>
    <t>OrganoWood Magnum terrassetræ</t>
  </si>
  <si>
    <t>Clear</t>
  </si>
  <si>
    <t>Clear (Radiata) Decking</t>
  </si>
  <si>
    <t>Character (Scots Pine) Decking</t>
  </si>
  <si>
    <t>Plannja</t>
  </si>
  <si>
    <t>Metal</t>
  </si>
  <si>
    <t>Plannja Trend 475</t>
  </si>
  <si>
    <t>Plannja Trend 275</t>
  </si>
  <si>
    <t>Plannja Modern</t>
  </si>
  <si>
    <t>Plannja Pandeplade</t>
  </si>
  <si>
    <t>Plannja Royal</t>
  </si>
  <si>
    <t>Plannja Regent</t>
  </si>
  <si>
    <t>Plannja Regal</t>
  </si>
  <si>
    <t>Plannja 20-105</t>
  </si>
  <si>
    <t>Plannja 20-75</t>
  </si>
  <si>
    <t>Plannja Sinus 18</t>
  </si>
  <si>
    <t>Plannja Sinus 51</t>
  </si>
  <si>
    <t>Plannja 19R</t>
  </si>
  <si>
    <t>Plannja 35</t>
  </si>
  <si>
    <t>Plannja 45</t>
  </si>
  <si>
    <t>T70</t>
  </si>
  <si>
    <t>T130M</t>
  </si>
  <si>
    <t>Plannja Combideck 45</t>
  </si>
  <si>
    <t>Lindab tyndplader</t>
  </si>
  <si>
    <t>Ekopanely</t>
  </si>
  <si>
    <t>Tjekkiet</t>
  </si>
  <si>
    <t>Ekopanely Board E40/800</t>
  </si>
  <si>
    <t>Ekopanely Board E60/1200</t>
  </si>
  <si>
    <t>Homatherm</t>
  </si>
  <si>
    <t>HolzFlex Protect</t>
  </si>
  <si>
    <t>HDP-Q11 standard</t>
  </si>
  <si>
    <t>UD-Q11 Protect</t>
  </si>
  <si>
    <t>ID-Q11 Standard</t>
  </si>
  <si>
    <t>HolzFlex Standard</t>
  </si>
  <si>
    <t>EnergiePlus Massive</t>
  </si>
  <si>
    <t>EnergiePlus Comfort</t>
  </si>
  <si>
    <t>Trykfast</t>
  </si>
  <si>
    <t>GO
certifikater</t>
  </si>
  <si>
    <t>Direkte indtastet fra EPD</t>
  </si>
  <si>
    <t>[kg CO2-ækv. pr. enhed]</t>
  </si>
  <si>
    <t>TigerFiber</t>
  </si>
  <si>
    <t>TigerFiber Insulation</t>
  </si>
  <si>
    <t>Batts</t>
  </si>
  <si>
    <t>inkl. GOs</t>
  </si>
  <si>
    <t>Foamglas T3+ (inkl. GOs)</t>
  </si>
  <si>
    <t>Formstykke 37 (inkl. GOs)</t>
  </si>
  <si>
    <t>Murfilt 37 (inkl. GOs)</t>
  </si>
  <si>
    <t>Facadekoncept Plade 37 (inkl. GOs)</t>
  </si>
  <si>
    <t>Flex (inkl. GOs)</t>
  </si>
  <si>
    <t>Kooltherm K20 Betonkonstruktioner (inkl. GOs)</t>
  </si>
  <si>
    <t>Kooltherm K12 Trækonstruktioner (inkl. GOs)</t>
  </si>
  <si>
    <t>Troldtekt lys natur, 25 mm, umalet (inkl. GOs)</t>
  </si>
  <si>
    <t>Vindtett - Sheathing Board (inkl. GOs)</t>
  </si>
  <si>
    <t>ErgoLite - Lightweight Plasterboard (inkl. GOs)</t>
  </si>
  <si>
    <t>Robust - Hard Plasterboard (inkl. GOs)</t>
  </si>
  <si>
    <t>Protect F - Fire Board (inkl. GOs)</t>
  </si>
  <si>
    <t>Normal - Standard Plasterboard (inkl. GOs)</t>
  </si>
  <si>
    <t>Millennium vinduessystem</t>
  </si>
  <si>
    <t>Millennium-REDUXA vinduessystem</t>
  </si>
  <si>
    <t>Vægt</t>
  </si>
  <si>
    <t>[kg/m2]</t>
  </si>
  <si>
    <t>Facadevindue</t>
  </si>
  <si>
    <t>Træ/Træ</t>
  </si>
  <si>
    <t>KPK 2-lags træ vinduer (T2) (inkl. GOs)</t>
  </si>
  <si>
    <t>KPK 3-lags træ vinduer (T3) (inkl. GOs)</t>
  </si>
  <si>
    <t>KPK 2-lags træ-alu vinduer (TA2) (inkl. GOs)</t>
  </si>
  <si>
    <t>KPK 3-lags træ-alu vinduer (TA3) (inkl. GOs)</t>
  </si>
  <si>
    <t>Outline</t>
  </si>
  <si>
    <t>Outrup</t>
  </si>
  <si>
    <t>Rationel</t>
  </si>
  <si>
    <t>Unilite</t>
  </si>
  <si>
    <t>Outline 2-lags træ vinduer (T2) (inkl. GOs)</t>
  </si>
  <si>
    <t>Outline 3-lags træ vinduer (T3) (inkl. GOs)</t>
  </si>
  <si>
    <t>Outline 2-lags træ-alu vinduer (TA2) (inkl. GOs)</t>
  </si>
  <si>
    <t>Outline 3-lags træ-alu vinduer (TA3) (inkl. GOs)</t>
  </si>
  <si>
    <t>Lag</t>
  </si>
  <si>
    <t>3-lags</t>
  </si>
  <si>
    <t>2-lags</t>
  </si>
  <si>
    <t>TræFront 2-lags glas (T2) (inkl. GOs)</t>
  </si>
  <si>
    <t>TræFront 3-lags glas (T3) (inkl. GOs)</t>
  </si>
  <si>
    <t>AlucapFront 2-lags glas (TA2) (inkl. GOs)</t>
  </si>
  <si>
    <t>AlucapFront 3-lags glas (TA3) (inkl. GOs)</t>
  </si>
  <si>
    <t>Auraplus (inkl. GOs)</t>
  </si>
  <si>
    <t>Formaplus (inkl. GOs)</t>
  </si>
  <si>
    <t>Combi ovenlys 2-lags 1,23x1,48 m (+karm)</t>
  </si>
  <si>
    <t>Combi ovenlys 2-lags 1,48x2,18 m (+karm)</t>
  </si>
  <si>
    <t>Combi ovenlys 3-lags 1,23x1,48 m (+karm)</t>
  </si>
  <si>
    <t>Combi ovenlys 3-lags 1,48x2,18 m (+karm)</t>
  </si>
  <si>
    <t>Ovenlysvindue</t>
  </si>
  <si>
    <t>Acryl - Combi ovenlys 2-lags 1,23x1,48 m (+karm)</t>
  </si>
  <si>
    <t>Acryl - Combi ovenlys 2-lags 1,48x2,18 m (+karm)</t>
  </si>
  <si>
    <t>Acryl - Combi ovenlys 3-lags 1,23x1,48 m (+karm)</t>
  </si>
  <si>
    <t>Acryl - Combi ovenlys 3-lags 1,48x2,18 m (+karm)</t>
  </si>
  <si>
    <t>Vinduer</t>
  </si>
  <si>
    <t>Monokrystalinsk</t>
  </si>
  <si>
    <t>Tyndfilm</t>
  </si>
  <si>
    <t>Velux Group</t>
  </si>
  <si>
    <t>s2
d2</t>
  </si>
  <si>
    <t>Modular Skylight (double glazing configuration)</t>
  </si>
  <si>
    <t>Polyurethane (PUR) roof windows (double glazing configuration)</t>
  </si>
  <si>
    <t>Polyurethane (PUR) roof windows (triple glazing configuration)</t>
  </si>
  <si>
    <t>Modular Skylight (triple glazing configuration)</t>
  </si>
  <si>
    <t>Flat roof window CVP - grid-connected</t>
  </si>
  <si>
    <t>Slovenien</t>
  </si>
  <si>
    <t>Flat roof window CFP</t>
  </si>
  <si>
    <t>Flat roof window CSP - grid-connected</t>
  </si>
  <si>
    <t>Flat roof window CXP</t>
  </si>
  <si>
    <t>Flat roof window CVU - grid-connected</t>
  </si>
  <si>
    <t>Flat roof window CVU - solar-powered</t>
  </si>
  <si>
    <t>Flat roof window CFU</t>
  </si>
  <si>
    <t>stk</t>
  </si>
  <si>
    <t>Velfac</t>
  </si>
  <si>
    <t>200 Energy - Top-guided window (inkl. GOs)</t>
  </si>
  <si>
    <t>Danline 70, Fast karm, 3-lags glas</t>
  </si>
  <si>
    <t>Danline 70, Topstyret, 3-lags glas</t>
  </si>
  <si>
    <t>Danline 70, Topvende, 3-lags glas</t>
  </si>
  <si>
    <t>Ventisol</t>
  </si>
  <si>
    <t>Softline 70, Fast karm 67/70mm, 3-lags glas</t>
  </si>
  <si>
    <t>Softline 70, Fast karm 67/70mm med 40 mm forbredning, 3-lags glas</t>
  </si>
  <si>
    <t>Softline 70, Fast karm 64/116mm, 3-lags glas</t>
  </si>
  <si>
    <t>Softline 70, Drejekip 67/70mm, lille opluk, 3-lags glas</t>
  </si>
  <si>
    <t>Softline 70, Drejekip 67/70mm med 40 mm forbredning, lille opluk, 3-lags glas</t>
  </si>
  <si>
    <t>Softline 70, Drejekip 64/116mm, lille opluk, 3-lags glas</t>
  </si>
  <si>
    <t>Plastvindue med glasfiberforstærket profil (FRP) og 3-lags rude</t>
  </si>
  <si>
    <t>Vindues Industrien</t>
  </si>
  <si>
    <t>Træ-alu vindue med 3-lags rude</t>
  </si>
  <si>
    <t>Trævindue med 3-lags rude</t>
  </si>
  <si>
    <t>Plast/Plast</t>
  </si>
  <si>
    <t>Branche EPD</t>
  </si>
  <si>
    <t>A-batts (inkl. GOs)</t>
  </si>
  <si>
    <t>Flexibatts 37 (inkl. GOs)</t>
  </si>
  <si>
    <t>Murbatts 37 (inkl. GOs)</t>
  </si>
  <si>
    <t>Komproment</t>
  </si>
  <si>
    <t>Arena Earth</t>
  </si>
  <si>
    <t>Colosseum Earth</t>
  </si>
  <si>
    <t>Patheon Earth</t>
  </si>
  <si>
    <t>Tempel Earth</t>
  </si>
  <si>
    <t xml:space="preserve">Italien </t>
  </si>
  <si>
    <t>Colosseum Nordic (Peat Black)</t>
  </si>
  <si>
    <t>Colosseum Nordic (Beach Yellow, Nordic Red, Terracotta Red)</t>
  </si>
  <si>
    <t>Colosseum Nordic (Brazilian Brown, Cloudy Gray, Concrete Gray)</t>
  </si>
  <si>
    <t>Pantheon Nordic (Peat Black)</t>
  </si>
  <si>
    <t>Pantheon Nordic (Beach Yellow, Nordic Red, Terracotta Red)</t>
  </si>
  <si>
    <t>Pantheon Nordic (Brazilian Brown, Cloudy Gray, Concrete Gray)</t>
  </si>
  <si>
    <t>Vidar Teglspån</t>
  </si>
  <si>
    <t>Zappa</t>
  </si>
  <si>
    <t>Concrete Cover</t>
  </si>
  <si>
    <t>Beton</t>
  </si>
  <si>
    <t>Danfals 12 (inkl. GOs)</t>
  </si>
  <si>
    <t>Gigant (inkl. GOs)</t>
  </si>
  <si>
    <t>Linea (inkl. GOs)</t>
  </si>
  <si>
    <t>Nordfals 10 (inkl. GOs)</t>
  </si>
  <si>
    <t>Planfals 11 (inkl. GOs)</t>
  </si>
  <si>
    <t>Thormod</t>
  </si>
  <si>
    <t>Viking K13 Verona (inkl. GOs)</t>
  </si>
  <si>
    <t>Viking K15 (inkl. GOs)</t>
  </si>
  <si>
    <t>Viking Øko K9 (inkl. GOs)</t>
  </si>
  <si>
    <t>Koncept roof</t>
  </si>
  <si>
    <t>Traditionel skifer</t>
  </si>
  <si>
    <t>Dobbelt D</t>
  </si>
  <si>
    <t>Vingefals</t>
  </si>
  <si>
    <t>Flexibatts 34 (inkl. GOs)</t>
  </si>
  <si>
    <t>Flexibatts 34</t>
  </si>
  <si>
    <t>Flexibatts 32 (inkl. GOs)</t>
  </si>
  <si>
    <t xml:space="preserve">Flexibatts 32 </t>
  </si>
  <si>
    <t>Murbatts 34</t>
  </si>
  <si>
    <t>Murbatts 34 (inkl. GOs)</t>
  </si>
  <si>
    <t>Murbatts 32</t>
  </si>
  <si>
    <t>Murbatts 32 (inkl. GOs)</t>
  </si>
  <si>
    <t xml:space="preserve">KPK  </t>
  </si>
  <si>
    <t>PC planlys 10/10 mm 1,23x1,48 m (+karm)</t>
  </si>
  <si>
    <t>PC planlys 10/10 mm 1,48x2,18 m (+karm)</t>
  </si>
  <si>
    <t>PC planlys 16 mm 1,23x1,48 m (+karm)</t>
  </si>
  <si>
    <t>PC planlys 16 mm 1,48x2,18 m (+karm)</t>
  </si>
  <si>
    <t>Glas planlys 2-lags 1,23x1,48 m (+karm)</t>
  </si>
  <si>
    <t>Glas planlys 2-lags 1,48x2,18 m  (+karm)</t>
  </si>
  <si>
    <t>Glas planlys 3-lags 1,23x1,48 m (+karm)</t>
  </si>
  <si>
    <t>Glas planlys 3-lags 1,48x2,18 m (+karm)</t>
  </si>
  <si>
    <t>PC 10/10 mm 1,23x1,48 m (+karm)</t>
  </si>
  <si>
    <t>PC 10/10 mm 1,48x2,18 m (+karm)</t>
  </si>
  <si>
    <t>PC+ 10/10+16 1,23x1,48 m (+karm)</t>
  </si>
  <si>
    <t>PC+ 10/10+16 1,48x2,18 m  (+karm)</t>
  </si>
  <si>
    <t>PC+ 10/10+16/16 1,23x1,48 m (+karm)</t>
  </si>
  <si>
    <t>PC+ 10/10+16/16 1,48x2,18 m (+karm)</t>
  </si>
  <si>
    <t>PC+ 10+16 1,23x1,48 m (+karm)</t>
  </si>
  <si>
    <t>PC+ 10+16 1,48x2,18 m (+karm)</t>
  </si>
  <si>
    <t>Længde</t>
  </si>
  <si>
    <t>Bredde</t>
  </si>
  <si>
    <t>Alu/Plast</t>
  </si>
  <si>
    <t>Træ/Alu</t>
  </si>
  <si>
    <t>Alu/Alu</t>
  </si>
  <si>
    <t>Deklarations- nummer</t>
  </si>
  <si>
    <t>000464</t>
  </si>
  <si>
    <t>S-P-01961</t>
  </si>
  <si>
    <t>NEPD-2286-1041-NO</t>
  </si>
  <si>
    <t>NEPD-2287-1041-NO</t>
  </si>
  <si>
    <t>EPD-STE-20200172-IBA1-EN</t>
  </si>
  <si>
    <t>EPD-ECI-20200217-ICG1-DE</t>
  </si>
  <si>
    <t>Deklarationsnummer</t>
  </si>
  <si>
    <t>EPD-PSG-20210030-IBA1-EN</t>
  </si>
  <si>
    <t>B-EPD n° 21-0078-001.00.00</t>
  </si>
  <si>
    <t xml:space="preserve">B-EPD n° 21-0123-002-00.00-EN </t>
  </si>
  <si>
    <t>MD-22017-EN</t>
  </si>
  <si>
    <t>EPD-2022-7601</t>
  </si>
  <si>
    <t>EPD-PCE-20200300-IBB1-EN</t>
  </si>
  <si>
    <t>NEPD-3381-2002-EN</t>
  </si>
  <si>
    <t>NEPD-3410-2023-EN  (RW 56245)</t>
  </si>
  <si>
    <t>NEPD-3381-2002-EN (RW 55257)</t>
  </si>
  <si>
    <t>NEPD-3381-2002 (57088)</t>
  </si>
  <si>
    <t>NEPD-3411-2024 (56930)</t>
  </si>
  <si>
    <t>NEPD-3381-2002-EN (RW 56270)</t>
  </si>
  <si>
    <t>NEPD-2612-1324-EN</t>
  </si>
  <si>
    <t>NEPD-2604-1326-EN</t>
  </si>
  <si>
    <t>NEPD-2015-891-EN</t>
  </si>
  <si>
    <t>NEPD-2608-1324-EN</t>
  </si>
  <si>
    <t>S-P-01751</t>
  </si>
  <si>
    <t>S-P-01758</t>
  </si>
  <si>
    <t>S-P-01757</t>
  </si>
  <si>
    <t>S-P-01756</t>
  </si>
  <si>
    <t>NEPD-2794-1494-EN</t>
  </si>
  <si>
    <t>NEPD-2795-1495-EN</t>
  </si>
  <si>
    <t>NEPD-3209-1848-DK</t>
  </si>
  <si>
    <t>NEPD-2390-1113-NO</t>
  </si>
  <si>
    <t>EPD-STE-20200001-IBA1-DE</t>
  </si>
  <si>
    <t>EPD-STE-20200173-IBA1-EN</t>
  </si>
  <si>
    <t>NEPD-2792-1490-NO</t>
  </si>
  <si>
    <t>NEPD-3412-2025-EN</t>
  </si>
  <si>
    <t>NEPD-2582-1308-EN</t>
  </si>
  <si>
    <t>NEPD-2392-1128-NO</t>
  </si>
  <si>
    <t>EPD-KSI-20210046-CBA2-EN</t>
  </si>
  <si>
    <t>000312</t>
  </si>
  <si>
    <t>NEPD-3078-1741-EN</t>
  </si>
  <si>
    <t>NEPD-3210-1848-DK</t>
  </si>
  <si>
    <t>NEPD-3381-2002-EN (RW 55254)</t>
  </si>
  <si>
    <t>MD-22057-EN</t>
  </si>
  <si>
    <t>S-P-01928</t>
  </si>
  <si>
    <t>MD-20032-EN</t>
  </si>
  <si>
    <t>MD-20033-EN</t>
  </si>
  <si>
    <t>NEPD-1829-781-NO</t>
  </si>
  <si>
    <t>NEPD-2105-950-NO</t>
  </si>
  <si>
    <t>EPD-NIBE-20210625-20247</t>
  </si>
  <si>
    <t>NEPD-3513-2106-EN</t>
  </si>
  <si>
    <t>MD-20045-EN_rev3</t>
  </si>
  <si>
    <t>EPD-CEM-20180031-IAD1-EN</t>
  </si>
  <si>
    <t>EPD-CEM-20160114-IAD1-EN</t>
  </si>
  <si>
    <t>S-P-01432</t>
  </si>
  <si>
    <t>NEPD-3515-2106-EN</t>
  </si>
  <si>
    <t xml:space="preserve">S-P-01432 </t>
  </si>
  <si>
    <t xml:space="preserve">RTS_49_20 </t>
  </si>
  <si>
    <t xml:space="preserve"> RTS_49_20 </t>
  </si>
  <si>
    <t>S-P-02240</t>
  </si>
  <si>
    <t>MD-21020-EN</t>
  </si>
  <si>
    <t>EPD-ZWM-20210148-ICG1-EN</t>
  </si>
  <si>
    <t>EPD-BDZ-20210267-IBG1-DE</t>
  </si>
  <si>
    <t>NEPD-2791-1490-NO</t>
  </si>
  <si>
    <t>NEPD-1248-401-NO</t>
  </si>
  <si>
    <t>NEPD-1247-400-NO</t>
  </si>
  <si>
    <t>MD-21022-EN</t>
  </si>
  <si>
    <t>MD-21034-EN_rev1</t>
  </si>
  <si>
    <t>EPD-TRO-20210108-ICA1-EN</t>
  </si>
  <si>
    <t>B-EPD n° 21-0123-001.00.00-EN</t>
  </si>
  <si>
    <t>MD-21010-EN</t>
  </si>
  <si>
    <t>NEPD-3368-1995-EN</t>
  </si>
  <si>
    <t>NEPD-3367-1995-EN</t>
  </si>
  <si>
    <t>NEPD-3366-1995-EN</t>
  </si>
  <si>
    <t>NEPD-3365-1995-EN</t>
  </si>
  <si>
    <t>NEPD-3364-1995-EN</t>
  </si>
  <si>
    <t>NEPD-1666-665-EN</t>
  </si>
  <si>
    <t>MD-21087-EN</t>
  </si>
  <si>
    <t>MD-21091-EN</t>
  </si>
  <si>
    <t>MD-21088-EN</t>
  </si>
  <si>
    <t>MD-21090-EN</t>
  </si>
  <si>
    <t>MD-21093-EN</t>
  </si>
  <si>
    <t>MD-21089-EN</t>
  </si>
  <si>
    <t>MD-21092-EN</t>
  </si>
  <si>
    <t>S-P-03516</t>
  </si>
  <si>
    <t>RTS_117_21</t>
  </si>
  <si>
    <t>NEPD-3659-2604-EN</t>
  </si>
  <si>
    <t>NEPD-3514-2106-EN</t>
  </si>
  <si>
    <t>MD-18003-EN</t>
  </si>
  <si>
    <t>MD-18004-EN_rev1</t>
  </si>
  <si>
    <t>MD-22086-DA</t>
  </si>
  <si>
    <t>MD-22088-DA</t>
  </si>
  <si>
    <t>MD-22087-DA</t>
  </si>
  <si>
    <t>S-P-07597</t>
  </si>
  <si>
    <t>MD-23065-DA</t>
  </si>
  <si>
    <t>MD-23063-DA</t>
  </si>
  <si>
    <t>MD-23064-DA</t>
  </si>
  <si>
    <t>EPD-VEL-20210075-CCI1-EN</t>
  </si>
  <si>
    <t>EPD-VEL-20220034-CBE2-EN</t>
  </si>
  <si>
    <t>EPD-VEL-20220033-CBE2-EN</t>
  </si>
  <si>
    <t>EPD-VEL-20220032-CBE2-EN</t>
  </si>
  <si>
    <t>EPD-VEL-20220138-IBJ1-EN</t>
  </si>
  <si>
    <t>EPD-VEL-20210076-CCI1-EN</t>
  </si>
  <si>
    <t>Polyurethane (PUR) roof windows with triple glazing 62
configuration 62</t>
  </si>
  <si>
    <t>EPD-VEL-20220133-IBJ1-EN</t>
  </si>
  <si>
    <t>EPD-VEL-20220137-IBJ1-EN</t>
  </si>
  <si>
    <t>EPD-VEL-20220139-IBJ1-EN</t>
  </si>
  <si>
    <t>EPD-VEL-20220140-IBJ1-EN</t>
  </si>
  <si>
    <t>EPD-VEL-20220141-IBJ1-EN</t>
  </si>
  <si>
    <t>EPD-VEL-20220142-IBJ1-EN</t>
  </si>
  <si>
    <t>MD-23066-DA</t>
  </si>
  <si>
    <t>S-P-07591</t>
  </si>
  <si>
    <t>S-P-07595</t>
  </si>
  <si>
    <t>MD-22126-DA</t>
  </si>
  <si>
    <t>MD-22127-DA</t>
  </si>
  <si>
    <t>MD-22042-DA</t>
  </si>
  <si>
    <t>MD-22040-DA</t>
  </si>
  <si>
    <t>MD-22039-DA</t>
  </si>
  <si>
    <t>TwinPeak 4</t>
  </si>
  <si>
    <t>N-Peak 2</t>
  </si>
  <si>
    <t>Alpha Pure</t>
  </si>
  <si>
    <t>Series 6</t>
  </si>
  <si>
    <t>Wave</t>
  </si>
  <si>
    <t>Maxeon 3</t>
  </si>
  <si>
    <t>Slim</t>
  </si>
  <si>
    <t>Bold</t>
  </si>
  <si>
    <t>Wysips Cameleon</t>
  </si>
  <si>
    <t>Tarka 126 VSBD</t>
  </si>
  <si>
    <t>REC Solar</t>
  </si>
  <si>
    <t>First Solar</t>
  </si>
  <si>
    <t>Sunpower</t>
  </si>
  <si>
    <t>Midsummer</t>
  </si>
  <si>
    <t>Viridian Solar</t>
  </si>
  <si>
    <t>Sunpartner</t>
  </si>
  <si>
    <t>Dualsun</t>
  </si>
  <si>
    <t>Voltec Solar</t>
  </si>
  <si>
    <t>Bourgeois-Global</t>
  </si>
  <si>
    <t>Edilians</t>
  </si>
  <si>
    <t>Singapore</t>
  </si>
  <si>
    <t>Filippinerne</t>
  </si>
  <si>
    <t>Wp</t>
  </si>
  <si>
    <t>Panelareal</t>
  </si>
  <si>
    <t>[m2]</t>
  </si>
  <si>
    <t>Effektivitet
af areal</t>
  </si>
  <si>
    <t>[Wp / m2]</t>
  </si>
  <si>
    <t>Udgangs-
effekt</t>
  </si>
  <si>
    <t>[Wp]</t>
  </si>
  <si>
    <t>NEPD-3087-1726-EN</t>
  </si>
  <si>
    <t>S-P-06949</t>
  </si>
  <si>
    <t>S-P-06692</t>
  </si>
  <si>
    <t>Clearline Fusion PV16</t>
  </si>
  <si>
    <t xml:space="preserve">S-P-06691 </t>
  </si>
  <si>
    <t>S-P-06690</t>
  </si>
  <si>
    <t>S-P-02182</t>
  </si>
  <si>
    <t>kWh</t>
  </si>
  <si>
    <t>Jolywood</t>
  </si>
  <si>
    <t>N-type Bifacial Double Glass HD108N(P)-182</t>
  </si>
  <si>
    <t>N-type Bifacial Double Glass HD144N(P)-166</t>
  </si>
  <si>
    <t>N-type Bifacial Double Glass HD120N(P)-166</t>
  </si>
  <si>
    <t>Fanen indeholder vinduer både til tagkonstruktioner og facadekonstruktioner</t>
  </si>
  <si>
    <t xml:space="preserve">Vejen mod en væsentlig klimareduktion fra byggeriet kræver blandt andet et målrettet fokus på valg af materialer. I den forbindelse har Boligbyggeri fra 4 til 1 Planet samlet en række materialer/produkter til inspiration i afsøgningen af forskellige veje at gå - mineralske såvel som biobaserede og genbrugte. Databasen indeholder tilgængelig information om udvalgte parametre til sammenligning tværs. </t>
  </si>
  <si>
    <t>N-type Bifacial Single Glass HT108N(P)-182</t>
  </si>
  <si>
    <t>S-P-02181</t>
  </si>
  <si>
    <t>Risen Energy</t>
  </si>
  <si>
    <t>S-P-04780</t>
  </si>
  <si>
    <t>210 Series Single-glass RSM110-8-xxxM</t>
  </si>
  <si>
    <t>210 Series Single-glass RSM120-8-xxxM</t>
  </si>
  <si>
    <t>S-P-04781</t>
  </si>
  <si>
    <t>Bifacial Dual-glass RSM144-7-xxxBMDG</t>
  </si>
  <si>
    <t>210 Series Bifacial Dual-glass RSM120-8-610BMDG</t>
  </si>
  <si>
    <t>210 Series Bifacial Dual-glass RSM110-8-560BMDG</t>
  </si>
  <si>
    <t>S-P-03425</t>
  </si>
  <si>
    <t>S-P-03358</t>
  </si>
  <si>
    <t>Single-glass RSM144-7-xxxM</t>
  </si>
  <si>
    <t>Polykrystalinsk</t>
  </si>
  <si>
    <t>NEPD-3422-2033-EN</t>
  </si>
  <si>
    <t>NEPD-3421-2033-EN</t>
  </si>
  <si>
    <t>NEPD-3420-2033-EN</t>
  </si>
  <si>
    <t xml:space="preserve">NEPD-2993-1671-EN </t>
  </si>
  <si>
    <t>Dual-00002-V01.01-FR</t>
  </si>
  <si>
    <t>M6-60 DS385-120M6-02-V</t>
  </si>
  <si>
    <t>DUAL-00001-V01.01-FR</t>
  </si>
  <si>
    <t>M10-54 DS415-108M10-02</t>
  </si>
  <si>
    <t>PHOT-00001-V01.01-FR</t>
  </si>
  <si>
    <t>PhotoWatt</t>
  </si>
  <si>
    <t>PW60LHT-C 355Wc</t>
  </si>
  <si>
    <t>PW72LHT-C420Wc</t>
  </si>
  <si>
    <t>PHOT-00003-V01.01-FR</t>
  </si>
  <si>
    <t>Système Tuile FAG 10 SOLAIRE</t>
  </si>
  <si>
    <t>EDIL-00001-V02.02-FR</t>
  </si>
  <si>
    <t>Kit Tuile Photovoltaïque TPVS &amp; TPVXL</t>
  </si>
  <si>
    <t>EDIL-00002-V02.01-FR</t>
  </si>
  <si>
    <t>Kit Tuile Photovoltaïque TPVS &amp; TPVXL ROUGE</t>
  </si>
  <si>
    <t>EDIL-00005-V01.01-FR</t>
  </si>
  <si>
    <t>Système Tuile FAG10 SOLAIRE ROUGE</t>
  </si>
  <si>
    <t>EDIL-00004-V01.01-FR</t>
  </si>
  <si>
    <t>DMEGC Solar</t>
  </si>
  <si>
    <t xml:space="preserve">Malaysia </t>
  </si>
  <si>
    <t>Jam 60</t>
  </si>
  <si>
    <t>JA Solar</t>
  </si>
  <si>
    <t>Jap 60</t>
  </si>
  <si>
    <t>Vietnam</t>
  </si>
  <si>
    <t>Alpha-Pure R 430 Wc</t>
  </si>
  <si>
    <t xml:space="preserve">RECS-00002-V01.01-FR </t>
  </si>
  <si>
    <t>JASO-00002-V01.01-FR</t>
  </si>
  <si>
    <t>JASO-00001-V01.01-FR</t>
  </si>
  <si>
    <t>SUNP-00001-V01.01-FR</t>
  </si>
  <si>
    <t>VSOL-00004-V01.01-FR</t>
  </si>
  <si>
    <t>Hørning Parket</t>
  </si>
  <si>
    <t>MD-22072-EN</t>
  </si>
  <si>
    <t>N-type Bifacial Double Glass HD144N(P)-182</t>
  </si>
  <si>
    <t>BOUR-00002-V01.01-FR</t>
  </si>
  <si>
    <t>BGPV (SL) 385-MCSI</t>
  </si>
  <si>
    <t>BOUR-00001-V01.01-FR</t>
  </si>
  <si>
    <t>BGPV (BK) 460-MCSI</t>
  </si>
  <si>
    <t>SunStyle</t>
  </si>
  <si>
    <t>Tuiles photovoltaïques Coloris Noir, structure de pose en acier</t>
  </si>
  <si>
    <t xml:space="preserve">STIL-00001-V01.01-FR </t>
  </si>
  <si>
    <t>Tuiles photovoltaïques Coloris Noir, structure de pose en bois</t>
  </si>
  <si>
    <t>STIL-00002-V01.01-FR</t>
  </si>
  <si>
    <t>Systovi</t>
  </si>
  <si>
    <t>R-Volt</t>
  </si>
  <si>
    <t>SYST-00002-V01.01-FR</t>
  </si>
  <si>
    <t>V-Sys</t>
  </si>
  <si>
    <t>SYST-00001-V01.01-FR</t>
  </si>
  <si>
    <t>V-Sys bas-carbone</t>
  </si>
  <si>
    <t>Terreal</t>
  </si>
  <si>
    <t xml:space="preserve">Kit TERREAL panneaux </t>
  </si>
  <si>
    <t>TERR-00002-V01.01-FR</t>
  </si>
  <si>
    <t>SYST-00003-V01.01-FR</t>
  </si>
  <si>
    <t>TARKA VSMS format 60 cellules</t>
  </si>
  <si>
    <t>pr. 1 Wp [kg CO2-ækv.]</t>
  </si>
  <si>
    <t>Danish Solar Energy</t>
  </si>
  <si>
    <t>Lindab Solar Roof 2.0</t>
  </si>
  <si>
    <t>Ennogie</t>
  </si>
  <si>
    <t>T-Roof</t>
  </si>
  <si>
    <t>Solartag</t>
  </si>
  <si>
    <t>Lindab</t>
  </si>
  <si>
    <t>MD-23028-EN</t>
  </si>
  <si>
    <t>BIPV modul ERS-0191 (130W)</t>
  </si>
  <si>
    <t>Integrerede solceller i Linea tegltag</t>
  </si>
  <si>
    <t>Koncept roof - Naturskifer</t>
  </si>
  <si>
    <t>DanSolar</t>
  </si>
  <si>
    <t>DS-MS 260</t>
  </si>
  <si>
    <t>In roof/
facade</t>
  </si>
  <si>
    <t>DS-SP 260</t>
  </si>
  <si>
    <t>DS-SP 280</t>
  </si>
  <si>
    <t>STP275S - 20 / Wem</t>
  </si>
  <si>
    <t>STP270S - 20 / Wem</t>
  </si>
  <si>
    <t>Suntech</t>
  </si>
  <si>
    <t>Ultra X 650-670W Half-Cell Bifacial Module</t>
  </si>
  <si>
    <t>Ultra X 650-670W Half-Cell Monofacial Module</t>
  </si>
  <si>
    <t>Ultra V mini 390-410W Half-Cell Monofacial Module</t>
  </si>
  <si>
    <t>Ultra V mini 390-410W Half-Cell Full Black Monofacial Module</t>
  </si>
  <si>
    <t>Ultra V 530-550W Half-Cell Bifacial Module</t>
  </si>
  <si>
    <t>Ultra V 535-555W Half-Cell Monofacial Module</t>
  </si>
  <si>
    <t>Ultra V Pro mini 415-435W Half-Cell N-Type TopCon Monofacial Module (All Black)</t>
  </si>
  <si>
    <t>Ultra V Pro mini 415-435W Half-Cell N-Type TopCon Monofacial Module</t>
  </si>
  <si>
    <t>Ultra V Pro Half-Cell N-Type TopCon Bifacial Module</t>
  </si>
  <si>
    <t>STP255 - 20 / Wd</t>
  </si>
  <si>
    <t>STP250 - 20 / Wd</t>
  </si>
  <si>
    <t>Ulica Solar</t>
  </si>
  <si>
    <t>UL-260M-60</t>
  </si>
  <si>
    <t>UL-265M-60</t>
  </si>
  <si>
    <t>UL-270M-60</t>
  </si>
  <si>
    <t>E Solar</t>
  </si>
  <si>
    <t>ESP6-60-245-280/SI</t>
  </si>
  <si>
    <t>Eging PV</t>
  </si>
  <si>
    <t>EG-(SERIES)M60 (SERIES)M60-C</t>
  </si>
  <si>
    <t>Rødt tegl tag</t>
  </si>
  <si>
    <t>Solcelle moduler og skifer</t>
  </si>
  <si>
    <t>DM345 G1-60HSW</t>
  </si>
  <si>
    <t>DM345 G1-60HBW</t>
  </si>
  <si>
    <t>DM345 G1-60HSW-V</t>
  </si>
  <si>
    <t>DM345 G1-60HBW-V</t>
  </si>
  <si>
    <t xml:space="preserve">DMEG-00001-V01.01-FR </t>
  </si>
  <si>
    <t>In roof</t>
  </si>
  <si>
    <t xml:space="preserve">VSOL-00001-V01.01-FR </t>
  </si>
  <si>
    <t>Inkl. Inverter
Inkl.  Monteringssystem og kabler</t>
  </si>
  <si>
    <t>Ekskl. Inverter
Ekskl. Monteringssystem og kabler</t>
  </si>
  <si>
    <t>Ekskl. Inverter
Inkl. Monteringssystem og kabler</t>
  </si>
  <si>
    <t>Inkl. Inverter
Inkl. Monteringssystem og kabler</t>
  </si>
  <si>
    <t>On roof</t>
  </si>
  <si>
    <t>Granulate Pro (inkl. GOs)</t>
  </si>
  <si>
    <r>
      <t>E</t>
    </r>
    <r>
      <rPr>
        <b/>
        <vertAlign val="subscript"/>
        <sz val="14"/>
        <color theme="0"/>
        <rFont val="Arial"/>
        <family val="2"/>
      </rPr>
      <t>ref</t>
    </r>
  </si>
  <si>
    <t>U-værdi</t>
  </si>
  <si>
    <t>LT-værdi</t>
  </si>
  <si>
    <t>g-værdi</t>
  </si>
  <si>
    <t>[W / m2 K]</t>
  </si>
  <si>
    <t>[-]</t>
  </si>
  <si>
    <t>[kWh/m2]</t>
  </si>
  <si>
    <t>Overflade-
behandling</t>
  </si>
  <si>
    <t>Varmebehandlet</t>
  </si>
  <si>
    <t>MD-23014-EN_rev1</t>
  </si>
  <si>
    <t>Embla Thermowood med ikke- hygroskopisk brandimprægnering</t>
  </si>
  <si>
    <t>Thermowood ask</t>
  </si>
  <si>
    <t>MD-22134-NO</t>
  </si>
  <si>
    <t>MD-22136-NO</t>
  </si>
  <si>
    <t>Embla Thermowood (inkl. GOs)</t>
  </si>
  <si>
    <t>MD-22135-NO</t>
  </si>
  <si>
    <t>Western Red Cedar</t>
  </si>
  <si>
    <t>Western Red Cedar med ikke- hygroskopisk brandimprægnering</t>
  </si>
  <si>
    <t>MD-22137-NO</t>
  </si>
  <si>
    <t>Brandimprægneret</t>
  </si>
  <si>
    <t>Varmebehandlet
Brandimprægneret</t>
  </si>
  <si>
    <t>Flamewood</t>
  </si>
  <si>
    <t>Malet</t>
  </si>
  <si>
    <t>Malet træ Frøslev</t>
  </si>
  <si>
    <t>Trykimprægneret træ Frøslev</t>
  </si>
  <si>
    <t>Trykimprægneret</t>
  </si>
  <si>
    <t>Shou Sugi Ban 
(forkulning)</t>
  </si>
  <si>
    <t>Trykimprægneret træ (brunimpræneret) Frøslev</t>
  </si>
  <si>
    <t>Trykimprægneret (brun)</t>
  </si>
  <si>
    <t>NEPD-407-287-EN</t>
  </si>
  <si>
    <t>Biobaseret væske 
behandlet</t>
  </si>
  <si>
    <t>Oliebehandlet</t>
  </si>
  <si>
    <t>Varmebehandlet
Oliebehandlet</t>
  </si>
  <si>
    <t>Kemisk behandlet (CeramiX)
Oliebehandlet</t>
  </si>
  <si>
    <t>ReUse without surface treatment</t>
  </si>
  <si>
    <t>ReUse with surface treatment</t>
  </si>
  <si>
    <t>Shou Sugi Ban 
(forkulning)
Oliebehandlet</t>
  </si>
  <si>
    <t>EPD-GTX-20180071-IBA1-EN</t>
  </si>
  <si>
    <t>EPD-GTX-20200178-IBC1-EN</t>
  </si>
  <si>
    <t>EPD-HWS-20160105-IAC2-DE</t>
  </si>
  <si>
    <t>LB (Living board P5)</t>
  </si>
  <si>
    <t>d0
s2</t>
  </si>
  <si>
    <t>EPD-VHI-20190095-IBG1-DE</t>
  </si>
  <si>
    <t>Genbrugsmursten Aps</t>
  </si>
  <si>
    <t>Gamle mursten</t>
  </si>
  <si>
    <t>Genbrugsmursten (hele og halve) Genbrugsmursten</t>
  </si>
  <si>
    <t>Genbrugsmursten (hele og halve) Gamle mursten</t>
  </si>
  <si>
    <t>MD-23007-EN</t>
  </si>
  <si>
    <t>MD-16007-EN</t>
  </si>
  <si>
    <t>MD-21048-EN</t>
  </si>
  <si>
    <t>Blådæmpet gul mursten (StrøjerTegl) (inkl. GOs)</t>
  </si>
  <si>
    <t>Strøjer Tegl</t>
  </si>
  <si>
    <t>Blådæmpet gulrød/rosé mursten (StrøjerTegl) (inkl. GOs)</t>
  </si>
  <si>
    <t>MD-21050-EN</t>
  </si>
  <si>
    <t>MD-21046-EN</t>
  </si>
  <si>
    <t>Blådæmpet rød mursten (StrøjerTegl) (inkl. GOs)</t>
  </si>
  <si>
    <t>Gul mursten (StrøjerTegl) (inkl. GOs)</t>
  </si>
  <si>
    <t>Gulrød mursten/rosé (StrøjerTegl) (inkl. GOs)</t>
  </si>
  <si>
    <t>Rød mursten (StrøjerTegl) (inkl. GOs)</t>
  </si>
  <si>
    <t>MD-21047-EN</t>
  </si>
  <si>
    <t>MD-21049-EN</t>
  </si>
  <si>
    <t>MD-21045-EN</t>
  </si>
  <si>
    <t>Matzen Tegl</t>
  </si>
  <si>
    <t>MD-20044-EN</t>
  </si>
  <si>
    <t>MD-21012-EN</t>
  </si>
  <si>
    <t>Carl Matzen Røde mursten (HS) (Matzen Tegl)</t>
  </si>
  <si>
    <t>Carl Matzen Gule mursten (HS) (Matzen Tegl)</t>
  </si>
  <si>
    <t>Carl Matzen Røde mursten Bionaturgas (HS) (Matzen Tegl)</t>
  </si>
  <si>
    <t>Carl Matzen Gule mursten Bionaturgas (HS) (Matzen Tegl)</t>
  </si>
  <si>
    <t>MD-20043-EN</t>
  </si>
  <si>
    <t>Graasten Røde mursten (BS) (Matzen Tegl)</t>
  </si>
  <si>
    <t>Graasten Gule mursten (BS) (Matzen Tegl)</t>
  </si>
  <si>
    <t>Graasten Sorte mursten (BS) (Matzen Tegl)</t>
  </si>
  <si>
    <t>Graasten Røde mursten Bionaturgas (BS) (Matzen Tegl)</t>
  </si>
  <si>
    <t>Graasten Gule mursten Bionaturgas (BS) (Matzen Tegl)</t>
  </si>
  <si>
    <t>Graasten Sorte mursten Bionaturgas (BS) (Matzen Tegl)</t>
  </si>
  <si>
    <t>Petersen Tegl</t>
  </si>
  <si>
    <t>D-bricks</t>
  </si>
  <si>
    <t>Kolumba</t>
  </si>
  <si>
    <t>Cover</t>
  </si>
  <si>
    <t>MD-21011-EN</t>
  </si>
  <si>
    <t>MD-19006-EN_rev1</t>
  </si>
  <si>
    <t>MD-19006-EN_rev2</t>
  </si>
  <si>
    <t>MD-19006-EN_rev3</t>
  </si>
  <si>
    <t>Randers Tegl</t>
  </si>
  <si>
    <t>MD-17002-EN_rev1</t>
  </si>
  <si>
    <t>MD-210015-EN</t>
  </si>
  <si>
    <t>MD-18015-EN</t>
  </si>
  <si>
    <t>Gul mursten (Hammershøj Teglværk)</t>
  </si>
  <si>
    <t>Gul mursten (second firing u. reducing cond.) (Hammershøj Teglværk)</t>
  </si>
  <si>
    <t>MD-21016-EN</t>
  </si>
  <si>
    <t>Gul mursten Bionaturgas (Hammershøj Teglværk)</t>
  </si>
  <si>
    <t>Gul mursten Bionaturgas (second firing u. reducing cond.) (Hammershøj Teglværk)</t>
  </si>
  <si>
    <t>MD-21042-EN</t>
  </si>
  <si>
    <t>Gul mursten (Gandrup Teglværk) (inkl. GOs)</t>
  </si>
  <si>
    <t>Gul mursten Bionaturgas (Gandrup Teglværk) (inkl. GOs)</t>
  </si>
  <si>
    <t>MD-21054-EN</t>
  </si>
  <si>
    <t>MD-20030-EN</t>
  </si>
  <si>
    <t>Gul mursten (Vindø Teglværk)</t>
  </si>
  <si>
    <t>Grå mursten (Hammershøj Teglværk)</t>
  </si>
  <si>
    <t>Grå mursten (second firing u. reducing cond.) (Hammershøj Teglværk)</t>
  </si>
  <si>
    <t>Grå mursten Bionaturgas (Hammershøj Teglværk)</t>
  </si>
  <si>
    <t>Grå mursten Bionaturgas (second firing u. reducing cond.) (Hammershøj Teglværk)</t>
  </si>
  <si>
    <t>Gul mursten Bionaturgas (Vindø Teglværk)</t>
  </si>
  <si>
    <t>MD-21002-EN</t>
  </si>
  <si>
    <t>Rose mursten (Gandrup Teglværk) (inkl. GOs)</t>
  </si>
  <si>
    <t>Rose mursten Bionaturgas (Gandrup Teglværk) (inkl. GOs)</t>
  </si>
  <si>
    <t>MD-21043-EN</t>
  </si>
  <si>
    <t>MD-21055-EN</t>
  </si>
  <si>
    <t>Rose mursten (Vindø Teglværk)</t>
  </si>
  <si>
    <t>Rose mursten Bionaturgas (Vindø Teglværk)</t>
  </si>
  <si>
    <t>MD-20031-EN</t>
  </si>
  <si>
    <t>MD-21003-EN</t>
  </si>
  <si>
    <t>Rød mursten (Gandrup Teglværk) (inkl. GOs)</t>
  </si>
  <si>
    <t>Rød mursten Bionaturgas (Gandrup Teglværk) (inkl. GOs)</t>
  </si>
  <si>
    <t>MD-21039-EN</t>
  </si>
  <si>
    <t>MD-21051-EN</t>
  </si>
  <si>
    <t>Rød mursten (Hammershøj Teglværk)</t>
  </si>
  <si>
    <t>Rød mursten (second firing u. reducing cond.) (Hammershøj Teglværk)</t>
  </si>
  <si>
    <t>MD-14003-EN_rev1</t>
  </si>
  <si>
    <t>Rød mursten Bionaturgas (Hammershøj Teglværk)</t>
  </si>
  <si>
    <t>Rød mursten Bionaturgas (second firing u. reducing cond.) (Hammershøj Teglværk)</t>
  </si>
  <si>
    <t>MD-21014-EN</t>
  </si>
  <si>
    <t>Rød mursten m. jernoxid (Gandrup Teglværk) (inkl. GOs)</t>
  </si>
  <si>
    <t>Rød mursten m. jernoxid Bionaturgas (Gandrup Teglværk) (inkl. GOs)</t>
  </si>
  <si>
    <t>MD-21041-EN</t>
  </si>
  <si>
    <t>MD-21053-EN</t>
  </si>
  <si>
    <t>Rød mursten m. manganoxid (Gandrup Teglværk) (inkl. GOs)</t>
  </si>
  <si>
    <t>Rød mursten m. manganoxid Bionaturgas (Gandrup Teglværk) (inkl. GOs)</t>
  </si>
  <si>
    <t>MD-21040-EN</t>
  </si>
  <si>
    <t>MD-21052-EN</t>
  </si>
  <si>
    <t>MD-20029-EN</t>
  </si>
  <si>
    <t>Rød mursten (Vindø Teglværk)</t>
  </si>
  <si>
    <t>Rød mursten Bionaturgas (Vindø Teglværk)</t>
  </si>
  <si>
    <t>MD-21001-EN</t>
  </si>
  <si>
    <t>Egernsund Wienerberger</t>
  </si>
  <si>
    <t>MD-21028-EN</t>
  </si>
  <si>
    <t>Brune LESS mursten Bionaturgas (Petersminde Teglværk) (inkl. GOs)</t>
  </si>
  <si>
    <t>Brune mursten Bionaturgas (Petersminde Teglværk) (inkl. GOs)</t>
  </si>
  <si>
    <t xml:space="preserve">MD-22024-EN </t>
  </si>
  <si>
    <t>Gule og sandfarvede LESS mursten Bionaturgas (Petersminde Teglværk) (inkl. GOs)</t>
  </si>
  <si>
    <t>Gule og sandfarvede mursten Bionaturgas (Petersminde Teglværk) (inkl. GOs)</t>
  </si>
  <si>
    <t>MD-21029-EN</t>
  </si>
  <si>
    <t>MD-21062-EN</t>
  </si>
  <si>
    <t>Gule og sandfarvede LESS mursten Bionaturgas (Vesterled Teglværk) (inkl. GOs)</t>
  </si>
  <si>
    <t>MD-22004-EN</t>
  </si>
  <si>
    <t>Gule of sandfarvede mursten Bionaturgas (Helligsø Teglværk) (inkl. GOs)</t>
  </si>
  <si>
    <t>MD-21058-EN</t>
  </si>
  <si>
    <t>Gule of sandfarvede mursten Bionaturgas (Vesterled Teglværk) (inkl. GOs)</t>
  </si>
  <si>
    <t>MD-22025-EN</t>
  </si>
  <si>
    <t>MD-21030-EN</t>
  </si>
  <si>
    <t>Rose LESS mursten Bionaturgas (Petersminde Teglværk) (inkl. GOs)</t>
  </si>
  <si>
    <t>Rose LESS mursten Bionaturgas (Vesterled Teglværk) (inkl. GOs)</t>
  </si>
  <si>
    <t>MD-21063-EN</t>
  </si>
  <si>
    <t>MD-21059-EN</t>
  </si>
  <si>
    <t>Rose mursten Biogas (Vesterled Teglværk) (inkl. GOs)</t>
  </si>
  <si>
    <t>Rose mursten Naturgas (Vesterled Teglværk) (inkl. GOs)</t>
  </si>
  <si>
    <t>Rose mursten Bionaturgas (Petersminde Teglværk) (inkl. GOs)</t>
  </si>
  <si>
    <t xml:space="preserve">MD-22026-EN </t>
  </si>
  <si>
    <t>MD-22003-EN</t>
  </si>
  <si>
    <t>Rose mursten Biogas (Helligsø Teglværk) (inkl. GOs)</t>
  </si>
  <si>
    <t>Rose mursten Naturgas (Helligsø Teglværk) (inkl. GOs)</t>
  </si>
  <si>
    <t>Rød LESS mursten Bionaturgas (Petersminde Teglværk) (inkl. GOs)</t>
  </si>
  <si>
    <t>MD-21027-EN</t>
  </si>
  <si>
    <t>HS Hansen</t>
  </si>
  <si>
    <t>Ribo alu -Top-guided window (inkl. GOs)</t>
  </si>
  <si>
    <t>Classic alu -Top-guided window (inkl. GOs)</t>
  </si>
  <si>
    <t>Expanded cork granules (lav densitet)</t>
  </si>
  <si>
    <t>Expanded cork granules (høj densitet)</t>
  </si>
  <si>
    <t>SteicoFloc (lav densitet)</t>
  </si>
  <si>
    <t>SteicoZell (høj densitet)</t>
  </si>
  <si>
    <t>SteicoZell (lav densitet)</t>
  </si>
  <si>
    <t>Isocell (høj densitet)</t>
  </si>
  <si>
    <t>Isocell (lav densitet)</t>
  </si>
  <si>
    <t>SteicoFloc (høj densitet)</t>
  </si>
  <si>
    <t>Feeling Wood (høj densitet)</t>
  </si>
  <si>
    <t>Feeling Wood (lav densitet)</t>
  </si>
  <si>
    <t>Thermocell Løsuld (lav densitet)</t>
  </si>
  <si>
    <t>Thermocell Løsuld (høj densitet)</t>
  </si>
  <si>
    <t>Thermofloc – cellulose insulation (lav densitet)</t>
  </si>
  <si>
    <t>Thermofloc – cellulose insulation (høj densitet)</t>
  </si>
  <si>
    <t>VestaEco CELL (høj densitet)</t>
  </si>
  <si>
    <t>VestaEco CELL (lav densitet)</t>
  </si>
  <si>
    <t>VestaEco FIBRA (høj densitet)</t>
  </si>
  <si>
    <t>VestaEco FIBRA (lav densitet)</t>
  </si>
  <si>
    <t>Woodfiber AIR (lav densitet) (inkl. GOs)</t>
  </si>
  <si>
    <t>Woodfiber AIR (høj densitet) (inkl. GOs)</t>
  </si>
  <si>
    <t>Cellulære glasgranulat SG 600 (lav densitet)</t>
  </si>
  <si>
    <t>Cellulære glasgranulat SG 800 (lav densitet)</t>
  </si>
  <si>
    <t>Cellulære glasgranulat SG 600 (høj densitet)</t>
  </si>
  <si>
    <t>Cellulære glasgranulat SG 800 (høj densitet)</t>
  </si>
  <si>
    <t>Neopor N80</t>
  </si>
  <si>
    <t>Vartdal Plast</t>
  </si>
  <si>
    <t>NEPD-4355-3585-EN</t>
  </si>
  <si>
    <t>NEPD-4120-3334 (RW 57820)</t>
  </si>
  <si>
    <t>Duo Energy</t>
  </si>
  <si>
    <t>Fallunderlag</t>
  </si>
  <si>
    <t>Hardkile 1:40 (50-65 mm)</t>
  </si>
  <si>
    <t>Hardkile 1:40 (65-80mm)</t>
  </si>
  <si>
    <t>Hardkile 1:60 (5-55mm)</t>
  </si>
  <si>
    <t>Hardrock Energy (50 mm)</t>
  </si>
  <si>
    <t>Hardrock Energy (80 mm)</t>
  </si>
  <si>
    <t>Hardrock Energy (100 mm)</t>
  </si>
  <si>
    <t>Hardrock Energy (120 mm)</t>
  </si>
  <si>
    <t>Hardrock Energy (150 mm)</t>
  </si>
  <si>
    <t>Hardrock Energy (180 mm)</t>
  </si>
  <si>
    <t>Kasserendekiler</t>
  </si>
  <si>
    <t>Kondensplade</t>
  </si>
  <si>
    <t>Lydunderlag</t>
  </si>
  <si>
    <t>Murkroneplade</t>
  </si>
  <si>
    <t>Plåtunderskiva 80</t>
  </si>
  <si>
    <t>Stålunderlag Energy (50 mm)</t>
  </si>
  <si>
    <t>Stålunderlag Energy (60 mm)</t>
  </si>
  <si>
    <t>Stålunderlag Energy (80 mm)</t>
  </si>
  <si>
    <t>TF-Plade (&gt;30 mm)</t>
  </si>
  <si>
    <t>TF-Plade (20-30 mm)</t>
  </si>
  <si>
    <t>TF-Skotrendekiler</t>
  </si>
  <si>
    <t>TP 50 plade</t>
  </si>
  <si>
    <t>Underlag Energy</t>
  </si>
  <si>
    <t>Toprock CTF UL (250 mm)</t>
  </si>
  <si>
    <t>Toprock Lamel</t>
  </si>
  <si>
    <t>Toprock Dura Lamel</t>
  </si>
  <si>
    <t>TF-Plade</t>
  </si>
  <si>
    <t>Toprock Terrace Lamel</t>
  </si>
  <si>
    <t>Toprock Terrace Topplade</t>
  </si>
  <si>
    <t>Toprock Terrace UL</t>
  </si>
  <si>
    <t>Hardrock Facadeplade</t>
  </si>
  <si>
    <t>Facadebatts (80 mm)</t>
  </si>
  <si>
    <t>Facadebatts (100 mm)</t>
  </si>
  <si>
    <t>Facadebatts (120 mm)</t>
  </si>
  <si>
    <t>Facadebatts (150 mm)</t>
  </si>
  <si>
    <t>Facadebatts (200 mm)</t>
  </si>
  <si>
    <t>Facadelamel Energy</t>
  </si>
  <si>
    <t>Lysningsbatts (30 mm)</t>
  </si>
  <si>
    <t>Lysningsbatts (50 mm)</t>
  </si>
  <si>
    <t>NEPD-4118-3335-EN</t>
  </si>
  <si>
    <t>NEPD-4120-3334-EN</t>
  </si>
  <si>
    <t>Hardkile 1:40 (5-50mm)</t>
  </si>
  <si>
    <t>Nordisk Perlite</t>
  </si>
  <si>
    <t>Norlite Perlite 0515 SC, 0530 SC and 0560 SC</t>
  </si>
  <si>
    <t>NEPD-3654-2600-EN</t>
  </si>
  <si>
    <t>Insulsafe (høj densitet)</t>
  </si>
  <si>
    <t>NEPD-2080-940-EN</t>
  </si>
  <si>
    <t>NEPD-2018-891-EN</t>
  </si>
  <si>
    <t>NEPD-2017-891-EN</t>
  </si>
  <si>
    <t>NEPD-2500-1246-EN</t>
  </si>
  <si>
    <t>NEPD-2968-1656-EN</t>
  </si>
  <si>
    <t>NEPD-3257-1898-EN</t>
  </si>
  <si>
    <t>Isover Granulat (høj densitet)</t>
  </si>
  <si>
    <t>NEPD-2019-892-EN</t>
  </si>
  <si>
    <t>Insulsafe (lav densitet) (inkl. GOs)</t>
  </si>
  <si>
    <t>Robust TP ≥ 90 mm (inkl. GOs)</t>
  </si>
  <si>
    <t>Robust TP &lt; 90 mm (inkl. GOs)</t>
  </si>
  <si>
    <t>Robust TFP (inkl. GOs)</t>
  </si>
  <si>
    <t>Robust Takbord (inkl. GOs)</t>
  </si>
  <si>
    <t>Isover Granulat (lav densitet) (inkl. GOs)</t>
  </si>
  <si>
    <t>Trinlydsplade 25 mm (inkl. GOs)</t>
  </si>
  <si>
    <t>Facadekoncept Plade 38 (inkl. GOs)</t>
  </si>
  <si>
    <t>NEPD-2016-891-EN</t>
  </si>
  <si>
    <t>NEPD-2606-1326-EN</t>
  </si>
  <si>
    <t>Rulle 34 (inkl. GOs)</t>
  </si>
  <si>
    <t>Formstykke 30 (inkl. GOs)</t>
  </si>
  <si>
    <t>NEPD-2609-1324-EN</t>
  </si>
  <si>
    <t>Formstykke 32 (inkl. GOs)</t>
  </si>
  <si>
    <t>Formstykke 34 (inkl. GOs)</t>
  </si>
  <si>
    <t>NEPD-2610-1324-EN</t>
  </si>
  <si>
    <t>NEPD-2611-1324-EN</t>
  </si>
  <si>
    <t>Murfilt 30 (inkl. GOs)</t>
  </si>
  <si>
    <t>Murfilt 34 (inkl. GOs)</t>
  </si>
  <si>
    <t>Murfilt 32 (inkl. GOs)</t>
  </si>
  <si>
    <t>NEPD-2613-1324-EN</t>
  </si>
  <si>
    <t>NEPD-2602-1326-EN</t>
  </si>
  <si>
    <t>NEPD-2603-1326-EN</t>
  </si>
  <si>
    <t>Duo</t>
  </si>
  <si>
    <t xml:space="preserve">Facadekoncept Lamel (Offline) </t>
  </si>
  <si>
    <t xml:space="preserve">Facadekoncept Lamel (Online) </t>
  </si>
  <si>
    <t>Robust Lamel</t>
  </si>
  <si>
    <t>Rulle 37</t>
  </si>
  <si>
    <t>NEPD-2607-1326-EN</t>
  </si>
  <si>
    <t>NEPD-2965-1656-EN</t>
  </si>
  <si>
    <t>NEPD-2967-1656-EN</t>
  </si>
  <si>
    <t>NEPD-2966-1656-EN</t>
  </si>
  <si>
    <t>NEPD-2605-1326-EN</t>
  </si>
  <si>
    <t>EPS Climate</t>
  </si>
  <si>
    <t>NEPD-3872-2822-EN</t>
  </si>
  <si>
    <t>EPS Climate (inkl. GOs)</t>
  </si>
  <si>
    <t>EPS Sundolitt (GOs)</t>
  </si>
  <si>
    <t>MD-22132-EN</t>
  </si>
  <si>
    <t>NEPD-3336-1961-EN</t>
  </si>
  <si>
    <t>Antal materialer</t>
  </si>
  <si>
    <t>Antal EPD'er</t>
  </si>
  <si>
    <t>Fermacell</t>
  </si>
  <si>
    <t>MD-22138-EN</t>
  </si>
  <si>
    <t>Fermacell Fibergips</t>
  </si>
  <si>
    <t>Fermacell gulvelement</t>
  </si>
  <si>
    <t>MD-22141-EN</t>
  </si>
  <si>
    <t>Spaandex spånplader P1, P2, P4 og P6</t>
  </si>
  <si>
    <t>Spaandex melapanplader P1 og P2</t>
  </si>
  <si>
    <t>MD-21023-EN</t>
  </si>
  <si>
    <t>Træ Information</t>
  </si>
  <si>
    <t>Genbrugs spånplader P1, P2, P4 og P6</t>
  </si>
  <si>
    <t>MD-20006-EN</t>
  </si>
  <si>
    <t>Hontonit Træfiberundertag</t>
  </si>
  <si>
    <t>Huntonit Færdigmaltede tag og vægplader</t>
  </si>
  <si>
    <t>NEPD-2585-1312-EN</t>
  </si>
  <si>
    <t>Rias</t>
  </si>
  <si>
    <t>Rodena Termoplader (Palram)</t>
  </si>
  <si>
    <t>Rheinzink</t>
  </si>
  <si>
    <t>MD-20035-EN</t>
  </si>
  <si>
    <t>Rheinzink Classic</t>
  </si>
  <si>
    <t>Rheinzink PrePatina</t>
  </si>
  <si>
    <t>MD-20034-EN</t>
  </si>
  <si>
    <t>Solceller</t>
  </si>
  <si>
    <t>Steicofloor</t>
  </si>
  <si>
    <t>Steicointernal</t>
  </si>
  <si>
    <t>Steicotherm</t>
  </si>
  <si>
    <t>Steicotherm SD</t>
  </si>
  <si>
    <t>Steicoisorel</t>
  </si>
  <si>
    <t>Steicoprotect M</t>
  </si>
  <si>
    <t>Steicoroof</t>
  </si>
  <si>
    <t>Steicospecial</t>
  </si>
  <si>
    <t>Steicobase</t>
  </si>
  <si>
    <t>Steicounderfloor</t>
  </si>
  <si>
    <t>Steicoduo</t>
  </si>
  <si>
    <t>Steicoprotect H</t>
  </si>
  <si>
    <t>Steicouniversal</t>
  </si>
  <si>
    <t>EPD-STE-20200174-IBA1-EN</t>
  </si>
  <si>
    <t>Forestia Sponplater Standard</t>
  </si>
  <si>
    <t>Varmvalsede stålplader</t>
  </si>
  <si>
    <t>Rustfrie og syrefaste varmvalsede platder og spoler</t>
  </si>
  <si>
    <t>Koldvalsede plader og spoler i rustfristål</t>
  </si>
  <si>
    <t>Koldvalsede plader og spoler</t>
  </si>
  <si>
    <t>Varmgalvaniserede stålplader og spoler</t>
  </si>
  <si>
    <t>Miljømetall plader</t>
  </si>
  <si>
    <t>Tibnor Koldvalsede plader og spoler</t>
  </si>
  <si>
    <t>Tibnor Varmvalsede plader (Grovplader)</t>
  </si>
  <si>
    <t>Arbor malte sponplater for vegg og tak</t>
  </si>
  <si>
    <t>Arbor sponplater gulv, vegg, tak, fuktbestandig</t>
  </si>
  <si>
    <t>Forestia Ekstra particleboard</t>
  </si>
  <si>
    <t>Forestia Elite particleboard</t>
  </si>
  <si>
    <t>AGEPAN® Wood Fibreboards THD</t>
  </si>
  <si>
    <t>AGEPAN® Wood Fibreboards THD Static</t>
  </si>
  <si>
    <t>AGEPAN® Wood Fibreboards DWD</t>
  </si>
  <si>
    <t>AGEPAN® Wood Fibreboards DWD 600</t>
  </si>
  <si>
    <t>AGEPAN® Wood Fibreboards UDP</t>
  </si>
  <si>
    <t>AGEPAN® Wood Fibreboards TEP</t>
  </si>
  <si>
    <t xml:space="preserve">Forestia </t>
  </si>
  <si>
    <t xml:space="preserve">Norge </t>
  </si>
  <si>
    <t>Norsk stål</t>
  </si>
  <si>
    <t>Tibnor</t>
  </si>
  <si>
    <t>Arbor</t>
  </si>
  <si>
    <t>Sonae Arauco</t>
  </si>
  <si>
    <t>NEPD-2001-885-NO</t>
  </si>
  <si>
    <t>NEPD-2520-1267-NO</t>
  </si>
  <si>
    <t>NEPD-2523-1266-NO</t>
  </si>
  <si>
    <t>NEPD-2524-1264-NO</t>
  </si>
  <si>
    <t>NEPD-2583-1311-NO</t>
  </si>
  <si>
    <t>NEPD-2584-1310-NO</t>
  </si>
  <si>
    <t>NEPD-3966-2799-NO</t>
  </si>
  <si>
    <t>NEPD-2659-1365-NO</t>
  </si>
  <si>
    <t>NEPD-2665-1367-NO</t>
  </si>
  <si>
    <t>NEPD-4133-3358-NO</t>
  </si>
  <si>
    <t>NEPD-4132-3358-NO</t>
  </si>
  <si>
    <t>NEPD-2003-885-EN</t>
  </si>
  <si>
    <t>NEPD-2058-928-EN</t>
  </si>
  <si>
    <t>EPD­SON­20220210­ICC1­EN</t>
  </si>
  <si>
    <t>Indvendig beklædning</t>
  </si>
  <si>
    <t>Anvendelse</t>
  </si>
  <si>
    <t>Loft</t>
  </si>
  <si>
    <t>Perforated Knauf Danoline: Designpanel and Tectopanel</t>
  </si>
  <si>
    <t>MD-21094-EN</t>
  </si>
  <si>
    <t>Chevron (Untreated)</t>
  </si>
  <si>
    <t>Whalebone (Untreated)</t>
  </si>
  <si>
    <t>Solid Line (Untreated)</t>
  </si>
  <si>
    <t>Industrial parquet (Untreated)</t>
  </si>
  <si>
    <t>End Grain Floor (Untreated)</t>
  </si>
  <si>
    <t>Solid Parquet Block (DK) (Untreated)</t>
  </si>
  <si>
    <t>Mosaic parquet (Untreated)</t>
  </si>
  <si>
    <t>Knauf Danoline Danotile</t>
  </si>
  <si>
    <t>MD-21099-EN</t>
  </si>
  <si>
    <t>MD-21098-EN</t>
  </si>
  <si>
    <t>Perforated Knauf Danoline: Markant, Contur, Linear and Danopanel</t>
  </si>
  <si>
    <t>MD-21096-EN_rev1</t>
  </si>
  <si>
    <t xml:space="preserve">Perforated Knauf Danoline: Plaza, Belgravia, Visona, Danoloft, CleaneoGO and Amfipanel </t>
  </si>
  <si>
    <t>Uperforated Knauf Danoline: Markant, Contur, Linear and Danopanel</t>
  </si>
  <si>
    <t xml:space="preserve">Uperforated Knauf Danoline: Plaza, Belgravia, Visona, Danoloft, CleaneoGO and Amfipanel </t>
  </si>
  <si>
    <t>MD-21095-EN</t>
  </si>
  <si>
    <t>MD-21097-EN</t>
  </si>
  <si>
    <t>EPD-TRO-20210109-ICA1-EN</t>
  </si>
  <si>
    <t>Troldtekt lys natur, 25 mm, malet (inkl. GOs)</t>
  </si>
  <si>
    <t>Troldtekt grå natur, 25 mm, umalet (inkl. GOs)</t>
  </si>
  <si>
    <t>Troldtekt grå natur, 25 mm, malet (inkl. GOs)</t>
  </si>
  <si>
    <t xml:space="preserve">EPD-TRO-20210111-ICA1-EN </t>
  </si>
  <si>
    <t>EPD-TRO-20210110-ICA1-EN</t>
  </si>
  <si>
    <t>Troldtekt Futurecem grå natur, 25 mm, umalet (inkl. GOs)</t>
  </si>
  <si>
    <t>Troldtekt Futurecem grå natur, 25 mm, malet (inkl. GOs)</t>
  </si>
  <si>
    <t xml:space="preserve">EPD-TRO-20220048-ICA2-EN </t>
  </si>
  <si>
    <t xml:space="preserve">EPD-TRO-20220049-ICA1-EN </t>
  </si>
  <si>
    <t>Unperforated Knauf Corridor</t>
  </si>
  <si>
    <t>Perforated Knauf Corridor</t>
  </si>
  <si>
    <t>MD-23089-EN</t>
  </si>
  <si>
    <t>MD-23090-EN</t>
  </si>
  <si>
    <t>Gyptone BIG</t>
  </si>
  <si>
    <t>S-P-01403</t>
  </si>
  <si>
    <t>Thailand</t>
  </si>
  <si>
    <t>S-P-00942</t>
  </si>
  <si>
    <t>Gyptone 12.5mm with Activ’Air</t>
  </si>
  <si>
    <t>Gyptone 10mm with Activ’Air</t>
  </si>
  <si>
    <t xml:space="preserve"> S-P-00941</t>
  </si>
  <si>
    <t>Fanen indeholder solceller både in roof og on roof</t>
  </si>
  <si>
    <t>Fanen indeholder materialer til gulv, væg og loft</t>
  </si>
  <si>
    <t>EPD-GLP-20170195-CBA1-EN</t>
  </si>
  <si>
    <t>Celleglasblok PG 600 (recycling)</t>
  </si>
  <si>
    <t>Celleglasblok PG 600 (landfilling)</t>
  </si>
  <si>
    <t>Classic Board RENEW (inkl. GO's)</t>
  </si>
  <si>
    <t>MD-23088-EN</t>
  </si>
  <si>
    <t>Fibergips</t>
  </si>
  <si>
    <t>Produktdatabase</t>
  </si>
  <si>
    <t>Databasen er ikke udtømmende og Boligbyggeri fra 4 til 1 planet foretrækker og/eller anbefaler ikke nogle materialer/produkter over andre. Anvendelse af produktdatabasen sker på eget ansvar og der henvises til, at brugeren selv forholder sig kritisk til databasens indhold. 
Hvis der findes fejl i produktdatabasen opfordres I til at henvende jer til Artelia på lope@arteliagroup.dk</t>
  </si>
  <si>
    <t>PEP</t>
  </si>
  <si>
    <t>EN 15804+A1 /+A2 / PEP</t>
  </si>
  <si>
    <t>Series 7</t>
  </si>
  <si>
    <t>CIGS</t>
  </si>
  <si>
    <t>NEPD-5039-4377-EN</t>
  </si>
  <si>
    <t xml:space="preserve">S-P-09093 </t>
  </si>
  <si>
    <t>Senest opdateret 23-04-2024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</si>
</sst>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4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4"/>
      <color rgb="FF132330"/>
      <name val="Arial"/>
      <family val="2"/>
    </font>
    <font>
      <i/>
      <sz val="9"/>
      <color rgb="FF13233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i/>
      <sz val="9"/>
      <color theme="0"/>
      <name val="Arial"/>
      <family val="2"/>
    </font>
    <font>
      <sz val="11"/>
      <color rgb="FFFF0000"/>
      <name val="Arial"/>
      <family val="2"/>
    </font>
    <font>
      <sz val="11"/>
      <color theme="0" tint="-0.14999847407452621"/>
      <name val="Arial"/>
      <family val="2"/>
    </font>
    <font>
      <sz val="8"/>
      <name val="Calibri"/>
      <family val="2"/>
      <scheme val="minor"/>
    </font>
    <font>
      <sz val="11"/>
      <color theme="10"/>
      <name val="Arial"/>
      <family val="2"/>
    </font>
    <font>
      <sz val="8"/>
      <color theme="0"/>
      <name val="Arial"/>
      <family val="2"/>
    </font>
    <font>
      <vertAlign val="superscript"/>
      <sz val="8"/>
      <color theme="0"/>
      <name val="Arial"/>
      <family val="2"/>
    </font>
    <font>
      <sz val="10"/>
      <color indexed="81"/>
      <name val="Tahoma"/>
      <family val="2"/>
    </font>
    <font>
      <i/>
      <sz val="8"/>
      <color theme="0"/>
      <name val="Arial"/>
      <family val="2"/>
    </font>
    <font>
      <sz val="11"/>
      <color rgb="FFEDF3F3"/>
      <name val="Arial"/>
      <family val="2"/>
    </font>
    <font>
      <sz val="1"/>
      <color rgb="FFEDF3F3"/>
      <name val="Arial"/>
      <family val="2"/>
    </font>
    <font>
      <sz val="10"/>
      <color rgb="FFEDF3F3"/>
      <name val="Arial"/>
      <family val="2"/>
    </font>
    <font>
      <sz val="1"/>
      <color rgb="FFEDF3F3"/>
      <name val="Calibri"/>
      <family val="2"/>
      <scheme val="minor"/>
    </font>
    <font>
      <sz val="11"/>
      <color rgb="FFEDF3F3"/>
      <name val="Calibri"/>
      <family val="2"/>
      <scheme val="minor"/>
    </font>
    <font>
      <sz val="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u/>
      <sz val="11"/>
      <color theme="1"/>
      <name val="Calibri"/>
      <family val="2"/>
      <scheme val="minor"/>
    </font>
    <font>
      <u/>
      <sz val="11"/>
      <color theme="1"/>
      <name val="Arial"/>
      <family val="2"/>
    </font>
    <font>
      <u/>
      <sz val="11"/>
      <color rgb="FF3E7665"/>
      <name val="Calibri"/>
      <family val="2"/>
      <scheme val="minor"/>
    </font>
    <font>
      <sz val="11"/>
      <color rgb="FF3E7665"/>
      <name val="Arial"/>
      <family val="2"/>
    </font>
    <font>
      <b/>
      <vertAlign val="subscript"/>
      <sz val="14"/>
      <color theme="0"/>
      <name val="Arial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F594F"/>
        <bgColor indexed="64"/>
      </patternFill>
    </fill>
    <fill>
      <patternFill patternType="solid">
        <fgColor rgb="FF6A949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3C8C9"/>
        <bgColor indexed="64"/>
      </patternFill>
    </fill>
    <fill>
      <patternFill patternType="solid">
        <fgColor rgb="FF4E6D6E"/>
        <bgColor indexed="64"/>
      </patternFill>
    </fill>
    <fill>
      <patternFill patternType="solid">
        <fgColor rgb="FFEDF3F3"/>
        <bgColor indexed="64"/>
      </patternFill>
    </fill>
  </fills>
  <borders count="1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94">
    <xf numFmtId="0" fontId="0" fillId="0" borderId="0" xfId="0"/>
    <xf numFmtId="0" fontId="8" fillId="0" borderId="0" xfId="0" applyFont="1"/>
    <xf numFmtId="0" fontId="8" fillId="0" borderId="0" xfId="0" applyFont="1" applyAlignment="1">
      <alignment wrapText="1"/>
    </xf>
    <xf numFmtId="0" fontId="13" fillId="0" borderId="0" xfId="0" applyFont="1"/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6" fillId="5" borderId="0" xfId="0" applyFont="1" applyFill="1"/>
    <xf numFmtId="0" fontId="15" fillId="3" borderId="0" xfId="0" applyFont="1" applyFill="1" applyAlignment="1">
      <alignment horizontal="left" vertical="top"/>
    </xf>
    <xf numFmtId="0" fontId="15" fillId="3" borderId="0" xfId="0" applyFont="1" applyFill="1" applyAlignment="1">
      <alignment vertical="top"/>
    </xf>
    <xf numFmtId="0" fontId="15" fillId="3" borderId="0" xfId="0" applyFont="1" applyFill="1"/>
    <xf numFmtId="0" fontId="8" fillId="0" borderId="0" xfId="0" applyFont="1" applyAlignment="1">
      <alignment horizontal="left"/>
    </xf>
    <xf numFmtId="0" fontId="8" fillId="6" borderId="0" xfId="0" applyFont="1" applyFill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11" fontId="2" fillId="0" borderId="0" xfId="0" applyNumberFormat="1" applyFont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1" fillId="0" borderId="0" xfId="0" applyFont="1" applyAlignment="1">
      <alignment vertical="center"/>
    </xf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vertical="center"/>
    </xf>
    <xf numFmtId="0" fontId="23" fillId="2" borderId="0" xfId="0" applyFont="1" applyFill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11" fontId="2" fillId="0" borderId="0" xfId="0" applyNumberFormat="1" applyFont="1" applyAlignment="1">
      <alignment vertical="center"/>
    </xf>
    <xf numFmtId="0" fontId="26" fillId="5" borderId="0" xfId="0" applyFont="1" applyFill="1" applyAlignment="1">
      <alignment horizontal="left"/>
    </xf>
    <xf numFmtId="0" fontId="15" fillId="6" borderId="0" xfId="0" applyFont="1" applyFill="1" applyAlignment="1">
      <alignment horizontal="left" vertical="center"/>
    </xf>
    <xf numFmtId="0" fontId="16" fillId="6" borderId="0" xfId="0" applyFont="1" applyFill="1" applyAlignment="1">
      <alignment horizontal="left" vertical="center" wrapText="1"/>
    </xf>
    <xf numFmtId="0" fontId="16" fillId="5" borderId="0" xfId="0" applyFont="1" applyFill="1" applyAlignment="1">
      <alignment horizontal="left"/>
    </xf>
    <xf numFmtId="0" fontId="26" fillId="3" borderId="0" xfId="0" applyFont="1" applyFill="1" applyAlignment="1">
      <alignment horizontal="left" vertical="top"/>
    </xf>
    <xf numFmtId="0" fontId="26" fillId="3" borderId="0" xfId="0" applyFont="1" applyFill="1" applyAlignment="1">
      <alignment vertical="top"/>
    </xf>
    <xf numFmtId="0" fontId="2" fillId="0" borderId="2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11" fontId="10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" fillId="5" borderId="4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2" fillId="4" borderId="0" xfId="0" applyFont="1" applyFill="1" applyAlignment="1">
      <alignment horizontal="left" vertical="center"/>
    </xf>
    <xf numFmtId="11" fontId="0" fillId="0" borderId="0" xfId="0" applyNumberFormat="1" applyAlignment="1">
      <alignment horizontal="left" vertical="center"/>
    </xf>
    <xf numFmtId="0" fontId="12" fillId="0" borderId="0" xfId="0" applyFont="1" applyAlignment="1">
      <alignment horizontal="left" vertical="center"/>
    </xf>
    <xf numFmtId="11" fontId="2" fillId="0" borderId="4" xfId="0" applyNumberFormat="1" applyFont="1" applyBorder="1" applyAlignment="1">
      <alignment horizontal="left" vertical="center"/>
    </xf>
    <xf numFmtId="0" fontId="10" fillId="4" borderId="0" xfId="0" applyFont="1" applyFill="1" applyAlignment="1">
      <alignment horizontal="left" vertical="center"/>
    </xf>
    <xf numFmtId="0" fontId="16" fillId="0" borderId="0" xfId="0" applyFont="1" applyAlignment="1">
      <alignment vertical="top"/>
    </xf>
    <xf numFmtId="11" fontId="0" fillId="0" borderId="0" xfId="0" applyNumberFormat="1" applyAlignment="1">
      <alignment vertical="center"/>
    </xf>
    <xf numFmtId="0" fontId="12" fillId="2" borderId="0" xfId="0" applyFont="1" applyFill="1" applyAlignment="1">
      <alignment horizontal="left" vertical="center"/>
    </xf>
    <xf numFmtId="11" fontId="12" fillId="2" borderId="0" xfId="0" applyNumberFormat="1" applyFont="1" applyFill="1" applyAlignment="1">
      <alignment horizontal="left" vertical="center" wrapText="1"/>
    </xf>
    <xf numFmtId="11" fontId="12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2" fillId="2" borderId="0" xfId="0" applyFont="1" applyFill="1" applyAlignment="1">
      <alignment vertical="center"/>
    </xf>
    <xf numFmtId="11" fontId="11" fillId="0" borderId="1" xfId="0" applyNumberFormat="1" applyFont="1" applyBorder="1" applyAlignment="1">
      <alignment horizontal="left" vertical="center"/>
    </xf>
    <xf numFmtId="11" fontId="11" fillId="0" borderId="0" xfId="0" applyNumberFormat="1" applyFont="1" applyAlignment="1">
      <alignment horizontal="left" vertical="center"/>
    </xf>
    <xf numFmtId="11" fontId="12" fillId="0" borderId="0" xfId="0" applyNumberFormat="1" applyFont="1" applyAlignment="1">
      <alignment horizontal="left" vertical="center"/>
    </xf>
    <xf numFmtId="11" fontId="23" fillId="0" borderId="0" xfId="0" applyNumberFormat="1" applyFont="1" applyAlignment="1">
      <alignment horizontal="left" vertical="center"/>
    </xf>
    <xf numFmtId="11" fontId="11" fillId="0" borderId="11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11" fontId="11" fillId="0" borderId="4" xfId="0" applyNumberFormat="1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1" fontId="5" fillId="0" borderId="5" xfId="0" applyNumberFormat="1" applyFont="1" applyBorder="1" applyAlignment="1">
      <alignment horizontal="left" vertical="center" wrapText="1"/>
    </xf>
    <xf numFmtId="11" fontId="5" fillId="0" borderId="4" xfId="0" applyNumberFormat="1" applyFont="1" applyBorder="1" applyAlignment="1">
      <alignment horizontal="left" vertical="center" wrapText="1"/>
    </xf>
    <xf numFmtId="11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11" fontId="27" fillId="0" borderId="6" xfId="0" applyNumberFormat="1" applyFont="1" applyBorder="1" applyAlignment="1">
      <alignment horizontal="left" vertical="center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left" vertical="center"/>
    </xf>
    <xf numFmtId="164" fontId="2" fillId="0" borderId="4" xfId="0" applyNumberFormat="1" applyFont="1" applyBorder="1" applyAlignment="1">
      <alignment horizontal="left" vertical="center"/>
    </xf>
    <xf numFmtId="0" fontId="3" fillId="0" borderId="5" xfId="1" applyFont="1" applyFill="1" applyBorder="1" applyAlignment="1">
      <alignment horizontal="left" vertical="center"/>
    </xf>
    <xf numFmtId="0" fontId="3" fillId="0" borderId="6" xfId="1" applyFont="1" applyFill="1" applyBorder="1" applyAlignment="1">
      <alignment horizontal="left" vertical="center"/>
    </xf>
    <xf numFmtId="0" fontId="3" fillId="0" borderId="4" xfId="1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1" fillId="0" borderId="4" xfId="1" applyFill="1" applyBorder="1" applyAlignment="1">
      <alignment horizontal="left" vertical="center"/>
    </xf>
    <xf numFmtId="0" fontId="2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center" vertical="center" wrapText="1"/>
    </xf>
    <xf numFmtId="11" fontId="5" fillId="0" borderId="4" xfId="0" applyNumberFormat="1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11" fontId="2" fillId="0" borderId="6" xfId="0" applyNumberFormat="1" applyFont="1" applyBorder="1" applyAlignment="1">
      <alignment horizontal="left" vertical="center"/>
    </xf>
    <xf numFmtId="0" fontId="27" fillId="0" borderId="4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11" fontId="2" fillId="0" borderId="10" xfId="0" applyNumberFormat="1" applyFont="1" applyBorder="1" applyAlignment="1">
      <alignment horizontal="left" vertical="center"/>
    </xf>
    <xf numFmtId="0" fontId="27" fillId="0" borderId="3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4" xfId="0" applyFont="1" applyBorder="1" applyAlignment="1">
      <alignment horizontal="left" vertical="center"/>
    </xf>
    <xf numFmtId="0" fontId="22" fillId="0" borderId="4" xfId="1" applyFont="1" applyFill="1" applyBorder="1" applyAlignment="1">
      <alignment horizontal="left" vertical="center"/>
    </xf>
    <xf numFmtId="0" fontId="1" fillId="0" borderId="5" xfId="1" applyFill="1" applyBorder="1" applyAlignment="1">
      <alignment horizontal="left" vertical="center"/>
    </xf>
    <xf numFmtId="0" fontId="1" fillId="0" borderId="6" xfId="1" applyFill="1" applyBorder="1" applyAlignment="1">
      <alignment horizontal="left" vertical="center"/>
    </xf>
    <xf numFmtId="0" fontId="10" fillId="0" borderId="4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11" fontId="2" fillId="0" borderId="4" xfId="0" applyNumberFormat="1" applyFont="1" applyBorder="1" applyAlignment="1">
      <alignment vertical="center"/>
    </xf>
    <xf numFmtId="11" fontId="27" fillId="0" borderId="4" xfId="0" applyNumberFormat="1" applyFont="1" applyBorder="1" applyAlignment="1">
      <alignment horizontal="left" vertical="center"/>
    </xf>
    <xf numFmtId="1" fontId="2" fillId="0" borderId="4" xfId="0" applyNumberFormat="1" applyFont="1" applyBorder="1" applyAlignment="1">
      <alignment horizontal="left" vertical="center"/>
    </xf>
    <xf numFmtId="0" fontId="27" fillId="0" borderId="4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29" fillId="0" borderId="4" xfId="0" applyFont="1" applyBorder="1" applyAlignment="1">
      <alignment vertical="center"/>
    </xf>
    <xf numFmtId="0" fontId="29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11" fillId="4" borderId="0" xfId="0" applyFont="1" applyFill="1" applyAlignment="1">
      <alignment horizontal="left" vertical="center"/>
    </xf>
    <xf numFmtId="11" fontId="12" fillId="4" borderId="0" xfId="0" applyNumberFormat="1" applyFont="1" applyFill="1" applyAlignment="1">
      <alignment horizontal="left" vertical="center"/>
    </xf>
    <xf numFmtId="11" fontId="23" fillId="4" borderId="0" xfId="0" applyNumberFormat="1" applyFont="1" applyFill="1" applyAlignment="1">
      <alignment horizontal="left" vertical="center"/>
    </xf>
    <xf numFmtId="0" fontId="16" fillId="0" borderId="0" xfId="0" applyFont="1"/>
    <xf numFmtId="0" fontId="18" fillId="0" borderId="0" xfId="0" applyFont="1" applyAlignment="1">
      <alignment vertical="top"/>
    </xf>
    <xf numFmtId="0" fontId="9" fillId="0" borderId="0" xfId="0" applyFont="1" applyAlignment="1">
      <alignment vertical="center" wrapText="1"/>
    </xf>
    <xf numFmtId="0" fontId="15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left" vertical="top"/>
    </xf>
    <xf numFmtId="0" fontId="18" fillId="0" borderId="0" xfId="0" applyFont="1" applyAlignment="1">
      <alignment vertical="top" wrapText="1"/>
    </xf>
    <xf numFmtId="0" fontId="16" fillId="0" borderId="0" xfId="0" applyFont="1" applyAlignment="1">
      <alignment vertical="top" wrapText="1"/>
    </xf>
    <xf numFmtId="11" fontId="2" fillId="7" borderId="4" xfId="0" applyNumberFormat="1" applyFont="1" applyFill="1" applyBorder="1"/>
    <xf numFmtId="0" fontId="28" fillId="0" borderId="4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20" fillId="0" borderId="0" xfId="0" applyFont="1"/>
    <xf numFmtId="0" fontId="28" fillId="0" borderId="8" xfId="0" applyFont="1" applyBorder="1" applyAlignment="1">
      <alignment wrapText="1"/>
    </xf>
    <xf numFmtId="11" fontId="31" fillId="0" borderId="0" xfId="0" applyNumberFormat="1" applyFont="1"/>
    <xf numFmtId="11" fontId="28" fillId="0" borderId="4" xfId="0" applyNumberFormat="1" applyFont="1" applyBorder="1" applyAlignment="1">
      <alignment horizontal="left"/>
    </xf>
    <xf numFmtId="0" fontId="27" fillId="0" borderId="0" xfId="0" applyFont="1" applyAlignment="1">
      <alignment horizontal="right"/>
    </xf>
    <xf numFmtId="0" fontId="28" fillId="0" borderId="4" xfId="0" applyFont="1" applyBorder="1" applyAlignment="1">
      <alignment horizontal="right"/>
    </xf>
    <xf numFmtId="11" fontId="28" fillId="0" borderId="0" xfId="0" applyNumberFormat="1" applyFont="1" applyAlignment="1">
      <alignment horizontal="left"/>
    </xf>
    <xf numFmtId="0" fontId="28" fillId="0" borderId="4" xfId="0" applyFont="1" applyBorder="1"/>
    <xf numFmtId="11" fontId="27" fillId="0" borderId="0" xfId="0" applyNumberFormat="1" applyFont="1" applyAlignment="1">
      <alignment horizontal="left"/>
    </xf>
    <xf numFmtId="11" fontId="27" fillId="0" borderId="0" xfId="0" applyNumberFormat="1" applyFont="1" applyAlignment="1">
      <alignment horizontal="right"/>
    </xf>
    <xf numFmtId="11" fontId="28" fillId="0" borderId="4" xfId="0" applyNumberFormat="1" applyFont="1" applyBorder="1" applyAlignment="1">
      <alignment horizontal="right"/>
    </xf>
    <xf numFmtId="11" fontId="30" fillId="0" borderId="0" xfId="0" applyNumberFormat="1" applyFont="1" applyAlignment="1">
      <alignment horizontal="left"/>
    </xf>
    <xf numFmtId="11" fontId="30" fillId="0" borderId="0" xfId="0" applyNumberFormat="1" applyFont="1" applyAlignment="1">
      <alignment horizontal="right"/>
    </xf>
    <xf numFmtId="0" fontId="2" fillId="0" borderId="4" xfId="0" applyFont="1" applyBorder="1"/>
    <xf numFmtId="11" fontId="27" fillId="0" borderId="0" xfId="0" applyNumberFormat="1" applyFont="1"/>
    <xf numFmtId="0" fontId="1" fillId="0" borderId="8" xfId="1" applyFill="1" applyBorder="1" applyAlignment="1">
      <alignment horizontal="left" vertical="center"/>
    </xf>
    <xf numFmtId="11" fontId="32" fillId="7" borderId="4" xfId="0" applyNumberFormat="1" applyFont="1" applyFill="1" applyBorder="1"/>
    <xf numFmtId="11" fontId="28" fillId="0" borderId="0" xfId="0" applyNumberFormat="1" applyFont="1" applyAlignment="1">
      <alignment horizontal="right"/>
    </xf>
    <xf numFmtId="0" fontId="34" fillId="2" borderId="0" xfId="0" applyFont="1" applyFill="1" applyAlignment="1">
      <alignment horizontal="left" vertical="center"/>
    </xf>
    <xf numFmtId="0" fontId="2" fillId="0" borderId="4" xfId="1" applyFont="1" applyFill="1" applyBorder="1" applyAlignment="1">
      <alignment horizontal="left" vertical="center"/>
    </xf>
    <xf numFmtId="0" fontId="0" fillId="0" borderId="4" xfId="1" applyFont="1" applyFill="1" applyBorder="1" applyAlignment="1">
      <alignment horizontal="left" vertical="center"/>
    </xf>
    <xf numFmtId="0" fontId="19" fillId="0" borderId="4" xfId="1" applyFont="1" applyFill="1" applyBorder="1" applyAlignment="1">
      <alignment horizontal="left" vertical="center"/>
    </xf>
    <xf numFmtId="165" fontId="2" fillId="0" borderId="4" xfId="0" applyNumberFormat="1" applyFont="1" applyBorder="1" applyAlignment="1">
      <alignment horizontal="left" vertical="center"/>
    </xf>
    <xf numFmtId="0" fontId="26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0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35" fillId="0" borderId="4" xfId="1" applyFont="1" applyFill="1" applyBorder="1" applyAlignment="1">
      <alignment horizontal="left" vertical="center"/>
    </xf>
    <xf numFmtId="0" fontId="1" fillId="0" borderId="5" xfId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49" fontId="19" fillId="0" borderId="0" xfId="0" applyNumberFormat="1" applyFont="1" applyAlignment="1">
      <alignment horizontal="left" vertical="center"/>
    </xf>
    <xf numFmtId="49" fontId="12" fillId="2" borderId="0" xfId="0" applyNumberFormat="1" applyFont="1" applyFill="1" applyAlignment="1">
      <alignment horizontal="left" vertical="center" wrapText="1"/>
    </xf>
    <xf numFmtId="49" fontId="23" fillId="2" borderId="0" xfId="0" applyNumberFormat="1" applyFont="1" applyFill="1" applyAlignment="1">
      <alignment horizontal="left" vertical="center"/>
    </xf>
    <xf numFmtId="49" fontId="2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4" xfId="1" applyFont="1" applyFill="1" applyBorder="1" applyAlignment="1">
      <alignment horizontal="left" vertical="center"/>
    </xf>
    <xf numFmtId="0" fontId="36" fillId="0" borderId="4" xfId="1" applyFont="1" applyFill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1" fillId="0" borderId="4" xfId="1" applyBorder="1" applyAlignment="1">
      <alignment horizontal="left" vertical="center"/>
    </xf>
    <xf numFmtId="0" fontId="38" fillId="2" borderId="0" xfId="0" applyFont="1" applyFill="1" applyAlignment="1">
      <alignment horizontal="left" vertical="center"/>
    </xf>
    <xf numFmtId="2" fontId="2" fillId="0" borderId="4" xfId="0" applyNumberFormat="1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4" xfId="0" applyFont="1" applyBorder="1" applyAlignment="1">
      <alignment vertical="center"/>
    </xf>
    <xf numFmtId="0" fontId="39" fillId="0" borderId="4" xfId="0" applyFont="1" applyBorder="1" applyAlignment="1">
      <alignment horizontal="left" vertical="center"/>
    </xf>
    <xf numFmtId="11" fontId="19" fillId="0" borderId="4" xfId="0" applyNumberFormat="1" applyFont="1" applyBorder="1" applyAlignment="1">
      <alignment horizontal="left" vertical="center"/>
    </xf>
    <xf numFmtId="0" fontId="19" fillId="0" borderId="5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/>
    </xf>
    <xf numFmtId="0" fontId="2" fillId="0" borderId="0" xfId="0" applyFont="1"/>
    <xf numFmtId="0" fontId="19" fillId="0" borderId="0" xfId="0" applyFont="1" applyAlignment="1">
      <alignment vertical="center"/>
    </xf>
    <xf numFmtId="0" fontId="27" fillId="0" borderId="0" xfId="0" applyFont="1"/>
    <xf numFmtId="49" fontId="2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11" fontId="2" fillId="7" borderId="4" xfId="0" applyNumberFormat="1" applyFont="1" applyFill="1" applyBorder="1" applyAlignment="1">
      <alignment horizontal="right"/>
    </xf>
    <xf numFmtId="0" fontId="1" fillId="0" borderId="6" xfId="1" applyBorder="1" applyAlignment="1">
      <alignment horizontal="left" vertical="center"/>
    </xf>
    <xf numFmtId="164" fontId="4" fillId="0" borderId="4" xfId="0" applyNumberFormat="1" applyFont="1" applyBorder="1" applyAlignment="1">
      <alignment horizontal="left" vertical="center"/>
    </xf>
    <xf numFmtId="11" fontId="32" fillId="0" borderId="4" xfId="0" applyNumberFormat="1" applyFont="1" applyBorder="1" applyAlignment="1">
      <alignment horizontal="right"/>
    </xf>
    <xf numFmtId="11" fontId="32" fillId="0" borderId="4" xfId="0" applyNumberFormat="1" applyFont="1" applyBorder="1" applyAlignment="1">
      <alignment horizontal="left"/>
    </xf>
    <xf numFmtId="0" fontId="41" fillId="0" borderId="4" xfId="1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40" fillId="0" borderId="4" xfId="1" applyFont="1" applyFill="1" applyBorder="1" applyAlignment="1">
      <alignment horizontal="left" vertical="center"/>
    </xf>
    <xf numFmtId="0" fontId="42" fillId="0" borderId="4" xfId="1" applyFont="1" applyBorder="1" applyAlignment="1">
      <alignment horizontal="left" vertical="center"/>
    </xf>
    <xf numFmtId="0" fontId="42" fillId="0" borderId="4" xfId="1" applyFont="1" applyFill="1" applyBorder="1" applyAlignment="1">
      <alignment horizontal="left" vertical="center"/>
    </xf>
    <xf numFmtId="0" fontId="42" fillId="0" borderId="5" xfId="1" applyFont="1" applyFill="1" applyBorder="1" applyAlignment="1">
      <alignment horizontal="left" vertical="center"/>
    </xf>
    <xf numFmtId="0" fontId="42" fillId="0" borderId="6" xfId="1" applyFont="1" applyFill="1" applyBorder="1" applyAlignment="1">
      <alignment horizontal="left" vertical="center"/>
    </xf>
    <xf numFmtId="0" fontId="42" fillId="0" borderId="8" xfId="1" applyFont="1" applyFill="1" applyBorder="1" applyAlignment="1">
      <alignment horizontal="left" vertical="center"/>
    </xf>
    <xf numFmtId="0" fontId="42" fillId="0" borderId="5" xfId="1" applyFont="1" applyBorder="1" applyAlignment="1">
      <alignment horizontal="left" vertical="center"/>
    </xf>
    <xf numFmtId="0" fontId="43" fillId="0" borderId="6" xfId="0" applyFont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33" fillId="0" borderId="4" xfId="0" applyFont="1" applyBorder="1" applyAlignment="1">
      <alignment horizontal="left" vertical="center"/>
    </xf>
    <xf numFmtId="0" fontId="3" fillId="0" borderId="4" xfId="1" applyFont="1" applyBorder="1" applyAlignment="1">
      <alignment horizontal="left" vertical="center"/>
    </xf>
    <xf numFmtId="0" fontId="3" fillId="0" borderId="4" xfId="1" applyFont="1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1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8" xfId="1" applyBorder="1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11" fontId="5" fillId="0" borderId="3" xfId="0" applyNumberFormat="1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/>
    </xf>
    <xf numFmtId="11" fontId="5" fillId="0" borderId="1" xfId="0" applyNumberFormat="1" applyFont="1" applyBorder="1" applyAlignment="1">
      <alignment horizontal="left" vertical="center" wrapText="1"/>
    </xf>
    <xf numFmtId="0" fontId="28" fillId="0" borderId="9" xfId="0" applyFont="1" applyBorder="1" applyAlignment="1">
      <alignment wrapText="1"/>
    </xf>
    <xf numFmtId="11" fontId="2" fillId="0" borderId="1" xfId="0" applyNumberFormat="1" applyFont="1" applyBorder="1" applyAlignment="1">
      <alignment horizontal="left" vertical="center"/>
    </xf>
    <xf numFmtId="11" fontId="28" fillId="0" borderId="1" xfId="0" applyNumberFormat="1" applyFont="1" applyBorder="1" applyAlignment="1">
      <alignment horizontal="left"/>
    </xf>
    <xf numFmtId="11" fontId="2" fillId="0" borderId="3" xfId="0" applyNumberFormat="1" applyFont="1" applyBorder="1" applyAlignment="1">
      <alignment horizontal="left" vertical="center"/>
    </xf>
    <xf numFmtId="0" fontId="28" fillId="0" borderId="1" xfId="0" applyFont="1" applyBorder="1" applyAlignment="1">
      <alignment horizontal="right"/>
    </xf>
    <xf numFmtId="49" fontId="2" fillId="0" borderId="1" xfId="0" applyNumberFormat="1" applyFont="1" applyBorder="1" applyAlignment="1">
      <alignment horizontal="left" vertical="center"/>
    </xf>
    <xf numFmtId="0" fontId="27" fillId="0" borderId="4" xfId="0" applyFont="1" applyBorder="1" applyAlignment="1">
      <alignment horizontal="left"/>
    </xf>
    <xf numFmtId="0" fontId="20" fillId="0" borderId="4" xfId="0" applyFont="1" applyBorder="1"/>
    <xf numFmtId="11" fontId="0" fillId="0" borderId="4" xfId="0" applyNumberFormat="1" applyBorder="1" applyAlignment="1">
      <alignment vertical="center"/>
    </xf>
    <xf numFmtId="11" fontId="31" fillId="0" borderId="4" xfId="0" applyNumberFormat="1" applyFont="1" applyBorder="1"/>
    <xf numFmtId="0" fontId="27" fillId="0" borderId="4" xfId="0" applyFont="1" applyBorder="1" applyAlignment="1">
      <alignment horizontal="right"/>
    </xf>
    <xf numFmtId="0" fontId="0" fillId="0" borderId="4" xfId="0" applyBorder="1" applyAlignment="1">
      <alignment vertical="center"/>
    </xf>
    <xf numFmtId="0" fontId="27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27" fillId="0" borderId="5" xfId="0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 wrapText="1"/>
    </xf>
    <xf numFmtId="0" fontId="1" fillId="0" borderId="0" xfId="1" applyAlignment="1">
      <alignment vertical="center"/>
    </xf>
    <xf numFmtId="11" fontId="11" fillId="0" borderId="6" xfId="0" applyNumberFormat="1" applyFont="1" applyBorder="1" applyAlignment="1">
      <alignment horizontal="left" vertical="center"/>
    </xf>
    <xf numFmtId="0" fontId="1" fillId="0" borderId="9" xfId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1" fillId="0" borderId="0" xfId="1" applyBorder="1" applyAlignment="1">
      <alignment horizontal="left" vertical="center"/>
    </xf>
    <xf numFmtId="0" fontId="1" fillId="0" borderId="1" xfId="1" applyBorder="1" applyAlignment="1">
      <alignment horizontal="left" vertical="center"/>
    </xf>
    <xf numFmtId="49" fontId="2" fillId="0" borderId="6" xfId="0" applyNumberFormat="1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3" fillId="0" borderId="8" xfId="1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0" fontId="11" fillId="0" borderId="6" xfId="0" applyFont="1" applyBorder="1" applyAlignment="1">
      <alignment horizontal="center" vertical="center"/>
    </xf>
    <xf numFmtId="0" fontId="3" fillId="0" borderId="8" xfId="1" applyFont="1" applyFill="1" applyBorder="1" applyAlignment="1">
      <alignment vertical="center"/>
    </xf>
    <xf numFmtId="0" fontId="3" fillId="0" borderId="5" xfId="1" applyFont="1" applyBorder="1" applyAlignment="1">
      <alignment horizontal="left" vertical="center"/>
    </xf>
    <xf numFmtId="0" fontId="45" fillId="0" borderId="4" xfId="1" applyFont="1" applyBorder="1" applyAlignment="1">
      <alignment horizontal="left" vertical="center"/>
    </xf>
    <xf numFmtId="0" fontId="1" fillId="0" borderId="0" xfId="1" applyFill="1"/>
    <xf numFmtId="0" fontId="1" fillId="0" borderId="4" xfId="1" applyFill="1" applyBorder="1" applyAlignment="1">
      <alignment vertical="center"/>
    </xf>
    <xf numFmtId="0" fontId="1" fillId="0" borderId="4" xfId="1" applyFill="1" applyBorder="1"/>
    <xf numFmtId="0" fontId="0" fillId="0" borderId="4" xfId="0" applyBorder="1"/>
    <xf numFmtId="0" fontId="1" fillId="0" borderId="0" xfId="1" applyFill="1" applyBorder="1" applyAlignment="1">
      <alignment vertical="center"/>
    </xf>
    <xf numFmtId="0" fontId="0" fillId="0" borderId="11" xfId="0" applyBorder="1"/>
    <xf numFmtId="0" fontId="1" fillId="0" borderId="5" xfId="1" applyBorder="1" applyAlignment="1">
      <alignment vertical="center"/>
    </xf>
    <xf numFmtId="0" fontId="1" fillId="0" borderId="9" xfId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/>
    </xf>
    <xf numFmtId="0" fontId="26" fillId="3" borderId="0" xfId="0" applyFont="1" applyFill="1" applyAlignment="1">
      <alignment horizontal="left" vertical="top" wrapText="1"/>
    </xf>
    <xf numFmtId="0" fontId="15" fillId="3" borderId="0" xfId="0" applyFont="1" applyFill="1" applyAlignment="1">
      <alignment horizontal="left" vertical="center"/>
    </xf>
    <xf numFmtId="0" fontId="16" fillId="6" borderId="0" xfId="0" applyFont="1" applyFill="1" applyAlignment="1">
      <alignment horizontal="left" vertical="top" wrapText="1"/>
    </xf>
    <xf numFmtId="0" fontId="2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11" fontId="12" fillId="2" borderId="0" xfId="0" applyNumberFormat="1" applyFont="1" applyFill="1" applyAlignment="1">
      <alignment horizontal="left" vertical="center" wrapText="1"/>
    </xf>
    <xf numFmtId="11" fontId="23" fillId="2" borderId="0" xfId="0" applyNumberFormat="1" applyFont="1" applyFill="1" applyAlignment="1">
      <alignment horizontal="left" vertical="center"/>
    </xf>
    <xf numFmtId="11" fontId="23" fillId="2" borderId="7" xfId="0" applyNumberFormat="1" applyFont="1" applyFill="1" applyBorder="1" applyAlignment="1">
      <alignment horizontal="left" vertical="center"/>
    </xf>
  </cellXfs>
  <cellStyles count="2">
    <cellStyle name="Link" xfId="1" builtinId="8"/>
    <cellStyle name="Normal" xfId="0" builtinId="0"/>
  </cellStyles>
  <dxfs count="869"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B3C8C9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B3C8C9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rgb="FFB3C8C9"/>
      </font>
    </dxf>
    <dxf>
      <font>
        <color rgb="FFB3C8C9"/>
      </font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B3C8C9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6600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B3C8C9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4B084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B3C8C9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B3C8C9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4B084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CCC00"/>
        </patternFill>
      </fill>
    </dxf>
    <dxf>
      <font>
        <color theme="0"/>
      </font>
      <fill>
        <patternFill>
          <bgColor rgb="FFFFD966"/>
        </patternFill>
      </fill>
    </dxf>
    <dxf>
      <font>
        <color theme="0"/>
      </font>
      <fill>
        <patternFill>
          <bgColor rgb="FFFF8D37"/>
        </patternFill>
      </fill>
    </dxf>
    <dxf>
      <font>
        <color theme="0"/>
      </font>
      <fill>
        <patternFill>
          <bgColor rgb="FFFF6600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theme="0" tint="-0.34998626667073579"/>
      </font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EA7272"/>
      </font>
    </dxf>
    <dxf>
      <fill>
        <patternFill>
          <bgColor rgb="FFB3C8C9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ill>
        <patternFill>
          <bgColor rgb="FFEDF3F3"/>
        </patternFill>
      </fill>
    </dxf>
    <dxf>
      <font>
        <color rgb="FFB3C8C9"/>
      </font>
    </dxf>
    <dxf>
      <fill>
        <patternFill>
          <bgColor rgb="FFEDF3F3"/>
        </patternFill>
      </fill>
    </dxf>
  </dxfs>
  <tableStyles count="0" defaultTableStyle="TableStyleMedium2" defaultPivotStyle="PivotStyleLight16"/>
  <colors>
    <mruColors>
      <color rgb="FFFF7575"/>
      <color rgb="FFE88C12"/>
      <color rgb="FFCACA1E"/>
      <color rgb="FFEDF3F3"/>
      <color rgb="FFDFE9E4"/>
      <color rgb="FF2F594F"/>
      <color rgb="FFFD911B"/>
      <color rgb="FFA5D7AA"/>
      <color rgb="FFB3C8C9"/>
      <color rgb="FF449A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19.pn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7" Type="http://schemas.openxmlformats.org/officeDocument/2006/relationships/image" Target="../media/image11.png"/><Relationship Id="rId12" Type="http://schemas.openxmlformats.org/officeDocument/2006/relationships/image" Target="../media/image18.png"/><Relationship Id="rId17" Type="http://schemas.openxmlformats.org/officeDocument/2006/relationships/image" Target="../media/image27.png"/><Relationship Id="rId2" Type="http://schemas.openxmlformats.org/officeDocument/2006/relationships/image" Target="../media/image8.png"/><Relationship Id="rId16" Type="http://schemas.openxmlformats.org/officeDocument/2006/relationships/image" Target="../media/image26.png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11" Type="http://schemas.openxmlformats.org/officeDocument/2006/relationships/image" Target="../media/image12.png"/><Relationship Id="rId5" Type="http://schemas.openxmlformats.org/officeDocument/2006/relationships/image" Target="../media/image22.png"/><Relationship Id="rId15" Type="http://schemas.openxmlformats.org/officeDocument/2006/relationships/image" Target="../media/image9.png"/><Relationship Id="rId10" Type="http://schemas.openxmlformats.org/officeDocument/2006/relationships/image" Target="../media/image25.png"/><Relationship Id="rId19" Type="http://schemas.openxmlformats.org/officeDocument/2006/relationships/image" Target="../media/image29.png"/><Relationship Id="rId4" Type="http://schemas.openxmlformats.org/officeDocument/2006/relationships/image" Target="../media/image21.png"/><Relationship Id="rId9" Type="http://schemas.openxmlformats.org/officeDocument/2006/relationships/image" Target="../media/image24.png"/><Relationship Id="rId1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26.png"/><Relationship Id="rId3" Type="http://schemas.openxmlformats.org/officeDocument/2006/relationships/image" Target="../media/image12.png"/><Relationship Id="rId7" Type="http://schemas.openxmlformats.org/officeDocument/2006/relationships/image" Target="../media/image17.png"/><Relationship Id="rId12" Type="http://schemas.openxmlformats.org/officeDocument/2006/relationships/image" Target="../media/image30.png"/><Relationship Id="rId2" Type="http://schemas.openxmlformats.org/officeDocument/2006/relationships/image" Target="../media/image13.png"/><Relationship Id="rId16" Type="http://schemas.openxmlformats.org/officeDocument/2006/relationships/image" Target="../media/image23.png"/><Relationship Id="rId1" Type="http://schemas.openxmlformats.org/officeDocument/2006/relationships/image" Target="../media/image6.png"/><Relationship Id="rId6" Type="http://schemas.openxmlformats.org/officeDocument/2006/relationships/image" Target="../media/image9.png"/><Relationship Id="rId11" Type="http://schemas.openxmlformats.org/officeDocument/2006/relationships/image" Target="../media/image20.png"/><Relationship Id="rId5" Type="http://schemas.openxmlformats.org/officeDocument/2006/relationships/image" Target="../media/image11.png"/><Relationship Id="rId15" Type="http://schemas.openxmlformats.org/officeDocument/2006/relationships/image" Target="../media/image25.png"/><Relationship Id="rId10" Type="http://schemas.openxmlformats.org/officeDocument/2006/relationships/image" Target="../media/image19.png"/><Relationship Id="rId4" Type="http://schemas.openxmlformats.org/officeDocument/2006/relationships/image" Target="../media/image8.png"/><Relationship Id="rId9" Type="http://schemas.openxmlformats.org/officeDocument/2006/relationships/image" Target="../media/image18.png"/><Relationship Id="rId1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0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8.png"/><Relationship Id="rId6" Type="http://schemas.openxmlformats.org/officeDocument/2006/relationships/image" Target="../media/image27.png"/><Relationship Id="rId5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8.png"/><Relationship Id="rId7" Type="http://schemas.openxmlformats.org/officeDocument/2006/relationships/image" Target="../media/image18.png"/><Relationship Id="rId2" Type="http://schemas.openxmlformats.org/officeDocument/2006/relationships/image" Target="../media/image21.png"/><Relationship Id="rId1" Type="http://schemas.openxmlformats.org/officeDocument/2006/relationships/image" Target="../media/image9.png"/><Relationship Id="rId6" Type="http://schemas.openxmlformats.org/officeDocument/2006/relationships/image" Target="../media/image23.png"/><Relationship Id="rId5" Type="http://schemas.openxmlformats.org/officeDocument/2006/relationships/image" Target="../media/image10.png"/><Relationship Id="rId4" Type="http://schemas.openxmlformats.org/officeDocument/2006/relationships/image" Target="../media/image11.png"/><Relationship Id="rId9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4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Relationship Id="rId6" Type="http://schemas.openxmlformats.org/officeDocument/2006/relationships/image" Target="../media/image31.png"/><Relationship Id="rId5" Type="http://schemas.openxmlformats.org/officeDocument/2006/relationships/image" Target="../media/image18.png"/><Relationship Id="rId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6.png"/><Relationship Id="rId3" Type="http://schemas.openxmlformats.org/officeDocument/2006/relationships/image" Target="../media/image10.png"/><Relationship Id="rId7" Type="http://schemas.openxmlformats.org/officeDocument/2006/relationships/image" Target="../media/image32.png"/><Relationship Id="rId12" Type="http://schemas.openxmlformats.org/officeDocument/2006/relationships/image" Target="../media/image8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Relationship Id="rId6" Type="http://schemas.openxmlformats.org/officeDocument/2006/relationships/image" Target="../media/image21.png"/><Relationship Id="rId11" Type="http://schemas.openxmlformats.org/officeDocument/2006/relationships/image" Target="../media/image14.png"/><Relationship Id="rId5" Type="http://schemas.openxmlformats.org/officeDocument/2006/relationships/image" Target="../media/image13.png"/><Relationship Id="rId10" Type="http://schemas.openxmlformats.org/officeDocument/2006/relationships/image" Target="../media/image35.png"/><Relationship Id="rId4" Type="http://schemas.openxmlformats.org/officeDocument/2006/relationships/image" Target="../media/image9.png"/><Relationship Id="rId9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3231881</xdr:colOff>
      <xdr:row>0</xdr:row>
      <xdr:rowOff>30788</xdr:rowOff>
    </xdr:from>
    <xdr:to>
      <xdr:col>7</xdr:col>
      <xdr:colOff>569423</xdr:colOff>
      <xdr:row>3</xdr:row>
      <xdr:rowOff>112150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E9A3105E-6AE0-A476-0935-3A442A87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366" y="30788"/>
          <a:ext cx="1501602" cy="597059"/>
        </a:xfrm>
        <a:prstGeom prst="rect">
          <a:avLst/>
        </a:prstGeom>
      </xdr:spPr>
    </xdr:pic>
    <xdr:clientData/>
  </xdr:twoCellAnchor>
  <xdr:twoCellAnchor>
    <xdr:from>
      <xdr:col>0</xdr:col>
      <xdr:colOff>11430</xdr:colOff>
      <xdr:row>10</xdr:row>
      <xdr:rowOff>19050</xdr:rowOff>
    </xdr:from>
    <xdr:to>
      <xdr:col>0</xdr:col>
      <xdr:colOff>139931</xdr:colOff>
      <xdr:row>10</xdr:row>
      <xdr:rowOff>141962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8F41E3C3-FAB2-99F4-70CE-C9C97C9B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" y="3829050"/>
          <a:ext cx="128501" cy="12291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11</xdr:row>
      <xdr:rowOff>0</xdr:rowOff>
    </xdr:from>
    <xdr:to>
      <xdr:col>1</xdr:col>
      <xdr:colOff>8370</xdr:colOff>
      <xdr:row>12</xdr:row>
      <xdr:rowOff>1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3478E551-E132-1DC9-04AE-C9BF7B9B4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905250"/>
          <a:ext cx="158048" cy="1428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12</xdr:row>
      <xdr:rowOff>0</xdr:rowOff>
    </xdr:from>
    <xdr:to>
      <xdr:col>1</xdr:col>
      <xdr:colOff>17232</xdr:colOff>
      <xdr:row>12</xdr:row>
      <xdr:rowOff>146242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7338A76A-072E-5467-EE68-84B8F8FE9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048125"/>
          <a:ext cx="166910" cy="142875"/>
        </a:xfrm>
        <a:prstGeom prst="rect">
          <a:avLst/>
        </a:prstGeom>
      </xdr:spPr>
    </xdr:pic>
    <xdr:clientData/>
  </xdr:twoCellAnchor>
  <xdr:twoCellAnchor>
    <xdr:from>
      <xdr:col>0</xdr:col>
      <xdr:colOff>11430</xdr:colOff>
      <xdr:row>15</xdr:row>
      <xdr:rowOff>19050</xdr:rowOff>
    </xdr:from>
    <xdr:to>
      <xdr:col>0</xdr:col>
      <xdr:colOff>139931</xdr:colOff>
      <xdr:row>15</xdr:row>
      <xdr:rowOff>141962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9CA6CC12-AD48-48FA-8EBB-C29D92E33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" y="3867535"/>
          <a:ext cx="128501" cy="12291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</xdr:row>
      <xdr:rowOff>0</xdr:rowOff>
    </xdr:from>
    <xdr:to>
      <xdr:col>1</xdr:col>
      <xdr:colOff>8370</xdr:colOff>
      <xdr:row>17</xdr:row>
      <xdr:rowOff>1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856DFD88-E954-45B5-8C49-F081DAD2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994727"/>
          <a:ext cx="162308" cy="14624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</xdr:row>
      <xdr:rowOff>0</xdr:rowOff>
    </xdr:from>
    <xdr:to>
      <xdr:col>1</xdr:col>
      <xdr:colOff>17232</xdr:colOff>
      <xdr:row>17</xdr:row>
      <xdr:rowOff>146242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2B0F3E99-055F-416E-B431-2998AD432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140970"/>
          <a:ext cx="171170" cy="146242"/>
        </a:xfrm>
        <a:prstGeom prst="rect">
          <a:avLst/>
        </a:prstGeom>
      </xdr:spPr>
    </xdr:pic>
    <xdr:clientData/>
  </xdr:twoCellAnchor>
  <xdr:twoCellAnchor>
    <xdr:from>
      <xdr:col>0</xdr:col>
      <xdr:colOff>11430</xdr:colOff>
      <xdr:row>20</xdr:row>
      <xdr:rowOff>19050</xdr:rowOff>
    </xdr:from>
    <xdr:to>
      <xdr:col>0</xdr:col>
      <xdr:colOff>139931</xdr:colOff>
      <xdr:row>20</xdr:row>
      <xdr:rowOff>141962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B7858CE8-9B3C-4D0B-AA13-CEAD8DB7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" y="3867535"/>
          <a:ext cx="128501" cy="12291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21</xdr:row>
      <xdr:rowOff>0</xdr:rowOff>
    </xdr:from>
    <xdr:to>
      <xdr:col>1</xdr:col>
      <xdr:colOff>8370</xdr:colOff>
      <xdr:row>22</xdr:row>
      <xdr:rowOff>1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81793D31-8952-4648-A2B4-108A2BC7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994727"/>
          <a:ext cx="162308" cy="14624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22</xdr:row>
      <xdr:rowOff>0</xdr:rowOff>
    </xdr:from>
    <xdr:to>
      <xdr:col>1</xdr:col>
      <xdr:colOff>17232</xdr:colOff>
      <xdr:row>22</xdr:row>
      <xdr:rowOff>146242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C59EE478-D54D-4DC9-9B80-C16F0C29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140970"/>
          <a:ext cx="171170" cy="146242"/>
        </a:xfrm>
        <a:prstGeom prst="rect">
          <a:avLst/>
        </a:prstGeom>
      </xdr:spPr>
    </xdr:pic>
    <xdr:clientData/>
  </xdr:twoCellAnchor>
  <xdr:oneCellAnchor>
    <xdr:from>
      <xdr:col>0</xdr:col>
      <xdr:colOff>11430</xdr:colOff>
      <xdr:row>25</xdr:row>
      <xdr:rowOff>19050</xdr:rowOff>
    </xdr:from>
    <xdr:ext cx="128501" cy="122912"/>
    <xdr:pic>
      <xdr:nvPicPr>
        <xdr:cNvPr id="40" name="Billede 39">
          <a:extLst>
            <a:ext uri="{FF2B5EF4-FFF2-40B4-BE49-F238E27FC236}">
              <a16:creationId xmlns:a16="http://schemas.microsoft.com/office/drawing/2014/main" id="{397CC6FB-75FB-42EF-87A4-4265BF2D1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" y="3867535"/>
          <a:ext cx="128501" cy="122912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26</xdr:row>
      <xdr:rowOff>0</xdr:rowOff>
    </xdr:from>
    <xdr:ext cx="162308" cy="146243"/>
    <xdr:pic>
      <xdr:nvPicPr>
        <xdr:cNvPr id="41" name="Billede 40">
          <a:extLst>
            <a:ext uri="{FF2B5EF4-FFF2-40B4-BE49-F238E27FC236}">
              <a16:creationId xmlns:a16="http://schemas.microsoft.com/office/drawing/2014/main" id="{6D62BCE5-D95B-4B34-AF01-47C2DDDDF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994727"/>
          <a:ext cx="162308" cy="146243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27</xdr:row>
      <xdr:rowOff>0</xdr:rowOff>
    </xdr:from>
    <xdr:ext cx="171170" cy="146242"/>
    <xdr:pic>
      <xdr:nvPicPr>
        <xdr:cNvPr id="42" name="Billede 41">
          <a:extLst>
            <a:ext uri="{FF2B5EF4-FFF2-40B4-BE49-F238E27FC236}">
              <a16:creationId xmlns:a16="http://schemas.microsoft.com/office/drawing/2014/main" id="{89C50218-EA81-4BF0-A00A-178834849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140970"/>
          <a:ext cx="171170" cy="146242"/>
        </a:xfrm>
        <a:prstGeom prst="rect">
          <a:avLst/>
        </a:prstGeom>
      </xdr:spPr>
    </xdr:pic>
    <xdr:clientData/>
  </xdr:oneCellAnchor>
  <xdr:twoCellAnchor>
    <xdr:from>
      <xdr:col>0</xdr:col>
      <xdr:colOff>11430</xdr:colOff>
      <xdr:row>30</xdr:row>
      <xdr:rowOff>19050</xdr:rowOff>
    </xdr:from>
    <xdr:to>
      <xdr:col>0</xdr:col>
      <xdr:colOff>139931</xdr:colOff>
      <xdr:row>30</xdr:row>
      <xdr:rowOff>141962</xdr:rowOff>
    </xdr:to>
    <xdr:pic>
      <xdr:nvPicPr>
        <xdr:cNvPr id="46" name="Billede 45">
          <a:extLst>
            <a:ext uri="{FF2B5EF4-FFF2-40B4-BE49-F238E27FC236}">
              <a16:creationId xmlns:a16="http://schemas.microsoft.com/office/drawing/2014/main" id="{2D640ED3-4F12-4C18-BC5F-FE67C483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" y="3867535"/>
          <a:ext cx="128501" cy="12291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31</xdr:row>
      <xdr:rowOff>0</xdr:rowOff>
    </xdr:from>
    <xdr:to>
      <xdr:col>1</xdr:col>
      <xdr:colOff>8370</xdr:colOff>
      <xdr:row>32</xdr:row>
      <xdr:rowOff>1</xdr:rowOff>
    </xdr:to>
    <xdr:pic>
      <xdr:nvPicPr>
        <xdr:cNvPr id="47" name="Billede 46">
          <a:extLst>
            <a:ext uri="{FF2B5EF4-FFF2-40B4-BE49-F238E27FC236}">
              <a16:creationId xmlns:a16="http://schemas.microsoft.com/office/drawing/2014/main" id="{9197438F-4930-4689-B502-98091F9B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994727"/>
          <a:ext cx="162308" cy="14624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32</xdr:row>
      <xdr:rowOff>0</xdr:rowOff>
    </xdr:from>
    <xdr:to>
      <xdr:col>1</xdr:col>
      <xdr:colOff>17232</xdr:colOff>
      <xdr:row>32</xdr:row>
      <xdr:rowOff>146242</xdr:rowOff>
    </xdr:to>
    <xdr:pic>
      <xdr:nvPicPr>
        <xdr:cNvPr id="48" name="Billede 47">
          <a:extLst>
            <a:ext uri="{FF2B5EF4-FFF2-40B4-BE49-F238E27FC236}">
              <a16:creationId xmlns:a16="http://schemas.microsoft.com/office/drawing/2014/main" id="{36EFBCAC-8C01-430E-A6A0-D86F6705C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140970"/>
          <a:ext cx="171170" cy="146242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32</xdr:row>
      <xdr:rowOff>0</xdr:rowOff>
    </xdr:from>
    <xdr:ext cx="171170" cy="146242"/>
    <xdr:pic>
      <xdr:nvPicPr>
        <xdr:cNvPr id="2" name="Billede 1">
          <a:extLst>
            <a:ext uri="{FF2B5EF4-FFF2-40B4-BE49-F238E27FC236}">
              <a16:creationId xmlns:a16="http://schemas.microsoft.com/office/drawing/2014/main" id="{3FA0B8B6-372D-4328-BE82-593F1B0C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960620"/>
          <a:ext cx="171170" cy="146242"/>
        </a:xfrm>
        <a:prstGeom prst="rect">
          <a:avLst/>
        </a:prstGeom>
      </xdr:spPr>
    </xdr:pic>
    <xdr:clientData/>
  </xdr:oneCellAnchor>
  <xdr:twoCellAnchor>
    <xdr:from>
      <xdr:col>0</xdr:col>
      <xdr:colOff>11430</xdr:colOff>
      <xdr:row>35</xdr:row>
      <xdr:rowOff>19050</xdr:rowOff>
    </xdr:from>
    <xdr:to>
      <xdr:col>0</xdr:col>
      <xdr:colOff>139931</xdr:colOff>
      <xdr:row>35</xdr:row>
      <xdr:rowOff>141962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C902906F-8722-4CE7-B612-12E38B58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" y="5429250"/>
          <a:ext cx="128501" cy="12291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36</xdr:row>
      <xdr:rowOff>0</xdr:rowOff>
    </xdr:from>
    <xdr:to>
      <xdr:col>1</xdr:col>
      <xdr:colOff>8370</xdr:colOff>
      <xdr:row>37</xdr:row>
      <xdr:rowOff>1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CD0D33E4-C317-4AE0-8489-BD70641F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5554980"/>
          <a:ext cx="160769" cy="14478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37</xdr:row>
      <xdr:rowOff>0</xdr:rowOff>
    </xdr:from>
    <xdr:to>
      <xdr:col>1</xdr:col>
      <xdr:colOff>17232</xdr:colOff>
      <xdr:row>37</xdr:row>
      <xdr:rowOff>146242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F6343676-E0C0-4688-9F6A-83055CC0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5699760"/>
          <a:ext cx="169631" cy="14624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37</xdr:row>
      <xdr:rowOff>0</xdr:rowOff>
    </xdr:from>
    <xdr:to>
      <xdr:col>1</xdr:col>
      <xdr:colOff>17232</xdr:colOff>
      <xdr:row>37</xdr:row>
      <xdr:rowOff>146242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614F0038-3846-43D9-AE93-BAEDD9186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5699760"/>
          <a:ext cx="169631" cy="146242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37</xdr:row>
      <xdr:rowOff>0</xdr:rowOff>
    </xdr:from>
    <xdr:ext cx="171170" cy="146242"/>
    <xdr:pic>
      <xdr:nvPicPr>
        <xdr:cNvPr id="8" name="Billede 7">
          <a:extLst>
            <a:ext uri="{FF2B5EF4-FFF2-40B4-BE49-F238E27FC236}">
              <a16:creationId xmlns:a16="http://schemas.microsoft.com/office/drawing/2014/main" id="{599F8329-2B8F-462A-981C-E31DC045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5699760"/>
          <a:ext cx="171170" cy="146242"/>
        </a:xfrm>
        <a:prstGeom prst="rect">
          <a:avLst/>
        </a:prstGeom>
      </xdr:spPr>
    </xdr:pic>
    <xdr:clientData/>
  </xdr:oneCellAnchor>
  <xdr:twoCellAnchor>
    <xdr:from>
      <xdr:col>0</xdr:col>
      <xdr:colOff>11430</xdr:colOff>
      <xdr:row>40</xdr:row>
      <xdr:rowOff>19050</xdr:rowOff>
    </xdr:from>
    <xdr:to>
      <xdr:col>0</xdr:col>
      <xdr:colOff>139931</xdr:colOff>
      <xdr:row>40</xdr:row>
      <xdr:rowOff>141962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9A0F8AC-697F-4849-9919-EC44C023F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" y="6168390"/>
          <a:ext cx="128501" cy="12291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41</xdr:row>
      <xdr:rowOff>0</xdr:rowOff>
    </xdr:from>
    <xdr:to>
      <xdr:col>1</xdr:col>
      <xdr:colOff>8370</xdr:colOff>
      <xdr:row>42</xdr:row>
      <xdr:rowOff>1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39CE92A3-DE25-48ED-A981-6BAC6928F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6294120"/>
          <a:ext cx="160769" cy="14478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42</xdr:row>
      <xdr:rowOff>0</xdr:rowOff>
    </xdr:from>
    <xdr:to>
      <xdr:col>1</xdr:col>
      <xdr:colOff>17232</xdr:colOff>
      <xdr:row>42</xdr:row>
      <xdr:rowOff>146242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ED78638-44AE-426E-AE14-023C2D20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6438900"/>
          <a:ext cx="169631" cy="1462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1066799</xdr:colOff>
      <xdr:row>36</xdr:row>
      <xdr:rowOff>566060</xdr:rowOff>
    </xdr:from>
    <xdr:to>
      <xdr:col>4</xdr:col>
      <xdr:colOff>1426799</xdr:colOff>
      <xdr:row>36</xdr:row>
      <xdr:rowOff>792879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B4DDC157-A69A-B419-9CDE-752E8F278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516"/>
        <a:stretch/>
      </xdr:blipFill>
      <xdr:spPr bwMode="auto">
        <a:xfrm>
          <a:off x="7021285" y="4626431"/>
          <a:ext cx="360000" cy="22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20</xdr:row>
      <xdr:rowOff>39187</xdr:rowOff>
    </xdr:from>
    <xdr:to>
      <xdr:col>4</xdr:col>
      <xdr:colOff>1165542</xdr:colOff>
      <xdr:row>20</xdr:row>
      <xdr:rowOff>283029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4F92C594-9EA2-8E52-753B-BC9ED114E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599" y="790301"/>
          <a:ext cx="360000" cy="24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1055913</xdr:colOff>
      <xdr:row>95</xdr:row>
      <xdr:rowOff>555173</xdr:rowOff>
    </xdr:from>
    <xdr:to>
      <xdr:col>4</xdr:col>
      <xdr:colOff>1415913</xdr:colOff>
      <xdr:row>95</xdr:row>
      <xdr:rowOff>795858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B0105F6D-EDB6-A30A-345E-BAD9B659A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399" y="16197944"/>
          <a:ext cx="360000" cy="24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42</xdr:row>
      <xdr:rowOff>52754</xdr:rowOff>
    </xdr:from>
    <xdr:to>
      <xdr:col>4</xdr:col>
      <xdr:colOff>1164705</xdr:colOff>
      <xdr:row>42</xdr:row>
      <xdr:rowOff>285272</xdr:rowOff>
    </xdr:to>
    <xdr:pic>
      <xdr:nvPicPr>
        <xdr:cNvPr id="48" name="Billede 47" descr="Dannebrog">
          <a:extLst>
            <a:ext uri="{FF2B5EF4-FFF2-40B4-BE49-F238E27FC236}">
              <a16:creationId xmlns:a16="http://schemas.microsoft.com/office/drawing/2014/main" id="{3B307A8C-A30E-C7B3-9C96-F38A84C4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247562" y="1324624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158</xdr:row>
      <xdr:rowOff>39186</xdr:rowOff>
    </xdr:from>
    <xdr:to>
      <xdr:col>4</xdr:col>
      <xdr:colOff>1165542</xdr:colOff>
      <xdr:row>158</xdr:row>
      <xdr:rowOff>283028</xdr:rowOff>
    </xdr:to>
    <xdr:pic>
      <xdr:nvPicPr>
        <xdr:cNvPr id="51" name="Billede 50">
          <a:extLst>
            <a:ext uri="{FF2B5EF4-FFF2-40B4-BE49-F238E27FC236}">
              <a16:creationId xmlns:a16="http://schemas.microsoft.com/office/drawing/2014/main" id="{3B24032D-C727-68E4-2444-44F47E18E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236615"/>
          <a:ext cx="360000" cy="24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164</xdr:row>
      <xdr:rowOff>39186</xdr:rowOff>
    </xdr:from>
    <xdr:to>
      <xdr:col>4</xdr:col>
      <xdr:colOff>1165542</xdr:colOff>
      <xdr:row>164</xdr:row>
      <xdr:rowOff>283028</xdr:rowOff>
    </xdr:to>
    <xdr:pic>
      <xdr:nvPicPr>
        <xdr:cNvPr id="53" name="Billede 52">
          <a:extLst>
            <a:ext uri="{FF2B5EF4-FFF2-40B4-BE49-F238E27FC236}">
              <a16:creationId xmlns:a16="http://schemas.microsoft.com/office/drawing/2014/main" id="{E98877B0-407F-DC51-4A24-6A1233686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552300"/>
          <a:ext cx="360000" cy="24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15</xdr:row>
      <xdr:rowOff>54430</xdr:rowOff>
    </xdr:from>
    <xdr:to>
      <xdr:col>4</xdr:col>
      <xdr:colOff>1165543</xdr:colOff>
      <xdr:row>15</xdr:row>
      <xdr:rowOff>282287</xdr:rowOff>
    </xdr:to>
    <xdr:pic>
      <xdr:nvPicPr>
        <xdr:cNvPr id="57" name="Billede 56">
          <a:extLst>
            <a:ext uri="{FF2B5EF4-FFF2-40B4-BE49-F238E27FC236}">
              <a16:creationId xmlns:a16="http://schemas.microsoft.com/office/drawing/2014/main" id="{9B34CCF4-EE74-D6C3-B1E9-C0E07385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88323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59</xdr:row>
      <xdr:rowOff>41869</xdr:rowOff>
    </xdr:from>
    <xdr:to>
      <xdr:col>4</xdr:col>
      <xdr:colOff>1164705</xdr:colOff>
      <xdr:row>59</xdr:row>
      <xdr:rowOff>274387</xdr:rowOff>
    </xdr:to>
    <xdr:pic>
      <xdr:nvPicPr>
        <xdr:cNvPr id="59" name="Billede 58" descr="Dannebrog">
          <a:extLst>
            <a:ext uri="{FF2B5EF4-FFF2-40B4-BE49-F238E27FC236}">
              <a16:creationId xmlns:a16="http://schemas.microsoft.com/office/drawing/2014/main" id="{CAFA52FE-6157-DCDC-46F7-2BCE198DF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247562" y="1355104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113</xdr:row>
      <xdr:rowOff>43544</xdr:rowOff>
    </xdr:from>
    <xdr:to>
      <xdr:col>4</xdr:col>
      <xdr:colOff>1165543</xdr:colOff>
      <xdr:row>113</xdr:row>
      <xdr:rowOff>271401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18203649-7009-16D8-C7F3-0C2851ED3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1974287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185</xdr:row>
      <xdr:rowOff>43545</xdr:rowOff>
    </xdr:from>
    <xdr:to>
      <xdr:col>4</xdr:col>
      <xdr:colOff>1165543</xdr:colOff>
      <xdr:row>185</xdr:row>
      <xdr:rowOff>271402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21E70D3E-59FB-3680-5907-7257810D2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2605659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114</xdr:row>
      <xdr:rowOff>43544</xdr:rowOff>
    </xdr:from>
    <xdr:to>
      <xdr:col>4</xdr:col>
      <xdr:colOff>1165543</xdr:colOff>
      <xdr:row>114</xdr:row>
      <xdr:rowOff>271401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12C5D63F-FAEC-2B13-94FF-F6E547CDD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2289973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36</xdr:row>
      <xdr:rowOff>43541</xdr:rowOff>
    </xdr:from>
    <xdr:to>
      <xdr:col>4</xdr:col>
      <xdr:colOff>1165543</xdr:colOff>
      <xdr:row>36</xdr:row>
      <xdr:rowOff>267446</xdr:rowOff>
    </xdr:to>
    <xdr:pic>
      <xdr:nvPicPr>
        <xdr:cNvPr id="67" name="Billede 66">
          <a:extLst>
            <a:ext uri="{FF2B5EF4-FFF2-40B4-BE49-F238E27FC236}">
              <a16:creationId xmlns:a16="http://schemas.microsoft.com/office/drawing/2014/main" id="{9432A29B-5AE8-F033-9DD1-5227B01B69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8"/>
        <a:stretch/>
      </xdr:blipFill>
      <xdr:spPr bwMode="auto">
        <a:xfrm>
          <a:off x="6248400" y="2188027"/>
          <a:ext cx="360000" cy="22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56</xdr:row>
      <xdr:rowOff>54427</xdr:rowOff>
    </xdr:from>
    <xdr:to>
      <xdr:col>4</xdr:col>
      <xdr:colOff>1165543</xdr:colOff>
      <xdr:row>56</xdr:row>
      <xdr:rowOff>278332</xdr:rowOff>
    </xdr:to>
    <xdr:pic>
      <xdr:nvPicPr>
        <xdr:cNvPr id="69" name="Billede 68">
          <a:extLst>
            <a:ext uri="{FF2B5EF4-FFF2-40B4-BE49-F238E27FC236}">
              <a16:creationId xmlns:a16="http://schemas.microsoft.com/office/drawing/2014/main" id="{FD1E8F1D-5EF7-6D0A-B8D1-EC5FE64F9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8"/>
        <a:stretch/>
      </xdr:blipFill>
      <xdr:spPr bwMode="auto">
        <a:xfrm>
          <a:off x="6248400" y="5040084"/>
          <a:ext cx="360000" cy="22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55</xdr:row>
      <xdr:rowOff>54427</xdr:rowOff>
    </xdr:from>
    <xdr:to>
      <xdr:col>4</xdr:col>
      <xdr:colOff>1165543</xdr:colOff>
      <xdr:row>55</xdr:row>
      <xdr:rowOff>278332</xdr:rowOff>
    </xdr:to>
    <xdr:pic>
      <xdr:nvPicPr>
        <xdr:cNvPr id="71" name="Billede 70">
          <a:extLst>
            <a:ext uri="{FF2B5EF4-FFF2-40B4-BE49-F238E27FC236}">
              <a16:creationId xmlns:a16="http://schemas.microsoft.com/office/drawing/2014/main" id="{FBDBE346-8939-4D63-861B-C2C9CE859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8"/>
        <a:stretch/>
      </xdr:blipFill>
      <xdr:spPr bwMode="auto">
        <a:xfrm>
          <a:off x="6248400" y="5355770"/>
          <a:ext cx="360000" cy="22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161</xdr:row>
      <xdr:rowOff>43541</xdr:rowOff>
    </xdr:from>
    <xdr:to>
      <xdr:col>4</xdr:col>
      <xdr:colOff>1165543</xdr:colOff>
      <xdr:row>161</xdr:row>
      <xdr:rowOff>267446</xdr:rowOff>
    </xdr:to>
    <xdr:pic>
      <xdr:nvPicPr>
        <xdr:cNvPr id="73" name="Billede 72">
          <a:extLst>
            <a:ext uri="{FF2B5EF4-FFF2-40B4-BE49-F238E27FC236}">
              <a16:creationId xmlns:a16="http://schemas.microsoft.com/office/drawing/2014/main" id="{B1F67FC7-31C3-8A22-FD28-3D957D353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8"/>
        <a:stretch/>
      </xdr:blipFill>
      <xdr:spPr bwMode="auto">
        <a:xfrm>
          <a:off x="6248400" y="13868398"/>
          <a:ext cx="360000" cy="22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794655</xdr:colOff>
      <xdr:row>43</xdr:row>
      <xdr:rowOff>43543</xdr:rowOff>
    </xdr:from>
    <xdr:to>
      <xdr:col>4</xdr:col>
      <xdr:colOff>1154655</xdr:colOff>
      <xdr:row>43</xdr:row>
      <xdr:rowOff>269988</xdr:rowOff>
    </xdr:to>
    <xdr:pic>
      <xdr:nvPicPr>
        <xdr:cNvPr id="75" name="Billede 74">
          <a:extLst>
            <a:ext uri="{FF2B5EF4-FFF2-40B4-BE49-F238E27FC236}">
              <a16:creationId xmlns:a16="http://schemas.microsoft.com/office/drawing/2014/main" id="{0228CC91-4071-0F6F-F2A9-A176CBFFC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6237512" y="2819400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794655</xdr:colOff>
      <xdr:row>44</xdr:row>
      <xdr:rowOff>43542</xdr:rowOff>
    </xdr:from>
    <xdr:to>
      <xdr:col>4</xdr:col>
      <xdr:colOff>1154655</xdr:colOff>
      <xdr:row>44</xdr:row>
      <xdr:rowOff>269987</xdr:rowOff>
    </xdr:to>
    <xdr:pic>
      <xdr:nvPicPr>
        <xdr:cNvPr id="77" name="Billede 76">
          <a:extLst>
            <a:ext uri="{FF2B5EF4-FFF2-40B4-BE49-F238E27FC236}">
              <a16:creationId xmlns:a16="http://schemas.microsoft.com/office/drawing/2014/main" id="{BD04E675-0BD1-94DB-5BC6-791E75B2D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6237512" y="3135085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794655</xdr:colOff>
      <xdr:row>46</xdr:row>
      <xdr:rowOff>54429</xdr:rowOff>
    </xdr:from>
    <xdr:to>
      <xdr:col>4</xdr:col>
      <xdr:colOff>1154655</xdr:colOff>
      <xdr:row>46</xdr:row>
      <xdr:rowOff>280874</xdr:rowOff>
    </xdr:to>
    <xdr:pic>
      <xdr:nvPicPr>
        <xdr:cNvPr id="80" name="Billede 79">
          <a:extLst>
            <a:ext uri="{FF2B5EF4-FFF2-40B4-BE49-F238E27FC236}">
              <a16:creationId xmlns:a16="http://schemas.microsoft.com/office/drawing/2014/main" id="{E0039ED1-A6A5-E60A-F697-EEE83A8D6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6237512" y="3461658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49</xdr:row>
      <xdr:rowOff>43544</xdr:rowOff>
    </xdr:from>
    <xdr:to>
      <xdr:col>4</xdr:col>
      <xdr:colOff>1165542</xdr:colOff>
      <xdr:row>49</xdr:row>
      <xdr:rowOff>284117</xdr:rowOff>
    </xdr:to>
    <xdr:pic>
      <xdr:nvPicPr>
        <xdr:cNvPr id="82" name="Billede 81">
          <a:extLst>
            <a:ext uri="{FF2B5EF4-FFF2-40B4-BE49-F238E27FC236}">
              <a16:creationId xmlns:a16="http://schemas.microsoft.com/office/drawing/2014/main" id="{A64FD59A-F173-0BE3-CBD0-400825CC61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248399" y="3766458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50</xdr:row>
      <xdr:rowOff>43543</xdr:rowOff>
    </xdr:from>
    <xdr:to>
      <xdr:col>4</xdr:col>
      <xdr:colOff>1165542</xdr:colOff>
      <xdr:row>50</xdr:row>
      <xdr:rowOff>284116</xdr:rowOff>
    </xdr:to>
    <xdr:pic>
      <xdr:nvPicPr>
        <xdr:cNvPr id="84" name="Billede 83">
          <a:extLst>
            <a:ext uri="{FF2B5EF4-FFF2-40B4-BE49-F238E27FC236}">
              <a16:creationId xmlns:a16="http://schemas.microsoft.com/office/drawing/2014/main" id="{E3992FF0-CCBE-BF5D-1D92-613BBAA90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248399" y="40821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82</xdr:row>
      <xdr:rowOff>43542</xdr:rowOff>
    </xdr:from>
    <xdr:to>
      <xdr:col>4</xdr:col>
      <xdr:colOff>1165542</xdr:colOff>
      <xdr:row>82</xdr:row>
      <xdr:rowOff>271399</xdr:rowOff>
    </xdr:to>
    <xdr:pic>
      <xdr:nvPicPr>
        <xdr:cNvPr id="86" name="Billede 85">
          <a:extLst>
            <a:ext uri="{FF2B5EF4-FFF2-40B4-BE49-F238E27FC236}">
              <a16:creationId xmlns:a16="http://schemas.microsoft.com/office/drawing/2014/main" id="{7533216D-F843-189C-7630-4CD562C1C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4397828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85</xdr:row>
      <xdr:rowOff>54429</xdr:rowOff>
    </xdr:from>
    <xdr:to>
      <xdr:col>4</xdr:col>
      <xdr:colOff>1165542</xdr:colOff>
      <xdr:row>85</xdr:row>
      <xdr:rowOff>282286</xdr:rowOff>
    </xdr:to>
    <xdr:pic>
      <xdr:nvPicPr>
        <xdr:cNvPr id="88" name="Billede 87">
          <a:extLst>
            <a:ext uri="{FF2B5EF4-FFF2-40B4-BE49-F238E27FC236}">
              <a16:creationId xmlns:a16="http://schemas.microsoft.com/office/drawing/2014/main" id="{54141596-2056-986D-C5A6-27CD1E3AC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47244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95</xdr:row>
      <xdr:rowOff>43546</xdr:rowOff>
    </xdr:from>
    <xdr:to>
      <xdr:col>4</xdr:col>
      <xdr:colOff>1165543</xdr:colOff>
      <xdr:row>95</xdr:row>
      <xdr:rowOff>286439</xdr:rowOff>
    </xdr:to>
    <xdr:pic>
      <xdr:nvPicPr>
        <xdr:cNvPr id="90" name="Billede 89">
          <a:extLst>
            <a:ext uri="{FF2B5EF4-FFF2-40B4-BE49-F238E27FC236}">
              <a16:creationId xmlns:a16="http://schemas.microsoft.com/office/drawing/2014/main" id="{48DB6CD5-6A58-903A-B71D-3BB3C8B0C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607632"/>
          <a:ext cx="360000" cy="242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100</xdr:row>
      <xdr:rowOff>43544</xdr:rowOff>
    </xdr:from>
    <xdr:to>
      <xdr:col>4</xdr:col>
      <xdr:colOff>1165542</xdr:colOff>
      <xdr:row>100</xdr:row>
      <xdr:rowOff>271401</xdr:rowOff>
    </xdr:to>
    <xdr:pic>
      <xdr:nvPicPr>
        <xdr:cNvPr id="92" name="Billede 91">
          <a:extLst>
            <a:ext uri="{FF2B5EF4-FFF2-40B4-BE49-F238E27FC236}">
              <a16:creationId xmlns:a16="http://schemas.microsoft.com/office/drawing/2014/main" id="{E809A427-7B76-5F8A-0402-19C68BFAA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8186058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102</xdr:row>
      <xdr:rowOff>43544</xdr:rowOff>
    </xdr:from>
    <xdr:to>
      <xdr:col>4</xdr:col>
      <xdr:colOff>1165542</xdr:colOff>
      <xdr:row>102</xdr:row>
      <xdr:rowOff>271401</xdr:rowOff>
    </xdr:to>
    <xdr:pic>
      <xdr:nvPicPr>
        <xdr:cNvPr id="94" name="Billede 93">
          <a:extLst>
            <a:ext uri="{FF2B5EF4-FFF2-40B4-BE49-F238E27FC236}">
              <a16:creationId xmlns:a16="http://schemas.microsoft.com/office/drawing/2014/main" id="{748C81D5-E1F5-B411-1004-B0673D6E8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85017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170</xdr:row>
      <xdr:rowOff>54429</xdr:rowOff>
    </xdr:from>
    <xdr:to>
      <xdr:col>4</xdr:col>
      <xdr:colOff>1165542</xdr:colOff>
      <xdr:row>170</xdr:row>
      <xdr:rowOff>282286</xdr:rowOff>
    </xdr:to>
    <xdr:pic>
      <xdr:nvPicPr>
        <xdr:cNvPr id="96" name="Billede 95">
          <a:extLst>
            <a:ext uri="{FF2B5EF4-FFF2-40B4-BE49-F238E27FC236}">
              <a16:creationId xmlns:a16="http://schemas.microsoft.com/office/drawing/2014/main" id="{B9EAB1CA-FCA9-2DF9-80DB-255EDBF5D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8828315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104</xdr:row>
      <xdr:rowOff>43544</xdr:rowOff>
    </xdr:from>
    <xdr:to>
      <xdr:col>4</xdr:col>
      <xdr:colOff>1165542</xdr:colOff>
      <xdr:row>104</xdr:row>
      <xdr:rowOff>271401</xdr:rowOff>
    </xdr:to>
    <xdr:pic>
      <xdr:nvPicPr>
        <xdr:cNvPr id="98" name="Billede 97">
          <a:extLst>
            <a:ext uri="{FF2B5EF4-FFF2-40B4-BE49-F238E27FC236}">
              <a16:creationId xmlns:a16="http://schemas.microsoft.com/office/drawing/2014/main" id="{30E36364-130D-645A-F3B7-FAB90810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9133115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179</xdr:row>
      <xdr:rowOff>54429</xdr:rowOff>
    </xdr:from>
    <xdr:to>
      <xdr:col>4</xdr:col>
      <xdr:colOff>1165542</xdr:colOff>
      <xdr:row>179</xdr:row>
      <xdr:rowOff>282286</xdr:rowOff>
    </xdr:to>
    <xdr:pic>
      <xdr:nvPicPr>
        <xdr:cNvPr id="100" name="Billede 99">
          <a:extLst>
            <a:ext uri="{FF2B5EF4-FFF2-40B4-BE49-F238E27FC236}">
              <a16:creationId xmlns:a16="http://schemas.microsoft.com/office/drawing/2014/main" id="{58F155E1-3458-A913-119A-85B1A8DC2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9459686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180</xdr:row>
      <xdr:rowOff>54429</xdr:rowOff>
    </xdr:from>
    <xdr:to>
      <xdr:col>4</xdr:col>
      <xdr:colOff>1165542</xdr:colOff>
      <xdr:row>180</xdr:row>
      <xdr:rowOff>282286</xdr:rowOff>
    </xdr:to>
    <xdr:pic>
      <xdr:nvPicPr>
        <xdr:cNvPr id="103" name="Billede 102">
          <a:extLst>
            <a:ext uri="{FF2B5EF4-FFF2-40B4-BE49-F238E27FC236}">
              <a16:creationId xmlns:a16="http://schemas.microsoft.com/office/drawing/2014/main" id="{AA4F0BED-AAE6-F7E5-A80A-ECF25CB8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9775372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181</xdr:row>
      <xdr:rowOff>43543</xdr:rowOff>
    </xdr:from>
    <xdr:to>
      <xdr:col>4</xdr:col>
      <xdr:colOff>1165542</xdr:colOff>
      <xdr:row>181</xdr:row>
      <xdr:rowOff>271400</xdr:rowOff>
    </xdr:to>
    <xdr:pic>
      <xdr:nvPicPr>
        <xdr:cNvPr id="104" name="Billede 103">
          <a:extLst>
            <a:ext uri="{FF2B5EF4-FFF2-40B4-BE49-F238E27FC236}">
              <a16:creationId xmlns:a16="http://schemas.microsoft.com/office/drawing/2014/main" id="{8EC43D37-01C9-56B7-4708-7C2713EBC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0080172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183</xdr:row>
      <xdr:rowOff>54429</xdr:rowOff>
    </xdr:from>
    <xdr:to>
      <xdr:col>4</xdr:col>
      <xdr:colOff>1165542</xdr:colOff>
      <xdr:row>183</xdr:row>
      <xdr:rowOff>282286</xdr:rowOff>
    </xdr:to>
    <xdr:pic>
      <xdr:nvPicPr>
        <xdr:cNvPr id="105" name="Billede 104">
          <a:extLst>
            <a:ext uri="{FF2B5EF4-FFF2-40B4-BE49-F238E27FC236}">
              <a16:creationId xmlns:a16="http://schemas.microsoft.com/office/drawing/2014/main" id="{1DFC6FCB-78C8-7953-FF78-AF7AC3241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0406743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184</xdr:row>
      <xdr:rowOff>54429</xdr:rowOff>
    </xdr:from>
    <xdr:to>
      <xdr:col>4</xdr:col>
      <xdr:colOff>1165542</xdr:colOff>
      <xdr:row>184</xdr:row>
      <xdr:rowOff>282286</xdr:rowOff>
    </xdr:to>
    <xdr:pic>
      <xdr:nvPicPr>
        <xdr:cNvPr id="107" name="Billede 106">
          <a:extLst>
            <a:ext uri="{FF2B5EF4-FFF2-40B4-BE49-F238E27FC236}">
              <a16:creationId xmlns:a16="http://schemas.microsoft.com/office/drawing/2014/main" id="{3F3A4D55-B53F-2007-1FD6-98CF64E14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0722429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110</xdr:row>
      <xdr:rowOff>54429</xdr:rowOff>
    </xdr:from>
    <xdr:to>
      <xdr:col>4</xdr:col>
      <xdr:colOff>1165542</xdr:colOff>
      <xdr:row>110</xdr:row>
      <xdr:rowOff>282286</xdr:rowOff>
    </xdr:to>
    <xdr:pic>
      <xdr:nvPicPr>
        <xdr:cNvPr id="108" name="Billede 107">
          <a:extLst>
            <a:ext uri="{FF2B5EF4-FFF2-40B4-BE49-F238E27FC236}">
              <a16:creationId xmlns:a16="http://schemas.microsoft.com/office/drawing/2014/main" id="{A7981A3E-ED30-612F-E6F1-F3F98B601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1038115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111</xdr:row>
      <xdr:rowOff>54430</xdr:rowOff>
    </xdr:from>
    <xdr:to>
      <xdr:col>4</xdr:col>
      <xdr:colOff>1165542</xdr:colOff>
      <xdr:row>111</xdr:row>
      <xdr:rowOff>282287</xdr:rowOff>
    </xdr:to>
    <xdr:pic>
      <xdr:nvPicPr>
        <xdr:cNvPr id="109" name="Billede 108">
          <a:extLst>
            <a:ext uri="{FF2B5EF4-FFF2-40B4-BE49-F238E27FC236}">
              <a16:creationId xmlns:a16="http://schemas.microsoft.com/office/drawing/2014/main" id="{1E893141-B793-6390-7C07-59D56F6CC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1353801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805544</xdr:colOff>
      <xdr:row>45</xdr:row>
      <xdr:rowOff>54429</xdr:rowOff>
    </xdr:from>
    <xdr:to>
      <xdr:col>4</xdr:col>
      <xdr:colOff>1165544</xdr:colOff>
      <xdr:row>45</xdr:row>
      <xdr:rowOff>273007</xdr:rowOff>
    </xdr:to>
    <xdr:pic>
      <xdr:nvPicPr>
        <xdr:cNvPr id="112" name="Billede 111">
          <a:extLst>
            <a:ext uri="{FF2B5EF4-FFF2-40B4-BE49-F238E27FC236}">
              <a16:creationId xmlns:a16="http://schemas.microsoft.com/office/drawing/2014/main" id="{508F7AB6-FE91-508D-98D7-E86D7CE8C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1" y="11669486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</xdr:row>
      <xdr:rowOff>43546</xdr:rowOff>
    </xdr:from>
    <xdr:to>
      <xdr:col>4</xdr:col>
      <xdr:colOff>1165543</xdr:colOff>
      <xdr:row>14</xdr:row>
      <xdr:rowOff>262983</xdr:rowOff>
    </xdr:to>
    <xdr:pic>
      <xdr:nvPicPr>
        <xdr:cNvPr id="116" name="Billede 115">
          <a:extLst>
            <a:ext uri="{FF2B5EF4-FFF2-40B4-BE49-F238E27FC236}">
              <a16:creationId xmlns:a16="http://schemas.microsoft.com/office/drawing/2014/main" id="{9C42AFEE-B9EB-6992-F083-F862307FF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2921346"/>
          <a:ext cx="360000" cy="21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805540</xdr:colOff>
      <xdr:row>40</xdr:row>
      <xdr:rowOff>54430</xdr:rowOff>
    </xdr:from>
    <xdr:to>
      <xdr:col>4</xdr:col>
      <xdr:colOff>1165540</xdr:colOff>
      <xdr:row>40</xdr:row>
      <xdr:rowOff>280875</xdr:rowOff>
    </xdr:to>
    <xdr:pic>
      <xdr:nvPicPr>
        <xdr:cNvPr id="119" name="Billede 118">
          <a:extLst>
            <a:ext uri="{FF2B5EF4-FFF2-40B4-BE49-F238E27FC236}">
              <a16:creationId xmlns:a16="http://schemas.microsoft.com/office/drawing/2014/main" id="{F9EC895E-28B1-968E-E408-B3037168B8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6248397" y="14194973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805540</xdr:colOff>
      <xdr:row>39</xdr:row>
      <xdr:rowOff>54429</xdr:rowOff>
    </xdr:from>
    <xdr:to>
      <xdr:col>4</xdr:col>
      <xdr:colOff>1165540</xdr:colOff>
      <xdr:row>39</xdr:row>
      <xdr:rowOff>280874</xdr:rowOff>
    </xdr:to>
    <xdr:pic>
      <xdr:nvPicPr>
        <xdr:cNvPr id="120" name="Billede 119">
          <a:extLst>
            <a:ext uri="{FF2B5EF4-FFF2-40B4-BE49-F238E27FC236}">
              <a16:creationId xmlns:a16="http://schemas.microsoft.com/office/drawing/2014/main" id="{FF0CE937-578B-31AE-C2B6-F9A40A521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6248397" y="14510658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8</xdr:row>
      <xdr:rowOff>41869</xdr:rowOff>
    </xdr:from>
    <xdr:to>
      <xdr:col>4</xdr:col>
      <xdr:colOff>1164705</xdr:colOff>
      <xdr:row>8</xdr:row>
      <xdr:rowOff>274387</xdr:rowOff>
    </xdr:to>
    <xdr:pic>
      <xdr:nvPicPr>
        <xdr:cNvPr id="3" name="Billede 2" descr="Dannebrog">
          <a:extLst>
            <a:ext uri="{FF2B5EF4-FFF2-40B4-BE49-F238E27FC236}">
              <a16:creationId xmlns:a16="http://schemas.microsoft.com/office/drawing/2014/main" id="{E2CD1DE2-CE91-4F48-BCC9-7F170D2A4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719450" y="1357142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74</xdr:row>
      <xdr:rowOff>41869</xdr:rowOff>
    </xdr:from>
    <xdr:to>
      <xdr:col>4</xdr:col>
      <xdr:colOff>1164705</xdr:colOff>
      <xdr:row>74</xdr:row>
      <xdr:rowOff>274387</xdr:rowOff>
    </xdr:to>
    <xdr:pic>
      <xdr:nvPicPr>
        <xdr:cNvPr id="5" name="Billede 4" descr="Dannebrog">
          <a:extLst>
            <a:ext uri="{FF2B5EF4-FFF2-40B4-BE49-F238E27FC236}">
              <a16:creationId xmlns:a16="http://schemas.microsoft.com/office/drawing/2014/main" id="{6C6F59D2-5DB8-4FDA-B0CA-B4C7845E0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719450" y="1357142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5</xdr:row>
      <xdr:rowOff>41869</xdr:rowOff>
    </xdr:from>
    <xdr:to>
      <xdr:col>4</xdr:col>
      <xdr:colOff>1164705</xdr:colOff>
      <xdr:row>5</xdr:row>
      <xdr:rowOff>274387</xdr:rowOff>
    </xdr:to>
    <xdr:pic>
      <xdr:nvPicPr>
        <xdr:cNvPr id="11" name="Billede 10" descr="Dannebrog">
          <a:extLst>
            <a:ext uri="{FF2B5EF4-FFF2-40B4-BE49-F238E27FC236}">
              <a16:creationId xmlns:a16="http://schemas.microsoft.com/office/drawing/2014/main" id="{13DA5FB7-06C3-40C9-865C-979A5D26E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719450" y="1357142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6</xdr:row>
      <xdr:rowOff>41869</xdr:rowOff>
    </xdr:from>
    <xdr:to>
      <xdr:col>4</xdr:col>
      <xdr:colOff>1164705</xdr:colOff>
      <xdr:row>6</xdr:row>
      <xdr:rowOff>274387</xdr:rowOff>
    </xdr:to>
    <xdr:pic>
      <xdr:nvPicPr>
        <xdr:cNvPr id="146" name="Billede 145" descr="Dannebrog">
          <a:extLst>
            <a:ext uri="{FF2B5EF4-FFF2-40B4-BE49-F238E27FC236}">
              <a16:creationId xmlns:a16="http://schemas.microsoft.com/office/drawing/2014/main" id="{E9758731-8108-4A26-BBF1-63D590503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719450" y="1357142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9</xdr:row>
      <xdr:rowOff>41869</xdr:rowOff>
    </xdr:from>
    <xdr:to>
      <xdr:col>4</xdr:col>
      <xdr:colOff>1164705</xdr:colOff>
      <xdr:row>9</xdr:row>
      <xdr:rowOff>274387</xdr:rowOff>
    </xdr:to>
    <xdr:pic>
      <xdr:nvPicPr>
        <xdr:cNvPr id="147" name="Billede 146" descr="Dannebrog">
          <a:extLst>
            <a:ext uri="{FF2B5EF4-FFF2-40B4-BE49-F238E27FC236}">
              <a16:creationId xmlns:a16="http://schemas.microsoft.com/office/drawing/2014/main" id="{46D506B7-76E8-408B-BC73-70F07021C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719450" y="1357142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67</xdr:row>
      <xdr:rowOff>41869</xdr:rowOff>
    </xdr:from>
    <xdr:to>
      <xdr:col>4</xdr:col>
      <xdr:colOff>1164705</xdr:colOff>
      <xdr:row>67</xdr:row>
      <xdr:rowOff>274387</xdr:rowOff>
    </xdr:to>
    <xdr:pic>
      <xdr:nvPicPr>
        <xdr:cNvPr id="148" name="Billede 147" descr="Dannebrog">
          <a:extLst>
            <a:ext uri="{FF2B5EF4-FFF2-40B4-BE49-F238E27FC236}">
              <a16:creationId xmlns:a16="http://schemas.microsoft.com/office/drawing/2014/main" id="{C54F0926-3122-4CE2-9ADA-FBAD7E75F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719450" y="1357142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10</xdr:row>
      <xdr:rowOff>41869</xdr:rowOff>
    </xdr:from>
    <xdr:to>
      <xdr:col>4</xdr:col>
      <xdr:colOff>1164705</xdr:colOff>
      <xdr:row>10</xdr:row>
      <xdr:rowOff>274387</xdr:rowOff>
    </xdr:to>
    <xdr:pic>
      <xdr:nvPicPr>
        <xdr:cNvPr id="149" name="Billede 148" descr="Dannebrog">
          <a:extLst>
            <a:ext uri="{FF2B5EF4-FFF2-40B4-BE49-F238E27FC236}">
              <a16:creationId xmlns:a16="http://schemas.microsoft.com/office/drawing/2014/main" id="{D89093D9-4F65-4ACB-82AD-FF641E30F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00705" y="1639221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12</xdr:row>
      <xdr:rowOff>41869</xdr:rowOff>
    </xdr:from>
    <xdr:to>
      <xdr:col>4</xdr:col>
      <xdr:colOff>1164705</xdr:colOff>
      <xdr:row>12</xdr:row>
      <xdr:rowOff>274387</xdr:rowOff>
    </xdr:to>
    <xdr:pic>
      <xdr:nvPicPr>
        <xdr:cNvPr id="155" name="Billede 154" descr="Dannebrog">
          <a:extLst>
            <a:ext uri="{FF2B5EF4-FFF2-40B4-BE49-F238E27FC236}">
              <a16:creationId xmlns:a16="http://schemas.microsoft.com/office/drawing/2014/main" id="{C89542E5-F8D9-4448-9179-B5A8CB685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00705" y="1670789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90</xdr:row>
      <xdr:rowOff>41869</xdr:rowOff>
    </xdr:from>
    <xdr:to>
      <xdr:col>4</xdr:col>
      <xdr:colOff>1164705</xdr:colOff>
      <xdr:row>90</xdr:row>
      <xdr:rowOff>274387</xdr:rowOff>
    </xdr:to>
    <xdr:pic>
      <xdr:nvPicPr>
        <xdr:cNvPr id="162" name="Billede 161" descr="Dannebrog">
          <a:extLst>
            <a:ext uri="{FF2B5EF4-FFF2-40B4-BE49-F238E27FC236}">
              <a16:creationId xmlns:a16="http://schemas.microsoft.com/office/drawing/2014/main" id="{DE0C3A46-F43F-448B-80EF-4CFA7A6D6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00705" y="1702358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11</xdr:row>
      <xdr:rowOff>41869</xdr:rowOff>
    </xdr:from>
    <xdr:to>
      <xdr:col>4</xdr:col>
      <xdr:colOff>1164705</xdr:colOff>
      <xdr:row>11</xdr:row>
      <xdr:rowOff>274387</xdr:rowOff>
    </xdr:to>
    <xdr:pic>
      <xdr:nvPicPr>
        <xdr:cNvPr id="167" name="Billede 166" descr="Dannebrog">
          <a:extLst>
            <a:ext uri="{FF2B5EF4-FFF2-40B4-BE49-F238E27FC236}">
              <a16:creationId xmlns:a16="http://schemas.microsoft.com/office/drawing/2014/main" id="{80E2E1A0-3546-4815-BE40-435EE0793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00705" y="173392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25</xdr:row>
      <xdr:rowOff>54431</xdr:rowOff>
    </xdr:from>
    <xdr:to>
      <xdr:col>4</xdr:col>
      <xdr:colOff>1165542</xdr:colOff>
      <xdr:row>25</xdr:row>
      <xdr:rowOff>272696</xdr:rowOff>
    </xdr:to>
    <xdr:pic>
      <xdr:nvPicPr>
        <xdr:cNvPr id="198" name="Billede 197">
          <a:extLst>
            <a:ext uri="{FF2B5EF4-FFF2-40B4-BE49-F238E27FC236}">
              <a16:creationId xmlns:a16="http://schemas.microsoft.com/office/drawing/2014/main" id="{0097F0D1-ACAD-FE5A-FCC1-C51EECB1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2" y="17983202"/>
          <a:ext cx="360000" cy="21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26</xdr:row>
      <xdr:rowOff>54431</xdr:rowOff>
    </xdr:from>
    <xdr:to>
      <xdr:col>4</xdr:col>
      <xdr:colOff>1165542</xdr:colOff>
      <xdr:row>26</xdr:row>
      <xdr:rowOff>272696</xdr:rowOff>
    </xdr:to>
    <xdr:pic>
      <xdr:nvPicPr>
        <xdr:cNvPr id="199" name="Billede 198">
          <a:extLst>
            <a:ext uri="{FF2B5EF4-FFF2-40B4-BE49-F238E27FC236}">
              <a16:creationId xmlns:a16="http://schemas.microsoft.com/office/drawing/2014/main" id="{9ED1E4E8-CD98-4C2E-B17B-069EAE6D2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2" y="17983202"/>
          <a:ext cx="360000" cy="21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62</xdr:row>
      <xdr:rowOff>54431</xdr:rowOff>
    </xdr:from>
    <xdr:to>
      <xdr:col>4</xdr:col>
      <xdr:colOff>1165542</xdr:colOff>
      <xdr:row>62</xdr:row>
      <xdr:rowOff>272696</xdr:rowOff>
    </xdr:to>
    <xdr:pic>
      <xdr:nvPicPr>
        <xdr:cNvPr id="200" name="Billede 199">
          <a:extLst>
            <a:ext uri="{FF2B5EF4-FFF2-40B4-BE49-F238E27FC236}">
              <a16:creationId xmlns:a16="http://schemas.microsoft.com/office/drawing/2014/main" id="{2F44B31D-FEFE-4ACA-8160-44138249E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2" y="18298888"/>
          <a:ext cx="360000" cy="21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51</xdr:row>
      <xdr:rowOff>54431</xdr:rowOff>
    </xdr:from>
    <xdr:to>
      <xdr:col>4</xdr:col>
      <xdr:colOff>1165542</xdr:colOff>
      <xdr:row>51</xdr:row>
      <xdr:rowOff>272696</xdr:rowOff>
    </xdr:to>
    <xdr:pic>
      <xdr:nvPicPr>
        <xdr:cNvPr id="201" name="Billede 200">
          <a:extLst>
            <a:ext uri="{FF2B5EF4-FFF2-40B4-BE49-F238E27FC236}">
              <a16:creationId xmlns:a16="http://schemas.microsoft.com/office/drawing/2014/main" id="{6E8B3628-08A1-4D39-9758-F458E207C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2" y="18298888"/>
          <a:ext cx="360000" cy="21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29</xdr:row>
      <xdr:rowOff>54431</xdr:rowOff>
    </xdr:from>
    <xdr:to>
      <xdr:col>4</xdr:col>
      <xdr:colOff>1165542</xdr:colOff>
      <xdr:row>29</xdr:row>
      <xdr:rowOff>272696</xdr:rowOff>
    </xdr:to>
    <xdr:pic>
      <xdr:nvPicPr>
        <xdr:cNvPr id="202" name="Billede 201">
          <a:extLst>
            <a:ext uri="{FF2B5EF4-FFF2-40B4-BE49-F238E27FC236}">
              <a16:creationId xmlns:a16="http://schemas.microsoft.com/office/drawing/2014/main" id="{71BAAEF0-DA24-47F8-A240-0030D9095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2" y="18298888"/>
          <a:ext cx="360000" cy="21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27</xdr:row>
      <xdr:rowOff>54431</xdr:rowOff>
    </xdr:from>
    <xdr:to>
      <xdr:col>4</xdr:col>
      <xdr:colOff>1165542</xdr:colOff>
      <xdr:row>27</xdr:row>
      <xdr:rowOff>272696</xdr:rowOff>
    </xdr:to>
    <xdr:pic>
      <xdr:nvPicPr>
        <xdr:cNvPr id="205" name="Billede 204">
          <a:extLst>
            <a:ext uri="{FF2B5EF4-FFF2-40B4-BE49-F238E27FC236}">
              <a16:creationId xmlns:a16="http://schemas.microsoft.com/office/drawing/2014/main" id="{734AF860-F6DE-453A-ABFA-368C009A8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2" y="18298888"/>
          <a:ext cx="360000" cy="21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150</xdr:row>
      <xdr:rowOff>43543</xdr:rowOff>
    </xdr:from>
    <xdr:to>
      <xdr:col>4</xdr:col>
      <xdr:colOff>1165542</xdr:colOff>
      <xdr:row>150</xdr:row>
      <xdr:rowOff>284116</xdr:rowOff>
    </xdr:to>
    <xdr:pic>
      <xdr:nvPicPr>
        <xdr:cNvPr id="313" name="Billede 312">
          <a:extLst>
            <a:ext uri="{FF2B5EF4-FFF2-40B4-BE49-F238E27FC236}">
              <a16:creationId xmlns:a16="http://schemas.microsoft.com/office/drawing/2014/main" id="{10CF5155-9531-963D-6EB8-14C628708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90442" y="216335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148</xdr:row>
      <xdr:rowOff>56243</xdr:rowOff>
    </xdr:from>
    <xdr:to>
      <xdr:col>4</xdr:col>
      <xdr:colOff>1165542</xdr:colOff>
      <xdr:row>148</xdr:row>
      <xdr:rowOff>296816</xdr:rowOff>
    </xdr:to>
    <xdr:pic>
      <xdr:nvPicPr>
        <xdr:cNvPr id="315" name="Billede 314">
          <a:extLst>
            <a:ext uri="{FF2B5EF4-FFF2-40B4-BE49-F238E27FC236}">
              <a16:creationId xmlns:a16="http://schemas.microsoft.com/office/drawing/2014/main" id="{1CFA9BB0-38C4-F65B-9444-43C4A7E06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90442" y="219637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800100</xdr:colOff>
      <xdr:row>80</xdr:row>
      <xdr:rowOff>63501</xdr:rowOff>
    </xdr:from>
    <xdr:to>
      <xdr:col>4</xdr:col>
      <xdr:colOff>1168400</xdr:colOff>
      <xdr:row>80</xdr:row>
      <xdr:rowOff>297127</xdr:rowOff>
    </xdr:to>
    <xdr:pic>
      <xdr:nvPicPr>
        <xdr:cNvPr id="321" name="Billede 320">
          <a:extLst>
            <a:ext uri="{FF2B5EF4-FFF2-40B4-BE49-F238E27FC236}">
              <a16:creationId xmlns:a16="http://schemas.microsoft.com/office/drawing/2014/main" id="{3BACE013-1BA3-E609-B8E0-9E3A699E4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68"/>
        <a:stretch/>
      </xdr:blipFill>
      <xdr:spPr bwMode="auto">
        <a:xfrm>
          <a:off x="6985000" y="22288501"/>
          <a:ext cx="368300" cy="2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147</xdr:row>
      <xdr:rowOff>68944</xdr:rowOff>
    </xdr:from>
    <xdr:to>
      <xdr:col>4</xdr:col>
      <xdr:colOff>1165542</xdr:colOff>
      <xdr:row>147</xdr:row>
      <xdr:rowOff>296801</xdr:rowOff>
    </xdr:to>
    <xdr:pic>
      <xdr:nvPicPr>
        <xdr:cNvPr id="174" name="Billede 173">
          <a:extLst>
            <a:ext uri="{FF2B5EF4-FFF2-40B4-BE49-F238E27FC236}">
              <a16:creationId xmlns:a16="http://schemas.microsoft.com/office/drawing/2014/main" id="{7D5DE87E-5192-CCFF-EEDA-8F6DD9921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0442" y="226114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803729</xdr:colOff>
      <xdr:row>152</xdr:row>
      <xdr:rowOff>56245</xdr:rowOff>
    </xdr:from>
    <xdr:to>
      <xdr:col>4</xdr:col>
      <xdr:colOff>1163729</xdr:colOff>
      <xdr:row>152</xdr:row>
      <xdr:rowOff>296818</xdr:rowOff>
    </xdr:to>
    <xdr:pic>
      <xdr:nvPicPr>
        <xdr:cNvPr id="181" name="Billede 180">
          <a:extLst>
            <a:ext uri="{FF2B5EF4-FFF2-40B4-BE49-F238E27FC236}">
              <a16:creationId xmlns:a16="http://schemas.microsoft.com/office/drawing/2014/main" id="{D9BFF238-FB2D-443B-B730-7F25070CC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88629" y="229162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803729</xdr:colOff>
      <xdr:row>153</xdr:row>
      <xdr:rowOff>56245</xdr:rowOff>
    </xdr:from>
    <xdr:to>
      <xdr:col>4</xdr:col>
      <xdr:colOff>1163729</xdr:colOff>
      <xdr:row>153</xdr:row>
      <xdr:rowOff>296818</xdr:rowOff>
    </xdr:to>
    <xdr:pic>
      <xdr:nvPicPr>
        <xdr:cNvPr id="182" name="Billede 181">
          <a:extLst>
            <a:ext uri="{FF2B5EF4-FFF2-40B4-BE49-F238E27FC236}">
              <a16:creationId xmlns:a16="http://schemas.microsoft.com/office/drawing/2014/main" id="{182377FC-A556-48D6-B1A4-ED154C14F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88629" y="232337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61</xdr:row>
      <xdr:rowOff>54569</xdr:rowOff>
    </xdr:from>
    <xdr:to>
      <xdr:col>4</xdr:col>
      <xdr:colOff>1164705</xdr:colOff>
      <xdr:row>61</xdr:row>
      <xdr:rowOff>287087</xdr:rowOff>
    </xdr:to>
    <xdr:pic>
      <xdr:nvPicPr>
        <xdr:cNvPr id="206" name="Billede 205" descr="Dannebrog">
          <a:extLst>
            <a:ext uri="{FF2B5EF4-FFF2-40B4-BE49-F238E27FC236}">
              <a16:creationId xmlns:a16="http://schemas.microsoft.com/office/drawing/2014/main" id="{C8A823EA-54A9-8CD3-D187-C0E999AD4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89605" y="235495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171</xdr:row>
      <xdr:rowOff>41869</xdr:rowOff>
    </xdr:from>
    <xdr:to>
      <xdr:col>4</xdr:col>
      <xdr:colOff>1164705</xdr:colOff>
      <xdr:row>171</xdr:row>
      <xdr:rowOff>274387</xdr:rowOff>
    </xdr:to>
    <xdr:pic>
      <xdr:nvPicPr>
        <xdr:cNvPr id="209" name="Billede 208" descr="Dannebrog">
          <a:extLst>
            <a:ext uri="{FF2B5EF4-FFF2-40B4-BE49-F238E27FC236}">
              <a16:creationId xmlns:a16="http://schemas.microsoft.com/office/drawing/2014/main" id="{E93C977C-DAD0-EE90-1E81-F194AD6FD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89605" y="2385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800100</xdr:colOff>
      <xdr:row>28</xdr:row>
      <xdr:rowOff>42937</xdr:rowOff>
    </xdr:from>
    <xdr:to>
      <xdr:col>4</xdr:col>
      <xdr:colOff>1167300</xdr:colOff>
      <xdr:row>28</xdr:row>
      <xdr:rowOff>276640</xdr:rowOff>
    </xdr:to>
    <xdr:pic>
      <xdr:nvPicPr>
        <xdr:cNvPr id="212" name="Billede 211">
          <a:extLst>
            <a:ext uri="{FF2B5EF4-FFF2-40B4-BE49-F238E27FC236}">
              <a16:creationId xmlns:a16="http://schemas.microsoft.com/office/drawing/2014/main" id="{2149DC9E-1A2D-4560-8F14-C613F2B60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0" y="24172937"/>
          <a:ext cx="367200" cy="233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800100</xdr:colOff>
      <xdr:row>63</xdr:row>
      <xdr:rowOff>55637</xdr:rowOff>
    </xdr:from>
    <xdr:to>
      <xdr:col>4</xdr:col>
      <xdr:colOff>1167300</xdr:colOff>
      <xdr:row>63</xdr:row>
      <xdr:rowOff>289340</xdr:rowOff>
    </xdr:to>
    <xdr:pic>
      <xdr:nvPicPr>
        <xdr:cNvPr id="215" name="Billede 214">
          <a:extLst>
            <a:ext uri="{FF2B5EF4-FFF2-40B4-BE49-F238E27FC236}">
              <a16:creationId xmlns:a16="http://schemas.microsoft.com/office/drawing/2014/main" id="{0AF37C77-4F03-C100-844C-898F2753F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0" y="24503137"/>
          <a:ext cx="367200" cy="233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130</xdr:row>
      <xdr:rowOff>54569</xdr:rowOff>
    </xdr:from>
    <xdr:to>
      <xdr:col>4</xdr:col>
      <xdr:colOff>1164705</xdr:colOff>
      <xdr:row>130</xdr:row>
      <xdr:rowOff>287087</xdr:rowOff>
    </xdr:to>
    <xdr:pic>
      <xdr:nvPicPr>
        <xdr:cNvPr id="246" name="Billede 245" descr="Dannebrog">
          <a:extLst>
            <a:ext uri="{FF2B5EF4-FFF2-40B4-BE49-F238E27FC236}">
              <a16:creationId xmlns:a16="http://schemas.microsoft.com/office/drawing/2014/main" id="{4B4BCC4D-AC6F-B5A1-BE59-25992F0C6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02305" y="13245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83</xdr:row>
      <xdr:rowOff>54569</xdr:rowOff>
    </xdr:from>
    <xdr:to>
      <xdr:col>4</xdr:col>
      <xdr:colOff>1164705</xdr:colOff>
      <xdr:row>83</xdr:row>
      <xdr:rowOff>287087</xdr:rowOff>
    </xdr:to>
    <xdr:pic>
      <xdr:nvPicPr>
        <xdr:cNvPr id="249" name="Billede 248" descr="Dannebrog">
          <a:extLst>
            <a:ext uri="{FF2B5EF4-FFF2-40B4-BE49-F238E27FC236}">
              <a16:creationId xmlns:a16="http://schemas.microsoft.com/office/drawing/2014/main" id="{C1A2FCE9-B743-4252-AB31-BF5767B5A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89605" y="254545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106</xdr:row>
      <xdr:rowOff>41869</xdr:rowOff>
    </xdr:from>
    <xdr:to>
      <xdr:col>4</xdr:col>
      <xdr:colOff>1164705</xdr:colOff>
      <xdr:row>106</xdr:row>
      <xdr:rowOff>274387</xdr:rowOff>
    </xdr:to>
    <xdr:pic>
      <xdr:nvPicPr>
        <xdr:cNvPr id="254" name="Billede 253" descr="Dannebrog">
          <a:extLst>
            <a:ext uri="{FF2B5EF4-FFF2-40B4-BE49-F238E27FC236}">
              <a16:creationId xmlns:a16="http://schemas.microsoft.com/office/drawing/2014/main" id="{1F27725A-75E1-1102-1760-9CAF4CC16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89605" y="2575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129</xdr:row>
      <xdr:rowOff>56243</xdr:rowOff>
    </xdr:from>
    <xdr:to>
      <xdr:col>4</xdr:col>
      <xdr:colOff>1165542</xdr:colOff>
      <xdr:row>129</xdr:row>
      <xdr:rowOff>296816</xdr:rowOff>
    </xdr:to>
    <xdr:pic>
      <xdr:nvPicPr>
        <xdr:cNvPr id="261" name="Billede 260">
          <a:extLst>
            <a:ext uri="{FF2B5EF4-FFF2-40B4-BE49-F238E27FC236}">
              <a16:creationId xmlns:a16="http://schemas.microsoft.com/office/drawing/2014/main" id="{DFB7B976-40CE-B751-69BB-520049BAD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90442" y="210112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210" name="Billede 209">
          <a:extLst>
            <a:ext uri="{FF2B5EF4-FFF2-40B4-BE49-F238E27FC236}">
              <a16:creationId xmlns:a16="http://schemas.microsoft.com/office/drawing/2014/main" id="{7BC5A07A-5C3C-41AB-9686-68649DC46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158</xdr:row>
      <xdr:rowOff>36286</xdr:rowOff>
    </xdr:from>
    <xdr:to>
      <xdr:col>2</xdr:col>
      <xdr:colOff>460659</xdr:colOff>
      <xdr:row>158</xdr:row>
      <xdr:rowOff>270329</xdr:rowOff>
    </xdr:to>
    <xdr:pic>
      <xdr:nvPicPr>
        <xdr:cNvPr id="224" name="Billede 223">
          <a:extLst>
            <a:ext uri="{FF2B5EF4-FFF2-40B4-BE49-F238E27FC236}">
              <a16:creationId xmlns:a16="http://schemas.microsoft.com/office/drawing/2014/main" id="{FAF21C3C-84A7-42E6-A3BF-5C6D6713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164</xdr:row>
      <xdr:rowOff>36286</xdr:rowOff>
    </xdr:from>
    <xdr:to>
      <xdr:col>2</xdr:col>
      <xdr:colOff>460659</xdr:colOff>
      <xdr:row>164</xdr:row>
      <xdr:rowOff>270329</xdr:rowOff>
    </xdr:to>
    <xdr:pic>
      <xdr:nvPicPr>
        <xdr:cNvPr id="225" name="Billede 224">
          <a:extLst>
            <a:ext uri="{FF2B5EF4-FFF2-40B4-BE49-F238E27FC236}">
              <a16:creationId xmlns:a16="http://schemas.microsoft.com/office/drawing/2014/main" id="{123FF6C7-04CC-4D14-B735-16D706441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</xdr:row>
      <xdr:rowOff>36286</xdr:rowOff>
    </xdr:from>
    <xdr:to>
      <xdr:col>2</xdr:col>
      <xdr:colOff>460659</xdr:colOff>
      <xdr:row>15</xdr:row>
      <xdr:rowOff>270329</xdr:rowOff>
    </xdr:to>
    <xdr:pic>
      <xdr:nvPicPr>
        <xdr:cNvPr id="226" name="Billede 225">
          <a:extLst>
            <a:ext uri="{FF2B5EF4-FFF2-40B4-BE49-F238E27FC236}">
              <a16:creationId xmlns:a16="http://schemas.microsoft.com/office/drawing/2014/main" id="{DE6AC9AB-5B41-4648-87B8-7B19FD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36</xdr:row>
      <xdr:rowOff>36286</xdr:rowOff>
    </xdr:from>
    <xdr:to>
      <xdr:col>2</xdr:col>
      <xdr:colOff>460659</xdr:colOff>
      <xdr:row>36</xdr:row>
      <xdr:rowOff>270329</xdr:rowOff>
    </xdr:to>
    <xdr:pic>
      <xdr:nvPicPr>
        <xdr:cNvPr id="230" name="Billede 229">
          <a:extLst>
            <a:ext uri="{FF2B5EF4-FFF2-40B4-BE49-F238E27FC236}">
              <a16:creationId xmlns:a16="http://schemas.microsoft.com/office/drawing/2014/main" id="{3BCA8E45-FB66-45C7-8095-0D517C7D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38</xdr:row>
      <xdr:rowOff>36286</xdr:rowOff>
    </xdr:from>
    <xdr:to>
      <xdr:col>2</xdr:col>
      <xdr:colOff>460659</xdr:colOff>
      <xdr:row>38</xdr:row>
      <xdr:rowOff>270329</xdr:rowOff>
    </xdr:to>
    <xdr:pic>
      <xdr:nvPicPr>
        <xdr:cNvPr id="231" name="Billede 230">
          <a:extLst>
            <a:ext uri="{FF2B5EF4-FFF2-40B4-BE49-F238E27FC236}">
              <a16:creationId xmlns:a16="http://schemas.microsoft.com/office/drawing/2014/main" id="{72390D61-52F8-4DC6-A388-26A3838C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43</xdr:row>
      <xdr:rowOff>36286</xdr:rowOff>
    </xdr:from>
    <xdr:to>
      <xdr:col>2</xdr:col>
      <xdr:colOff>460659</xdr:colOff>
      <xdr:row>43</xdr:row>
      <xdr:rowOff>270329</xdr:rowOff>
    </xdr:to>
    <xdr:pic>
      <xdr:nvPicPr>
        <xdr:cNvPr id="232" name="Billede 231">
          <a:extLst>
            <a:ext uri="{FF2B5EF4-FFF2-40B4-BE49-F238E27FC236}">
              <a16:creationId xmlns:a16="http://schemas.microsoft.com/office/drawing/2014/main" id="{75C82EFC-6200-4CDC-A25A-EB0BD3A5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44</xdr:row>
      <xdr:rowOff>36286</xdr:rowOff>
    </xdr:from>
    <xdr:to>
      <xdr:col>2</xdr:col>
      <xdr:colOff>460659</xdr:colOff>
      <xdr:row>44</xdr:row>
      <xdr:rowOff>270329</xdr:rowOff>
    </xdr:to>
    <xdr:pic>
      <xdr:nvPicPr>
        <xdr:cNvPr id="233" name="Billede 232">
          <a:extLst>
            <a:ext uri="{FF2B5EF4-FFF2-40B4-BE49-F238E27FC236}">
              <a16:creationId xmlns:a16="http://schemas.microsoft.com/office/drawing/2014/main" id="{53AAFCED-3CA6-4A91-9B31-1E2E0362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46</xdr:row>
      <xdr:rowOff>36286</xdr:rowOff>
    </xdr:from>
    <xdr:to>
      <xdr:col>2</xdr:col>
      <xdr:colOff>460659</xdr:colOff>
      <xdr:row>46</xdr:row>
      <xdr:rowOff>270329</xdr:rowOff>
    </xdr:to>
    <xdr:pic>
      <xdr:nvPicPr>
        <xdr:cNvPr id="234" name="Billede 233">
          <a:extLst>
            <a:ext uri="{FF2B5EF4-FFF2-40B4-BE49-F238E27FC236}">
              <a16:creationId xmlns:a16="http://schemas.microsoft.com/office/drawing/2014/main" id="{F914F0A8-0773-4ABE-9138-E332945D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49</xdr:row>
      <xdr:rowOff>36286</xdr:rowOff>
    </xdr:from>
    <xdr:to>
      <xdr:col>2</xdr:col>
      <xdr:colOff>460659</xdr:colOff>
      <xdr:row>49</xdr:row>
      <xdr:rowOff>270329</xdr:rowOff>
    </xdr:to>
    <xdr:pic>
      <xdr:nvPicPr>
        <xdr:cNvPr id="247" name="Billede 246">
          <a:extLst>
            <a:ext uri="{FF2B5EF4-FFF2-40B4-BE49-F238E27FC236}">
              <a16:creationId xmlns:a16="http://schemas.microsoft.com/office/drawing/2014/main" id="{9A5CFE51-A56C-44C8-8F8D-1CB997648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50</xdr:row>
      <xdr:rowOff>36286</xdr:rowOff>
    </xdr:from>
    <xdr:to>
      <xdr:col>2</xdr:col>
      <xdr:colOff>460659</xdr:colOff>
      <xdr:row>50</xdr:row>
      <xdr:rowOff>270329</xdr:rowOff>
    </xdr:to>
    <xdr:pic>
      <xdr:nvPicPr>
        <xdr:cNvPr id="250" name="Billede 249">
          <a:extLst>
            <a:ext uri="{FF2B5EF4-FFF2-40B4-BE49-F238E27FC236}">
              <a16:creationId xmlns:a16="http://schemas.microsoft.com/office/drawing/2014/main" id="{6DE400B4-BEC9-46F1-BE4B-74C27F5BA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689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82</xdr:row>
      <xdr:rowOff>36286</xdr:rowOff>
    </xdr:from>
    <xdr:to>
      <xdr:col>2</xdr:col>
      <xdr:colOff>460659</xdr:colOff>
      <xdr:row>82</xdr:row>
      <xdr:rowOff>270329</xdr:rowOff>
    </xdr:to>
    <xdr:pic>
      <xdr:nvPicPr>
        <xdr:cNvPr id="258" name="Billede 257">
          <a:extLst>
            <a:ext uri="{FF2B5EF4-FFF2-40B4-BE49-F238E27FC236}">
              <a16:creationId xmlns:a16="http://schemas.microsoft.com/office/drawing/2014/main" id="{62C32F81-6154-4470-B302-EFBE082A2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4354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85</xdr:row>
      <xdr:rowOff>36286</xdr:rowOff>
    </xdr:from>
    <xdr:to>
      <xdr:col>2</xdr:col>
      <xdr:colOff>460659</xdr:colOff>
      <xdr:row>85</xdr:row>
      <xdr:rowOff>270329</xdr:rowOff>
    </xdr:to>
    <xdr:pic>
      <xdr:nvPicPr>
        <xdr:cNvPr id="262" name="Billede 261">
          <a:extLst>
            <a:ext uri="{FF2B5EF4-FFF2-40B4-BE49-F238E27FC236}">
              <a16:creationId xmlns:a16="http://schemas.microsoft.com/office/drawing/2014/main" id="{F7DE3584-69BD-43AF-AC0C-2B5F71CF6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4354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56</xdr:row>
      <xdr:rowOff>36286</xdr:rowOff>
    </xdr:from>
    <xdr:to>
      <xdr:col>2</xdr:col>
      <xdr:colOff>460659</xdr:colOff>
      <xdr:row>56</xdr:row>
      <xdr:rowOff>270329</xdr:rowOff>
    </xdr:to>
    <xdr:pic>
      <xdr:nvPicPr>
        <xdr:cNvPr id="263" name="Billede 262">
          <a:extLst>
            <a:ext uri="{FF2B5EF4-FFF2-40B4-BE49-F238E27FC236}">
              <a16:creationId xmlns:a16="http://schemas.microsoft.com/office/drawing/2014/main" id="{E8664CB0-B3FE-4954-9D5D-49FFB6DF7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4354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55</xdr:row>
      <xdr:rowOff>36286</xdr:rowOff>
    </xdr:from>
    <xdr:to>
      <xdr:col>2</xdr:col>
      <xdr:colOff>460659</xdr:colOff>
      <xdr:row>55</xdr:row>
      <xdr:rowOff>270329</xdr:rowOff>
    </xdr:to>
    <xdr:pic>
      <xdr:nvPicPr>
        <xdr:cNvPr id="264" name="Billede 263">
          <a:extLst>
            <a:ext uri="{FF2B5EF4-FFF2-40B4-BE49-F238E27FC236}">
              <a16:creationId xmlns:a16="http://schemas.microsoft.com/office/drawing/2014/main" id="{1C96BD26-B95F-44DE-907F-04D618E7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4354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57</xdr:row>
      <xdr:rowOff>36286</xdr:rowOff>
    </xdr:from>
    <xdr:to>
      <xdr:col>2</xdr:col>
      <xdr:colOff>460659</xdr:colOff>
      <xdr:row>57</xdr:row>
      <xdr:rowOff>270329</xdr:rowOff>
    </xdr:to>
    <xdr:pic>
      <xdr:nvPicPr>
        <xdr:cNvPr id="265" name="Billede 264">
          <a:extLst>
            <a:ext uri="{FF2B5EF4-FFF2-40B4-BE49-F238E27FC236}">
              <a16:creationId xmlns:a16="http://schemas.microsoft.com/office/drawing/2014/main" id="{A2D6372D-EACC-4580-9FE3-CBB33158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4354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24</xdr:row>
      <xdr:rowOff>36286</xdr:rowOff>
    </xdr:from>
    <xdr:to>
      <xdr:col>2</xdr:col>
      <xdr:colOff>460659</xdr:colOff>
      <xdr:row>24</xdr:row>
      <xdr:rowOff>270329</xdr:rowOff>
    </xdr:to>
    <xdr:pic>
      <xdr:nvPicPr>
        <xdr:cNvPr id="266" name="Billede 265">
          <a:extLst>
            <a:ext uri="{FF2B5EF4-FFF2-40B4-BE49-F238E27FC236}">
              <a16:creationId xmlns:a16="http://schemas.microsoft.com/office/drawing/2014/main" id="{901B860E-9DF4-4397-92AC-A6D496B3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4354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93</xdr:row>
      <xdr:rowOff>36286</xdr:rowOff>
    </xdr:from>
    <xdr:to>
      <xdr:col>2</xdr:col>
      <xdr:colOff>460659</xdr:colOff>
      <xdr:row>93</xdr:row>
      <xdr:rowOff>270329</xdr:rowOff>
    </xdr:to>
    <xdr:pic>
      <xdr:nvPicPr>
        <xdr:cNvPr id="267" name="Billede 266">
          <a:extLst>
            <a:ext uri="{FF2B5EF4-FFF2-40B4-BE49-F238E27FC236}">
              <a16:creationId xmlns:a16="http://schemas.microsoft.com/office/drawing/2014/main" id="{13E96DD7-3187-464E-976F-282FAEDA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4354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95</xdr:row>
      <xdr:rowOff>36286</xdr:rowOff>
    </xdr:from>
    <xdr:to>
      <xdr:col>2</xdr:col>
      <xdr:colOff>460659</xdr:colOff>
      <xdr:row>95</xdr:row>
      <xdr:rowOff>270329</xdr:rowOff>
    </xdr:to>
    <xdr:pic>
      <xdr:nvPicPr>
        <xdr:cNvPr id="268" name="Billede 267">
          <a:extLst>
            <a:ext uri="{FF2B5EF4-FFF2-40B4-BE49-F238E27FC236}">
              <a16:creationId xmlns:a16="http://schemas.microsoft.com/office/drawing/2014/main" id="{566F06AB-01D4-4350-BFED-C9044AFE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89</xdr:row>
      <xdr:rowOff>36286</xdr:rowOff>
    </xdr:from>
    <xdr:to>
      <xdr:col>2</xdr:col>
      <xdr:colOff>460659</xdr:colOff>
      <xdr:row>89</xdr:row>
      <xdr:rowOff>270329</xdr:rowOff>
    </xdr:to>
    <xdr:pic>
      <xdr:nvPicPr>
        <xdr:cNvPr id="271" name="Billede 270">
          <a:extLst>
            <a:ext uri="{FF2B5EF4-FFF2-40B4-BE49-F238E27FC236}">
              <a16:creationId xmlns:a16="http://schemas.microsoft.com/office/drawing/2014/main" id="{F238B102-2094-44A4-81DB-C7BB7F8C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165</xdr:row>
      <xdr:rowOff>36286</xdr:rowOff>
    </xdr:from>
    <xdr:to>
      <xdr:col>2</xdr:col>
      <xdr:colOff>460659</xdr:colOff>
      <xdr:row>165</xdr:row>
      <xdr:rowOff>270329</xdr:rowOff>
    </xdr:to>
    <xdr:pic>
      <xdr:nvPicPr>
        <xdr:cNvPr id="272" name="Billede 271">
          <a:extLst>
            <a:ext uri="{FF2B5EF4-FFF2-40B4-BE49-F238E27FC236}">
              <a16:creationId xmlns:a16="http://schemas.microsoft.com/office/drawing/2014/main" id="{5DBD59D2-A090-4B20-8A8F-BDF265EFD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166</xdr:row>
      <xdr:rowOff>36286</xdr:rowOff>
    </xdr:from>
    <xdr:to>
      <xdr:col>2</xdr:col>
      <xdr:colOff>460659</xdr:colOff>
      <xdr:row>166</xdr:row>
      <xdr:rowOff>270329</xdr:rowOff>
    </xdr:to>
    <xdr:pic>
      <xdr:nvPicPr>
        <xdr:cNvPr id="273" name="Billede 272">
          <a:extLst>
            <a:ext uri="{FF2B5EF4-FFF2-40B4-BE49-F238E27FC236}">
              <a16:creationId xmlns:a16="http://schemas.microsoft.com/office/drawing/2014/main" id="{707321D3-63AC-4004-8935-84D2576EA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100</xdr:row>
      <xdr:rowOff>36286</xdr:rowOff>
    </xdr:from>
    <xdr:to>
      <xdr:col>2</xdr:col>
      <xdr:colOff>460659</xdr:colOff>
      <xdr:row>100</xdr:row>
      <xdr:rowOff>270329</xdr:rowOff>
    </xdr:to>
    <xdr:pic>
      <xdr:nvPicPr>
        <xdr:cNvPr id="274" name="Billede 273">
          <a:extLst>
            <a:ext uri="{FF2B5EF4-FFF2-40B4-BE49-F238E27FC236}">
              <a16:creationId xmlns:a16="http://schemas.microsoft.com/office/drawing/2014/main" id="{ED75484E-CD0A-4F77-A5C9-E49D429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102</xdr:row>
      <xdr:rowOff>36286</xdr:rowOff>
    </xdr:from>
    <xdr:to>
      <xdr:col>2</xdr:col>
      <xdr:colOff>460659</xdr:colOff>
      <xdr:row>102</xdr:row>
      <xdr:rowOff>270329</xdr:rowOff>
    </xdr:to>
    <xdr:pic>
      <xdr:nvPicPr>
        <xdr:cNvPr id="275" name="Billede 274">
          <a:extLst>
            <a:ext uri="{FF2B5EF4-FFF2-40B4-BE49-F238E27FC236}">
              <a16:creationId xmlns:a16="http://schemas.microsoft.com/office/drawing/2014/main" id="{4F03A711-06FB-450F-80C9-489E03B7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170</xdr:row>
      <xdr:rowOff>36286</xdr:rowOff>
    </xdr:from>
    <xdr:to>
      <xdr:col>2</xdr:col>
      <xdr:colOff>460659</xdr:colOff>
      <xdr:row>170</xdr:row>
      <xdr:rowOff>270329</xdr:rowOff>
    </xdr:to>
    <xdr:pic>
      <xdr:nvPicPr>
        <xdr:cNvPr id="276" name="Billede 275">
          <a:extLst>
            <a:ext uri="{FF2B5EF4-FFF2-40B4-BE49-F238E27FC236}">
              <a16:creationId xmlns:a16="http://schemas.microsoft.com/office/drawing/2014/main" id="{803C8135-D21C-40B5-8DEB-640FF2F96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104</xdr:row>
      <xdr:rowOff>36286</xdr:rowOff>
    </xdr:from>
    <xdr:to>
      <xdr:col>2</xdr:col>
      <xdr:colOff>460659</xdr:colOff>
      <xdr:row>104</xdr:row>
      <xdr:rowOff>270329</xdr:rowOff>
    </xdr:to>
    <xdr:pic>
      <xdr:nvPicPr>
        <xdr:cNvPr id="277" name="Billede 276">
          <a:extLst>
            <a:ext uri="{FF2B5EF4-FFF2-40B4-BE49-F238E27FC236}">
              <a16:creationId xmlns:a16="http://schemas.microsoft.com/office/drawing/2014/main" id="{85C027AE-8591-4C2B-9A0A-7EE260B3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179</xdr:row>
      <xdr:rowOff>36286</xdr:rowOff>
    </xdr:from>
    <xdr:to>
      <xdr:col>2</xdr:col>
      <xdr:colOff>460659</xdr:colOff>
      <xdr:row>179</xdr:row>
      <xdr:rowOff>270329</xdr:rowOff>
    </xdr:to>
    <xdr:pic>
      <xdr:nvPicPr>
        <xdr:cNvPr id="278" name="Billede 277">
          <a:extLst>
            <a:ext uri="{FF2B5EF4-FFF2-40B4-BE49-F238E27FC236}">
              <a16:creationId xmlns:a16="http://schemas.microsoft.com/office/drawing/2014/main" id="{6EBD53C0-2D56-441A-B2EE-59E8277C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180</xdr:row>
      <xdr:rowOff>36286</xdr:rowOff>
    </xdr:from>
    <xdr:to>
      <xdr:col>2</xdr:col>
      <xdr:colOff>460659</xdr:colOff>
      <xdr:row>180</xdr:row>
      <xdr:rowOff>270329</xdr:rowOff>
    </xdr:to>
    <xdr:pic>
      <xdr:nvPicPr>
        <xdr:cNvPr id="279" name="Billede 278">
          <a:extLst>
            <a:ext uri="{FF2B5EF4-FFF2-40B4-BE49-F238E27FC236}">
              <a16:creationId xmlns:a16="http://schemas.microsoft.com/office/drawing/2014/main" id="{99D1BAC2-2B2C-4CA7-9246-98E6B946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181</xdr:row>
      <xdr:rowOff>36286</xdr:rowOff>
    </xdr:from>
    <xdr:to>
      <xdr:col>2</xdr:col>
      <xdr:colOff>460659</xdr:colOff>
      <xdr:row>181</xdr:row>
      <xdr:rowOff>270329</xdr:rowOff>
    </xdr:to>
    <xdr:pic>
      <xdr:nvPicPr>
        <xdr:cNvPr id="280" name="Billede 279">
          <a:extLst>
            <a:ext uri="{FF2B5EF4-FFF2-40B4-BE49-F238E27FC236}">
              <a16:creationId xmlns:a16="http://schemas.microsoft.com/office/drawing/2014/main" id="{AED34625-C63A-482D-8121-53C83E52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183</xdr:row>
      <xdr:rowOff>36286</xdr:rowOff>
    </xdr:from>
    <xdr:to>
      <xdr:col>2</xdr:col>
      <xdr:colOff>460659</xdr:colOff>
      <xdr:row>183</xdr:row>
      <xdr:rowOff>270329</xdr:rowOff>
    </xdr:to>
    <xdr:pic>
      <xdr:nvPicPr>
        <xdr:cNvPr id="281" name="Billede 280">
          <a:extLst>
            <a:ext uri="{FF2B5EF4-FFF2-40B4-BE49-F238E27FC236}">
              <a16:creationId xmlns:a16="http://schemas.microsoft.com/office/drawing/2014/main" id="{18E04A25-A052-4D61-BC07-F21B3CEE0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184</xdr:row>
      <xdr:rowOff>36286</xdr:rowOff>
    </xdr:from>
    <xdr:to>
      <xdr:col>2</xdr:col>
      <xdr:colOff>460659</xdr:colOff>
      <xdr:row>184</xdr:row>
      <xdr:rowOff>270329</xdr:rowOff>
    </xdr:to>
    <xdr:pic>
      <xdr:nvPicPr>
        <xdr:cNvPr id="323" name="Billede 322">
          <a:extLst>
            <a:ext uri="{FF2B5EF4-FFF2-40B4-BE49-F238E27FC236}">
              <a16:creationId xmlns:a16="http://schemas.microsoft.com/office/drawing/2014/main" id="{FB9C1F47-C0C0-4B37-8B61-601061D90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110</xdr:row>
      <xdr:rowOff>36286</xdr:rowOff>
    </xdr:from>
    <xdr:to>
      <xdr:col>2</xdr:col>
      <xdr:colOff>460659</xdr:colOff>
      <xdr:row>110</xdr:row>
      <xdr:rowOff>270329</xdr:rowOff>
    </xdr:to>
    <xdr:pic>
      <xdr:nvPicPr>
        <xdr:cNvPr id="324" name="Billede 323">
          <a:extLst>
            <a:ext uri="{FF2B5EF4-FFF2-40B4-BE49-F238E27FC236}">
              <a16:creationId xmlns:a16="http://schemas.microsoft.com/office/drawing/2014/main" id="{862EB62B-2B55-4AFB-B926-062FFD07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111</xdr:row>
      <xdr:rowOff>36286</xdr:rowOff>
    </xdr:from>
    <xdr:to>
      <xdr:col>2</xdr:col>
      <xdr:colOff>460659</xdr:colOff>
      <xdr:row>111</xdr:row>
      <xdr:rowOff>270329</xdr:rowOff>
    </xdr:to>
    <xdr:pic>
      <xdr:nvPicPr>
        <xdr:cNvPr id="326" name="Billede 325">
          <a:extLst>
            <a:ext uri="{FF2B5EF4-FFF2-40B4-BE49-F238E27FC236}">
              <a16:creationId xmlns:a16="http://schemas.microsoft.com/office/drawing/2014/main" id="{F459BE71-ED0F-4B6F-9FEE-54ED1CA3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45</xdr:row>
      <xdr:rowOff>36286</xdr:rowOff>
    </xdr:from>
    <xdr:to>
      <xdr:col>2</xdr:col>
      <xdr:colOff>460659</xdr:colOff>
      <xdr:row>45</xdr:row>
      <xdr:rowOff>270329</xdr:rowOff>
    </xdr:to>
    <xdr:pic>
      <xdr:nvPicPr>
        <xdr:cNvPr id="327" name="Billede 326">
          <a:extLst>
            <a:ext uri="{FF2B5EF4-FFF2-40B4-BE49-F238E27FC236}">
              <a16:creationId xmlns:a16="http://schemas.microsoft.com/office/drawing/2014/main" id="{6870C566-EDE4-4CCA-B93E-5F5AAE46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113</xdr:row>
      <xdr:rowOff>36286</xdr:rowOff>
    </xdr:from>
    <xdr:to>
      <xdr:col>2</xdr:col>
      <xdr:colOff>460659</xdr:colOff>
      <xdr:row>113</xdr:row>
      <xdr:rowOff>270329</xdr:rowOff>
    </xdr:to>
    <xdr:pic>
      <xdr:nvPicPr>
        <xdr:cNvPr id="328" name="Billede 327">
          <a:extLst>
            <a:ext uri="{FF2B5EF4-FFF2-40B4-BE49-F238E27FC236}">
              <a16:creationId xmlns:a16="http://schemas.microsoft.com/office/drawing/2014/main" id="{497BED26-71C6-42F0-A910-83F01AE5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114</xdr:row>
      <xdr:rowOff>36286</xdr:rowOff>
    </xdr:from>
    <xdr:to>
      <xdr:col>2</xdr:col>
      <xdr:colOff>460659</xdr:colOff>
      <xdr:row>114</xdr:row>
      <xdr:rowOff>270329</xdr:rowOff>
    </xdr:to>
    <xdr:pic>
      <xdr:nvPicPr>
        <xdr:cNvPr id="329" name="Billede 328">
          <a:extLst>
            <a:ext uri="{FF2B5EF4-FFF2-40B4-BE49-F238E27FC236}">
              <a16:creationId xmlns:a16="http://schemas.microsoft.com/office/drawing/2014/main" id="{5637BF6B-B495-4AE6-B704-5D44FE9D0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185</xdr:row>
      <xdr:rowOff>36286</xdr:rowOff>
    </xdr:from>
    <xdr:to>
      <xdr:col>2</xdr:col>
      <xdr:colOff>460659</xdr:colOff>
      <xdr:row>185</xdr:row>
      <xdr:rowOff>270329</xdr:rowOff>
    </xdr:to>
    <xdr:pic>
      <xdr:nvPicPr>
        <xdr:cNvPr id="330" name="Billede 329">
          <a:extLst>
            <a:ext uri="{FF2B5EF4-FFF2-40B4-BE49-F238E27FC236}">
              <a16:creationId xmlns:a16="http://schemas.microsoft.com/office/drawing/2014/main" id="{89B0FEF6-4CF1-4892-A3D0-C0F3470DC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14</xdr:row>
      <xdr:rowOff>36286</xdr:rowOff>
    </xdr:from>
    <xdr:to>
      <xdr:col>2</xdr:col>
      <xdr:colOff>460659</xdr:colOff>
      <xdr:row>14</xdr:row>
      <xdr:rowOff>270329</xdr:rowOff>
    </xdr:to>
    <xdr:pic>
      <xdr:nvPicPr>
        <xdr:cNvPr id="331" name="Billede 330">
          <a:extLst>
            <a:ext uri="{FF2B5EF4-FFF2-40B4-BE49-F238E27FC236}">
              <a16:creationId xmlns:a16="http://schemas.microsoft.com/office/drawing/2014/main" id="{455D5D1A-B0D7-470F-9F6A-1B5C310AB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42</xdr:row>
      <xdr:rowOff>36286</xdr:rowOff>
    </xdr:from>
    <xdr:to>
      <xdr:col>2</xdr:col>
      <xdr:colOff>460659</xdr:colOff>
      <xdr:row>42</xdr:row>
      <xdr:rowOff>270329</xdr:rowOff>
    </xdr:to>
    <xdr:pic>
      <xdr:nvPicPr>
        <xdr:cNvPr id="332" name="Billede 331">
          <a:extLst>
            <a:ext uri="{FF2B5EF4-FFF2-40B4-BE49-F238E27FC236}">
              <a16:creationId xmlns:a16="http://schemas.microsoft.com/office/drawing/2014/main" id="{969C36BA-20C6-468B-84DC-02BA11352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59</xdr:row>
      <xdr:rowOff>36286</xdr:rowOff>
    </xdr:from>
    <xdr:to>
      <xdr:col>2</xdr:col>
      <xdr:colOff>460659</xdr:colOff>
      <xdr:row>59</xdr:row>
      <xdr:rowOff>270329</xdr:rowOff>
    </xdr:to>
    <xdr:pic>
      <xdr:nvPicPr>
        <xdr:cNvPr id="333" name="Billede 332">
          <a:extLst>
            <a:ext uri="{FF2B5EF4-FFF2-40B4-BE49-F238E27FC236}">
              <a16:creationId xmlns:a16="http://schemas.microsoft.com/office/drawing/2014/main" id="{E80C8359-07D8-4E62-A6B6-95150C21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6576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161</xdr:row>
      <xdr:rowOff>16412</xdr:rowOff>
    </xdr:from>
    <xdr:to>
      <xdr:col>2</xdr:col>
      <xdr:colOff>492761</xdr:colOff>
      <xdr:row>161</xdr:row>
      <xdr:rowOff>304800</xdr:rowOff>
    </xdr:to>
    <xdr:pic>
      <xdr:nvPicPr>
        <xdr:cNvPr id="334" name="Billede 333">
          <a:extLst>
            <a:ext uri="{FF2B5EF4-FFF2-40B4-BE49-F238E27FC236}">
              <a16:creationId xmlns:a16="http://schemas.microsoft.com/office/drawing/2014/main" id="{BDEB29D1-20E2-4D70-9033-A0AD88130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7194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40</xdr:row>
      <xdr:rowOff>36286</xdr:rowOff>
    </xdr:from>
    <xdr:to>
      <xdr:col>2</xdr:col>
      <xdr:colOff>460659</xdr:colOff>
      <xdr:row>40</xdr:row>
      <xdr:rowOff>270329</xdr:rowOff>
    </xdr:to>
    <xdr:pic>
      <xdr:nvPicPr>
        <xdr:cNvPr id="335" name="Billede 334">
          <a:extLst>
            <a:ext uri="{FF2B5EF4-FFF2-40B4-BE49-F238E27FC236}">
              <a16:creationId xmlns:a16="http://schemas.microsoft.com/office/drawing/2014/main" id="{07D69595-1D13-483E-B20F-A05D1A858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13879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39</xdr:row>
      <xdr:rowOff>36286</xdr:rowOff>
    </xdr:from>
    <xdr:to>
      <xdr:col>2</xdr:col>
      <xdr:colOff>460659</xdr:colOff>
      <xdr:row>39</xdr:row>
      <xdr:rowOff>270329</xdr:rowOff>
    </xdr:to>
    <xdr:pic>
      <xdr:nvPicPr>
        <xdr:cNvPr id="336" name="Billede 335">
          <a:extLst>
            <a:ext uri="{FF2B5EF4-FFF2-40B4-BE49-F238E27FC236}">
              <a16:creationId xmlns:a16="http://schemas.microsoft.com/office/drawing/2014/main" id="{5288632C-3A4B-4576-94C0-6FFD8A93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13879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</xdr:row>
      <xdr:rowOff>16412</xdr:rowOff>
    </xdr:from>
    <xdr:to>
      <xdr:col>2</xdr:col>
      <xdr:colOff>492761</xdr:colOff>
      <xdr:row>8</xdr:row>
      <xdr:rowOff>304800</xdr:rowOff>
    </xdr:to>
    <xdr:pic>
      <xdr:nvPicPr>
        <xdr:cNvPr id="337" name="Billede 336">
          <a:extLst>
            <a:ext uri="{FF2B5EF4-FFF2-40B4-BE49-F238E27FC236}">
              <a16:creationId xmlns:a16="http://schemas.microsoft.com/office/drawing/2014/main" id="{3D304F4D-6A34-4D48-8FD0-0DBAACC6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74</xdr:row>
      <xdr:rowOff>16412</xdr:rowOff>
    </xdr:from>
    <xdr:to>
      <xdr:col>2</xdr:col>
      <xdr:colOff>492761</xdr:colOff>
      <xdr:row>74</xdr:row>
      <xdr:rowOff>304800</xdr:rowOff>
    </xdr:to>
    <xdr:pic>
      <xdr:nvPicPr>
        <xdr:cNvPr id="338" name="Billede 337">
          <a:extLst>
            <a:ext uri="{FF2B5EF4-FFF2-40B4-BE49-F238E27FC236}">
              <a16:creationId xmlns:a16="http://schemas.microsoft.com/office/drawing/2014/main" id="{98245E23-E97B-4251-B63E-4904C5C9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</xdr:row>
      <xdr:rowOff>16412</xdr:rowOff>
    </xdr:from>
    <xdr:to>
      <xdr:col>2</xdr:col>
      <xdr:colOff>492761</xdr:colOff>
      <xdr:row>5</xdr:row>
      <xdr:rowOff>304800</xdr:rowOff>
    </xdr:to>
    <xdr:pic>
      <xdr:nvPicPr>
        <xdr:cNvPr id="339" name="Billede 338">
          <a:extLst>
            <a:ext uri="{FF2B5EF4-FFF2-40B4-BE49-F238E27FC236}">
              <a16:creationId xmlns:a16="http://schemas.microsoft.com/office/drawing/2014/main" id="{166364AF-807F-4703-8135-564D2C245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</xdr:row>
      <xdr:rowOff>16412</xdr:rowOff>
    </xdr:from>
    <xdr:to>
      <xdr:col>2</xdr:col>
      <xdr:colOff>492761</xdr:colOff>
      <xdr:row>6</xdr:row>
      <xdr:rowOff>304800</xdr:rowOff>
    </xdr:to>
    <xdr:pic>
      <xdr:nvPicPr>
        <xdr:cNvPr id="340" name="Billede 339">
          <a:extLst>
            <a:ext uri="{FF2B5EF4-FFF2-40B4-BE49-F238E27FC236}">
              <a16:creationId xmlns:a16="http://schemas.microsoft.com/office/drawing/2014/main" id="{4A05634F-9249-428B-8454-7CC601DE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</xdr:row>
      <xdr:rowOff>16412</xdr:rowOff>
    </xdr:from>
    <xdr:to>
      <xdr:col>2</xdr:col>
      <xdr:colOff>492761</xdr:colOff>
      <xdr:row>9</xdr:row>
      <xdr:rowOff>304800</xdr:rowOff>
    </xdr:to>
    <xdr:pic>
      <xdr:nvPicPr>
        <xdr:cNvPr id="341" name="Billede 340">
          <a:extLst>
            <a:ext uri="{FF2B5EF4-FFF2-40B4-BE49-F238E27FC236}">
              <a16:creationId xmlns:a16="http://schemas.microsoft.com/office/drawing/2014/main" id="{FFED7A5F-E064-4CFA-B461-53FB9E29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67</xdr:row>
      <xdr:rowOff>16412</xdr:rowOff>
    </xdr:from>
    <xdr:to>
      <xdr:col>2</xdr:col>
      <xdr:colOff>492761</xdr:colOff>
      <xdr:row>67</xdr:row>
      <xdr:rowOff>304800</xdr:rowOff>
    </xdr:to>
    <xdr:pic>
      <xdr:nvPicPr>
        <xdr:cNvPr id="342" name="Billede 341">
          <a:extLst>
            <a:ext uri="{FF2B5EF4-FFF2-40B4-BE49-F238E27FC236}">
              <a16:creationId xmlns:a16="http://schemas.microsoft.com/office/drawing/2014/main" id="{F7DC7141-C8C6-4999-BE3D-DC12526C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</xdr:row>
      <xdr:rowOff>16412</xdr:rowOff>
    </xdr:from>
    <xdr:to>
      <xdr:col>2</xdr:col>
      <xdr:colOff>492761</xdr:colOff>
      <xdr:row>10</xdr:row>
      <xdr:rowOff>304800</xdr:rowOff>
    </xdr:to>
    <xdr:pic>
      <xdr:nvPicPr>
        <xdr:cNvPr id="343" name="Billede 342">
          <a:extLst>
            <a:ext uri="{FF2B5EF4-FFF2-40B4-BE49-F238E27FC236}">
              <a16:creationId xmlns:a16="http://schemas.microsoft.com/office/drawing/2014/main" id="{14192180-2287-4F15-BF51-0ACA24B34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</xdr:row>
      <xdr:rowOff>16412</xdr:rowOff>
    </xdr:from>
    <xdr:to>
      <xdr:col>2</xdr:col>
      <xdr:colOff>492761</xdr:colOff>
      <xdr:row>12</xdr:row>
      <xdr:rowOff>304800</xdr:rowOff>
    </xdr:to>
    <xdr:pic>
      <xdr:nvPicPr>
        <xdr:cNvPr id="344" name="Billede 343">
          <a:extLst>
            <a:ext uri="{FF2B5EF4-FFF2-40B4-BE49-F238E27FC236}">
              <a16:creationId xmlns:a16="http://schemas.microsoft.com/office/drawing/2014/main" id="{F9222AA9-C1ED-4DA2-9C7F-DC884E45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90</xdr:row>
      <xdr:rowOff>16412</xdr:rowOff>
    </xdr:from>
    <xdr:to>
      <xdr:col>2</xdr:col>
      <xdr:colOff>492761</xdr:colOff>
      <xdr:row>90</xdr:row>
      <xdr:rowOff>304800</xdr:rowOff>
    </xdr:to>
    <xdr:pic>
      <xdr:nvPicPr>
        <xdr:cNvPr id="345" name="Billede 344">
          <a:extLst>
            <a:ext uri="{FF2B5EF4-FFF2-40B4-BE49-F238E27FC236}">
              <a16:creationId xmlns:a16="http://schemas.microsoft.com/office/drawing/2014/main" id="{09018544-53F6-4AE1-B912-94AA2AB90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</xdr:row>
      <xdr:rowOff>16412</xdr:rowOff>
    </xdr:from>
    <xdr:to>
      <xdr:col>2</xdr:col>
      <xdr:colOff>492761</xdr:colOff>
      <xdr:row>11</xdr:row>
      <xdr:rowOff>304800</xdr:rowOff>
    </xdr:to>
    <xdr:pic>
      <xdr:nvPicPr>
        <xdr:cNvPr id="346" name="Billede 345">
          <a:extLst>
            <a:ext uri="{FF2B5EF4-FFF2-40B4-BE49-F238E27FC236}">
              <a16:creationId xmlns:a16="http://schemas.microsoft.com/office/drawing/2014/main" id="{CE1C357F-7ADB-4A1F-8BAE-D5879CC8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25</xdr:row>
      <xdr:rowOff>16412</xdr:rowOff>
    </xdr:from>
    <xdr:to>
      <xdr:col>2</xdr:col>
      <xdr:colOff>492761</xdr:colOff>
      <xdr:row>25</xdr:row>
      <xdr:rowOff>304800</xdr:rowOff>
    </xdr:to>
    <xdr:pic>
      <xdr:nvPicPr>
        <xdr:cNvPr id="347" name="Billede 346">
          <a:extLst>
            <a:ext uri="{FF2B5EF4-FFF2-40B4-BE49-F238E27FC236}">
              <a16:creationId xmlns:a16="http://schemas.microsoft.com/office/drawing/2014/main" id="{1BD6FA13-963D-4166-84EE-81310CDDC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26</xdr:row>
      <xdr:rowOff>16412</xdr:rowOff>
    </xdr:from>
    <xdr:to>
      <xdr:col>2</xdr:col>
      <xdr:colOff>492761</xdr:colOff>
      <xdr:row>26</xdr:row>
      <xdr:rowOff>304800</xdr:rowOff>
    </xdr:to>
    <xdr:pic>
      <xdr:nvPicPr>
        <xdr:cNvPr id="348" name="Billede 347">
          <a:extLst>
            <a:ext uri="{FF2B5EF4-FFF2-40B4-BE49-F238E27FC236}">
              <a16:creationId xmlns:a16="http://schemas.microsoft.com/office/drawing/2014/main" id="{CAA6E4B7-F2C3-49B1-884F-D4ECBE18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27</xdr:row>
      <xdr:rowOff>16412</xdr:rowOff>
    </xdr:from>
    <xdr:to>
      <xdr:col>2</xdr:col>
      <xdr:colOff>492761</xdr:colOff>
      <xdr:row>27</xdr:row>
      <xdr:rowOff>304800</xdr:rowOff>
    </xdr:to>
    <xdr:pic>
      <xdr:nvPicPr>
        <xdr:cNvPr id="349" name="Billede 348">
          <a:extLst>
            <a:ext uri="{FF2B5EF4-FFF2-40B4-BE49-F238E27FC236}">
              <a16:creationId xmlns:a16="http://schemas.microsoft.com/office/drawing/2014/main" id="{FA39022F-0780-41CF-AA21-D0B0CEC2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62</xdr:row>
      <xdr:rowOff>16412</xdr:rowOff>
    </xdr:from>
    <xdr:to>
      <xdr:col>2</xdr:col>
      <xdr:colOff>492761</xdr:colOff>
      <xdr:row>62</xdr:row>
      <xdr:rowOff>304800</xdr:rowOff>
    </xdr:to>
    <xdr:pic>
      <xdr:nvPicPr>
        <xdr:cNvPr id="350" name="Billede 349">
          <a:extLst>
            <a:ext uri="{FF2B5EF4-FFF2-40B4-BE49-F238E27FC236}">
              <a16:creationId xmlns:a16="http://schemas.microsoft.com/office/drawing/2014/main" id="{638E5A70-BE21-4FE6-961C-FD99ACF71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51</xdr:row>
      <xdr:rowOff>16412</xdr:rowOff>
    </xdr:from>
    <xdr:to>
      <xdr:col>2</xdr:col>
      <xdr:colOff>492761</xdr:colOff>
      <xdr:row>51</xdr:row>
      <xdr:rowOff>304800</xdr:rowOff>
    </xdr:to>
    <xdr:pic>
      <xdr:nvPicPr>
        <xdr:cNvPr id="351" name="Billede 350">
          <a:extLst>
            <a:ext uri="{FF2B5EF4-FFF2-40B4-BE49-F238E27FC236}">
              <a16:creationId xmlns:a16="http://schemas.microsoft.com/office/drawing/2014/main" id="{507D2BFC-3EED-4D74-9B5E-BE34A41A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29</xdr:row>
      <xdr:rowOff>16412</xdr:rowOff>
    </xdr:from>
    <xdr:to>
      <xdr:col>2</xdr:col>
      <xdr:colOff>492761</xdr:colOff>
      <xdr:row>29</xdr:row>
      <xdr:rowOff>304800</xdr:rowOff>
    </xdr:to>
    <xdr:pic>
      <xdr:nvPicPr>
        <xdr:cNvPr id="352" name="Billede 351">
          <a:extLst>
            <a:ext uri="{FF2B5EF4-FFF2-40B4-BE49-F238E27FC236}">
              <a16:creationId xmlns:a16="http://schemas.microsoft.com/office/drawing/2014/main" id="{EDE6D916-2D01-41E0-BE3B-72AFD4AB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176</xdr:row>
      <xdr:rowOff>16412</xdr:rowOff>
    </xdr:from>
    <xdr:to>
      <xdr:col>2</xdr:col>
      <xdr:colOff>492761</xdr:colOff>
      <xdr:row>176</xdr:row>
      <xdr:rowOff>304800</xdr:rowOff>
    </xdr:to>
    <xdr:pic>
      <xdr:nvPicPr>
        <xdr:cNvPr id="353" name="Billede 352">
          <a:extLst>
            <a:ext uri="{FF2B5EF4-FFF2-40B4-BE49-F238E27FC236}">
              <a16:creationId xmlns:a16="http://schemas.microsoft.com/office/drawing/2014/main" id="{9CB52159-8F01-419E-9BD1-628C85D6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58</xdr:row>
      <xdr:rowOff>16412</xdr:rowOff>
    </xdr:from>
    <xdr:to>
      <xdr:col>2</xdr:col>
      <xdr:colOff>492761</xdr:colOff>
      <xdr:row>58</xdr:row>
      <xdr:rowOff>304800</xdr:rowOff>
    </xdr:to>
    <xdr:pic>
      <xdr:nvPicPr>
        <xdr:cNvPr id="354" name="Billede 353">
          <a:extLst>
            <a:ext uri="{FF2B5EF4-FFF2-40B4-BE49-F238E27FC236}">
              <a16:creationId xmlns:a16="http://schemas.microsoft.com/office/drawing/2014/main" id="{E697E428-176F-489D-B5BB-12EA7ED1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129</xdr:row>
      <xdr:rowOff>16412</xdr:rowOff>
    </xdr:from>
    <xdr:to>
      <xdr:col>2</xdr:col>
      <xdr:colOff>492761</xdr:colOff>
      <xdr:row>129</xdr:row>
      <xdr:rowOff>304800</xdr:rowOff>
    </xdr:to>
    <xdr:pic>
      <xdr:nvPicPr>
        <xdr:cNvPr id="355" name="Billede 354">
          <a:extLst>
            <a:ext uri="{FF2B5EF4-FFF2-40B4-BE49-F238E27FC236}">
              <a16:creationId xmlns:a16="http://schemas.microsoft.com/office/drawing/2014/main" id="{A7DDC0D7-85B2-43C5-81E4-DBF51EE4A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130</xdr:row>
      <xdr:rowOff>16412</xdr:rowOff>
    </xdr:from>
    <xdr:to>
      <xdr:col>2</xdr:col>
      <xdr:colOff>492761</xdr:colOff>
      <xdr:row>130</xdr:row>
      <xdr:rowOff>304800</xdr:rowOff>
    </xdr:to>
    <xdr:pic>
      <xdr:nvPicPr>
        <xdr:cNvPr id="356" name="Billede 355">
          <a:extLst>
            <a:ext uri="{FF2B5EF4-FFF2-40B4-BE49-F238E27FC236}">
              <a16:creationId xmlns:a16="http://schemas.microsoft.com/office/drawing/2014/main" id="{976A120B-0D0A-432F-9364-4F069974F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150</xdr:row>
      <xdr:rowOff>16412</xdr:rowOff>
    </xdr:from>
    <xdr:to>
      <xdr:col>2</xdr:col>
      <xdr:colOff>492761</xdr:colOff>
      <xdr:row>150</xdr:row>
      <xdr:rowOff>304800</xdr:rowOff>
    </xdr:to>
    <xdr:pic>
      <xdr:nvPicPr>
        <xdr:cNvPr id="357" name="Billede 356">
          <a:extLst>
            <a:ext uri="{FF2B5EF4-FFF2-40B4-BE49-F238E27FC236}">
              <a16:creationId xmlns:a16="http://schemas.microsoft.com/office/drawing/2014/main" id="{82AFE139-8CA6-4FD2-8725-C5AAC6300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1417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117</xdr:row>
      <xdr:rowOff>29112</xdr:rowOff>
    </xdr:from>
    <xdr:to>
      <xdr:col>2</xdr:col>
      <xdr:colOff>492761</xdr:colOff>
      <xdr:row>118</xdr:row>
      <xdr:rowOff>0</xdr:rowOff>
    </xdr:to>
    <xdr:pic>
      <xdr:nvPicPr>
        <xdr:cNvPr id="358" name="Billede 357">
          <a:extLst>
            <a:ext uri="{FF2B5EF4-FFF2-40B4-BE49-F238E27FC236}">
              <a16:creationId xmlns:a16="http://schemas.microsoft.com/office/drawing/2014/main" id="{38789EED-82F2-4B2D-86F1-B03C648C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68591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80</xdr:row>
      <xdr:rowOff>36286</xdr:rowOff>
    </xdr:from>
    <xdr:to>
      <xdr:col>2</xdr:col>
      <xdr:colOff>460659</xdr:colOff>
      <xdr:row>80</xdr:row>
      <xdr:rowOff>270329</xdr:rowOff>
    </xdr:to>
    <xdr:pic>
      <xdr:nvPicPr>
        <xdr:cNvPr id="359" name="Billede 358">
          <a:extLst>
            <a:ext uri="{FF2B5EF4-FFF2-40B4-BE49-F238E27FC236}">
              <a16:creationId xmlns:a16="http://schemas.microsoft.com/office/drawing/2014/main" id="{1D9DA8BE-F79B-42D7-AEEF-A5A45783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13879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147</xdr:row>
      <xdr:rowOff>36286</xdr:rowOff>
    </xdr:from>
    <xdr:to>
      <xdr:col>2</xdr:col>
      <xdr:colOff>460659</xdr:colOff>
      <xdr:row>147</xdr:row>
      <xdr:rowOff>270329</xdr:rowOff>
    </xdr:to>
    <xdr:pic>
      <xdr:nvPicPr>
        <xdr:cNvPr id="360" name="Billede 359">
          <a:extLst>
            <a:ext uri="{FF2B5EF4-FFF2-40B4-BE49-F238E27FC236}">
              <a16:creationId xmlns:a16="http://schemas.microsoft.com/office/drawing/2014/main" id="{25E9668E-1730-4E70-A12C-C3A03113A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13879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152</xdr:row>
      <xdr:rowOff>36286</xdr:rowOff>
    </xdr:from>
    <xdr:to>
      <xdr:col>2</xdr:col>
      <xdr:colOff>460659</xdr:colOff>
      <xdr:row>152</xdr:row>
      <xdr:rowOff>270329</xdr:rowOff>
    </xdr:to>
    <xdr:pic>
      <xdr:nvPicPr>
        <xdr:cNvPr id="361" name="Billede 360">
          <a:extLst>
            <a:ext uri="{FF2B5EF4-FFF2-40B4-BE49-F238E27FC236}">
              <a16:creationId xmlns:a16="http://schemas.microsoft.com/office/drawing/2014/main" id="{D2006873-82C6-43FF-980A-CE4727557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13879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153</xdr:row>
      <xdr:rowOff>36286</xdr:rowOff>
    </xdr:from>
    <xdr:to>
      <xdr:col>2</xdr:col>
      <xdr:colOff>460659</xdr:colOff>
      <xdr:row>153</xdr:row>
      <xdr:rowOff>270329</xdr:rowOff>
    </xdr:to>
    <xdr:pic>
      <xdr:nvPicPr>
        <xdr:cNvPr id="362" name="Billede 361">
          <a:extLst>
            <a:ext uri="{FF2B5EF4-FFF2-40B4-BE49-F238E27FC236}">
              <a16:creationId xmlns:a16="http://schemas.microsoft.com/office/drawing/2014/main" id="{7D77AFFA-DB55-4DF3-A402-EEB024A0D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13879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61</xdr:row>
      <xdr:rowOff>16412</xdr:rowOff>
    </xdr:from>
    <xdr:to>
      <xdr:col>2</xdr:col>
      <xdr:colOff>492761</xdr:colOff>
      <xdr:row>61</xdr:row>
      <xdr:rowOff>304800</xdr:rowOff>
    </xdr:to>
    <xdr:pic>
      <xdr:nvPicPr>
        <xdr:cNvPr id="363" name="Billede 362">
          <a:extLst>
            <a:ext uri="{FF2B5EF4-FFF2-40B4-BE49-F238E27FC236}">
              <a16:creationId xmlns:a16="http://schemas.microsoft.com/office/drawing/2014/main" id="{907DC106-C6FA-4C0B-92CA-1AC56633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171</xdr:row>
      <xdr:rowOff>16412</xdr:rowOff>
    </xdr:from>
    <xdr:to>
      <xdr:col>2</xdr:col>
      <xdr:colOff>492761</xdr:colOff>
      <xdr:row>171</xdr:row>
      <xdr:rowOff>304800</xdr:rowOff>
    </xdr:to>
    <xdr:pic>
      <xdr:nvPicPr>
        <xdr:cNvPr id="364" name="Billede 363">
          <a:extLst>
            <a:ext uri="{FF2B5EF4-FFF2-40B4-BE49-F238E27FC236}">
              <a16:creationId xmlns:a16="http://schemas.microsoft.com/office/drawing/2014/main" id="{770D5858-689A-403F-9676-6786C3D1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28</xdr:row>
      <xdr:rowOff>16412</xdr:rowOff>
    </xdr:from>
    <xdr:to>
      <xdr:col>2</xdr:col>
      <xdr:colOff>492761</xdr:colOff>
      <xdr:row>28</xdr:row>
      <xdr:rowOff>304800</xdr:rowOff>
    </xdr:to>
    <xdr:pic>
      <xdr:nvPicPr>
        <xdr:cNvPr id="365" name="Billede 364">
          <a:extLst>
            <a:ext uri="{FF2B5EF4-FFF2-40B4-BE49-F238E27FC236}">
              <a16:creationId xmlns:a16="http://schemas.microsoft.com/office/drawing/2014/main" id="{727C71BD-7005-4B9B-B301-B289DBA2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63</xdr:row>
      <xdr:rowOff>16412</xdr:rowOff>
    </xdr:from>
    <xdr:to>
      <xdr:col>2</xdr:col>
      <xdr:colOff>492761</xdr:colOff>
      <xdr:row>63</xdr:row>
      <xdr:rowOff>304800</xdr:rowOff>
    </xdr:to>
    <xdr:pic>
      <xdr:nvPicPr>
        <xdr:cNvPr id="366" name="Billede 365">
          <a:extLst>
            <a:ext uri="{FF2B5EF4-FFF2-40B4-BE49-F238E27FC236}">
              <a16:creationId xmlns:a16="http://schemas.microsoft.com/office/drawing/2014/main" id="{C8740F07-23CF-4816-80F8-A84A68542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123</xdr:row>
      <xdr:rowOff>16412</xdr:rowOff>
    </xdr:from>
    <xdr:to>
      <xdr:col>2</xdr:col>
      <xdr:colOff>492761</xdr:colOff>
      <xdr:row>123</xdr:row>
      <xdr:rowOff>304800</xdr:rowOff>
    </xdr:to>
    <xdr:pic>
      <xdr:nvPicPr>
        <xdr:cNvPr id="367" name="Billede 366">
          <a:extLst>
            <a:ext uri="{FF2B5EF4-FFF2-40B4-BE49-F238E27FC236}">
              <a16:creationId xmlns:a16="http://schemas.microsoft.com/office/drawing/2014/main" id="{BF87E447-D8F4-40C1-AEAA-42A8502CC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124</xdr:row>
      <xdr:rowOff>16412</xdr:rowOff>
    </xdr:from>
    <xdr:to>
      <xdr:col>2</xdr:col>
      <xdr:colOff>492761</xdr:colOff>
      <xdr:row>124</xdr:row>
      <xdr:rowOff>304800</xdr:rowOff>
    </xdr:to>
    <xdr:pic>
      <xdr:nvPicPr>
        <xdr:cNvPr id="368" name="Billede 367">
          <a:extLst>
            <a:ext uri="{FF2B5EF4-FFF2-40B4-BE49-F238E27FC236}">
              <a16:creationId xmlns:a16="http://schemas.microsoft.com/office/drawing/2014/main" id="{BBB68807-E447-4109-8BC0-C1B466A8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83</xdr:row>
      <xdr:rowOff>16412</xdr:rowOff>
    </xdr:from>
    <xdr:to>
      <xdr:col>2</xdr:col>
      <xdr:colOff>492761</xdr:colOff>
      <xdr:row>83</xdr:row>
      <xdr:rowOff>304800</xdr:rowOff>
    </xdr:to>
    <xdr:pic>
      <xdr:nvPicPr>
        <xdr:cNvPr id="369" name="Billede 368">
          <a:extLst>
            <a:ext uri="{FF2B5EF4-FFF2-40B4-BE49-F238E27FC236}">
              <a16:creationId xmlns:a16="http://schemas.microsoft.com/office/drawing/2014/main" id="{E66E1DAF-EBB9-4D49-9DB4-93DF74555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106</xdr:row>
      <xdr:rowOff>16412</xdr:rowOff>
    </xdr:from>
    <xdr:to>
      <xdr:col>2</xdr:col>
      <xdr:colOff>492761</xdr:colOff>
      <xdr:row>106</xdr:row>
      <xdr:rowOff>304800</xdr:rowOff>
    </xdr:to>
    <xdr:pic>
      <xdr:nvPicPr>
        <xdr:cNvPr id="370" name="Billede 369">
          <a:extLst>
            <a:ext uri="{FF2B5EF4-FFF2-40B4-BE49-F238E27FC236}">
              <a16:creationId xmlns:a16="http://schemas.microsoft.com/office/drawing/2014/main" id="{1D613D99-4503-4FF4-8C9F-0B4E9F2C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4541" y="21796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140</xdr:row>
      <xdr:rowOff>16412</xdr:rowOff>
    </xdr:from>
    <xdr:to>
      <xdr:col>2</xdr:col>
      <xdr:colOff>492761</xdr:colOff>
      <xdr:row>140</xdr:row>
      <xdr:rowOff>304800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CA55D15-EBDB-4B93-80A3-7795FE883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5141" y="2573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805544</xdr:colOff>
      <xdr:row>140</xdr:row>
      <xdr:rowOff>54429</xdr:rowOff>
    </xdr:from>
    <xdr:to>
      <xdr:col>4</xdr:col>
      <xdr:colOff>1165544</xdr:colOff>
      <xdr:row>140</xdr:row>
      <xdr:rowOff>273007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92BE2A9B-A506-645D-D737-64A115540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0444" y="260894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805544</xdr:colOff>
      <xdr:row>178</xdr:row>
      <xdr:rowOff>54429</xdr:rowOff>
    </xdr:from>
    <xdr:to>
      <xdr:col>4</xdr:col>
      <xdr:colOff>1165544</xdr:colOff>
      <xdr:row>178</xdr:row>
      <xdr:rowOff>273007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DC0F57F6-B436-BE61-C9AB-168074C45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0444" y="264069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805544</xdr:colOff>
      <xdr:row>177</xdr:row>
      <xdr:rowOff>54429</xdr:rowOff>
    </xdr:from>
    <xdr:to>
      <xdr:col>4</xdr:col>
      <xdr:colOff>1165544</xdr:colOff>
      <xdr:row>177</xdr:row>
      <xdr:rowOff>273007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17739425-4A55-526E-EF60-4C18FDB8B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0444" y="267244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58</xdr:row>
      <xdr:rowOff>43543</xdr:rowOff>
    </xdr:from>
    <xdr:to>
      <xdr:col>4</xdr:col>
      <xdr:colOff>1165542</xdr:colOff>
      <xdr:row>58</xdr:row>
      <xdr:rowOff>284116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4624F821-5081-1E3C-D63F-1008BF7C0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90442" y="206810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178</xdr:row>
      <xdr:rowOff>16412</xdr:rowOff>
    </xdr:from>
    <xdr:to>
      <xdr:col>2</xdr:col>
      <xdr:colOff>492761</xdr:colOff>
      <xdr:row>178</xdr:row>
      <xdr:rowOff>304800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721CCBCB-BA2D-4955-B0FA-919D0E229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5141" y="2605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177</xdr:row>
      <xdr:rowOff>16412</xdr:rowOff>
    </xdr:from>
    <xdr:to>
      <xdr:col>2</xdr:col>
      <xdr:colOff>492761</xdr:colOff>
      <xdr:row>177</xdr:row>
      <xdr:rowOff>304800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077DF3EA-C591-44E9-8823-2108E168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5141" y="2605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85</xdr:row>
      <xdr:rowOff>29112</xdr:rowOff>
    </xdr:from>
    <xdr:to>
      <xdr:col>2</xdr:col>
      <xdr:colOff>492761</xdr:colOff>
      <xdr:row>86</xdr:row>
      <xdr:rowOff>0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EEACDDBD-864C-D372-7726-D8DC53F6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5141" y="270166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175</xdr:row>
      <xdr:rowOff>16412</xdr:rowOff>
    </xdr:from>
    <xdr:to>
      <xdr:col>2</xdr:col>
      <xdr:colOff>492761</xdr:colOff>
      <xdr:row>175</xdr:row>
      <xdr:rowOff>304800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9EB1889F-98C1-842A-283F-26EFF80A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5141" y="2732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805544</xdr:colOff>
      <xdr:row>173</xdr:row>
      <xdr:rowOff>54429</xdr:rowOff>
    </xdr:from>
    <xdr:to>
      <xdr:col>4</xdr:col>
      <xdr:colOff>1165544</xdr:colOff>
      <xdr:row>173</xdr:row>
      <xdr:rowOff>273007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1877A23D-647B-788B-C082-B7D95DF5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0444" y="270419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805544</xdr:colOff>
      <xdr:row>175</xdr:row>
      <xdr:rowOff>54429</xdr:rowOff>
    </xdr:from>
    <xdr:to>
      <xdr:col>4</xdr:col>
      <xdr:colOff>1165544</xdr:colOff>
      <xdr:row>175</xdr:row>
      <xdr:rowOff>273007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E0EE4347-980C-5BDF-3F0D-BB0DB4B12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0444" y="273594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00FC1009-9590-4770-924D-53901501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48</xdr:row>
      <xdr:rowOff>36286</xdr:rowOff>
    </xdr:from>
    <xdr:to>
      <xdr:col>2</xdr:col>
      <xdr:colOff>460659</xdr:colOff>
      <xdr:row>48</xdr:row>
      <xdr:rowOff>270329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E115594F-C8F4-4B78-912F-8E0A8DD08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5083" y="2226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47</xdr:row>
      <xdr:rowOff>36286</xdr:rowOff>
    </xdr:from>
    <xdr:to>
      <xdr:col>2</xdr:col>
      <xdr:colOff>460659</xdr:colOff>
      <xdr:row>47</xdr:row>
      <xdr:rowOff>270329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8AE514E9-7B9D-4325-84D5-978BA4D0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5083" y="2765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159</xdr:row>
      <xdr:rowOff>36286</xdr:rowOff>
    </xdr:from>
    <xdr:to>
      <xdr:col>2</xdr:col>
      <xdr:colOff>460659</xdr:colOff>
      <xdr:row>159</xdr:row>
      <xdr:rowOff>270329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CC4FB1B9-A5B7-4843-AF78-2549C8B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5083" y="279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163</xdr:row>
      <xdr:rowOff>36286</xdr:rowOff>
    </xdr:from>
    <xdr:to>
      <xdr:col>2</xdr:col>
      <xdr:colOff>460659</xdr:colOff>
      <xdr:row>163</xdr:row>
      <xdr:rowOff>270329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549B30F4-F660-445A-B7BC-391A4B60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5083" y="279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169</xdr:row>
      <xdr:rowOff>36286</xdr:rowOff>
    </xdr:from>
    <xdr:to>
      <xdr:col>2</xdr:col>
      <xdr:colOff>460659</xdr:colOff>
      <xdr:row>169</xdr:row>
      <xdr:rowOff>270329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1450EE5C-B8D3-43DF-8D8A-43441DC8F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5083" y="279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157</xdr:row>
      <xdr:rowOff>36286</xdr:rowOff>
    </xdr:from>
    <xdr:to>
      <xdr:col>2</xdr:col>
      <xdr:colOff>460659</xdr:colOff>
      <xdr:row>157</xdr:row>
      <xdr:rowOff>270329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37523538-5C95-4903-B38C-1592A241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5083" y="279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156</xdr:row>
      <xdr:rowOff>36286</xdr:rowOff>
    </xdr:from>
    <xdr:to>
      <xdr:col>2</xdr:col>
      <xdr:colOff>460659</xdr:colOff>
      <xdr:row>156</xdr:row>
      <xdr:rowOff>270329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85B2C54B-DDEE-4139-8A5A-5A2B14BFE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5083" y="279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96</xdr:row>
      <xdr:rowOff>36286</xdr:rowOff>
    </xdr:from>
    <xdr:to>
      <xdr:col>2</xdr:col>
      <xdr:colOff>460659</xdr:colOff>
      <xdr:row>96</xdr:row>
      <xdr:rowOff>270329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6155D573-4435-4215-ADA1-E2810335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01783" y="29563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794655</xdr:colOff>
      <xdr:row>96</xdr:row>
      <xdr:rowOff>56242</xdr:rowOff>
    </xdr:from>
    <xdr:to>
      <xdr:col>4</xdr:col>
      <xdr:colOff>1154655</xdr:colOff>
      <xdr:row>96</xdr:row>
      <xdr:rowOff>282687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295E31ED-6CF5-974F-F222-776F4972E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7258955" y="29901242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17</xdr:row>
      <xdr:rowOff>41869</xdr:rowOff>
    </xdr:from>
    <xdr:to>
      <xdr:col>4</xdr:col>
      <xdr:colOff>1164705</xdr:colOff>
      <xdr:row>17</xdr:row>
      <xdr:rowOff>274387</xdr:rowOff>
    </xdr:to>
    <xdr:pic>
      <xdr:nvPicPr>
        <xdr:cNvPr id="22" name="Billede 21" descr="Dannebrog">
          <a:extLst>
            <a:ext uri="{FF2B5EF4-FFF2-40B4-BE49-F238E27FC236}">
              <a16:creationId xmlns:a16="http://schemas.microsoft.com/office/drawing/2014/main" id="{D7755234-2BC1-4A99-BA79-658FC892F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1528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17</xdr:row>
      <xdr:rowOff>16412</xdr:rowOff>
    </xdr:from>
    <xdr:to>
      <xdr:col>2</xdr:col>
      <xdr:colOff>492761</xdr:colOff>
      <xdr:row>17</xdr:row>
      <xdr:rowOff>304800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63581464-C1AB-4C52-B0C1-41FF553F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1525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33</xdr:row>
      <xdr:rowOff>41869</xdr:rowOff>
    </xdr:from>
    <xdr:to>
      <xdr:col>4</xdr:col>
      <xdr:colOff>1164705</xdr:colOff>
      <xdr:row>33</xdr:row>
      <xdr:rowOff>274387</xdr:rowOff>
    </xdr:to>
    <xdr:pic>
      <xdr:nvPicPr>
        <xdr:cNvPr id="32" name="Billede 31" descr="Dannebrog">
          <a:extLst>
            <a:ext uri="{FF2B5EF4-FFF2-40B4-BE49-F238E27FC236}">
              <a16:creationId xmlns:a16="http://schemas.microsoft.com/office/drawing/2014/main" id="{B91F31FE-F37E-4207-8167-337CB3720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1528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33</xdr:row>
      <xdr:rowOff>16412</xdr:rowOff>
    </xdr:from>
    <xdr:to>
      <xdr:col>2</xdr:col>
      <xdr:colOff>492761</xdr:colOff>
      <xdr:row>33</xdr:row>
      <xdr:rowOff>304800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E904F04E-E17D-40F4-8E92-20A98936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1525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30</xdr:row>
      <xdr:rowOff>41869</xdr:rowOff>
    </xdr:from>
    <xdr:to>
      <xdr:col>4</xdr:col>
      <xdr:colOff>1164705</xdr:colOff>
      <xdr:row>30</xdr:row>
      <xdr:rowOff>274387</xdr:rowOff>
    </xdr:to>
    <xdr:pic>
      <xdr:nvPicPr>
        <xdr:cNvPr id="34" name="Billede 33" descr="Dannebrog">
          <a:extLst>
            <a:ext uri="{FF2B5EF4-FFF2-40B4-BE49-F238E27FC236}">
              <a16:creationId xmlns:a16="http://schemas.microsoft.com/office/drawing/2014/main" id="{4A3D0631-F09F-4B7E-8812-68AEB55AF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1591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30</xdr:row>
      <xdr:rowOff>16412</xdr:rowOff>
    </xdr:from>
    <xdr:to>
      <xdr:col>2</xdr:col>
      <xdr:colOff>492761</xdr:colOff>
      <xdr:row>30</xdr:row>
      <xdr:rowOff>304800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2F104BF3-0969-4273-A3A7-6583B6D7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1589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34</xdr:row>
      <xdr:rowOff>41869</xdr:rowOff>
    </xdr:from>
    <xdr:to>
      <xdr:col>4</xdr:col>
      <xdr:colOff>1164705</xdr:colOff>
      <xdr:row>34</xdr:row>
      <xdr:rowOff>274387</xdr:rowOff>
    </xdr:to>
    <xdr:pic>
      <xdr:nvPicPr>
        <xdr:cNvPr id="36" name="Billede 35" descr="Dannebrog">
          <a:extLst>
            <a:ext uri="{FF2B5EF4-FFF2-40B4-BE49-F238E27FC236}">
              <a16:creationId xmlns:a16="http://schemas.microsoft.com/office/drawing/2014/main" id="{879A62FF-45BB-4714-85D5-173E378DA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1655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34</xdr:row>
      <xdr:rowOff>16412</xdr:rowOff>
    </xdr:from>
    <xdr:to>
      <xdr:col>2</xdr:col>
      <xdr:colOff>492761</xdr:colOff>
      <xdr:row>34</xdr:row>
      <xdr:rowOff>304800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C3A6F53F-F15B-4C19-89AF-5973C7FF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1652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52</xdr:row>
      <xdr:rowOff>41869</xdr:rowOff>
    </xdr:from>
    <xdr:to>
      <xdr:col>4</xdr:col>
      <xdr:colOff>1164705</xdr:colOff>
      <xdr:row>52</xdr:row>
      <xdr:rowOff>274387</xdr:rowOff>
    </xdr:to>
    <xdr:pic>
      <xdr:nvPicPr>
        <xdr:cNvPr id="38" name="Billede 37" descr="Dannebrog">
          <a:extLst>
            <a:ext uri="{FF2B5EF4-FFF2-40B4-BE49-F238E27FC236}">
              <a16:creationId xmlns:a16="http://schemas.microsoft.com/office/drawing/2014/main" id="{EB682B05-6D7A-4934-8061-7D3EECC69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3020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52</xdr:row>
      <xdr:rowOff>16412</xdr:rowOff>
    </xdr:from>
    <xdr:to>
      <xdr:col>2</xdr:col>
      <xdr:colOff>492761</xdr:colOff>
      <xdr:row>52</xdr:row>
      <xdr:rowOff>304800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5909DDA4-F8DF-4239-80FD-6088969D9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017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35</xdr:row>
      <xdr:rowOff>41869</xdr:rowOff>
    </xdr:from>
    <xdr:to>
      <xdr:col>4</xdr:col>
      <xdr:colOff>1164705</xdr:colOff>
      <xdr:row>35</xdr:row>
      <xdr:rowOff>274387</xdr:rowOff>
    </xdr:to>
    <xdr:pic>
      <xdr:nvPicPr>
        <xdr:cNvPr id="40" name="Billede 39" descr="Dannebrog">
          <a:extLst>
            <a:ext uri="{FF2B5EF4-FFF2-40B4-BE49-F238E27FC236}">
              <a16:creationId xmlns:a16="http://schemas.microsoft.com/office/drawing/2014/main" id="{65EBCD08-45FE-4377-8DD2-DCF2EBF91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3147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35</xdr:row>
      <xdr:rowOff>16412</xdr:rowOff>
    </xdr:from>
    <xdr:to>
      <xdr:col>2</xdr:col>
      <xdr:colOff>492761</xdr:colOff>
      <xdr:row>35</xdr:row>
      <xdr:rowOff>304800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03977922-6DB9-4ECC-A751-33CBAD3A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144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64</xdr:row>
      <xdr:rowOff>41869</xdr:rowOff>
    </xdr:from>
    <xdr:to>
      <xdr:col>4</xdr:col>
      <xdr:colOff>1164705</xdr:colOff>
      <xdr:row>64</xdr:row>
      <xdr:rowOff>274387</xdr:rowOff>
    </xdr:to>
    <xdr:pic>
      <xdr:nvPicPr>
        <xdr:cNvPr id="42" name="Billede 41" descr="Dannebrog">
          <a:extLst>
            <a:ext uri="{FF2B5EF4-FFF2-40B4-BE49-F238E27FC236}">
              <a16:creationId xmlns:a16="http://schemas.microsoft.com/office/drawing/2014/main" id="{DB62AA51-2B72-4543-9488-478FCBFCC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3147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64</xdr:row>
      <xdr:rowOff>16412</xdr:rowOff>
    </xdr:from>
    <xdr:to>
      <xdr:col>2</xdr:col>
      <xdr:colOff>492761</xdr:colOff>
      <xdr:row>64</xdr:row>
      <xdr:rowOff>304800</xdr:rowOff>
    </xdr:to>
    <xdr:pic>
      <xdr:nvPicPr>
        <xdr:cNvPr id="43" name="Billede 42">
          <a:extLst>
            <a:ext uri="{FF2B5EF4-FFF2-40B4-BE49-F238E27FC236}">
              <a16:creationId xmlns:a16="http://schemas.microsoft.com/office/drawing/2014/main" id="{534A63E1-64E8-45D6-B151-346C2C7A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144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53</xdr:row>
      <xdr:rowOff>41869</xdr:rowOff>
    </xdr:from>
    <xdr:to>
      <xdr:col>4</xdr:col>
      <xdr:colOff>1164705</xdr:colOff>
      <xdr:row>53</xdr:row>
      <xdr:rowOff>274387</xdr:rowOff>
    </xdr:to>
    <xdr:pic>
      <xdr:nvPicPr>
        <xdr:cNvPr id="44" name="Billede 43" descr="Dannebrog">
          <a:extLst>
            <a:ext uri="{FF2B5EF4-FFF2-40B4-BE49-F238E27FC236}">
              <a16:creationId xmlns:a16="http://schemas.microsoft.com/office/drawing/2014/main" id="{F0EDF55F-1C57-4092-90F1-CA9E37FFA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3115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53</xdr:row>
      <xdr:rowOff>16412</xdr:rowOff>
    </xdr:from>
    <xdr:to>
      <xdr:col>2</xdr:col>
      <xdr:colOff>492761</xdr:colOff>
      <xdr:row>53</xdr:row>
      <xdr:rowOff>304800</xdr:rowOff>
    </xdr:to>
    <xdr:pic>
      <xdr:nvPicPr>
        <xdr:cNvPr id="45" name="Billede 44">
          <a:extLst>
            <a:ext uri="{FF2B5EF4-FFF2-40B4-BE49-F238E27FC236}">
              <a16:creationId xmlns:a16="http://schemas.microsoft.com/office/drawing/2014/main" id="{05D94A29-FCE6-4431-9770-0E9A1251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113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16</xdr:row>
      <xdr:rowOff>41869</xdr:rowOff>
    </xdr:from>
    <xdr:to>
      <xdr:col>4</xdr:col>
      <xdr:colOff>1164705</xdr:colOff>
      <xdr:row>16</xdr:row>
      <xdr:rowOff>274387</xdr:rowOff>
    </xdr:to>
    <xdr:pic>
      <xdr:nvPicPr>
        <xdr:cNvPr id="46" name="Billede 45" descr="Dannebrog">
          <a:extLst>
            <a:ext uri="{FF2B5EF4-FFF2-40B4-BE49-F238E27FC236}">
              <a16:creationId xmlns:a16="http://schemas.microsoft.com/office/drawing/2014/main" id="{525E78CC-BA8C-4291-9BBA-FAC84940C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3242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16</xdr:row>
      <xdr:rowOff>16412</xdr:rowOff>
    </xdr:from>
    <xdr:to>
      <xdr:col>2</xdr:col>
      <xdr:colOff>492761</xdr:colOff>
      <xdr:row>16</xdr:row>
      <xdr:rowOff>304800</xdr:rowOff>
    </xdr:to>
    <xdr:pic>
      <xdr:nvPicPr>
        <xdr:cNvPr id="47" name="Billede 46">
          <a:extLst>
            <a:ext uri="{FF2B5EF4-FFF2-40B4-BE49-F238E27FC236}">
              <a16:creationId xmlns:a16="http://schemas.microsoft.com/office/drawing/2014/main" id="{D1D69A1B-BC31-4CF7-BED9-47355B0CC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240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65</xdr:row>
      <xdr:rowOff>41869</xdr:rowOff>
    </xdr:from>
    <xdr:to>
      <xdr:col>4</xdr:col>
      <xdr:colOff>1164705</xdr:colOff>
      <xdr:row>65</xdr:row>
      <xdr:rowOff>274387</xdr:rowOff>
    </xdr:to>
    <xdr:pic>
      <xdr:nvPicPr>
        <xdr:cNvPr id="49" name="Billede 48" descr="Dannebrog">
          <a:extLst>
            <a:ext uri="{FF2B5EF4-FFF2-40B4-BE49-F238E27FC236}">
              <a16:creationId xmlns:a16="http://schemas.microsoft.com/office/drawing/2014/main" id="{6EDCEE71-9EE1-438C-A82B-C8408FE9C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3242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65</xdr:row>
      <xdr:rowOff>16412</xdr:rowOff>
    </xdr:from>
    <xdr:to>
      <xdr:col>2</xdr:col>
      <xdr:colOff>492761</xdr:colOff>
      <xdr:row>65</xdr:row>
      <xdr:rowOff>304800</xdr:rowOff>
    </xdr:to>
    <xdr:pic>
      <xdr:nvPicPr>
        <xdr:cNvPr id="50" name="Billede 49">
          <a:extLst>
            <a:ext uri="{FF2B5EF4-FFF2-40B4-BE49-F238E27FC236}">
              <a16:creationId xmlns:a16="http://schemas.microsoft.com/office/drawing/2014/main" id="{9AFA5A3A-D733-489B-AAE6-38365287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240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37</xdr:row>
      <xdr:rowOff>41869</xdr:rowOff>
    </xdr:from>
    <xdr:to>
      <xdr:col>4</xdr:col>
      <xdr:colOff>1164705</xdr:colOff>
      <xdr:row>37</xdr:row>
      <xdr:rowOff>274387</xdr:rowOff>
    </xdr:to>
    <xdr:pic>
      <xdr:nvPicPr>
        <xdr:cNvPr id="52" name="Billede 51" descr="Dannebrog">
          <a:extLst>
            <a:ext uri="{FF2B5EF4-FFF2-40B4-BE49-F238E27FC236}">
              <a16:creationId xmlns:a16="http://schemas.microsoft.com/office/drawing/2014/main" id="{21D3C0DB-CA4C-4F16-BB5C-702B79CD2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087905" y="3274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37</xdr:row>
      <xdr:rowOff>16412</xdr:rowOff>
    </xdr:from>
    <xdr:to>
      <xdr:col>2</xdr:col>
      <xdr:colOff>492761</xdr:colOff>
      <xdr:row>37</xdr:row>
      <xdr:rowOff>304800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E3779FB9-D8F6-4D55-9494-D4A75D02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271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</xdr:row>
      <xdr:rowOff>39187</xdr:rowOff>
    </xdr:from>
    <xdr:to>
      <xdr:col>4</xdr:col>
      <xdr:colOff>1165542</xdr:colOff>
      <xdr:row>19</xdr:row>
      <xdr:rowOff>283029</xdr:rowOff>
    </xdr:to>
    <xdr:pic>
      <xdr:nvPicPr>
        <xdr:cNvPr id="55" name="Billede 54">
          <a:extLst>
            <a:ext uri="{FF2B5EF4-FFF2-40B4-BE49-F238E27FC236}">
              <a16:creationId xmlns:a16="http://schemas.microsoft.com/office/drawing/2014/main" id="{FAE27B2C-A1FB-4897-B3D9-0584DF0A8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2" y="1309187"/>
          <a:ext cx="360000" cy="24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</xdr:row>
      <xdr:rowOff>36286</xdr:rowOff>
    </xdr:from>
    <xdr:to>
      <xdr:col>2</xdr:col>
      <xdr:colOff>460659</xdr:colOff>
      <xdr:row>19</xdr:row>
      <xdr:rowOff>270329</xdr:rowOff>
    </xdr:to>
    <xdr:pic>
      <xdr:nvPicPr>
        <xdr:cNvPr id="56" name="Billede 55">
          <a:extLst>
            <a:ext uri="{FF2B5EF4-FFF2-40B4-BE49-F238E27FC236}">
              <a16:creationId xmlns:a16="http://schemas.microsoft.com/office/drawing/2014/main" id="{F4197E53-562A-4749-B2B1-7BCF7E292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81</xdr:row>
      <xdr:rowOff>43542</xdr:rowOff>
    </xdr:from>
    <xdr:to>
      <xdr:col>4</xdr:col>
      <xdr:colOff>1165542</xdr:colOff>
      <xdr:row>81</xdr:row>
      <xdr:rowOff>271399</xdr:rowOff>
    </xdr:to>
    <xdr:pic>
      <xdr:nvPicPr>
        <xdr:cNvPr id="58" name="Billede 57">
          <a:extLst>
            <a:ext uri="{FF2B5EF4-FFF2-40B4-BE49-F238E27FC236}">
              <a16:creationId xmlns:a16="http://schemas.microsoft.com/office/drawing/2014/main" id="{2A234F61-4944-4BB9-BF1B-E183B296C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2" y="4806042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81</xdr:row>
      <xdr:rowOff>36286</xdr:rowOff>
    </xdr:from>
    <xdr:to>
      <xdr:col>2</xdr:col>
      <xdr:colOff>460659</xdr:colOff>
      <xdr:row>81</xdr:row>
      <xdr:rowOff>270329</xdr:rowOff>
    </xdr:to>
    <xdr:pic>
      <xdr:nvPicPr>
        <xdr:cNvPr id="60" name="Billede 59">
          <a:extLst>
            <a:ext uri="{FF2B5EF4-FFF2-40B4-BE49-F238E27FC236}">
              <a16:creationId xmlns:a16="http://schemas.microsoft.com/office/drawing/2014/main" id="{145B1FF1-7285-417B-8F40-D34D71CF7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479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84</xdr:row>
      <xdr:rowOff>54429</xdr:rowOff>
    </xdr:from>
    <xdr:to>
      <xdr:col>4</xdr:col>
      <xdr:colOff>1165542</xdr:colOff>
      <xdr:row>84</xdr:row>
      <xdr:rowOff>282286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CDB7BCBC-87D8-4F3E-AB8B-B0D79F3AF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2" y="5134429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84</xdr:row>
      <xdr:rowOff>36286</xdr:rowOff>
    </xdr:from>
    <xdr:to>
      <xdr:col>2</xdr:col>
      <xdr:colOff>460659</xdr:colOff>
      <xdr:row>84</xdr:row>
      <xdr:rowOff>270329</xdr:rowOff>
    </xdr:to>
    <xdr:pic>
      <xdr:nvPicPr>
        <xdr:cNvPr id="64" name="Billede 63">
          <a:extLst>
            <a:ext uri="{FF2B5EF4-FFF2-40B4-BE49-F238E27FC236}">
              <a16:creationId xmlns:a16="http://schemas.microsoft.com/office/drawing/2014/main" id="{D7F0AC2C-E3F1-4FA7-AF33-8ADCEC12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511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805543</xdr:colOff>
      <xdr:row>54</xdr:row>
      <xdr:rowOff>54427</xdr:rowOff>
    </xdr:from>
    <xdr:to>
      <xdr:col>4</xdr:col>
      <xdr:colOff>1165543</xdr:colOff>
      <xdr:row>54</xdr:row>
      <xdr:rowOff>278332</xdr:rowOff>
    </xdr:to>
    <xdr:pic>
      <xdr:nvPicPr>
        <xdr:cNvPr id="66" name="Billede 65">
          <a:extLst>
            <a:ext uri="{FF2B5EF4-FFF2-40B4-BE49-F238E27FC236}">
              <a16:creationId xmlns:a16="http://schemas.microsoft.com/office/drawing/2014/main" id="{0CE8C4CB-581C-4BA4-AFC0-FDE0EAC346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8"/>
        <a:stretch/>
      </xdr:blipFill>
      <xdr:spPr bwMode="auto">
        <a:xfrm>
          <a:off x="6088743" y="5769427"/>
          <a:ext cx="360000" cy="22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54</xdr:row>
      <xdr:rowOff>36286</xdr:rowOff>
    </xdr:from>
    <xdr:to>
      <xdr:col>2</xdr:col>
      <xdr:colOff>460659</xdr:colOff>
      <xdr:row>54</xdr:row>
      <xdr:rowOff>270329</xdr:rowOff>
    </xdr:to>
    <xdr:pic>
      <xdr:nvPicPr>
        <xdr:cNvPr id="68" name="Billede 67">
          <a:extLst>
            <a:ext uri="{FF2B5EF4-FFF2-40B4-BE49-F238E27FC236}">
              <a16:creationId xmlns:a16="http://schemas.microsoft.com/office/drawing/2014/main" id="{5A03B60A-54F9-4E75-9123-3FC721B6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575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23</xdr:row>
      <xdr:rowOff>36286</xdr:rowOff>
    </xdr:from>
    <xdr:to>
      <xdr:col>2</xdr:col>
      <xdr:colOff>460659</xdr:colOff>
      <xdr:row>23</xdr:row>
      <xdr:rowOff>270329</xdr:rowOff>
    </xdr:to>
    <xdr:pic>
      <xdr:nvPicPr>
        <xdr:cNvPr id="70" name="Billede 69">
          <a:extLst>
            <a:ext uri="{FF2B5EF4-FFF2-40B4-BE49-F238E27FC236}">
              <a16:creationId xmlns:a16="http://schemas.microsoft.com/office/drawing/2014/main" id="{48018530-25C2-44DA-9AFC-D435B980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638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92</xdr:row>
      <xdr:rowOff>36286</xdr:rowOff>
    </xdr:from>
    <xdr:to>
      <xdr:col>2</xdr:col>
      <xdr:colOff>460659</xdr:colOff>
      <xdr:row>92</xdr:row>
      <xdr:rowOff>270329</xdr:rowOff>
    </xdr:to>
    <xdr:pic>
      <xdr:nvPicPr>
        <xdr:cNvPr id="72" name="Billede 71">
          <a:extLst>
            <a:ext uri="{FF2B5EF4-FFF2-40B4-BE49-F238E27FC236}">
              <a16:creationId xmlns:a16="http://schemas.microsoft.com/office/drawing/2014/main" id="{7818645B-827C-4C65-BD10-934B8706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6703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1055913</xdr:colOff>
      <xdr:row>94</xdr:row>
      <xdr:rowOff>555173</xdr:rowOff>
    </xdr:from>
    <xdr:to>
      <xdr:col>4</xdr:col>
      <xdr:colOff>1415913</xdr:colOff>
      <xdr:row>94</xdr:row>
      <xdr:rowOff>795858</xdr:rowOff>
    </xdr:to>
    <xdr:pic>
      <xdr:nvPicPr>
        <xdr:cNvPr id="74" name="Billede 73">
          <a:extLst>
            <a:ext uri="{FF2B5EF4-FFF2-40B4-BE49-F238E27FC236}">
              <a16:creationId xmlns:a16="http://schemas.microsoft.com/office/drawing/2014/main" id="{D95C82FF-AD4A-4570-9486-AD9B0B19B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113" y="7296333"/>
          <a:ext cx="184740" cy="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94</xdr:row>
      <xdr:rowOff>43546</xdr:rowOff>
    </xdr:from>
    <xdr:to>
      <xdr:col>4</xdr:col>
      <xdr:colOff>1165543</xdr:colOff>
      <xdr:row>94</xdr:row>
      <xdr:rowOff>286439</xdr:rowOff>
    </xdr:to>
    <xdr:pic>
      <xdr:nvPicPr>
        <xdr:cNvPr id="76" name="Billede 75">
          <a:extLst>
            <a:ext uri="{FF2B5EF4-FFF2-40B4-BE49-F238E27FC236}">
              <a16:creationId xmlns:a16="http://schemas.microsoft.com/office/drawing/2014/main" id="{12E858BD-2E76-4376-AC8B-324DC8AC5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3" y="7028546"/>
          <a:ext cx="360000" cy="242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94</xdr:row>
      <xdr:rowOff>36286</xdr:rowOff>
    </xdr:from>
    <xdr:to>
      <xdr:col>2</xdr:col>
      <xdr:colOff>460659</xdr:colOff>
      <xdr:row>94</xdr:row>
      <xdr:rowOff>270329</xdr:rowOff>
    </xdr:to>
    <xdr:pic>
      <xdr:nvPicPr>
        <xdr:cNvPr id="78" name="Billede 77">
          <a:extLst>
            <a:ext uri="{FF2B5EF4-FFF2-40B4-BE49-F238E27FC236}">
              <a16:creationId xmlns:a16="http://schemas.microsoft.com/office/drawing/2014/main" id="{6D600621-07A7-4BA4-B851-EE3F40A5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7021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99</xdr:row>
      <xdr:rowOff>43544</xdr:rowOff>
    </xdr:from>
    <xdr:to>
      <xdr:col>4</xdr:col>
      <xdr:colOff>1165542</xdr:colOff>
      <xdr:row>99</xdr:row>
      <xdr:rowOff>271401</xdr:rowOff>
    </xdr:to>
    <xdr:pic>
      <xdr:nvPicPr>
        <xdr:cNvPr id="79" name="Billede 78">
          <a:extLst>
            <a:ext uri="{FF2B5EF4-FFF2-40B4-BE49-F238E27FC236}">
              <a16:creationId xmlns:a16="http://schemas.microsoft.com/office/drawing/2014/main" id="{9424E2C9-FA0C-47D5-93B5-443070F6F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2" y="82985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99</xdr:row>
      <xdr:rowOff>36286</xdr:rowOff>
    </xdr:from>
    <xdr:to>
      <xdr:col>2</xdr:col>
      <xdr:colOff>460659</xdr:colOff>
      <xdr:row>99</xdr:row>
      <xdr:rowOff>270329</xdr:rowOff>
    </xdr:to>
    <xdr:pic>
      <xdr:nvPicPr>
        <xdr:cNvPr id="81" name="Billede 80">
          <a:extLst>
            <a:ext uri="{FF2B5EF4-FFF2-40B4-BE49-F238E27FC236}">
              <a16:creationId xmlns:a16="http://schemas.microsoft.com/office/drawing/2014/main" id="{1CEC114D-F18D-484D-A4E2-FA7E1F3E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8291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101</xdr:row>
      <xdr:rowOff>43544</xdr:rowOff>
    </xdr:from>
    <xdr:to>
      <xdr:col>4</xdr:col>
      <xdr:colOff>1165542</xdr:colOff>
      <xdr:row>101</xdr:row>
      <xdr:rowOff>271401</xdr:rowOff>
    </xdr:to>
    <xdr:pic>
      <xdr:nvPicPr>
        <xdr:cNvPr id="83" name="Billede 82">
          <a:extLst>
            <a:ext uri="{FF2B5EF4-FFF2-40B4-BE49-F238E27FC236}">
              <a16:creationId xmlns:a16="http://schemas.microsoft.com/office/drawing/2014/main" id="{FD8FF7E5-62EC-48C9-82E2-8B88F864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2" y="86160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101</xdr:row>
      <xdr:rowOff>36286</xdr:rowOff>
    </xdr:from>
    <xdr:to>
      <xdr:col>2</xdr:col>
      <xdr:colOff>460659</xdr:colOff>
      <xdr:row>101</xdr:row>
      <xdr:rowOff>270329</xdr:rowOff>
    </xdr:to>
    <xdr:pic>
      <xdr:nvPicPr>
        <xdr:cNvPr id="85" name="Billede 84">
          <a:extLst>
            <a:ext uri="{FF2B5EF4-FFF2-40B4-BE49-F238E27FC236}">
              <a16:creationId xmlns:a16="http://schemas.microsoft.com/office/drawing/2014/main" id="{3BE189E4-0AB5-4922-A334-80C4D136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860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805543</xdr:colOff>
      <xdr:row>112</xdr:row>
      <xdr:rowOff>43544</xdr:rowOff>
    </xdr:from>
    <xdr:to>
      <xdr:col>4</xdr:col>
      <xdr:colOff>1165543</xdr:colOff>
      <xdr:row>112</xdr:row>
      <xdr:rowOff>271401</xdr:rowOff>
    </xdr:to>
    <xdr:pic>
      <xdr:nvPicPr>
        <xdr:cNvPr id="87" name="Billede 86">
          <a:extLst>
            <a:ext uri="{FF2B5EF4-FFF2-40B4-BE49-F238E27FC236}">
              <a16:creationId xmlns:a16="http://schemas.microsoft.com/office/drawing/2014/main" id="{70D4C77A-FEB2-4070-A81C-B0B0289E2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3" y="121085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112</xdr:row>
      <xdr:rowOff>36286</xdr:rowOff>
    </xdr:from>
    <xdr:to>
      <xdr:col>2</xdr:col>
      <xdr:colOff>460659</xdr:colOff>
      <xdr:row>112</xdr:row>
      <xdr:rowOff>270329</xdr:rowOff>
    </xdr:to>
    <xdr:pic>
      <xdr:nvPicPr>
        <xdr:cNvPr id="89" name="Billede 88">
          <a:extLst>
            <a:ext uri="{FF2B5EF4-FFF2-40B4-BE49-F238E27FC236}">
              <a16:creationId xmlns:a16="http://schemas.microsoft.com/office/drawing/2014/main" id="{7472619C-6290-4EEE-BA37-6E57CFED9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0683" y="1210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116</xdr:row>
      <xdr:rowOff>29112</xdr:rowOff>
    </xdr:from>
    <xdr:to>
      <xdr:col>2</xdr:col>
      <xdr:colOff>492761</xdr:colOff>
      <xdr:row>117</xdr:row>
      <xdr:rowOff>0</xdr:rowOff>
    </xdr:to>
    <xdr:pic>
      <xdr:nvPicPr>
        <xdr:cNvPr id="91" name="Billede 90">
          <a:extLst>
            <a:ext uri="{FF2B5EF4-FFF2-40B4-BE49-F238E27FC236}">
              <a16:creationId xmlns:a16="http://schemas.microsoft.com/office/drawing/2014/main" id="{36E7F37D-7121-4ED3-930A-E732581E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266991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</xdr:row>
      <xdr:rowOff>29112</xdr:rowOff>
    </xdr:from>
    <xdr:to>
      <xdr:col>2</xdr:col>
      <xdr:colOff>492761</xdr:colOff>
      <xdr:row>13</xdr:row>
      <xdr:rowOff>0</xdr:rowOff>
    </xdr:to>
    <xdr:pic>
      <xdr:nvPicPr>
        <xdr:cNvPr id="93" name="Billede 92">
          <a:extLst>
            <a:ext uri="{FF2B5EF4-FFF2-40B4-BE49-F238E27FC236}">
              <a16:creationId xmlns:a16="http://schemas.microsoft.com/office/drawing/2014/main" id="{9BBEC434-BC46-426C-8C33-43DBDEB99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35216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805544</xdr:colOff>
      <xdr:row>172</xdr:row>
      <xdr:rowOff>54429</xdr:rowOff>
    </xdr:from>
    <xdr:to>
      <xdr:col>4</xdr:col>
      <xdr:colOff>1165544</xdr:colOff>
      <xdr:row>172</xdr:row>
      <xdr:rowOff>273007</xdr:rowOff>
    </xdr:to>
    <xdr:pic>
      <xdr:nvPicPr>
        <xdr:cNvPr id="95" name="Billede 94">
          <a:extLst>
            <a:ext uri="{FF2B5EF4-FFF2-40B4-BE49-F238E27FC236}">
              <a16:creationId xmlns:a16="http://schemas.microsoft.com/office/drawing/2014/main" id="{3F955204-B2FD-419F-8418-815E84F4B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4" y="267244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805544</xdr:colOff>
      <xdr:row>174</xdr:row>
      <xdr:rowOff>54429</xdr:rowOff>
    </xdr:from>
    <xdr:to>
      <xdr:col>4</xdr:col>
      <xdr:colOff>1165544</xdr:colOff>
      <xdr:row>174</xdr:row>
      <xdr:rowOff>273007</xdr:rowOff>
    </xdr:to>
    <xdr:pic>
      <xdr:nvPicPr>
        <xdr:cNvPr id="97" name="Billede 96">
          <a:extLst>
            <a:ext uri="{FF2B5EF4-FFF2-40B4-BE49-F238E27FC236}">
              <a16:creationId xmlns:a16="http://schemas.microsoft.com/office/drawing/2014/main" id="{125A1BA6-EEA6-4A3A-BFE7-105A52B01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4" y="270419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172</xdr:row>
      <xdr:rowOff>16412</xdr:rowOff>
    </xdr:from>
    <xdr:to>
      <xdr:col>2</xdr:col>
      <xdr:colOff>492761</xdr:colOff>
      <xdr:row>172</xdr:row>
      <xdr:rowOff>304800</xdr:rowOff>
    </xdr:to>
    <xdr:pic>
      <xdr:nvPicPr>
        <xdr:cNvPr id="99" name="Billede 98">
          <a:extLst>
            <a:ext uri="{FF2B5EF4-FFF2-40B4-BE49-F238E27FC236}">
              <a16:creationId xmlns:a16="http://schemas.microsoft.com/office/drawing/2014/main" id="{C88C6831-CA45-47E1-9F21-6CE590A0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255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173</xdr:row>
      <xdr:rowOff>16412</xdr:rowOff>
    </xdr:from>
    <xdr:to>
      <xdr:col>2</xdr:col>
      <xdr:colOff>492761</xdr:colOff>
      <xdr:row>173</xdr:row>
      <xdr:rowOff>304800</xdr:rowOff>
    </xdr:to>
    <xdr:pic>
      <xdr:nvPicPr>
        <xdr:cNvPr id="101" name="Billede 100">
          <a:extLst>
            <a:ext uri="{FF2B5EF4-FFF2-40B4-BE49-F238E27FC236}">
              <a16:creationId xmlns:a16="http://schemas.microsoft.com/office/drawing/2014/main" id="{8D85D7AF-D864-4745-AA6A-DF095A350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3441" y="255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109</xdr:row>
      <xdr:rowOff>16412</xdr:rowOff>
    </xdr:from>
    <xdr:to>
      <xdr:col>2</xdr:col>
      <xdr:colOff>492761</xdr:colOff>
      <xdr:row>109</xdr:row>
      <xdr:rowOff>304800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D98DA974-18B9-43E7-B4E4-E5FE1AFC9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16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109</xdr:row>
      <xdr:rowOff>56243</xdr:rowOff>
    </xdr:from>
    <xdr:to>
      <xdr:col>4</xdr:col>
      <xdr:colOff>1165542</xdr:colOff>
      <xdr:row>109</xdr:row>
      <xdr:rowOff>296816</xdr:rowOff>
    </xdr:to>
    <xdr:pic>
      <xdr:nvPicPr>
        <xdr:cNvPr id="102" name="Billede 101">
          <a:extLst>
            <a:ext uri="{FF2B5EF4-FFF2-40B4-BE49-F238E27FC236}">
              <a16:creationId xmlns:a16="http://schemas.microsoft.com/office/drawing/2014/main" id="{C498B8DB-F9A8-9AC5-13AC-22EB0A7D1F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25342" y="372037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162</xdr:row>
      <xdr:rowOff>16412</xdr:rowOff>
    </xdr:from>
    <xdr:to>
      <xdr:col>2</xdr:col>
      <xdr:colOff>492761</xdr:colOff>
      <xdr:row>162</xdr:row>
      <xdr:rowOff>304800</xdr:rowOff>
    </xdr:to>
    <xdr:pic>
      <xdr:nvPicPr>
        <xdr:cNvPr id="106" name="Billede 105">
          <a:extLst>
            <a:ext uri="{FF2B5EF4-FFF2-40B4-BE49-F238E27FC236}">
              <a16:creationId xmlns:a16="http://schemas.microsoft.com/office/drawing/2014/main" id="{B7196A49-70E7-4EFA-B4BD-2F9B01357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16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162</xdr:row>
      <xdr:rowOff>41869</xdr:rowOff>
    </xdr:from>
    <xdr:to>
      <xdr:col>4</xdr:col>
      <xdr:colOff>1164705</xdr:colOff>
      <xdr:row>162</xdr:row>
      <xdr:rowOff>274387</xdr:rowOff>
    </xdr:to>
    <xdr:pic>
      <xdr:nvPicPr>
        <xdr:cNvPr id="110" name="Billede 109" descr="Dannebrog">
          <a:extLst>
            <a:ext uri="{FF2B5EF4-FFF2-40B4-BE49-F238E27FC236}">
              <a16:creationId xmlns:a16="http://schemas.microsoft.com/office/drawing/2014/main" id="{3D3EC485-25C7-D29F-86C3-CDB8CE711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50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139</xdr:row>
      <xdr:rowOff>16412</xdr:rowOff>
    </xdr:from>
    <xdr:to>
      <xdr:col>2</xdr:col>
      <xdr:colOff>492761</xdr:colOff>
      <xdr:row>139</xdr:row>
      <xdr:rowOff>304800</xdr:rowOff>
    </xdr:to>
    <xdr:pic>
      <xdr:nvPicPr>
        <xdr:cNvPr id="111" name="Billede 110">
          <a:extLst>
            <a:ext uri="{FF2B5EF4-FFF2-40B4-BE49-F238E27FC236}">
              <a16:creationId xmlns:a16="http://schemas.microsoft.com/office/drawing/2014/main" id="{7D6B88A6-D8E6-48CC-BF92-0658AEF96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86</xdr:row>
      <xdr:rowOff>16412</xdr:rowOff>
    </xdr:from>
    <xdr:to>
      <xdr:col>2</xdr:col>
      <xdr:colOff>492761</xdr:colOff>
      <xdr:row>86</xdr:row>
      <xdr:rowOff>304800</xdr:rowOff>
    </xdr:to>
    <xdr:pic>
      <xdr:nvPicPr>
        <xdr:cNvPr id="113" name="Billede 112">
          <a:extLst>
            <a:ext uri="{FF2B5EF4-FFF2-40B4-BE49-F238E27FC236}">
              <a16:creationId xmlns:a16="http://schemas.microsoft.com/office/drawing/2014/main" id="{67F9D02D-FE6D-4557-B3B3-281C22E5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134</xdr:row>
      <xdr:rowOff>16412</xdr:rowOff>
    </xdr:from>
    <xdr:to>
      <xdr:col>2</xdr:col>
      <xdr:colOff>492761</xdr:colOff>
      <xdr:row>134</xdr:row>
      <xdr:rowOff>304800</xdr:rowOff>
    </xdr:to>
    <xdr:pic>
      <xdr:nvPicPr>
        <xdr:cNvPr id="114" name="Billede 113">
          <a:extLst>
            <a:ext uri="{FF2B5EF4-FFF2-40B4-BE49-F238E27FC236}">
              <a16:creationId xmlns:a16="http://schemas.microsoft.com/office/drawing/2014/main" id="{5B967C73-51DB-4158-A58B-805D7560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133</xdr:row>
      <xdr:rowOff>16412</xdr:rowOff>
    </xdr:from>
    <xdr:to>
      <xdr:col>2</xdr:col>
      <xdr:colOff>492761</xdr:colOff>
      <xdr:row>133</xdr:row>
      <xdr:rowOff>304800</xdr:rowOff>
    </xdr:to>
    <xdr:pic>
      <xdr:nvPicPr>
        <xdr:cNvPr id="115" name="Billede 114">
          <a:extLst>
            <a:ext uri="{FF2B5EF4-FFF2-40B4-BE49-F238E27FC236}">
              <a16:creationId xmlns:a16="http://schemas.microsoft.com/office/drawing/2014/main" id="{17E608D1-06FE-464A-99F4-0F065210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149</xdr:row>
      <xdr:rowOff>16412</xdr:rowOff>
    </xdr:from>
    <xdr:to>
      <xdr:col>2</xdr:col>
      <xdr:colOff>492761</xdr:colOff>
      <xdr:row>149</xdr:row>
      <xdr:rowOff>304800</xdr:rowOff>
    </xdr:to>
    <xdr:pic>
      <xdr:nvPicPr>
        <xdr:cNvPr id="117" name="Billede 116">
          <a:extLst>
            <a:ext uri="{FF2B5EF4-FFF2-40B4-BE49-F238E27FC236}">
              <a16:creationId xmlns:a16="http://schemas.microsoft.com/office/drawing/2014/main" id="{DCC31181-3AD6-49FC-814C-72D962A9A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135</xdr:row>
      <xdr:rowOff>16412</xdr:rowOff>
    </xdr:from>
    <xdr:to>
      <xdr:col>2</xdr:col>
      <xdr:colOff>492761</xdr:colOff>
      <xdr:row>135</xdr:row>
      <xdr:rowOff>304800</xdr:rowOff>
    </xdr:to>
    <xdr:pic>
      <xdr:nvPicPr>
        <xdr:cNvPr id="118" name="Billede 117">
          <a:extLst>
            <a:ext uri="{FF2B5EF4-FFF2-40B4-BE49-F238E27FC236}">
              <a16:creationId xmlns:a16="http://schemas.microsoft.com/office/drawing/2014/main" id="{C74C9380-A465-4535-AAF8-65AEF424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131</xdr:row>
      <xdr:rowOff>16412</xdr:rowOff>
    </xdr:from>
    <xdr:to>
      <xdr:col>2</xdr:col>
      <xdr:colOff>492761</xdr:colOff>
      <xdr:row>131</xdr:row>
      <xdr:rowOff>304800</xdr:rowOff>
    </xdr:to>
    <xdr:pic>
      <xdr:nvPicPr>
        <xdr:cNvPr id="121" name="Billede 120">
          <a:extLst>
            <a:ext uri="{FF2B5EF4-FFF2-40B4-BE49-F238E27FC236}">
              <a16:creationId xmlns:a16="http://schemas.microsoft.com/office/drawing/2014/main" id="{835E6093-E9FA-485C-8CB4-B328FD1A6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119</xdr:row>
      <xdr:rowOff>16412</xdr:rowOff>
    </xdr:from>
    <xdr:to>
      <xdr:col>2</xdr:col>
      <xdr:colOff>492761</xdr:colOff>
      <xdr:row>119</xdr:row>
      <xdr:rowOff>304800</xdr:rowOff>
    </xdr:to>
    <xdr:pic>
      <xdr:nvPicPr>
        <xdr:cNvPr id="122" name="Billede 121">
          <a:extLst>
            <a:ext uri="{FF2B5EF4-FFF2-40B4-BE49-F238E27FC236}">
              <a16:creationId xmlns:a16="http://schemas.microsoft.com/office/drawing/2014/main" id="{F04D58A3-8AB5-4888-A4BC-6776477A6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118</xdr:row>
      <xdr:rowOff>16412</xdr:rowOff>
    </xdr:from>
    <xdr:to>
      <xdr:col>2</xdr:col>
      <xdr:colOff>492761</xdr:colOff>
      <xdr:row>118</xdr:row>
      <xdr:rowOff>304800</xdr:rowOff>
    </xdr:to>
    <xdr:pic>
      <xdr:nvPicPr>
        <xdr:cNvPr id="123" name="Billede 122">
          <a:extLst>
            <a:ext uri="{FF2B5EF4-FFF2-40B4-BE49-F238E27FC236}">
              <a16:creationId xmlns:a16="http://schemas.microsoft.com/office/drawing/2014/main" id="{FCD78D96-D26E-4A23-B2FF-5A87CBBC0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98</xdr:row>
      <xdr:rowOff>16412</xdr:rowOff>
    </xdr:from>
    <xdr:to>
      <xdr:col>2</xdr:col>
      <xdr:colOff>492761</xdr:colOff>
      <xdr:row>98</xdr:row>
      <xdr:rowOff>304800</xdr:rowOff>
    </xdr:to>
    <xdr:pic>
      <xdr:nvPicPr>
        <xdr:cNvPr id="124" name="Billede 123">
          <a:extLst>
            <a:ext uri="{FF2B5EF4-FFF2-40B4-BE49-F238E27FC236}">
              <a16:creationId xmlns:a16="http://schemas.microsoft.com/office/drawing/2014/main" id="{7612B3A1-D9F2-4538-8F41-A833263D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97</xdr:row>
      <xdr:rowOff>16412</xdr:rowOff>
    </xdr:from>
    <xdr:to>
      <xdr:col>2</xdr:col>
      <xdr:colOff>492761</xdr:colOff>
      <xdr:row>97</xdr:row>
      <xdr:rowOff>304800</xdr:rowOff>
    </xdr:to>
    <xdr:pic>
      <xdr:nvPicPr>
        <xdr:cNvPr id="125" name="Billede 124">
          <a:extLst>
            <a:ext uri="{FF2B5EF4-FFF2-40B4-BE49-F238E27FC236}">
              <a16:creationId xmlns:a16="http://schemas.microsoft.com/office/drawing/2014/main" id="{1F31A931-7F9F-4F77-B518-AB40D33C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151</xdr:row>
      <xdr:rowOff>16412</xdr:rowOff>
    </xdr:from>
    <xdr:to>
      <xdr:col>2</xdr:col>
      <xdr:colOff>492761</xdr:colOff>
      <xdr:row>151</xdr:row>
      <xdr:rowOff>304800</xdr:rowOff>
    </xdr:to>
    <xdr:pic>
      <xdr:nvPicPr>
        <xdr:cNvPr id="126" name="Billede 125">
          <a:extLst>
            <a:ext uri="{FF2B5EF4-FFF2-40B4-BE49-F238E27FC236}">
              <a16:creationId xmlns:a16="http://schemas.microsoft.com/office/drawing/2014/main" id="{4C51B6D7-CFEC-47B5-BA41-DC1E9FE02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154</xdr:row>
      <xdr:rowOff>16412</xdr:rowOff>
    </xdr:from>
    <xdr:to>
      <xdr:col>2</xdr:col>
      <xdr:colOff>492761</xdr:colOff>
      <xdr:row>154</xdr:row>
      <xdr:rowOff>304800</xdr:rowOff>
    </xdr:to>
    <xdr:pic>
      <xdr:nvPicPr>
        <xdr:cNvPr id="127" name="Billede 126">
          <a:extLst>
            <a:ext uri="{FF2B5EF4-FFF2-40B4-BE49-F238E27FC236}">
              <a16:creationId xmlns:a16="http://schemas.microsoft.com/office/drawing/2014/main" id="{F3926849-5166-44A3-86FA-FA465684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121</xdr:row>
      <xdr:rowOff>16412</xdr:rowOff>
    </xdr:from>
    <xdr:to>
      <xdr:col>2</xdr:col>
      <xdr:colOff>492761</xdr:colOff>
      <xdr:row>121</xdr:row>
      <xdr:rowOff>304800</xdr:rowOff>
    </xdr:to>
    <xdr:pic>
      <xdr:nvPicPr>
        <xdr:cNvPr id="128" name="Billede 127">
          <a:extLst>
            <a:ext uri="{FF2B5EF4-FFF2-40B4-BE49-F238E27FC236}">
              <a16:creationId xmlns:a16="http://schemas.microsoft.com/office/drawing/2014/main" id="{779DA622-E9B0-4C5C-B049-BEE3A335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122</xdr:row>
      <xdr:rowOff>16412</xdr:rowOff>
    </xdr:from>
    <xdr:to>
      <xdr:col>2</xdr:col>
      <xdr:colOff>492761</xdr:colOff>
      <xdr:row>122</xdr:row>
      <xdr:rowOff>304800</xdr:rowOff>
    </xdr:to>
    <xdr:pic>
      <xdr:nvPicPr>
        <xdr:cNvPr id="129" name="Billede 128">
          <a:extLst>
            <a:ext uri="{FF2B5EF4-FFF2-40B4-BE49-F238E27FC236}">
              <a16:creationId xmlns:a16="http://schemas.microsoft.com/office/drawing/2014/main" id="{26EA7598-53AD-42BC-AB23-65D9092A5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75</xdr:row>
      <xdr:rowOff>16412</xdr:rowOff>
    </xdr:from>
    <xdr:to>
      <xdr:col>2</xdr:col>
      <xdr:colOff>492761</xdr:colOff>
      <xdr:row>75</xdr:row>
      <xdr:rowOff>304800</xdr:rowOff>
    </xdr:to>
    <xdr:pic>
      <xdr:nvPicPr>
        <xdr:cNvPr id="130" name="Billede 129">
          <a:extLst>
            <a:ext uri="{FF2B5EF4-FFF2-40B4-BE49-F238E27FC236}">
              <a16:creationId xmlns:a16="http://schemas.microsoft.com/office/drawing/2014/main" id="{5A057745-7BC7-4F0E-AC06-CE695D21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132</xdr:row>
      <xdr:rowOff>16412</xdr:rowOff>
    </xdr:from>
    <xdr:to>
      <xdr:col>2</xdr:col>
      <xdr:colOff>492761</xdr:colOff>
      <xdr:row>132</xdr:row>
      <xdr:rowOff>304800</xdr:rowOff>
    </xdr:to>
    <xdr:pic>
      <xdr:nvPicPr>
        <xdr:cNvPr id="131" name="Billede 130">
          <a:extLst>
            <a:ext uri="{FF2B5EF4-FFF2-40B4-BE49-F238E27FC236}">
              <a16:creationId xmlns:a16="http://schemas.microsoft.com/office/drawing/2014/main" id="{3A721CD5-D233-4429-81BF-C3CB11EB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125</xdr:row>
      <xdr:rowOff>16412</xdr:rowOff>
    </xdr:from>
    <xdr:to>
      <xdr:col>2</xdr:col>
      <xdr:colOff>492761</xdr:colOff>
      <xdr:row>125</xdr:row>
      <xdr:rowOff>304800</xdr:rowOff>
    </xdr:to>
    <xdr:pic>
      <xdr:nvPicPr>
        <xdr:cNvPr id="132" name="Billede 131">
          <a:extLst>
            <a:ext uri="{FF2B5EF4-FFF2-40B4-BE49-F238E27FC236}">
              <a16:creationId xmlns:a16="http://schemas.microsoft.com/office/drawing/2014/main" id="{AF20FE26-72F5-4004-85CB-644ADC6F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108</xdr:row>
      <xdr:rowOff>16412</xdr:rowOff>
    </xdr:from>
    <xdr:to>
      <xdr:col>2</xdr:col>
      <xdr:colOff>492761</xdr:colOff>
      <xdr:row>108</xdr:row>
      <xdr:rowOff>304800</xdr:rowOff>
    </xdr:to>
    <xdr:pic>
      <xdr:nvPicPr>
        <xdr:cNvPr id="133" name="Billede 132">
          <a:extLst>
            <a:ext uri="{FF2B5EF4-FFF2-40B4-BE49-F238E27FC236}">
              <a16:creationId xmlns:a16="http://schemas.microsoft.com/office/drawing/2014/main" id="{1AFA0364-CCAB-4641-A4A7-294D2209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142</xdr:row>
      <xdr:rowOff>16412</xdr:rowOff>
    </xdr:from>
    <xdr:to>
      <xdr:col>2</xdr:col>
      <xdr:colOff>492761</xdr:colOff>
      <xdr:row>142</xdr:row>
      <xdr:rowOff>304800</xdr:rowOff>
    </xdr:to>
    <xdr:pic>
      <xdr:nvPicPr>
        <xdr:cNvPr id="134" name="Billede 133">
          <a:extLst>
            <a:ext uri="{FF2B5EF4-FFF2-40B4-BE49-F238E27FC236}">
              <a16:creationId xmlns:a16="http://schemas.microsoft.com/office/drawing/2014/main" id="{CCA814DE-FBD0-423E-822C-81EC97E5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155</xdr:row>
      <xdr:rowOff>16412</xdr:rowOff>
    </xdr:from>
    <xdr:to>
      <xdr:col>2</xdr:col>
      <xdr:colOff>492761</xdr:colOff>
      <xdr:row>155</xdr:row>
      <xdr:rowOff>304800</xdr:rowOff>
    </xdr:to>
    <xdr:pic>
      <xdr:nvPicPr>
        <xdr:cNvPr id="135" name="Billede 134">
          <a:extLst>
            <a:ext uri="{FF2B5EF4-FFF2-40B4-BE49-F238E27FC236}">
              <a16:creationId xmlns:a16="http://schemas.microsoft.com/office/drawing/2014/main" id="{0B8349F5-3903-42D2-ADC7-BDD76B59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160</xdr:row>
      <xdr:rowOff>16412</xdr:rowOff>
    </xdr:from>
    <xdr:to>
      <xdr:col>2</xdr:col>
      <xdr:colOff>492761</xdr:colOff>
      <xdr:row>160</xdr:row>
      <xdr:rowOff>304800</xdr:rowOff>
    </xdr:to>
    <xdr:pic>
      <xdr:nvPicPr>
        <xdr:cNvPr id="136" name="Billede 135">
          <a:extLst>
            <a:ext uri="{FF2B5EF4-FFF2-40B4-BE49-F238E27FC236}">
              <a16:creationId xmlns:a16="http://schemas.microsoft.com/office/drawing/2014/main" id="{873CE64F-7523-49F1-B812-067F81241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137</xdr:row>
      <xdr:rowOff>16412</xdr:rowOff>
    </xdr:from>
    <xdr:to>
      <xdr:col>2</xdr:col>
      <xdr:colOff>492761</xdr:colOff>
      <xdr:row>137</xdr:row>
      <xdr:rowOff>304800</xdr:rowOff>
    </xdr:to>
    <xdr:pic>
      <xdr:nvPicPr>
        <xdr:cNvPr id="137" name="Billede 136">
          <a:extLst>
            <a:ext uri="{FF2B5EF4-FFF2-40B4-BE49-F238E27FC236}">
              <a16:creationId xmlns:a16="http://schemas.microsoft.com/office/drawing/2014/main" id="{1F1AC770-5347-42B0-8027-5339775AB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87</xdr:row>
      <xdr:rowOff>16412</xdr:rowOff>
    </xdr:from>
    <xdr:to>
      <xdr:col>2</xdr:col>
      <xdr:colOff>492761</xdr:colOff>
      <xdr:row>87</xdr:row>
      <xdr:rowOff>304800</xdr:rowOff>
    </xdr:to>
    <xdr:pic>
      <xdr:nvPicPr>
        <xdr:cNvPr id="138" name="Billede 137">
          <a:extLst>
            <a:ext uri="{FF2B5EF4-FFF2-40B4-BE49-F238E27FC236}">
              <a16:creationId xmlns:a16="http://schemas.microsoft.com/office/drawing/2014/main" id="{DB354152-710A-419B-AA5A-142F9AB5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72</xdr:row>
      <xdr:rowOff>16412</xdr:rowOff>
    </xdr:from>
    <xdr:to>
      <xdr:col>2</xdr:col>
      <xdr:colOff>492761</xdr:colOff>
      <xdr:row>72</xdr:row>
      <xdr:rowOff>304800</xdr:rowOff>
    </xdr:to>
    <xdr:pic>
      <xdr:nvPicPr>
        <xdr:cNvPr id="139" name="Billede 138">
          <a:extLst>
            <a:ext uri="{FF2B5EF4-FFF2-40B4-BE49-F238E27FC236}">
              <a16:creationId xmlns:a16="http://schemas.microsoft.com/office/drawing/2014/main" id="{57617F93-5750-416F-AFB8-EE8FAA4D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73</xdr:row>
      <xdr:rowOff>16412</xdr:rowOff>
    </xdr:from>
    <xdr:to>
      <xdr:col>2</xdr:col>
      <xdr:colOff>492761</xdr:colOff>
      <xdr:row>73</xdr:row>
      <xdr:rowOff>304800</xdr:rowOff>
    </xdr:to>
    <xdr:pic>
      <xdr:nvPicPr>
        <xdr:cNvPr id="140" name="Billede 139">
          <a:extLst>
            <a:ext uri="{FF2B5EF4-FFF2-40B4-BE49-F238E27FC236}">
              <a16:creationId xmlns:a16="http://schemas.microsoft.com/office/drawing/2014/main" id="{C5B86CB0-EA80-4882-BB28-38B3D71C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91</xdr:row>
      <xdr:rowOff>16412</xdr:rowOff>
    </xdr:from>
    <xdr:to>
      <xdr:col>2</xdr:col>
      <xdr:colOff>492761</xdr:colOff>
      <xdr:row>91</xdr:row>
      <xdr:rowOff>304800</xdr:rowOff>
    </xdr:to>
    <xdr:pic>
      <xdr:nvPicPr>
        <xdr:cNvPr id="141" name="Billede 140">
          <a:extLst>
            <a:ext uri="{FF2B5EF4-FFF2-40B4-BE49-F238E27FC236}">
              <a16:creationId xmlns:a16="http://schemas.microsoft.com/office/drawing/2014/main" id="{35A9EECE-87AA-44A2-AE12-E523548D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145</xdr:row>
      <xdr:rowOff>16412</xdr:rowOff>
    </xdr:from>
    <xdr:to>
      <xdr:col>2</xdr:col>
      <xdr:colOff>492761</xdr:colOff>
      <xdr:row>145</xdr:row>
      <xdr:rowOff>304800</xdr:rowOff>
    </xdr:to>
    <xdr:pic>
      <xdr:nvPicPr>
        <xdr:cNvPr id="142" name="Billede 141">
          <a:extLst>
            <a:ext uri="{FF2B5EF4-FFF2-40B4-BE49-F238E27FC236}">
              <a16:creationId xmlns:a16="http://schemas.microsoft.com/office/drawing/2014/main" id="{FEBF2318-BC76-4567-B1FB-4B7FEF71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143</xdr:row>
      <xdr:rowOff>16412</xdr:rowOff>
    </xdr:from>
    <xdr:to>
      <xdr:col>2</xdr:col>
      <xdr:colOff>492761</xdr:colOff>
      <xdr:row>143</xdr:row>
      <xdr:rowOff>304800</xdr:rowOff>
    </xdr:to>
    <xdr:pic>
      <xdr:nvPicPr>
        <xdr:cNvPr id="143" name="Billede 142">
          <a:extLst>
            <a:ext uri="{FF2B5EF4-FFF2-40B4-BE49-F238E27FC236}">
              <a16:creationId xmlns:a16="http://schemas.microsoft.com/office/drawing/2014/main" id="{6BCD6FD9-6F17-449C-BB17-3CA18BBE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168</xdr:row>
      <xdr:rowOff>16412</xdr:rowOff>
    </xdr:from>
    <xdr:to>
      <xdr:col>2</xdr:col>
      <xdr:colOff>492761</xdr:colOff>
      <xdr:row>168</xdr:row>
      <xdr:rowOff>304800</xdr:rowOff>
    </xdr:to>
    <xdr:pic>
      <xdr:nvPicPr>
        <xdr:cNvPr id="144" name="Billede 143">
          <a:extLst>
            <a:ext uri="{FF2B5EF4-FFF2-40B4-BE49-F238E27FC236}">
              <a16:creationId xmlns:a16="http://schemas.microsoft.com/office/drawing/2014/main" id="{FBCA3DB1-98E7-4BE1-B8CD-7995D770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144</xdr:row>
      <xdr:rowOff>16412</xdr:rowOff>
    </xdr:from>
    <xdr:to>
      <xdr:col>2</xdr:col>
      <xdr:colOff>492761</xdr:colOff>
      <xdr:row>144</xdr:row>
      <xdr:rowOff>304800</xdr:rowOff>
    </xdr:to>
    <xdr:pic>
      <xdr:nvPicPr>
        <xdr:cNvPr id="145" name="Billede 144">
          <a:extLst>
            <a:ext uri="{FF2B5EF4-FFF2-40B4-BE49-F238E27FC236}">
              <a16:creationId xmlns:a16="http://schemas.microsoft.com/office/drawing/2014/main" id="{9FC2B0A8-AD6D-4CF4-8EC7-4D44B49CF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126</xdr:row>
      <xdr:rowOff>16412</xdr:rowOff>
    </xdr:from>
    <xdr:to>
      <xdr:col>2</xdr:col>
      <xdr:colOff>492761</xdr:colOff>
      <xdr:row>126</xdr:row>
      <xdr:rowOff>304800</xdr:rowOff>
    </xdr:to>
    <xdr:pic>
      <xdr:nvPicPr>
        <xdr:cNvPr id="150" name="Billede 149">
          <a:extLst>
            <a:ext uri="{FF2B5EF4-FFF2-40B4-BE49-F238E27FC236}">
              <a16:creationId xmlns:a16="http://schemas.microsoft.com/office/drawing/2014/main" id="{A55806B0-2900-47A2-845E-05D82706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127</xdr:row>
      <xdr:rowOff>16412</xdr:rowOff>
    </xdr:from>
    <xdr:to>
      <xdr:col>2</xdr:col>
      <xdr:colOff>492761</xdr:colOff>
      <xdr:row>127</xdr:row>
      <xdr:rowOff>304800</xdr:rowOff>
    </xdr:to>
    <xdr:pic>
      <xdr:nvPicPr>
        <xdr:cNvPr id="151" name="Billede 150">
          <a:extLst>
            <a:ext uri="{FF2B5EF4-FFF2-40B4-BE49-F238E27FC236}">
              <a16:creationId xmlns:a16="http://schemas.microsoft.com/office/drawing/2014/main" id="{C54335F5-1070-4B73-8191-88FB74EC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128</xdr:row>
      <xdr:rowOff>16412</xdr:rowOff>
    </xdr:from>
    <xdr:to>
      <xdr:col>2</xdr:col>
      <xdr:colOff>492761</xdr:colOff>
      <xdr:row>128</xdr:row>
      <xdr:rowOff>304800</xdr:rowOff>
    </xdr:to>
    <xdr:pic>
      <xdr:nvPicPr>
        <xdr:cNvPr id="152" name="Billede 151">
          <a:extLst>
            <a:ext uri="{FF2B5EF4-FFF2-40B4-BE49-F238E27FC236}">
              <a16:creationId xmlns:a16="http://schemas.microsoft.com/office/drawing/2014/main" id="{D090A4D4-079C-443B-94C2-D09D2B53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115</xdr:row>
      <xdr:rowOff>16412</xdr:rowOff>
    </xdr:from>
    <xdr:to>
      <xdr:col>2</xdr:col>
      <xdr:colOff>492761</xdr:colOff>
      <xdr:row>115</xdr:row>
      <xdr:rowOff>304800</xdr:rowOff>
    </xdr:to>
    <xdr:pic>
      <xdr:nvPicPr>
        <xdr:cNvPr id="153" name="Billede 152">
          <a:extLst>
            <a:ext uri="{FF2B5EF4-FFF2-40B4-BE49-F238E27FC236}">
              <a16:creationId xmlns:a16="http://schemas.microsoft.com/office/drawing/2014/main" id="{85BAC25B-A155-4DCA-BF37-205142960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116</xdr:row>
      <xdr:rowOff>16412</xdr:rowOff>
    </xdr:from>
    <xdr:to>
      <xdr:col>2</xdr:col>
      <xdr:colOff>492761</xdr:colOff>
      <xdr:row>116</xdr:row>
      <xdr:rowOff>304800</xdr:rowOff>
    </xdr:to>
    <xdr:pic>
      <xdr:nvPicPr>
        <xdr:cNvPr id="154" name="Billede 153">
          <a:extLst>
            <a:ext uri="{FF2B5EF4-FFF2-40B4-BE49-F238E27FC236}">
              <a16:creationId xmlns:a16="http://schemas.microsoft.com/office/drawing/2014/main" id="{544ACB47-859C-4EE7-9390-FB5A124BC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117</xdr:row>
      <xdr:rowOff>16412</xdr:rowOff>
    </xdr:from>
    <xdr:to>
      <xdr:col>2</xdr:col>
      <xdr:colOff>492761</xdr:colOff>
      <xdr:row>117</xdr:row>
      <xdr:rowOff>304800</xdr:rowOff>
    </xdr:to>
    <xdr:pic>
      <xdr:nvPicPr>
        <xdr:cNvPr id="156" name="Billede 155">
          <a:extLst>
            <a:ext uri="{FF2B5EF4-FFF2-40B4-BE49-F238E27FC236}">
              <a16:creationId xmlns:a16="http://schemas.microsoft.com/office/drawing/2014/main" id="{51C82083-0FB7-4998-9B95-F475074E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78</xdr:row>
      <xdr:rowOff>16412</xdr:rowOff>
    </xdr:from>
    <xdr:to>
      <xdr:col>2</xdr:col>
      <xdr:colOff>492761</xdr:colOff>
      <xdr:row>78</xdr:row>
      <xdr:rowOff>304800</xdr:rowOff>
    </xdr:to>
    <xdr:pic>
      <xdr:nvPicPr>
        <xdr:cNvPr id="157" name="Billede 156">
          <a:extLst>
            <a:ext uri="{FF2B5EF4-FFF2-40B4-BE49-F238E27FC236}">
              <a16:creationId xmlns:a16="http://schemas.microsoft.com/office/drawing/2014/main" id="{D7E5CBCC-C289-4DE4-B043-10C303C9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141</xdr:row>
      <xdr:rowOff>16412</xdr:rowOff>
    </xdr:from>
    <xdr:to>
      <xdr:col>2</xdr:col>
      <xdr:colOff>492761</xdr:colOff>
      <xdr:row>141</xdr:row>
      <xdr:rowOff>304800</xdr:rowOff>
    </xdr:to>
    <xdr:pic>
      <xdr:nvPicPr>
        <xdr:cNvPr id="158" name="Billede 157">
          <a:extLst>
            <a:ext uri="{FF2B5EF4-FFF2-40B4-BE49-F238E27FC236}">
              <a16:creationId xmlns:a16="http://schemas.microsoft.com/office/drawing/2014/main" id="{9A0C5931-5493-4EB9-AE39-6C540A27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136</xdr:row>
      <xdr:rowOff>16412</xdr:rowOff>
    </xdr:from>
    <xdr:to>
      <xdr:col>2</xdr:col>
      <xdr:colOff>492761</xdr:colOff>
      <xdr:row>136</xdr:row>
      <xdr:rowOff>304800</xdr:rowOff>
    </xdr:to>
    <xdr:pic>
      <xdr:nvPicPr>
        <xdr:cNvPr id="159" name="Billede 158">
          <a:extLst>
            <a:ext uri="{FF2B5EF4-FFF2-40B4-BE49-F238E27FC236}">
              <a16:creationId xmlns:a16="http://schemas.microsoft.com/office/drawing/2014/main" id="{0E6C98E1-CFC7-413C-8D4A-077A798E6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748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139</xdr:row>
      <xdr:rowOff>41869</xdr:rowOff>
    </xdr:from>
    <xdr:to>
      <xdr:col>4</xdr:col>
      <xdr:colOff>1164705</xdr:colOff>
      <xdr:row>139</xdr:row>
      <xdr:rowOff>274387</xdr:rowOff>
    </xdr:to>
    <xdr:pic>
      <xdr:nvPicPr>
        <xdr:cNvPr id="160" name="Billede 159" descr="Dannebrog">
          <a:extLst>
            <a:ext uri="{FF2B5EF4-FFF2-40B4-BE49-F238E27FC236}">
              <a16:creationId xmlns:a16="http://schemas.microsoft.com/office/drawing/2014/main" id="{A1AA1E38-BFEB-A9B8-24EE-65CF1CA14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86</xdr:row>
      <xdr:rowOff>41869</xdr:rowOff>
    </xdr:from>
    <xdr:to>
      <xdr:col>4</xdr:col>
      <xdr:colOff>1164705</xdr:colOff>
      <xdr:row>86</xdr:row>
      <xdr:rowOff>274387</xdr:rowOff>
    </xdr:to>
    <xdr:pic>
      <xdr:nvPicPr>
        <xdr:cNvPr id="161" name="Billede 160" descr="Dannebrog">
          <a:extLst>
            <a:ext uri="{FF2B5EF4-FFF2-40B4-BE49-F238E27FC236}">
              <a16:creationId xmlns:a16="http://schemas.microsoft.com/office/drawing/2014/main" id="{322B1ADE-96E6-4CA8-8FE0-2E99C813A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134</xdr:row>
      <xdr:rowOff>41869</xdr:rowOff>
    </xdr:from>
    <xdr:to>
      <xdr:col>4</xdr:col>
      <xdr:colOff>1164705</xdr:colOff>
      <xdr:row>134</xdr:row>
      <xdr:rowOff>274387</xdr:rowOff>
    </xdr:to>
    <xdr:pic>
      <xdr:nvPicPr>
        <xdr:cNvPr id="163" name="Billede 162" descr="Dannebrog">
          <a:extLst>
            <a:ext uri="{FF2B5EF4-FFF2-40B4-BE49-F238E27FC236}">
              <a16:creationId xmlns:a16="http://schemas.microsoft.com/office/drawing/2014/main" id="{CA3117ED-D8FD-4219-9B8A-5AD88AECD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133</xdr:row>
      <xdr:rowOff>41869</xdr:rowOff>
    </xdr:from>
    <xdr:to>
      <xdr:col>4</xdr:col>
      <xdr:colOff>1164705</xdr:colOff>
      <xdr:row>133</xdr:row>
      <xdr:rowOff>274387</xdr:rowOff>
    </xdr:to>
    <xdr:pic>
      <xdr:nvPicPr>
        <xdr:cNvPr id="164" name="Billede 163" descr="Dannebrog">
          <a:extLst>
            <a:ext uri="{FF2B5EF4-FFF2-40B4-BE49-F238E27FC236}">
              <a16:creationId xmlns:a16="http://schemas.microsoft.com/office/drawing/2014/main" id="{1863F337-43FC-4C49-978B-F4CF09753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149</xdr:row>
      <xdr:rowOff>41869</xdr:rowOff>
    </xdr:from>
    <xdr:to>
      <xdr:col>4</xdr:col>
      <xdr:colOff>1164705</xdr:colOff>
      <xdr:row>149</xdr:row>
      <xdr:rowOff>274387</xdr:rowOff>
    </xdr:to>
    <xdr:pic>
      <xdr:nvPicPr>
        <xdr:cNvPr id="165" name="Billede 164" descr="Dannebrog">
          <a:extLst>
            <a:ext uri="{FF2B5EF4-FFF2-40B4-BE49-F238E27FC236}">
              <a16:creationId xmlns:a16="http://schemas.microsoft.com/office/drawing/2014/main" id="{CCD4A323-A61F-454B-B11B-9332DCFAC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135</xdr:row>
      <xdr:rowOff>41869</xdr:rowOff>
    </xdr:from>
    <xdr:to>
      <xdr:col>4</xdr:col>
      <xdr:colOff>1164705</xdr:colOff>
      <xdr:row>135</xdr:row>
      <xdr:rowOff>274387</xdr:rowOff>
    </xdr:to>
    <xdr:pic>
      <xdr:nvPicPr>
        <xdr:cNvPr id="166" name="Billede 165" descr="Dannebrog">
          <a:extLst>
            <a:ext uri="{FF2B5EF4-FFF2-40B4-BE49-F238E27FC236}">
              <a16:creationId xmlns:a16="http://schemas.microsoft.com/office/drawing/2014/main" id="{8C795821-A7E3-40BD-8284-59D8E04AB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131</xdr:row>
      <xdr:rowOff>41869</xdr:rowOff>
    </xdr:from>
    <xdr:to>
      <xdr:col>4</xdr:col>
      <xdr:colOff>1164705</xdr:colOff>
      <xdr:row>131</xdr:row>
      <xdr:rowOff>274387</xdr:rowOff>
    </xdr:to>
    <xdr:pic>
      <xdr:nvPicPr>
        <xdr:cNvPr id="168" name="Billede 167" descr="Dannebrog">
          <a:extLst>
            <a:ext uri="{FF2B5EF4-FFF2-40B4-BE49-F238E27FC236}">
              <a16:creationId xmlns:a16="http://schemas.microsoft.com/office/drawing/2014/main" id="{AD135A0F-87C6-456E-95C5-3BA1861C8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119</xdr:row>
      <xdr:rowOff>41869</xdr:rowOff>
    </xdr:from>
    <xdr:to>
      <xdr:col>4</xdr:col>
      <xdr:colOff>1164705</xdr:colOff>
      <xdr:row>119</xdr:row>
      <xdr:rowOff>274387</xdr:rowOff>
    </xdr:to>
    <xdr:pic>
      <xdr:nvPicPr>
        <xdr:cNvPr id="169" name="Billede 168" descr="Dannebrog">
          <a:extLst>
            <a:ext uri="{FF2B5EF4-FFF2-40B4-BE49-F238E27FC236}">
              <a16:creationId xmlns:a16="http://schemas.microsoft.com/office/drawing/2014/main" id="{590CAFAD-959D-46C5-A842-53BA9CEC2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118</xdr:row>
      <xdr:rowOff>41869</xdr:rowOff>
    </xdr:from>
    <xdr:to>
      <xdr:col>4</xdr:col>
      <xdr:colOff>1164705</xdr:colOff>
      <xdr:row>118</xdr:row>
      <xdr:rowOff>274387</xdr:rowOff>
    </xdr:to>
    <xdr:pic>
      <xdr:nvPicPr>
        <xdr:cNvPr id="170" name="Billede 169" descr="Dannebrog">
          <a:extLst>
            <a:ext uri="{FF2B5EF4-FFF2-40B4-BE49-F238E27FC236}">
              <a16:creationId xmlns:a16="http://schemas.microsoft.com/office/drawing/2014/main" id="{E662F621-1778-4364-AEAD-D0816A1BDD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98</xdr:row>
      <xdr:rowOff>41869</xdr:rowOff>
    </xdr:from>
    <xdr:to>
      <xdr:col>4</xdr:col>
      <xdr:colOff>1164705</xdr:colOff>
      <xdr:row>98</xdr:row>
      <xdr:rowOff>274387</xdr:rowOff>
    </xdr:to>
    <xdr:pic>
      <xdr:nvPicPr>
        <xdr:cNvPr id="171" name="Billede 170" descr="Dannebrog">
          <a:extLst>
            <a:ext uri="{FF2B5EF4-FFF2-40B4-BE49-F238E27FC236}">
              <a16:creationId xmlns:a16="http://schemas.microsoft.com/office/drawing/2014/main" id="{7793D3BA-C04F-4C36-BD8A-05E932F130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814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97</xdr:row>
      <xdr:rowOff>41869</xdr:rowOff>
    </xdr:from>
    <xdr:to>
      <xdr:col>4</xdr:col>
      <xdr:colOff>1164705</xdr:colOff>
      <xdr:row>97</xdr:row>
      <xdr:rowOff>274387</xdr:rowOff>
    </xdr:to>
    <xdr:pic>
      <xdr:nvPicPr>
        <xdr:cNvPr id="172" name="Billede 171" descr="Dannebrog">
          <a:extLst>
            <a:ext uri="{FF2B5EF4-FFF2-40B4-BE49-F238E27FC236}">
              <a16:creationId xmlns:a16="http://schemas.microsoft.com/office/drawing/2014/main" id="{E364CEBF-2920-4364-8FC8-478E06BF0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845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151</xdr:row>
      <xdr:rowOff>41869</xdr:rowOff>
    </xdr:from>
    <xdr:to>
      <xdr:col>4</xdr:col>
      <xdr:colOff>1164705</xdr:colOff>
      <xdr:row>151</xdr:row>
      <xdr:rowOff>274387</xdr:rowOff>
    </xdr:to>
    <xdr:pic>
      <xdr:nvPicPr>
        <xdr:cNvPr id="173" name="Billede 172" descr="Dannebrog">
          <a:extLst>
            <a:ext uri="{FF2B5EF4-FFF2-40B4-BE49-F238E27FC236}">
              <a16:creationId xmlns:a16="http://schemas.microsoft.com/office/drawing/2014/main" id="{A3865AA3-E42C-4305-9E12-F4116422D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877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154</xdr:row>
      <xdr:rowOff>41869</xdr:rowOff>
    </xdr:from>
    <xdr:to>
      <xdr:col>4</xdr:col>
      <xdr:colOff>1164705</xdr:colOff>
      <xdr:row>154</xdr:row>
      <xdr:rowOff>274387</xdr:rowOff>
    </xdr:to>
    <xdr:pic>
      <xdr:nvPicPr>
        <xdr:cNvPr id="175" name="Billede 174" descr="Dannebrog">
          <a:extLst>
            <a:ext uri="{FF2B5EF4-FFF2-40B4-BE49-F238E27FC236}">
              <a16:creationId xmlns:a16="http://schemas.microsoft.com/office/drawing/2014/main" id="{3D0AAD26-725E-4E9F-A2FC-897F7A78E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909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121</xdr:row>
      <xdr:rowOff>41869</xdr:rowOff>
    </xdr:from>
    <xdr:to>
      <xdr:col>4</xdr:col>
      <xdr:colOff>1164705</xdr:colOff>
      <xdr:row>121</xdr:row>
      <xdr:rowOff>274387</xdr:rowOff>
    </xdr:to>
    <xdr:pic>
      <xdr:nvPicPr>
        <xdr:cNvPr id="176" name="Billede 175" descr="Dannebrog">
          <a:extLst>
            <a:ext uri="{FF2B5EF4-FFF2-40B4-BE49-F238E27FC236}">
              <a16:creationId xmlns:a16="http://schemas.microsoft.com/office/drawing/2014/main" id="{505D1D9D-9657-490D-828F-BF6BE12CF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941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122</xdr:row>
      <xdr:rowOff>41869</xdr:rowOff>
    </xdr:from>
    <xdr:to>
      <xdr:col>4</xdr:col>
      <xdr:colOff>1164705</xdr:colOff>
      <xdr:row>122</xdr:row>
      <xdr:rowOff>274387</xdr:rowOff>
    </xdr:to>
    <xdr:pic>
      <xdr:nvPicPr>
        <xdr:cNvPr id="177" name="Billede 176" descr="Dannebrog">
          <a:extLst>
            <a:ext uri="{FF2B5EF4-FFF2-40B4-BE49-F238E27FC236}">
              <a16:creationId xmlns:a16="http://schemas.microsoft.com/office/drawing/2014/main" id="{CBB286A8-18D5-46FF-83E1-2796579C3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972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75</xdr:row>
      <xdr:rowOff>41869</xdr:rowOff>
    </xdr:from>
    <xdr:to>
      <xdr:col>4</xdr:col>
      <xdr:colOff>1164705</xdr:colOff>
      <xdr:row>75</xdr:row>
      <xdr:rowOff>274387</xdr:rowOff>
    </xdr:to>
    <xdr:pic>
      <xdr:nvPicPr>
        <xdr:cNvPr id="178" name="Billede 177" descr="Dannebrog">
          <a:extLst>
            <a:ext uri="{FF2B5EF4-FFF2-40B4-BE49-F238E27FC236}">
              <a16:creationId xmlns:a16="http://schemas.microsoft.com/office/drawing/2014/main" id="{0831665B-58B8-4BEA-8D27-AD3438395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004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132</xdr:row>
      <xdr:rowOff>41869</xdr:rowOff>
    </xdr:from>
    <xdr:to>
      <xdr:col>4</xdr:col>
      <xdr:colOff>1164705</xdr:colOff>
      <xdr:row>132</xdr:row>
      <xdr:rowOff>274387</xdr:rowOff>
    </xdr:to>
    <xdr:pic>
      <xdr:nvPicPr>
        <xdr:cNvPr id="179" name="Billede 178" descr="Dannebrog">
          <a:extLst>
            <a:ext uri="{FF2B5EF4-FFF2-40B4-BE49-F238E27FC236}">
              <a16:creationId xmlns:a16="http://schemas.microsoft.com/office/drawing/2014/main" id="{B6156910-F063-4805-93C8-2743D513D3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782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125</xdr:row>
      <xdr:rowOff>41869</xdr:rowOff>
    </xdr:from>
    <xdr:to>
      <xdr:col>4</xdr:col>
      <xdr:colOff>1164705</xdr:colOff>
      <xdr:row>125</xdr:row>
      <xdr:rowOff>274387</xdr:rowOff>
    </xdr:to>
    <xdr:pic>
      <xdr:nvPicPr>
        <xdr:cNvPr id="180" name="Billede 179" descr="Dannebrog">
          <a:extLst>
            <a:ext uri="{FF2B5EF4-FFF2-40B4-BE49-F238E27FC236}">
              <a16:creationId xmlns:a16="http://schemas.microsoft.com/office/drawing/2014/main" id="{1543158D-4E09-4B12-A01A-5CA4DFB53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814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108</xdr:row>
      <xdr:rowOff>41869</xdr:rowOff>
    </xdr:from>
    <xdr:to>
      <xdr:col>4</xdr:col>
      <xdr:colOff>1164705</xdr:colOff>
      <xdr:row>108</xdr:row>
      <xdr:rowOff>274387</xdr:rowOff>
    </xdr:to>
    <xdr:pic>
      <xdr:nvPicPr>
        <xdr:cNvPr id="183" name="Billede 182" descr="Dannebrog">
          <a:extLst>
            <a:ext uri="{FF2B5EF4-FFF2-40B4-BE49-F238E27FC236}">
              <a16:creationId xmlns:a16="http://schemas.microsoft.com/office/drawing/2014/main" id="{1FD41C2B-3105-42AE-8724-20C32E893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845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142</xdr:row>
      <xdr:rowOff>41869</xdr:rowOff>
    </xdr:from>
    <xdr:to>
      <xdr:col>4</xdr:col>
      <xdr:colOff>1164705</xdr:colOff>
      <xdr:row>142</xdr:row>
      <xdr:rowOff>274387</xdr:rowOff>
    </xdr:to>
    <xdr:pic>
      <xdr:nvPicPr>
        <xdr:cNvPr id="184" name="Billede 183" descr="Dannebrog">
          <a:extLst>
            <a:ext uri="{FF2B5EF4-FFF2-40B4-BE49-F238E27FC236}">
              <a16:creationId xmlns:a16="http://schemas.microsoft.com/office/drawing/2014/main" id="{0A60573F-141B-46DA-B36E-A47DAC8B3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877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155</xdr:row>
      <xdr:rowOff>41869</xdr:rowOff>
    </xdr:from>
    <xdr:to>
      <xdr:col>4</xdr:col>
      <xdr:colOff>1164705</xdr:colOff>
      <xdr:row>155</xdr:row>
      <xdr:rowOff>274387</xdr:rowOff>
    </xdr:to>
    <xdr:pic>
      <xdr:nvPicPr>
        <xdr:cNvPr id="185" name="Billede 184" descr="Dannebrog">
          <a:extLst>
            <a:ext uri="{FF2B5EF4-FFF2-40B4-BE49-F238E27FC236}">
              <a16:creationId xmlns:a16="http://schemas.microsoft.com/office/drawing/2014/main" id="{86C71684-BF7B-4383-B0BE-370CBE08C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909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160</xdr:row>
      <xdr:rowOff>41869</xdr:rowOff>
    </xdr:from>
    <xdr:to>
      <xdr:col>4</xdr:col>
      <xdr:colOff>1164705</xdr:colOff>
      <xdr:row>160</xdr:row>
      <xdr:rowOff>274387</xdr:rowOff>
    </xdr:to>
    <xdr:pic>
      <xdr:nvPicPr>
        <xdr:cNvPr id="186" name="Billede 185" descr="Dannebrog">
          <a:extLst>
            <a:ext uri="{FF2B5EF4-FFF2-40B4-BE49-F238E27FC236}">
              <a16:creationId xmlns:a16="http://schemas.microsoft.com/office/drawing/2014/main" id="{6E21BB3F-DDBC-43B0-A8C7-948774EA4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941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137</xdr:row>
      <xdr:rowOff>41869</xdr:rowOff>
    </xdr:from>
    <xdr:to>
      <xdr:col>4</xdr:col>
      <xdr:colOff>1164705</xdr:colOff>
      <xdr:row>137</xdr:row>
      <xdr:rowOff>274387</xdr:rowOff>
    </xdr:to>
    <xdr:pic>
      <xdr:nvPicPr>
        <xdr:cNvPr id="187" name="Billede 186" descr="Dannebrog">
          <a:extLst>
            <a:ext uri="{FF2B5EF4-FFF2-40B4-BE49-F238E27FC236}">
              <a16:creationId xmlns:a16="http://schemas.microsoft.com/office/drawing/2014/main" id="{BCFCD253-B501-4D13-B8A2-384357AC3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972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87</xdr:row>
      <xdr:rowOff>41869</xdr:rowOff>
    </xdr:from>
    <xdr:to>
      <xdr:col>4</xdr:col>
      <xdr:colOff>1164705</xdr:colOff>
      <xdr:row>87</xdr:row>
      <xdr:rowOff>274387</xdr:rowOff>
    </xdr:to>
    <xdr:pic>
      <xdr:nvPicPr>
        <xdr:cNvPr id="188" name="Billede 187" descr="Dannebrog">
          <a:extLst>
            <a:ext uri="{FF2B5EF4-FFF2-40B4-BE49-F238E27FC236}">
              <a16:creationId xmlns:a16="http://schemas.microsoft.com/office/drawing/2014/main" id="{38556A5D-B965-46DD-8A84-E6808404C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004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72</xdr:row>
      <xdr:rowOff>41869</xdr:rowOff>
    </xdr:from>
    <xdr:to>
      <xdr:col>4</xdr:col>
      <xdr:colOff>1164705</xdr:colOff>
      <xdr:row>72</xdr:row>
      <xdr:rowOff>274387</xdr:rowOff>
    </xdr:to>
    <xdr:pic>
      <xdr:nvPicPr>
        <xdr:cNvPr id="189" name="Billede 188" descr="Dannebrog">
          <a:extLst>
            <a:ext uri="{FF2B5EF4-FFF2-40B4-BE49-F238E27FC236}">
              <a16:creationId xmlns:a16="http://schemas.microsoft.com/office/drawing/2014/main" id="{8176FF14-E537-977B-F597-D6D1EAB91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544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73</xdr:row>
      <xdr:rowOff>41869</xdr:rowOff>
    </xdr:from>
    <xdr:to>
      <xdr:col>4</xdr:col>
      <xdr:colOff>1164705</xdr:colOff>
      <xdr:row>73</xdr:row>
      <xdr:rowOff>274387</xdr:rowOff>
    </xdr:to>
    <xdr:pic>
      <xdr:nvPicPr>
        <xdr:cNvPr id="190" name="Billede 189" descr="Dannebrog">
          <a:extLst>
            <a:ext uri="{FF2B5EF4-FFF2-40B4-BE49-F238E27FC236}">
              <a16:creationId xmlns:a16="http://schemas.microsoft.com/office/drawing/2014/main" id="{28444028-8716-EF5A-EF4A-D197FDEEC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576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91</xdr:row>
      <xdr:rowOff>41869</xdr:rowOff>
    </xdr:from>
    <xdr:to>
      <xdr:col>4</xdr:col>
      <xdr:colOff>1164705</xdr:colOff>
      <xdr:row>91</xdr:row>
      <xdr:rowOff>274387</xdr:rowOff>
    </xdr:to>
    <xdr:pic>
      <xdr:nvPicPr>
        <xdr:cNvPr id="191" name="Billede 190" descr="Dannebrog">
          <a:extLst>
            <a:ext uri="{FF2B5EF4-FFF2-40B4-BE49-F238E27FC236}">
              <a16:creationId xmlns:a16="http://schemas.microsoft.com/office/drawing/2014/main" id="{C45DB374-743B-1D73-EF79-698E46CEA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607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145</xdr:row>
      <xdr:rowOff>41869</xdr:rowOff>
    </xdr:from>
    <xdr:to>
      <xdr:col>4</xdr:col>
      <xdr:colOff>1164705</xdr:colOff>
      <xdr:row>145</xdr:row>
      <xdr:rowOff>274387</xdr:rowOff>
    </xdr:to>
    <xdr:pic>
      <xdr:nvPicPr>
        <xdr:cNvPr id="192" name="Billede 191" descr="Dannebrog">
          <a:extLst>
            <a:ext uri="{FF2B5EF4-FFF2-40B4-BE49-F238E27FC236}">
              <a16:creationId xmlns:a16="http://schemas.microsoft.com/office/drawing/2014/main" id="{74CFE51B-0351-2248-208E-898BFA09D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639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143</xdr:row>
      <xdr:rowOff>41869</xdr:rowOff>
    </xdr:from>
    <xdr:to>
      <xdr:col>4</xdr:col>
      <xdr:colOff>1164705</xdr:colOff>
      <xdr:row>143</xdr:row>
      <xdr:rowOff>274387</xdr:rowOff>
    </xdr:to>
    <xdr:pic>
      <xdr:nvPicPr>
        <xdr:cNvPr id="193" name="Billede 192" descr="Dannebrog">
          <a:extLst>
            <a:ext uri="{FF2B5EF4-FFF2-40B4-BE49-F238E27FC236}">
              <a16:creationId xmlns:a16="http://schemas.microsoft.com/office/drawing/2014/main" id="{534801A5-C65E-EB7D-AB0A-E6919108A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671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168</xdr:row>
      <xdr:rowOff>41869</xdr:rowOff>
    </xdr:from>
    <xdr:to>
      <xdr:col>4</xdr:col>
      <xdr:colOff>1164705</xdr:colOff>
      <xdr:row>168</xdr:row>
      <xdr:rowOff>274387</xdr:rowOff>
    </xdr:to>
    <xdr:pic>
      <xdr:nvPicPr>
        <xdr:cNvPr id="194" name="Billede 193" descr="Dannebrog">
          <a:extLst>
            <a:ext uri="{FF2B5EF4-FFF2-40B4-BE49-F238E27FC236}">
              <a16:creationId xmlns:a16="http://schemas.microsoft.com/office/drawing/2014/main" id="{7D564050-DA3F-49C8-171E-CD9684A248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03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144</xdr:row>
      <xdr:rowOff>41869</xdr:rowOff>
    </xdr:from>
    <xdr:to>
      <xdr:col>4</xdr:col>
      <xdr:colOff>1164705</xdr:colOff>
      <xdr:row>144</xdr:row>
      <xdr:rowOff>274387</xdr:rowOff>
    </xdr:to>
    <xdr:pic>
      <xdr:nvPicPr>
        <xdr:cNvPr id="195" name="Billede 194" descr="Dannebrog">
          <a:extLst>
            <a:ext uri="{FF2B5EF4-FFF2-40B4-BE49-F238E27FC236}">
              <a16:creationId xmlns:a16="http://schemas.microsoft.com/office/drawing/2014/main" id="{7DEBE839-DB9A-E4A3-F3C0-30EAACFBE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34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126</xdr:row>
      <xdr:rowOff>41869</xdr:rowOff>
    </xdr:from>
    <xdr:to>
      <xdr:col>4</xdr:col>
      <xdr:colOff>1164705</xdr:colOff>
      <xdr:row>126</xdr:row>
      <xdr:rowOff>274387</xdr:rowOff>
    </xdr:to>
    <xdr:pic>
      <xdr:nvPicPr>
        <xdr:cNvPr id="196" name="Billede 195" descr="Dannebrog">
          <a:extLst>
            <a:ext uri="{FF2B5EF4-FFF2-40B4-BE49-F238E27FC236}">
              <a16:creationId xmlns:a16="http://schemas.microsoft.com/office/drawing/2014/main" id="{84A793AC-D08D-1A8D-C9E9-24481DBD4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127</xdr:row>
      <xdr:rowOff>41869</xdr:rowOff>
    </xdr:from>
    <xdr:to>
      <xdr:col>4</xdr:col>
      <xdr:colOff>1164705</xdr:colOff>
      <xdr:row>127</xdr:row>
      <xdr:rowOff>274387</xdr:rowOff>
    </xdr:to>
    <xdr:pic>
      <xdr:nvPicPr>
        <xdr:cNvPr id="197" name="Billede 196" descr="Dannebrog">
          <a:extLst>
            <a:ext uri="{FF2B5EF4-FFF2-40B4-BE49-F238E27FC236}">
              <a16:creationId xmlns:a16="http://schemas.microsoft.com/office/drawing/2014/main" id="{4E3A7998-64E5-483A-BF13-E677F921A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128</xdr:row>
      <xdr:rowOff>41869</xdr:rowOff>
    </xdr:from>
    <xdr:to>
      <xdr:col>4</xdr:col>
      <xdr:colOff>1164705</xdr:colOff>
      <xdr:row>128</xdr:row>
      <xdr:rowOff>274387</xdr:rowOff>
    </xdr:to>
    <xdr:pic>
      <xdr:nvPicPr>
        <xdr:cNvPr id="203" name="Billede 202" descr="Dannebrog">
          <a:extLst>
            <a:ext uri="{FF2B5EF4-FFF2-40B4-BE49-F238E27FC236}">
              <a16:creationId xmlns:a16="http://schemas.microsoft.com/office/drawing/2014/main" id="{8EACACC1-3AB6-42F9-A8ED-F423ED82B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115</xdr:row>
      <xdr:rowOff>41869</xdr:rowOff>
    </xdr:from>
    <xdr:to>
      <xdr:col>4</xdr:col>
      <xdr:colOff>1164705</xdr:colOff>
      <xdr:row>115</xdr:row>
      <xdr:rowOff>274387</xdr:rowOff>
    </xdr:to>
    <xdr:pic>
      <xdr:nvPicPr>
        <xdr:cNvPr id="204" name="Billede 203" descr="Dannebrog">
          <a:extLst>
            <a:ext uri="{FF2B5EF4-FFF2-40B4-BE49-F238E27FC236}">
              <a16:creationId xmlns:a16="http://schemas.microsoft.com/office/drawing/2014/main" id="{D7D415E3-AA36-4ED5-884F-165B421BF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116</xdr:row>
      <xdr:rowOff>41869</xdr:rowOff>
    </xdr:from>
    <xdr:to>
      <xdr:col>4</xdr:col>
      <xdr:colOff>1164705</xdr:colOff>
      <xdr:row>116</xdr:row>
      <xdr:rowOff>274387</xdr:rowOff>
    </xdr:to>
    <xdr:pic>
      <xdr:nvPicPr>
        <xdr:cNvPr id="207" name="Billede 206" descr="Dannebrog">
          <a:extLst>
            <a:ext uri="{FF2B5EF4-FFF2-40B4-BE49-F238E27FC236}">
              <a16:creationId xmlns:a16="http://schemas.microsoft.com/office/drawing/2014/main" id="{93067D67-5988-44A5-B67C-0DF9E2EAD6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117</xdr:row>
      <xdr:rowOff>41869</xdr:rowOff>
    </xdr:from>
    <xdr:to>
      <xdr:col>4</xdr:col>
      <xdr:colOff>1164705</xdr:colOff>
      <xdr:row>117</xdr:row>
      <xdr:rowOff>274387</xdr:rowOff>
    </xdr:to>
    <xdr:pic>
      <xdr:nvPicPr>
        <xdr:cNvPr id="208" name="Billede 207" descr="Dannebrog">
          <a:extLst>
            <a:ext uri="{FF2B5EF4-FFF2-40B4-BE49-F238E27FC236}">
              <a16:creationId xmlns:a16="http://schemas.microsoft.com/office/drawing/2014/main" id="{A057C37D-413F-4ED7-8F51-9A8661D6A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78</xdr:row>
      <xdr:rowOff>41869</xdr:rowOff>
    </xdr:from>
    <xdr:to>
      <xdr:col>4</xdr:col>
      <xdr:colOff>1164705</xdr:colOff>
      <xdr:row>78</xdr:row>
      <xdr:rowOff>274387</xdr:rowOff>
    </xdr:to>
    <xdr:pic>
      <xdr:nvPicPr>
        <xdr:cNvPr id="211" name="Billede 210" descr="Dannebrog">
          <a:extLst>
            <a:ext uri="{FF2B5EF4-FFF2-40B4-BE49-F238E27FC236}">
              <a16:creationId xmlns:a16="http://schemas.microsoft.com/office/drawing/2014/main" id="{3CAB500A-7228-4C6A-AA0C-C9E98520D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141</xdr:row>
      <xdr:rowOff>41869</xdr:rowOff>
    </xdr:from>
    <xdr:to>
      <xdr:col>4</xdr:col>
      <xdr:colOff>1164705</xdr:colOff>
      <xdr:row>141</xdr:row>
      <xdr:rowOff>274387</xdr:rowOff>
    </xdr:to>
    <xdr:pic>
      <xdr:nvPicPr>
        <xdr:cNvPr id="213" name="Billede 212" descr="Dannebrog">
          <a:extLst>
            <a:ext uri="{FF2B5EF4-FFF2-40B4-BE49-F238E27FC236}">
              <a16:creationId xmlns:a16="http://schemas.microsoft.com/office/drawing/2014/main" id="{F518F8DD-FC35-4052-8038-8C3583BC18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136</xdr:row>
      <xdr:rowOff>41869</xdr:rowOff>
    </xdr:from>
    <xdr:to>
      <xdr:col>4</xdr:col>
      <xdr:colOff>1164705</xdr:colOff>
      <xdr:row>136</xdr:row>
      <xdr:rowOff>274387</xdr:rowOff>
    </xdr:to>
    <xdr:pic>
      <xdr:nvPicPr>
        <xdr:cNvPr id="214" name="Billede 213" descr="Dannebrog">
          <a:extLst>
            <a:ext uri="{FF2B5EF4-FFF2-40B4-BE49-F238E27FC236}">
              <a16:creationId xmlns:a16="http://schemas.microsoft.com/office/drawing/2014/main" id="{CF83425A-3BB2-4B32-8F1D-658209416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766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60</xdr:row>
      <xdr:rowOff>16412</xdr:rowOff>
    </xdr:from>
    <xdr:to>
      <xdr:col>2</xdr:col>
      <xdr:colOff>492761</xdr:colOff>
      <xdr:row>60</xdr:row>
      <xdr:rowOff>304800</xdr:rowOff>
    </xdr:to>
    <xdr:pic>
      <xdr:nvPicPr>
        <xdr:cNvPr id="216" name="Billede 215">
          <a:extLst>
            <a:ext uri="{FF2B5EF4-FFF2-40B4-BE49-F238E27FC236}">
              <a16:creationId xmlns:a16="http://schemas.microsoft.com/office/drawing/2014/main" id="{A394ED6A-6BD1-4F11-97C0-98102E6C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5018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60</xdr:row>
      <xdr:rowOff>54569</xdr:rowOff>
    </xdr:from>
    <xdr:to>
      <xdr:col>4</xdr:col>
      <xdr:colOff>1164705</xdr:colOff>
      <xdr:row>60</xdr:row>
      <xdr:rowOff>287087</xdr:rowOff>
    </xdr:to>
    <xdr:pic>
      <xdr:nvPicPr>
        <xdr:cNvPr id="217" name="Billede 216" descr="Dannebrog">
          <a:extLst>
            <a:ext uri="{FF2B5EF4-FFF2-40B4-BE49-F238E27FC236}">
              <a16:creationId xmlns:a16="http://schemas.microsoft.com/office/drawing/2014/main" id="{FC7FCC53-BDDD-D97F-CE28-5F9595ACF9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505370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22</xdr:row>
      <xdr:rowOff>16412</xdr:rowOff>
    </xdr:from>
    <xdr:to>
      <xdr:col>2</xdr:col>
      <xdr:colOff>492761</xdr:colOff>
      <xdr:row>22</xdr:row>
      <xdr:rowOff>304800</xdr:rowOff>
    </xdr:to>
    <xdr:pic>
      <xdr:nvPicPr>
        <xdr:cNvPr id="218" name="Billede 217">
          <a:extLst>
            <a:ext uri="{FF2B5EF4-FFF2-40B4-BE49-F238E27FC236}">
              <a16:creationId xmlns:a16="http://schemas.microsoft.com/office/drawing/2014/main" id="{629FC4CC-59F4-46A6-A891-49086458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223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182</xdr:row>
      <xdr:rowOff>16412</xdr:rowOff>
    </xdr:from>
    <xdr:to>
      <xdr:col>2</xdr:col>
      <xdr:colOff>492761</xdr:colOff>
      <xdr:row>182</xdr:row>
      <xdr:rowOff>304800</xdr:rowOff>
    </xdr:to>
    <xdr:pic>
      <xdr:nvPicPr>
        <xdr:cNvPr id="219" name="Billede 218">
          <a:extLst>
            <a:ext uri="{FF2B5EF4-FFF2-40B4-BE49-F238E27FC236}">
              <a16:creationId xmlns:a16="http://schemas.microsoft.com/office/drawing/2014/main" id="{CF44EE4B-703B-4919-BE01-7F4F989E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255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79</xdr:row>
      <xdr:rowOff>16412</xdr:rowOff>
    </xdr:from>
    <xdr:to>
      <xdr:col>2</xdr:col>
      <xdr:colOff>492761</xdr:colOff>
      <xdr:row>79</xdr:row>
      <xdr:rowOff>304800</xdr:rowOff>
    </xdr:to>
    <xdr:pic>
      <xdr:nvPicPr>
        <xdr:cNvPr id="220" name="Billede 219">
          <a:extLst>
            <a:ext uri="{FF2B5EF4-FFF2-40B4-BE49-F238E27FC236}">
              <a16:creationId xmlns:a16="http://schemas.microsoft.com/office/drawing/2014/main" id="{D812E5F2-BFC9-43A5-A14D-8D90CE5A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287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77</xdr:row>
      <xdr:rowOff>54569</xdr:rowOff>
    </xdr:from>
    <xdr:to>
      <xdr:col>4</xdr:col>
      <xdr:colOff>1164705</xdr:colOff>
      <xdr:row>77</xdr:row>
      <xdr:rowOff>287087</xdr:rowOff>
    </xdr:to>
    <xdr:pic>
      <xdr:nvPicPr>
        <xdr:cNvPr id="221" name="Billede 220" descr="Dannebrog">
          <a:extLst>
            <a:ext uri="{FF2B5EF4-FFF2-40B4-BE49-F238E27FC236}">
              <a16:creationId xmlns:a16="http://schemas.microsoft.com/office/drawing/2014/main" id="{E5111EB7-2B9A-5462-8BA5-CC9B581E6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5470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77</xdr:row>
      <xdr:rowOff>16412</xdr:rowOff>
    </xdr:from>
    <xdr:to>
      <xdr:col>2</xdr:col>
      <xdr:colOff>492761</xdr:colOff>
      <xdr:row>77</xdr:row>
      <xdr:rowOff>304800</xdr:rowOff>
    </xdr:to>
    <xdr:pic>
      <xdr:nvPicPr>
        <xdr:cNvPr id="227" name="Billede 226">
          <a:extLst>
            <a:ext uri="{FF2B5EF4-FFF2-40B4-BE49-F238E27FC236}">
              <a16:creationId xmlns:a16="http://schemas.microsoft.com/office/drawing/2014/main" id="{3441F501-E315-49B0-8F50-485F20A08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19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107</xdr:row>
      <xdr:rowOff>41869</xdr:rowOff>
    </xdr:from>
    <xdr:to>
      <xdr:col>4</xdr:col>
      <xdr:colOff>1164705</xdr:colOff>
      <xdr:row>107</xdr:row>
      <xdr:rowOff>274387</xdr:rowOff>
    </xdr:to>
    <xdr:pic>
      <xdr:nvPicPr>
        <xdr:cNvPr id="228" name="Billede 227" descr="Dannebrog">
          <a:extLst>
            <a:ext uri="{FF2B5EF4-FFF2-40B4-BE49-F238E27FC236}">
              <a16:creationId xmlns:a16="http://schemas.microsoft.com/office/drawing/2014/main" id="{B8379363-3545-1016-73E4-137CDB53C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85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107</xdr:row>
      <xdr:rowOff>16412</xdr:rowOff>
    </xdr:from>
    <xdr:to>
      <xdr:col>2</xdr:col>
      <xdr:colOff>492761</xdr:colOff>
      <xdr:row>107</xdr:row>
      <xdr:rowOff>304800</xdr:rowOff>
    </xdr:to>
    <xdr:pic>
      <xdr:nvPicPr>
        <xdr:cNvPr id="229" name="Billede 228">
          <a:extLst>
            <a:ext uri="{FF2B5EF4-FFF2-40B4-BE49-F238E27FC236}">
              <a16:creationId xmlns:a16="http://schemas.microsoft.com/office/drawing/2014/main" id="{EAF18169-9F1A-47B2-A7FD-A9AA5AFD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50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146</xdr:row>
      <xdr:rowOff>16412</xdr:rowOff>
    </xdr:from>
    <xdr:to>
      <xdr:col>2</xdr:col>
      <xdr:colOff>492761</xdr:colOff>
      <xdr:row>146</xdr:row>
      <xdr:rowOff>304800</xdr:rowOff>
    </xdr:to>
    <xdr:pic>
      <xdr:nvPicPr>
        <xdr:cNvPr id="235" name="Billede 234">
          <a:extLst>
            <a:ext uri="{FF2B5EF4-FFF2-40B4-BE49-F238E27FC236}">
              <a16:creationId xmlns:a16="http://schemas.microsoft.com/office/drawing/2014/main" id="{5A8DD50E-A958-4368-808D-A8B250A1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382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41</xdr:row>
      <xdr:rowOff>16412</xdr:rowOff>
    </xdr:from>
    <xdr:to>
      <xdr:col>2</xdr:col>
      <xdr:colOff>492761</xdr:colOff>
      <xdr:row>41</xdr:row>
      <xdr:rowOff>304800</xdr:rowOff>
    </xdr:to>
    <xdr:pic>
      <xdr:nvPicPr>
        <xdr:cNvPr id="236" name="Billede 235">
          <a:extLst>
            <a:ext uri="{FF2B5EF4-FFF2-40B4-BE49-F238E27FC236}">
              <a16:creationId xmlns:a16="http://schemas.microsoft.com/office/drawing/2014/main" id="{E98A88A5-1702-49B4-9E02-EFC32D06C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414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41</xdr:row>
      <xdr:rowOff>41869</xdr:rowOff>
    </xdr:from>
    <xdr:to>
      <xdr:col>4</xdr:col>
      <xdr:colOff>1164705</xdr:colOff>
      <xdr:row>41</xdr:row>
      <xdr:rowOff>274387</xdr:rowOff>
    </xdr:to>
    <xdr:pic>
      <xdr:nvPicPr>
        <xdr:cNvPr id="237" name="Billede 236" descr="Dannebrog">
          <a:extLst>
            <a:ext uri="{FF2B5EF4-FFF2-40B4-BE49-F238E27FC236}">
              <a16:creationId xmlns:a16="http://schemas.microsoft.com/office/drawing/2014/main" id="{A8195EF4-173B-BECD-C5AA-25C5EC3B2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48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199</xdr:row>
      <xdr:rowOff>16412</xdr:rowOff>
    </xdr:from>
    <xdr:to>
      <xdr:col>2</xdr:col>
      <xdr:colOff>492761</xdr:colOff>
      <xdr:row>199</xdr:row>
      <xdr:rowOff>304800</xdr:rowOff>
    </xdr:to>
    <xdr:pic>
      <xdr:nvPicPr>
        <xdr:cNvPr id="238" name="Billede 237">
          <a:extLst>
            <a:ext uri="{FF2B5EF4-FFF2-40B4-BE49-F238E27FC236}">
              <a16:creationId xmlns:a16="http://schemas.microsoft.com/office/drawing/2014/main" id="{DA7C61F1-738B-4057-98E0-B44837ED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446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199</xdr:row>
      <xdr:rowOff>41869</xdr:rowOff>
    </xdr:from>
    <xdr:to>
      <xdr:col>4</xdr:col>
      <xdr:colOff>1164705</xdr:colOff>
      <xdr:row>199</xdr:row>
      <xdr:rowOff>274387</xdr:rowOff>
    </xdr:to>
    <xdr:pic>
      <xdr:nvPicPr>
        <xdr:cNvPr id="239" name="Billede 238" descr="Dannebrog">
          <a:extLst>
            <a:ext uri="{FF2B5EF4-FFF2-40B4-BE49-F238E27FC236}">
              <a16:creationId xmlns:a16="http://schemas.microsoft.com/office/drawing/2014/main" id="{4C918962-7226-4B4E-9B63-DCE5C1FD8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448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167</xdr:row>
      <xdr:rowOff>16412</xdr:rowOff>
    </xdr:from>
    <xdr:to>
      <xdr:col>2</xdr:col>
      <xdr:colOff>492761</xdr:colOff>
      <xdr:row>167</xdr:row>
      <xdr:rowOff>304800</xdr:rowOff>
    </xdr:to>
    <xdr:pic>
      <xdr:nvPicPr>
        <xdr:cNvPr id="240" name="Billede 239">
          <a:extLst>
            <a:ext uri="{FF2B5EF4-FFF2-40B4-BE49-F238E27FC236}">
              <a16:creationId xmlns:a16="http://schemas.microsoft.com/office/drawing/2014/main" id="{8C0C0931-A964-435F-B917-CC66EF80B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477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88</xdr:row>
      <xdr:rowOff>41869</xdr:rowOff>
    </xdr:from>
    <xdr:to>
      <xdr:col>4</xdr:col>
      <xdr:colOff>1164705</xdr:colOff>
      <xdr:row>88</xdr:row>
      <xdr:rowOff>274387</xdr:rowOff>
    </xdr:to>
    <xdr:pic>
      <xdr:nvPicPr>
        <xdr:cNvPr id="241" name="Billede 240" descr="Dannebrog">
          <a:extLst>
            <a:ext uri="{FF2B5EF4-FFF2-40B4-BE49-F238E27FC236}">
              <a16:creationId xmlns:a16="http://schemas.microsoft.com/office/drawing/2014/main" id="{514F1698-A91E-4ADE-9C3E-F629546CE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131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88</xdr:row>
      <xdr:rowOff>16412</xdr:rowOff>
    </xdr:from>
    <xdr:to>
      <xdr:col>2</xdr:col>
      <xdr:colOff>492761</xdr:colOff>
      <xdr:row>88</xdr:row>
      <xdr:rowOff>304800</xdr:rowOff>
    </xdr:to>
    <xdr:pic>
      <xdr:nvPicPr>
        <xdr:cNvPr id="242" name="Billede 241">
          <a:extLst>
            <a:ext uri="{FF2B5EF4-FFF2-40B4-BE49-F238E27FC236}">
              <a16:creationId xmlns:a16="http://schemas.microsoft.com/office/drawing/2014/main" id="{60543422-1713-4D96-9294-8E1D492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</xdr:row>
      <xdr:rowOff>16412</xdr:rowOff>
    </xdr:from>
    <xdr:to>
      <xdr:col>2</xdr:col>
      <xdr:colOff>492761</xdr:colOff>
      <xdr:row>13</xdr:row>
      <xdr:rowOff>304800</xdr:rowOff>
    </xdr:to>
    <xdr:pic>
      <xdr:nvPicPr>
        <xdr:cNvPr id="243" name="Billede 242">
          <a:extLst>
            <a:ext uri="{FF2B5EF4-FFF2-40B4-BE49-F238E27FC236}">
              <a16:creationId xmlns:a16="http://schemas.microsoft.com/office/drawing/2014/main" id="{0809DD94-72F4-488C-AFCA-970956E0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541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69</xdr:row>
      <xdr:rowOff>41869</xdr:rowOff>
    </xdr:from>
    <xdr:to>
      <xdr:col>4</xdr:col>
      <xdr:colOff>1164705</xdr:colOff>
      <xdr:row>69</xdr:row>
      <xdr:rowOff>274387</xdr:rowOff>
    </xdr:to>
    <xdr:pic>
      <xdr:nvPicPr>
        <xdr:cNvPr id="244" name="Billede 243" descr="Dannebrog">
          <a:extLst>
            <a:ext uri="{FF2B5EF4-FFF2-40B4-BE49-F238E27FC236}">
              <a16:creationId xmlns:a16="http://schemas.microsoft.com/office/drawing/2014/main" id="{00ADAC14-8F8B-4C50-AA5D-450D0C00AA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194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69</xdr:row>
      <xdr:rowOff>16412</xdr:rowOff>
    </xdr:from>
    <xdr:to>
      <xdr:col>2</xdr:col>
      <xdr:colOff>492761</xdr:colOff>
      <xdr:row>69</xdr:row>
      <xdr:rowOff>304800</xdr:rowOff>
    </xdr:to>
    <xdr:pic>
      <xdr:nvPicPr>
        <xdr:cNvPr id="245" name="Billede 244">
          <a:extLst>
            <a:ext uri="{FF2B5EF4-FFF2-40B4-BE49-F238E27FC236}">
              <a16:creationId xmlns:a16="http://schemas.microsoft.com/office/drawing/2014/main" id="{C2D71F26-DDB6-47F0-91F9-274F5C1C3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192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167</xdr:row>
      <xdr:rowOff>54569</xdr:rowOff>
    </xdr:from>
    <xdr:to>
      <xdr:col>4</xdr:col>
      <xdr:colOff>1164705</xdr:colOff>
      <xdr:row>167</xdr:row>
      <xdr:rowOff>287087</xdr:rowOff>
    </xdr:to>
    <xdr:pic>
      <xdr:nvPicPr>
        <xdr:cNvPr id="248" name="Billede 247" descr="Dannebrog">
          <a:extLst>
            <a:ext uri="{FF2B5EF4-FFF2-40B4-BE49-F238E27FC236}">
              <a16:creationId xmlns:a16="http://schemas.microsoft.com/office/drawing/2014/main" id="{F27E3A7D-1F92-99AC-4D5B-9AD299A4C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51345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79</xdr:row>
      <xdr:rowOff>67269</xdr:rowOff>
    </xdr:from>
    <xdr:to>
      <xdr:col>4</xdr:col>
      <xdr:colOff>1164705</xdr:colOff>
      <xdr:row>79</xdr:row>
      <xdr:rowOff>299787</xdr:rowOff>
    </xdr:to>
    <xdr:pic>
      <xdr:nvPicPr>
        <xdr:cNvPr id="251" name="Billede 250" descr="Dannebrog">
          <a:extLst>
            <a:ext uri="{FF2B5EF4-FFF2-40B4-BE49-F238E27FC236}">
              <a16:creationId xmlns:a16="http://schemas.microsoft.com/office/drawing/2014/main" id="{AB39CFCA-36C0-68CE-50B6-D0D5E2D55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32422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13</xdr:row>
      <xdr:rowOff>41869</xdr:rowOff>
    </xdr:from>
    <xdr:to>
      <xdr:col>4</xdr:col>
      <xdr:colOff>1164705</xdr:colOff>
      <xdr:row>13</xdr:row>
      <xdr:rowOff>274387</xdr:rowOff>
    </xdr:to>
    <xdr:pic>
      <xdr:nvPicPr>
        <xdr:cNvPr id="252" name="Billede 251" descr="Dannebrog">
          <a:extLst>
            <a:ext uri="{FF2B5EF4-FFF2-40B4-BE49-F238E27FC236}">
              <a16:creationId xmlns:a16="http://schemas.microsoft.com/office/drawing/2014/main" id="{10A00F36-2AF3-1085-2E4A-1F43F9B5E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575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31</xdr:row>
      <xdr:rowOff>41869</xdr:rowOff>
    </xdr:from>
    <xdr:to>
      <xdr:col>4</xdr:col>
      <xdr:colOff>1164705</xdr:colOff>
      <xdr:row>31</xdr:row>
      <xdr:rowOff>274387</xdr:rowOff>
    </xdr:to>
    <xdr:pic>
      <xdr:nvPicPr>
        <xdr:cNvPr id="253" name="Billede 252" descr="Dannebrog">
          <a:extLst>
            <a:ext uri="{FF2B5EF4-FFF2-40B4-BE49-F238E27FC236}">
              <a16:creationId xmlns:a16="http://schemas.microsoft.com/office/drawing/2014/main" id="{F87030D0-D09E-43E0-B918-51F8F3C03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607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31</xdr:row>
      <xdr:rowOff>16412</xdr:rowOff>
    </xdr:from>
    <xdr:to>
      <xdr:col>2</xdr:col>
      <xdr:colOff>492761</xdr:colOff>
      <xdr:row>31</xdr:row>
      <xdr:rowOff>304800</xdr:rowOff>
    </xdr:to>
    <xdr:pic>
      <xdr:nvPicPr>
        <xdr:cNvPr id="255" name="Billede 254">
          <a:extLst>
            <a:ext uri="{FF2B5EF4-FFF2-40B4-BE49-F238E27FC236}">
              <a16:creationId xmlns:a16="http://schemas.microsoft.com/office/drawing/2014/main" id="{BFD16AEC-396E-4289-8BF0-13A8D4B9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604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18</xdr:row>
      <xdr:rowOff>41869</xdr:rowOff>
    </xdr:from>
    <xdr:to>
      <xdr:col>4</xdr:col>
      <xdr:colOff>1164705</xdr:colOff>
      <xdr:row>18</xdr:row>
      <xdr:rowOff>274387</xdr:rowOff>
    </xdr:to>
    <xdr:pic>
      <xdr:nvPicPr>
        <xdr:cNvPr id="256" name="Billede 255" descr="Dannebrog">
          <a:extLst>
            <a:ext uri="{FF2B5EF4-FFF2-40B4-BE49-F238E27FC236}">
              <a16:creationId xmlns:a16="http://schemas.microsoft.com/office/drawing/2014/main" id="{87A2A38E-4214-4B6E-8EB4-536ED473F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607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18</xdr:row>
      <xdr:rowOff>16412</xdr:rowOff>
    </xdr:from>
    <xdr:to>
      <xdr:col>2</xdr:col>
      <xdr:colOff>492761</xdr:colOff>
      <xdr:row>18</xdr:row>
      <xdr:rowOff>304800</xdr:rowOff>
    </xdr:to>
    <xdr:pic>
      <xdr:nvPicPr>
        <xdr:cNvPr id="257" name="Billede 256">
          <a:extLst>
            <a:ext uri="{FF2B5EF4-FFF2-40B4-BE49-F238E27FC236}">
              <a16:creationId xmlns:a16="http://schemas.microsoft.com/office/drawing/2014/main" id="{4A0CDEC8-5916-4894-BA98-91B76D88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604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68</xdr:row>
      <xdr:rowOff>41869</xdr:rowOff>
    </xdr:from>
    <xdr:to>
      <xdr:col>4</xdr:col>
      <xdr:colOff>1164705</xdr:colOff>
      <xdr:row>68</xdr:row>
      <xdr:rowOff>274387</xdr:rowOff>
    </xdr:to>
    <xdr:pic>
      <xdr:nvPicPr>
        <xdr:cNvPr id="259" name="Billede 258" descr="Dannebrog">
          <a:extLst>
            <a:ext uri="{FF2B5EF4-FFF2-40B4-BE49-F238E27FC236}">
              <a16:creationId xmlns:a16="http://schemas.microsoft.com/office/drawing/2014/main" id="{E2D3031D-5200-4EDE-947E-89AB85130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226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68</xdr:row>
      <xdr:rowOff>16412</xdr:rowOff>
    </xdr:from>
    <xdr:to>
      <xdr:col>2</xdr:col>
      <xdr:colOff>492761</xdr:colOff>
      <xdr:row>68</xdr:row>
      <xdr:rowOff>304800</xdr:rowOff>
    </xdr:to>
    <xdr:pic>
      <xdr:nvPicPr>
        <xdr:cNvPr id="260" name="Billede 259">
          <a:extLst>
            <a:ext uri="{FF2B5EF4-FFF2-40B4-BE49-F238E27FC236}">
              <a16:creationId xmlns:a16="http://schemas.microsoft.com/office/drawing/2014/main" id="{B5B80C77-10E4-4D55-9839-5BFC3E697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223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21</xdr:row>
      <xdr:rowOff>41869</xdr:rowOff>
    </xdr:from>
    <xdr:to>
      <xdr:col>4</xdr:col>
      <xdr:colOff>1164705</xdr:colOff>
      <xdr:row>21</xdr:row>
      <xdr:rowOff>274387</xdr:rowOff>
    </xdr:to>
    <xdr:pic>
      <xdr:nvPicPr>
        <xdr:cNvPr id="269" name="Billede 268" descr="Dannebrog">
          <a:extLst>
            <a:ext uri="{FF2B5EF4-FFF2-40B4-BE49-F238E27FC236}">
              <a16:creationId xmlns:a16="http://schemas.microsoft.com/office/drawing/2014/main" id="{428E7B9A-049D-44F3-A849-036C956670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226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21</xdr:row>
      <xdr:rowOff>16412</xdr:rowOff>
    </xdr:from>
    <xdr:to>
      <xdr:col>2</xdr:col>
      <xdr:colOff>492761</xdr:colOff>
      <xdr:row>21</xdr:row>
      <xdr:rowOff>304800</xdr:rowOff>
    </xdr:to>
    <xdr:pic>
      <xdr:nvPicPr>
        <xdr:cNvPr id="270" name="Billede 269">
          <a:extLst>
            <a:ext uri="{FF2B5EF4-FFF2-40B4-BE49-F238E27FC236}">
              <a16:creationId xmlns:a16="http://schemas.microsoft.com/office/drawing/2014/main" id="{7A653093-1C9D-4166-B1B7-69D5FA39C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223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804705</xdr:colOff>
      <xdr:row>32</xdr:row>
      <xdr:rowOff>41869</xdr:rowOff>
    </xdr:from>
    <xdr:to>
      <xdr:col>4</xdr:col>
      <xdr:colOff>1164705</xdr:colOff>
      <xdr:row>32</xdr:row>
      <xdr:rowOff>274387</xdr:rowOff>
    </xdr:to>
    <xdr:pic>
      <xdr:nvPicPr>
        <xdr:cNvPr id="282" name="Billede 281" descr="Dannebrog">
          <a:extLst>
            <a:ext uri="{FF2B5EF4-FFF2-40B4-BE49-F238E27FC236}">
              <a16:creationId xmlns:a16="http://schemas.microsoft.com/office/drawing/2014/main" id="{D39317F4-3D5D-4B22-8DB8-51BA1BFD4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766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32</xdr:row>
      <xdr:rowOff>16412</xdr:rowOff>
    </xdr:from>
    <xdr:to>
      <xdr:col>2</xdr:col>
      <xdr:colOff>492761</xdr:colOff>
      <xdr:row>32</xdr:row>
      <xdr:rowOff>304800</xdr:rowOff>
    </xdr:to>
    <xdr:pic>
      <xdr:nvPicPr>
        <xdr:cNvPr id="283" name="Billede 282">
          <a:extLst>
            <a:ext uri="{FF2B5EF4-FFF2-40B4-BE49-F238E27FC236}">
              <a16:creationId xmlns:a16="http://schemas.microsoft.com/office/drawing/2014/main" id="{D48FF1C8-1C07-4C2F-AEDC-A4C59B097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763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103</xdr:row>
      <xdr:rowOff>16412</xdr:rowOff>
    </xdr:from>
    <xdr:to>
      <xdr:col>2</xdr:col>
      <xdr:colOff>492761</xdr:colOff>
      <xdr:row>103</xdr:row>
      <xdr:rowOff>304800</xdr:rowOff>
    </xdr:to>
    <xdr:pic>
      <xdr:nvPicPr>
        <xdr:cNvPr id="284" name="Billede 283">
          <a:extLst>
            <a:ext uri="{FF2B5EF4-FFF2-40B4-BE49-F238E27FC236}">
              <a16:creationId xmlns:a16="http://schemas.microsoft.com/office/drawing/2014/main" id="{89637D0D-33BB-4492-A47B-2B9208163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636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71</xdr:row>
      <xdr:rowOff>16412</xdr:rowOff>
    </xdr:from>
    <xdr:to>
      <xdr:col>2</xdr:col>
      <xdr:colOff>492761</xdr:colOff>
      <xdr:row>71</xdr:row>
      <xdr:rowOff>304800</xdr:rowOff>
    </xdr:to>
    <xdr:pic>
      <xdr:nvPicPr>
        <xdr:cNvPr id="285" name="Billede 284">
          <a:extLst>
            <a:ext uri="{FF2B5EF4-FFF2-40B4-BE49-F238E27FC236}">
              <a16:creationId xmlns:a16="http://schemas.microsoft.com/office/drawing/2014/main" id="{F0076912-770A-44C7-91CE-EE483B0A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668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70</xdr:row>
      <xdr:rowOff>16412</xdr:rowOff>
    </xdr:from>
    <xdr:to>
      <xdr:col>2</xdr:col>
      <xdr:colOff>492761</xdr:colOff>
      <xdr:row>70</xdr:row>
      <xdr:rowOff>304800</xdr:rowOff>
    </xdr:to>
    <xdr:pic>
      <xdr:nvPicPr>
        <xdr:cNvPr id="286" name="Billede 285">
          <a:extLst>
            <a:ext uri="{FF2B5EF4-FFF2-40B4-BE49-F238E27FC236}">
              <a16:creationId xmlns:a16="http://schemas.microsoft.com/office/drawing/2014/main" id="{87E72EF5-E710-4F90-9EF7-626FD8AC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700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</xdr:row>
      <xdr:rowOff>16412</xdr:rowOff>
    </xdr:from>
    <xdr:to>
      <xdr:col>2</xdr:col>
      <xdr:colOff>492761</xdr:colOff>
      <xdr:row>7</xdr:row>
      <xdr:rowOff>304800</xdr:rowOff>
    </xdr:to>
    <xdr:pic>
      <xdr:nvPicPr>
        <xdr:cNvPr id="287" name="Billede 286">
          <a:extLst>
            <a:ext uri="{FF2B5EF4-FFF2-40B4-BE49-F238E27FC236}">
              <a16:creationId xmlns:a16="http://schemas.microsoft.com/office/drawing/2014/main" id="{1785EADE-C72E-49BA-93A6-9AA61D01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763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66</xdr:row>
      <xdr:rowOff>16412</xdr:rowOff>
    </xdr:from>
    <xdr:to>
      <xdr:col>2</xdr:col>
      <xdr:colOff>492761</xdr:colOff>
      <xdr:row>66</xdr:row>
      <xdr:rowOff>304800</xdr:rowOff>
    </xdr:to>
    <xdr:pic>
      <xdr:nvPicPr>
        <xdr:cNvPr id="288" name="Billede 287">
          <a:extLst>
            <a:ext uri="{FF2B5EF4-FFF2-40B4-BE49-F238E27FC236}">
              <a16:creationId xmlns:a16="http://schemas.microsoft.com/office/drawing/2014/main" id="{DC216C2F-5421-472E-8CE7-98D30C2DB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731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800100</xdr:colOff>
      <xdr:row>146</xdr:row>
      <xdr:rowOff>50800</xdr:rowOff>
    </xdr:from>
    <xdr:to>
      <xdr:col>4</xdr:col>
      <xdr:colOff>1167300</xdr:colOff>
      <xdr:row>146</xdr:row>
      <xdr:rowOff>283214</xdr:rowOff>
    </xdr:to>
    <xdr:pic>
      <xdr:nvPicPr>
        <xdr:cNvPr id="222" name="Billede 221">
          <a:extLst>
            <a:ext uri="{FF2B5EF4-FFF2-40B4-BE49-F238E27FC236}">
              <a16:creationId xmlns:a16="http://schemas.microsoft.com/office/drawing/2014/main" id="{947C7024-6E8C-40AE-80CD-78914C0D5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4178300"/>
          <a:ext cx="367200" cy="23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800100</xdr:colOff>
      <xdr:row>22</xdr:row>
      <xdr:rowOff>50800</xdr:rowOff>
    </xdr:from>
    <xdr:to>
      <xdr:col>4</xdr:col>
      <xdr:colOff>1167300</xdr:colOff>
      <xdr:row>22</xdr:row>
      <xdr:rowOff>283214</xdr:rowOff>
    </xdr:to>
    <xdr:pic>
      <xdr:nvPicPr>
        <xdr:cNvPr id="223" name="Billede 222">
          <a:extLst>
            <a:ext uri="{FF2B5EF4-FFF2-40B4-BE49-F238E27FC236}">
              <a16:creationId xmlns:a16="http://schemas.microsoft.com/office/drawing/2014/main" id="{D990D7BC-144B-360D-2A81-53F23B220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590800"/>
          <a:ext cx="367200" cy="23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800100</xdr:colOff>
      <xdr:row>182</xdr:row>
      <xdr:rowOff>50800</xdr:rowOff>
    </xdr:from>
    <xdr:to>
      <xdr:col>4</xdr:col>
      <xdr:colOff>1167300</xdr:colOff>
      <xdr:row>182</xdr:row>
      <xdr:rowOff>283214</xdr:rowOff>
    </xdr:to>
    <xdr:pic>
      <xdr:nvPicPr>
        <xdr:cNvPr id="289" name="Billede 288">
          <a:extLst>
            <a:ext uri="{FF2B5EF4-FFF2-40B4-BE49-F238E27FC236}">
              <a16:creationId xmlns:a16="http://schemas.microsoft.com/office/drawing/2014/main" id="{DA1D641A-15B7-BEFC-5CA2-E48BEB0A6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908300"/>
          <a:ext cx="367200" cy="23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103</xdr:row>
      <xdr:rowOff>41869</xdr:rowOff>
    </xdr:from>
    <xdr:to>
      <xdr:col>4</xdr:col>
      <xdr:colOff>1164705</xdr:colOff>
      <xdr:row>103</xdr:row>
      <xdr:rowOff>274387</xdr:rowOff>
    </xdr:to>
    <xdr:pic>
      <xdr:nvPicPr>
        <xdr:cNvPr id="290" name="Billede 289" descr="Dannebrog">
          <a:extLst>
            <a:ext uri="{FF2B5EF4-FFF2-40B4-BE49-F238E27FC236}">
              <a16:creationId xmlns:a16="http://schemas.microsoft.com/office/drawing/2014/main" id="{60641EAB-19B3-1FBD-F003-48C66F8A5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797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</xdr:row>
      <xdr:rowOff>41869</xdr:rowOff>
    </xdr:from>
    <xdr:to>
      <xdr:col>4</xdr:col>
      <xdr:colOff>1164705</xdr:colOff>
      <xdr:row>7</xdr:row>
      <xdr:rowOff>274387</xdr:rowOff>
    </xdr:to>
    <xdr:pic>
      <xdr:nvPicPr>
        <xdr:cNvPr id="291" name="Billede 290" descr="Dannebrog">
          <a:extLst>
            <a:ext uri="{FF2B5EF4-FFF2-40B4-BE49-F238E27FC236}">
              <a16:creationId xmlns:a16="http://schemas.microsoft.com/office/drawing/2014/main" id="{1D66FF47-463D-4F3C-8E64-80DBCA303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797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71</xdr:row>
      <xdr:rowOff>41869</xdr:rowOff>
    </xdr:from>
    <xdr:to>
      <xdr:col>4</xdr:col>
      <xdr:colOff>1164705</xdr:colOff>
      <xdr:row>71</xdr:row>
      <xdr:rowOff>274387</xdr:rowOff>
    </xdr:to>
    <xdr:pic>
      <xdr:nvPicPr>
        <xdr:cNvPr id="292" name="Billede 291" descr="Dannebrog">
          <a:extLst>
            <a:ext uri="{FF2B5EF4-FFF2-40B4-BE49-F238E27FC236}">
              <a16:creationId xmlns:a16="http://schemas.microsoft.com/office/drawing/2014/main" id="{26093D83-C76F-9634-F0F1-82058A627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8296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70</xdr:row>
      <xdr:rowOff>41869</xdr:rowOff>
    </xdr:from>
    <xdr:to>
      <xdr:col>4</xdr:col>
      <xdr:colOff>1164705</xdr:colOff>
      <xdr:row>70</xdr:row>
      <xdr:rowOff>274387</xdr:rowOff>
    </xdr:to>
    <xdr:pic>
      <xdr:nvPicPr>
        <xdr:cNvPr id="293" name="Billede 292" descr="Dannebrog">
          <a:extLst>
            <a:ext uri="{FF2B5EF4-FFF2-40B4-BE49-F238E27FC236}">
              <a16:creationId xmlns:a16="http://schemas.microsoft.com/office/drawing/2014/main" id="{65F0181D-147D-CF12-3A62-BFAFB36958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8614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804705</xdr:colOff>
      <xdr:row>66</xdr:row>
      <xdr:rowOff>41869</xdr:rowOff>
    </xdr:from>
    <xdr:to>
      <xdr:col>4</xdr:col>
      <xdr:colOff>1164705</xdr:colOff>
      <xdr:row>66</xdr:row>
      <xdr:rowOff>274387</xdr:rowOff>
    </xdr:to>
    <xdr:pic>
      <xdr:nvPicPr>
        <xdr:cNvPr id="294" name="Billede 293" descr="Dannebrog">
          <a:extLst>
            <a:ext uri="{FF2B5EF4-FFF2-40B4-BE49-F238E27FC236}">
              <a16:creationId xmlns:a16="http://schemas.microsoft.com/office/drawing/2014/main" id="{185A1B5F-4108-4A8A-8ECB-DFB41F0E9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24505" y="89318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183</xdr:row>
      <xdr:rowOff>29112</xdr:rowOff>
    </xdr:from>
    <xdr:to>
      <xdr:col>2</xdr:col>
      <xdr:colOff>492761</xdr:colOff>
      <xdr:row>184</xdr:row>
      <xdr:rowOff>0</xdr:rowOff>
    </xdr:to>
    <xdr:pic>
      <xdr:nvPicPr>
        <xdr:cNvPr id="295" name="Billede 294">
          <a:extLst>
            <a:ext uri="{FF2B5EF4-FFF2-40B4-BE49-F238E27FC236}">
              <a16:creationId xmlns:a16="http://schemas.microsoft.com/office/drawing/2014/main" id="{E9A6909F-CBA9-4416-8C2C-2A07F267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16166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105</xdr:row>
      <xdr:rowOff>43543</xdr:rowOff>
    </xdr:from>
    <xdr:to>
      <xdr:col>4</xdr:col>
      <xdr:colOff>1165542</xdr:colOff>
      <xdr:row>105</xdr:row>
      <xdr:rowOff>284116</xdr:rowOff>
    </xdr:to>
    <xdr:pic>
      <xdr:nvPicPr>
        <xdr:cNvPr id="296" name="Billede 295">
          <a:extLst>
            <a:ext uri="{FF2B5EF4-FFF2-40B4-BE49-F238E27FC236}">
              <a16:creationId xmlns:a16="http://schemas.microsoft.com/office/drawing/2014/main" id="{5E83E4E2-9588-5A63-A525-3E8DD6E2A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25342" y="19485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183</xdr:row>
      <xdr:rowOff>29112</xdr:rowOff>
    </xdr:from>
    <xdr:to>
      <xdr:col>2</xdr:col>
      <xdr:colOff>492761</xdr:colOff>
      <xdr:row>184</xdr:row>
      <xdr:rowOff>0</xdr:rowOff>
    </xdr:to>
    <xdr:pic>
      <xdr:nvPicPr>
        <xdr:cNvPr id="297" name="Billede 296">
          <a:extLst>
            <a:ext uri="{FF2B5EF4-FFF2-40B4-BE49-F238E27FC236}">
              <a16:creationId xmlns:a16="http://schemas.microsoft.com/office/drawing/2014/main" id="{4641E5F9-F0E1-44DF-A5B2-9858E460D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16166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184</xdr:row>
      <xdr:rowOff>29112</xdr:rowOff>
    </xdr:from>
    <xdr:to>
      <xdr:col>2</xdr:col>
      <xdr:colOff>492761</xdr:colOff>
      <xdr:row>185</xdr:row>
      <xdr:rowOff>0</xdr:rowOff>
    </xdr:to>
    <xdr:pic>
      <xdr:nvPicPr>
        <xdr:cNvPr id="298" name="Billede 297">
          <a:extLst>
            <a:ext uri="{FF2B5EF4-FFF2-40B4-BE49-F238E27FC236}">
              <a16:creationId xmlns:a16="http://schemas.microsoft.com/office/drawing/2014/main" id="{659DCB38-5644-4EA0-848B-CE62214C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16166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185</xdr:row>
      <xdr:rowOff>29112</xdr:rowOff>
    </xdr:from>
    <xdr:to>
      <xdr:col>2</xdr:col>
      <xdr:colOff>492761</xdr:colOff>
      <xdr:row>186</xdr:row>
      <xdr:rowOff>0</xdr:rowOff>
    </xdr:to>
    <xdr:pic>
      <xdr:nvPicPr>
        <xdr:cNvPr id="299" name="Billede 298">
          <a:extLst>
            <a:ext uri="{FF2B5EF4-FFF2-40B4-BE49-F238E27FC236}">
              <a16:creationId xmlns:a16="http://schemas.microsoft.com/office/drawing/2014/main" id="{D7FE8291-9B31-4A5C-9D06-A05844697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30041" y="16166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800100</xdr:colOff>
      <xdr:row>120</xdr:row>
      <xdr:rowOff>50800</xdr:rowOff>
    </xdr:from>
    <xdr:to>
      <xdr:col>4</xdr:col>
      <xdr:colOff>1163700</xdr:colOff>
      <xdr:row>120</xdr:row>
      <xdr:rowOff>285643</xdr:rowOff>
    </xdr:to>
    <xdr:pic>
      <xdr:nvPicPr>
        <xdr:cNvPr id="300" name="Billede 299" descr="Dannebrog">
          <a:extLst>
            <a:ext uri="{FF2B5EF4-FFF2-40B4-BE49-F238E27FC236}">
              <a16:creationId xmlns:a16="http://schemas.microsoft.com/office/drawing/2014/main" id="{EED9E30A-2D61-4311-B39A-4D89C3B9C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19900" y="2273300"/>
          <a:ext cx="363600" cy="23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800100</xdr:colOff>
      <xdr:row>76</xdr:row>
      <xdr:rowOff>50800</xdr:rowOff>
    </xdr:from>
    <xdr:to>
      <xdr:col>4</xdr:col>
      <xdr:colOff>1163700</xdr:colOff>
      <xdr:row>76</xdr:row>
      <xdr:rowOff>285643</xdr:rowOff>
    </xdr:to>
    <xdr:pic>
      <xdr:nvPicPr>
        <xdr:cNvPr id="301" name="Billede 300" descr="Dannebrog">
          <a:extLst>
            <a:ext uri="{FF2B5EF4-FFF2-40B4-BE49-F238E27FC236}">
              <a16:creationId xmlns:a16="http://schemas.microsoft.com/office/drawing/2014/main" id="{5C7AF554-954A-B722-16D9-F3CA35960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19900" y="2590800"/>
          <a:ext cx="363600" cy="23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186</xdr:row>
      <xdr:rowOff>36286</xdr:rowOff>
    </xdr:from>
    <xdr:to>
      <xdr:col>2</xdr:col>
      <xdr:colOff>460659</xdr:colOff>
      <xdr:row>186</xdr:row>
      <xdr:rowOff>270329</xdr:rowOff>
    </xdr:to>
    <xdr:pic>
      <xdr:nvPicPr>
        <xdr:cNvPr id="302" name="Billede 301">
          <a:extLst>
            <a:ext uri="{FF2B5EF4-FFF2-40B4-BE49-F238E27FC236}">
              <a16:creationId xmlns:a16="http://schemas.microsoft.com/office/drawing/2014/main" id="{81CD31EE-FFCA-4A99-90C3-16989D74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5784922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186</xdr:row>
      <xdr:rowOff>56244</xdr:rowOff>
    </xdr:from>
    <xdr:to>
      <xdr:col>4</xdr:col>
      <xdr:colOff>1165542</xdr:colOff>
      <xdr:row>186</xdr:row>
      <xdr:rowOff>284101</xdr:rowOff>
    </xdr:to>
    <xdr:pic>
      <xdr:nvPicPr>
        <xdr:cNvPr id="303" name="Billede 302">
          <a:extLst>
            <a:ext uri="{FF2B5EF4-FFF2-40B4-BE49-F238E27FC236}">
              <a16:creationId xmlns:a16="http://schemas.microsoft.com/office/drawing/2014/main" id="{80A5767A-6410-4058-97E0-39A188C34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5786918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187</xdr:row>
      <xdr:rowOff>36286</xdr:rowOff>
    </xdr:from>
    <xdr:to>
      <xdr:col>2</xdr:col>
      <xdr:colOff>460659</xdr:colOff>
      <xdr:row>187</xdr:row>
      <xdr:rowOff>270329</xdr:rowOff>
    </xdr:to>
    <xdr:pic>
      <xdr:nvPicPr>
        <xdr:cNvPr id="304" name="Billede 303">
          <a:extLst>
            <a:ext uri="{FF2B5EF4-FFF2-40B4-BE49-F238E27FC236}">
              <a16:creationId xmlns:a16="http://schemas.microsoft.com/office/drawing/2014/main" id="{217C07D4-67B7-471D-AD63-84548C7CF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581616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187</xdr:row>
      <xdr:rowOff>56244</xdr:rowOff>
    </xdr:from>
    <xdr:to>
      <xdr:col>4</xdr:col>
      <xdr:colOff>1165542</xdr:colOff>
      <xdr:row>187</xdr:row>
      <xdr:rowOff>284101</xdr:rowOff>
    </xdr:to>
    <xdr:pic>
      <xdr:nvPicPr>
        <xdr:cNvPr id="305" name="Billede 304">
          <a:extLst>
            <a:ext uri="{FF2B5EF4-FFF2-40B4-BE49-F238E27FC236}">
              <a16:creationId xmlns:a16="http://schemas.microsoft.com/office/drawing/2014/main" id="{91F9A3B4-D918-4B3F-A258-BA982C1BB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5818160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188</xdr:row>
      <xdr:rowOff>36286</xdr:rowOff>
    </xdr:from>
    <xdr:to>
      <xdr:col>2</xdr:col>
      <xdr:colOff>460659</xdr:colOff>
      <xdr:row>188</xdr:row>
      <xdr:rowOff>270329</xdr:rowOff>
    </xdr:to>
    <xdr:pic>
      <xdr:nvPicPr>
        <xdr:cNvPr id="306" name="Billede 305">
          <a:extLst>
            <a:ext uri="{FF2B5EF4-FFF2-40B4-BE49-F238E27FC236}">
              <a16:creationId xmlns:a16="http://schemas.microsoft.com/office/drawing/2014/main" id="{CB3F0C94-6F0E-4060-86A2-4022D01FD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584740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188</xdr:row>
      <xdr:rowOff>56244</xdr:rowOff>
    </xdr:from>
    <xdr:to>
      <xdr:col>4</xdr:col>
      <xdr:colOff>1165542</xdr:colOff>
      <xdr:row>188</xdr:row>
      <xdr:rowOff>284101</xdr:rowOff>
    </xdr:to>
    <xdr:pic>
      <xdr:nvPicPr>
        <xdr:cNvPr id="307" name="Billede 306">
          <a:extLst>
            <a:ext uri="{FF2B5EF4-FFF2-40B4-BE49-F238E27FC236}">
              <a16:creationId xmlns:a16="http://schemas.microsoft.com/office/drawing/2014/main" id="{693C4942-92AC-4496-84E9-FE7407EF1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5849402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189</xdr:row>
      <xdr:rowOff>36286</xdr:rowOff>
    </xdr:from>
    <xdr:to>
      <xdr:col>2</xdr:col>
      <xdr:colOff>460659</xdr:colOff>
      <xdr:row>189</xdr:row>
      <xdr:rowOff>270329</xdr:rowOff>
    </xdr:to>
    <xdr:pic>
      <xdr:nvPicPr>
        <xdr:cNvPr id="308" name="Billede 307">
          <a:extLst>
            <a:ext uri="{FF2B5EF4-FFF2-40B4-BE49-F238E27FC236}">
              <a16:creationId xmlns:a16="http://schemas.microsoft.com/office/drawing/2014/main" id="{F2313FC0-2982-4EE3-9AC2-10D7B2706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587864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189</xdr:row>
      <xdr:rowOff>56244</xdr:rowOff>
    </xdr:from>
    <xdr:to>
      <xdr:col>4</xdr:col>
      <xdr:colOff>1165542</xdr:colOff>
      <xdr:row>189</xdr:row>
      <xdr:rowOff>284101</xdr:rowOff>
    </xdr:to>
    <xdr:pic>
      <xdr:nvPicPr>
        <xdr:cNvPr id="309" name="Billede 308">
          <a:extLst>
            <a:ext uri="{FF2B5EF4-FFF2-40B4-BE49-F238E27FC236}">
              <a16:creationId xmlns:a16="http://schemas.microsoft.com/office/drawing/2014/main" id="{0A1D03BF-C35F-474D-BE00-66DA789C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588064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190</xdr:row>
      <xdr:rowOff>36286</xdr:rowOff>
    </xdr:from>
    <xdr:to>
      <xdr:col>2</xdr:col>
      <xdr:colOff>460659</xdr:colOff>
      <xdr:row>190</xdr:row>
      <xdr:rowOff>270329</xdr:rowOff>
    </xdr:to>
    <xdr:pic>
      <xdr:nvPicPr>
        <xdr:cNvPr id="310" name="Billede 309">
          <a:extLst>
            <a:ext uri="{FF2B5EF4-FFF2-40B4-BE49-F238E27FC236}">
              <a16:creationId xmlns:a16="http://schemas.microsoft.com/office/drawing/2014/main" id="{047A5BAD-D1BD-4A8B-A135-D5A83DFB0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5909890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190</xdr:row>
      <xdr:rowOff>56244</xdr:rowOff>
    </xdr:from>
    <xdr:to>
      <xdr:col>4</xdr:col>
      <xdr:colOff>1165542</xdr:colOff>
      <xdr:row>190</xdr:row>
      <xdr:rowOff>284101</xdr:rowOff>
    </xdr:to>
    <xdr:pic>
      <xdr:nvPicPr>
        <xdr:cNvPr id="311" name="Billede 310">
          <a:extLst>
            <a:ext uri="{FF2B5EF4-FFF2-40B4-BE49-F238E27FC236}">
              <a16:creationId xmlns:a16="http://schemas.microsoft.com/office/drawing/2014/main" id="{D49B87C3-2F02-47A9-85D9-0C6E149A6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5911886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191</xdr:row>
      <xdr:rowOff>36286</xdr:rowOff>
    </xdr:from>
    <xdr:to>
      <xdr:col>2</xdr:col>
      <xdr:colOff>460659</xdr:colOff>
      <xdr:row>191</xdr:row>
      <xdr:rowOff>270329</xdr:rowOff>
    </xdr:to>
    <xdr:pic>
      <xdr:nvPicPr>
        <xdr:cNvPr id="312" name="Billede 311">
          <a:extLst>
            <a:ext uri="{FF2B5EF4-FFF2-40B4-BE49-F238E27FC236}">
              <a16:creationId xmlns:a16="http://schemas.microsoft.com/office/drawing/2014/main" id="{C7C89D81-3CE9-4FF7-B7C6-728361750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5941132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191</xdr:row>
      <xdr:rowOff>56244</xdr:rowOff>
    </xdr:from>
    <xdr:to>
      <xdr:col>4</xdr:col>
      <xdr:colOff>1165542</xdr:colOff>
      <xdr:row>191</xdr:row>
      <xdr:rowOff>284101</xdr:rowOff>
    </xdr:to>
    <xdr:pic>
      <xdr:nvPicPr>
        <xdr:cNvPr id="314" name="Billede 313">
          <a:extLst>
            <a:ext uri="{FF2B5EF4-FFF2-40B4-BE49-F238E27FC236}">
              <a16:creationId xmlns:a16="http://schemas.microsoft.com/office/drawing/2014/main" id="{FA01C556-AAAB-4E93-B156-F9FE1D7D8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5943128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192</xdr:row>
      <xdr:rowOff>36286</xdr:rowOff>
    </xdr:from>
    <xdr:to>
      <xdr:col>2</xdr:col>
      <xdr:colOff>460659</xdr:colOff>
      <xdr:row>192</xdr:row>
      <xdr:rowOff>270329</xdr:rowOff>
    </xdr:to>
    <xdr:pic>
      <xdr:nvPicPr>
        <xdr:cNvPr id="316" name="Billede 315">
          <a:extLst>
            <a:ext uri="{FF2B5EF4-FFF2-40B4-BE49-F238E27FC236}">
              <a16:creationId xmlns:a16="http://schemas.microsoft.com/office/drawing/2014/main" id="{4927CC25-9B7A-4A76-9233-5FDBFAF1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597237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192</xdr:row>
      <xdr:rowOff>56244</xdr:rowOff>
    </xdr:from>
    <xdr:to>
      <xdr:col>4</xdr:col>
      <xdr:colOff>1165542</xdr:colOff>
      <xdr:row>192</xdr:row>
      <xdr:rowOff>284101</xdr:rowOff>
    </xdr:to>
    <xdr:pic>
      <xdr:nvPicPr>
        <xdr:cNvPr id="317" name="Billede 316">
          <a:extLst>
            <a:ext uri="{FF2B5EF4-FFF2-40B4-BE49-F238E27FC236}">
              <a16:creationId xmlns:a16="http://schemas.microsoft.com/office/drawing/2014/main" id="{A7DA92C5-B04B-4AB4-B1F6-4FA8A86A7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5974370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193</xdr:row>
      <xdr:rowOff>36286</xdr:rowOff>
    </xdr:from>
    <xdr:to>
      <xdr:col>2</xdr:col>
      <xdr:colOff>460659</xdr:colOff>
      <xdr:row>193</xdr:row>
      <xdr:rowOff>270329</xdr:rowOff>
    </xdr:to>
    <xdr:pic>
      <xdr:nvPicPr>
        <xdr:cNvPr id="318" name="Billede 317">
          <a:extLst>
            <a:ext uri="{FF2B5EF4-FFF2-40B4-BE49-F238E27FC236}">
              <a16:creationId xmlns:a16="http://schemas.microsoft.com/office/drawing/2014/main" id="{2C2BCC89-CB6F-435D-9401-D3D1ABB0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600361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193</xdr:row>
      <xdr:rowOff>56244</xdr:rowOff>
    </xdr:from>
    <xdr:to>
      <xdr:col>4</xdr:col>
      <xdr:colOff>1165542</xdr:colOff>
      <xdr:row>193</xdr:row>
      <xdr:rowOff>284101</xdr:rowOff>
    </xdr:to>
    <xdr:pic>
      <xdr:nvPicPr>
        <xdr:cNvPr id="319" name="Billede 318">
          <a:extLst>
            <a:ext uri="{FF2B5EF4-FFF2-40B4-BE49-F238E27FC236}">
              <a16:creationId xmlns:a16="http://schemas.microsoft.com/office/drawing/2014/main" id="{9B39AD3B-68C2-4C8C-9254-1EA2C40AF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6005612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194</xdr:row>
      <xdr:rowOff>36286</xdr:rowOff>
    </xdr:from>
    <xdr:to>
      <xdr:col>2</xdr:col>
      <xdr:colOff>460659</xdr:colOff>
      <xdr:row>194</xdr:row>
      <xdr:rowOff>270329</xdr:rowOff>
    </xdr:to>
    <xdr:pic>
      <xdr:nvPicPr>
        <xdr:cNvPr id="320" name="Billede 319">
          <a:extLst>
            <a:ext uri="{FF2B5EF4-FFF2-40B4-BE49-F238E27FC236}">
              <a16:creationId xmlns:a16="http://schemas.microsoft.com/office/drawing/2014/main" id="{53888764-E4F0-4420-97AB-FF19CB35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603485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194</xdr:row>
      <xdr:rowOff>56244</xdr:rowOff>
    </xdr:from>
    <xdr:to>
      <xdr:col>4</xdr:col>
      <xdr:colOff>1165542</xdr:colOff>
      <xdr:row>194</xdr:row>
      <xdr:rowOff>284101</xdr:rowOff>
    </xdr:to>
    <xdr:pic>
      <xdr:nvPicPr>
        <xdr:cNvPr id="322" name="Billede 321">
          <a:extLst>
            <a:ext uri="{FF2B5EF4-FFF2-40B4-BE49-F238E27FC236}">
              <a16:creationId xmlns:a16="http://schemas.microsoft.com/office/drawing/2014/main" id="{37A6FE74-D465-4D02-8FAD-132D33D8B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603685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195</xdr:row>
      <xdr:rowOff>36286</xdr:rowOff>
    </xdr:from>
    <xdr:to>
      <xdr:col>2</xdr:col>
      <xdr:colOff>460659</xdr:colOff>
      <xdr:row>195</xdr:row>
      <xdr:rowOff>270329</xdr:rowOff>
    </xdr:to>
    <xdr:pic>
      <xdr:nvPicPr>
        <xdr:cNvPr id="325" name="Billede 324">
          <a:extLst>
            <a:ext uri="{FF2B5EF4-FFF2-40B4-BE49-F238E27FC236}">
              <a16:creationId xmlns:a16="http://schemas.microsoft.com/office/drawing/2014/main" id="{D4D32EC0-F50A-4E2B-8B64-EF0271F64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6066100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195</xdr:row>
      <xdr:rowOff>56244</xdr:rowOff>
    </xdr:from>
    <xdr:to>
      <xdr:col>4</xdr:col>
      <xdr:colOff>1165542</xdr:colOff>
      <xdr:row>195</xdr:row>
      <xdr:rowOff>284101</xdr:rowOff>
    </xdr:to>
    <xdr:pic>
      <xdr:nvPicPr>
        <xdr:cNvPr id="371" name="Billede 370">
          <a:extLst>
            <a:ext uri="{FF2B5EF4-FFF2-40B4-BE49-F238E27FC236}">
              <a16:creationId xmlns:a16="http://schemas.microsoft.com/office/drawing/2014/main" id="{780E0DB8-6347-4B56-AA82-55D26E968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6068096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196</xdr:row>
      <xdr:rowOff>36286</xdr:rowOff>
    </xdr:from>
    <xdr:to>
      <xdr:col>2</xdr:col>
      <xdr:colOff>460659</xdr:colOff>
      <xdr:row>196</xdr:row>
      <xdr:rowOff>270329</xdr:rowOff>
    </xdr:to>
    <xdr:pic>
      <xdr:nvPicPr>
        <xdr:cNvPr id="372" name="Billede 371">
          <a:extLst>
            <a:ext uri="{FF2B5EF4-FFF2-40B4-BE49-F238E27FC236}">
              <a16:creationId xmlns:a16="http://schemas.microsoft.com/office/drawing/2014/main" id="{CE4CE4A8-D812-481B-BA50-B394B1933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6097342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196</xdr:row>
      <xdr:rowOff>56244</xdr:rowOff>
    </xdr:from>
    <xdr:to>
      <xdr:col>4</xdr:col>
      <xdr:colOff>1165542</xdr:colOff>
      <xdr:row>196</xdr:row>
      <xdr:rowOff>284101</xdr:rowOff>
    </xdr:to>
    <xdr:pic>
      <xdr:nvPicPr>
        <xdr:cNvPr id="373" name="Billede 372">
          <a:extLst>
            <a:ext uri="{FF2B5EF4-FFF2-40B4-BE49-F238E27FC236}">
              <a16:creationId xmlns:a16="http://schemas.microsoft.com/office/drawing/2014/main" id="{903B79DD-9A37-4468-86DA-E6FF15C62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6099338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197</xdr:row>
      <xdr:rowOff>36286</xdr:rowOff>
    </xdr:from>
    <xdr:to>
      <xdr:col>2</xdr:col>
      <xdr:colOff>460659</xdr:colOff>
      <xdr:row>197</xdr:row>
      <xdr:rowOff>270329</xdr:rowOff>
    </xdr:to>
    <xdr:pic>
      <xdr:nvPicPr>
        <xdr:cNvPr id="374" name="Billede 373">
          <a:extLst>
            <a:ext uri="{FF2B5EF4-FFF2-40B4-BE49-F238E27FC236}">
              <a16:creationId xmlns:a16="http://schemas.microsoft.com/office/drawing/2014/main" id="{E7273579-9EB0-44BC-9838-FE8F184EE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612858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197</xdr:row>
      <xdr:rowOff>56244</xdr:rowOff>
    </xdr:from>
    <xdr:to>
      <xdr:col>4</xdr:col>
      <xdr:colOff>1165542</xdr:colOff>
      <xdr:row>197</xdr:row>
      <xdr:rowOff>284101</xdr:rowOff>
    </xdr:to>
    <xdr:pic>
      <xdr:nvPicPr>
        <xdr:cNvPr id="375" name="Billede 374">
          <a:extLst>
            <a:ext uri="{FF2B5EF4-FFF2-40B4-BE49-F238E27FC236}">
              <a16:creationId xmlns:a16="http://schemas.microsoft.com/office/drawing/2014/main" id="{D2C7D40B-5B93-4BBC-9D96-C0604994D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6130580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198</xdr:row>
      <xdr:rowOff>36286</xdr:rowOff>
    </xdr:from>
    <xdr:to>
      <xdr:col>2</xdr:col>
      <xdr:colOff>460659</xdr:colOff>
      <xdr:row>198</xdr:row>
      <xdr:rowOff>270329</xdr:rowOff>
    </xdr:to>
    <xdr:pic>
      <xdr:nvPicPr>
        <xdr:cNvPr id="376" name="Billede 375">
          <a:extLst>
            <a:ext uri="{FF2B5EF4-FFF2-40B4-BE49-F238E27FC236}">
              <a16:creationId xmlns:a16="http://schemas.microsoft.com/office/drawing/2014/main" id="{06FE3ADF-877C-410E-AAEF-6B065249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4743" y="615982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198</xdr:row>
      <xdr:rowOff>56244</xdr:rowOff>
    </xdr:from>
    <xdr:to>
      <xdr:col>4</xdr:col>
      <xdr:colOff>1165542</xdr:colOff>
      <xdr:row>198</xdr:row>
      <xdr:rowOff>284101</xdr:rowOff>
    </xdr:to>
    <xdr:pic>
      <xdr:nvPicPr>
        <xdr:cNvPr id="377" name="Billede 376">
          <a:extLst>
            <a:ext uri="{FF2B5EF4-FFF2-40B4-BE49-F238E27FC236}">
              <a16:creationId xmlns:a16="http://schemas.microsoft.com/office/drawing/2014/main" id="{B1EAA101-5063-4481-B2C0-270ED00B4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962" y="6161822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76</xdr:row>
      <xdr:rowOff>12700</xdr:rowOff>
    </xdr:from>
    <xdr:to>
      <xdr:col>2</xdr:col>
      <xdr:colOff>502920</xdr:colOff>
      <xdr:row>76</xdr:row>
      <xdr:rowOff>301088</xdr:rowOff>
    </xdr:to>
    <xdr:pic>
      <xdr:nvPicPr>
        <xdr:cNvPr id="378" name="Billede 377">
          <a:extLst>
            <a:ext uri="{FF2B5EF4-FFF2-40B4-BE49-F238E27FC236}">
              <a16:creationId xmlns:a16="http://schemas.microsoft.com/office/drawing/2014/main" id="{CC3B3BA1-6B66-4A7F-8B09-C7E0B8C0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3600" y="23825200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105</xdr:row>
      <xdr:rowOff>12700</xdr:rowOff>
    </xdr:from>
    <xdr:to>
      <xdr:col>2</xdr:col>
      <xdr:colOff>490220</xdr:colOff>
      <xdr:row>105</xdr:row>
      <xdr:rowOff>301088</xdr:rowOff>
    </xdr:to>
    <xdr:pic>
      <xdr:nvPicPr>
        <xdr:cNvPr id="379" name="Billede 378">
          <a:extLst>
            <a:ext uri="{FF2B5EF4-FFF2-40B4-BE49-F238E27FC236}">
              <a16:creationId xmlns:a16="http://schemas.microsoft.com/office/drawing/2014/main" id="{8C890E0D-7D55-4A89-A941-00F2C44C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0900" y="33032700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120</xdr:row>
      <xdr:rowOff>0</xdr:rowOff>
    </xdr:from>
    <xdr:to>
      <xdr:col>2</xdr:col>
      <xdr:colOff>490220</xdr:colOff>
      <xdr:row>120</xdr:row>
      <xdr:rowOff>288388</xdr:rowOff>
    </xdr:to>
    <xdr:pic>
      <xdr:nvPicPr>
        <xdr:cNvPr id="380" name="Billede 379">
          <a:extLst>
            <a:ext uri="{FF2B5EF4-FFF2-40B4-BE49-F238E27FC236}">
              <a16:creationId xmlns:a16="http://schemas.microsoft.com/office/drawing/2014/main" id="{5DB2EC32-FCEA-4832-8E75-B79E3A75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0900" y="37782500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148</xdr:row>
      <xdr:rowOff>25400</xdr:rowOff>
    </xdr:from>
    <xdr:to>
      <xdr:col>2</xdr:col>
      <xdr:colOff>490220</xdr:colOff>
      <xdr:row>148</xdr:row>
      <xdr:rowOff>313788</xdr:rowOff>
    </xdr:to>
    <xdr:pic>
      <xdr:nvPicPr>
        <xdr:cNvPr id="381" name="Billede 380">
          <a:extLst>
            <a:ext uri="{FF2B5EF4-FFF2-40B4-BE49-F238E27FC236}">
              <a16:creationId xmlns:a16="http://schemas.microsoft.com/office/drawing/2014/main" id="{1D8FDEF0-AB79-4B58-BDBD-A38F5D25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0900" y="46697900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138</xdr:row>
      <xdr:rowOff>16412</xdr:rowOff>
    </xdr:from>
    <xdr:to>
      <xdr:col>2</xdr:col>
      <xdr:colOff>492761</xdr:colOff>
      <xdr:row>138</xdr:row>
      <xdr:rowOff>304800</xdr:rowOff>
    </xdr:to>
    <xdr:pic>
      <xdr:nvPicPr>
        <xdr:cNvPr id="385" name="Billede 384">
          <a:extLst>
            <a:ext uri="{FF2B5EF4-FFF2-40B4-BE49-F238E27FC236}">
              <a16:creationId xmlns:a16="http://schemas.microsoft.com/office/drawing/2014/main" id="{A8382C0E-F5DE-4CA1-BE44-300B22D4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14141" y="255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805544</xdr:colOff>
      <xdr:row>138</xdr:row>
      <xdr:rowOff>54429</xdr:rowOff>
    </xdr:from>
    <xdr:to>
      <xdr:col>4</xdr:col>
      <xdr:colOff>1165544</xdr:colOff>
      <xdr:row>138</xdr:row>
      <xdr:rowOff>273007</xdr:rowOff>
    </xdr:to>
    <xdr:pic>
      <xdr:nvPicPr>
        <xdr:cNvPr id="386" name="Billede 385">
          <a:extLst>
            <a:ext uri="{FF2B5EF4-FFF2-40B4-BE49-F238E27FC236}">
              <a16:creationId xmlns:a16="http://schemas.microsoft.com/office/drawing/2014/main" id="{6B9F5D13-878E-4847-97CF-5AC07829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744" y="2594429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805542</xdr:colOff>
      <xdr:row>5</xdr:row>
      <xdr:rowOff>39187</xdr:rowOff>
    </xdr:from>
    <xdr:to>
      <xdr:col>4</xdr:col>
      <xdr:colOff>1165542</xdr:colOff>
      <xdr:row>5</xdr:row>
      <xdr:rowOff>283029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F0C386FF-7C2C-4220-A5C7-04E6265EE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2" y="923107"/>
          <a:ext cx="360000" cy="24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6</xdr:row>
      <xdr:rowOff>43545</xdr:rowOff>
    </xdr:from>
    <xdr:to>
      <xdr:col>4</xdr:col>
      <xdr:colOff>1165543</xdr:colOff>
      <xdr:row>6</xdr:row>
      <xdr:rowOff>276063</xdr:rowOff>
    </xdr:to>
    <xdr:pic>
      <xdr:nvPicPr>
        <xdr:cNvPr id="28" name="Billede 27" descr="Dannebrog">
          <a:extLst>
            <a:ext uri="{FF2B5EF4-FFF2-40B4-BE49-F238E27FC236}">
              <a16:creationId xmlns:a16="http://schemas.microsoft.com/office/drawing/2014/main" id="{E2B58ADA-8E93-41DB-8F93-26FD0C3CC1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01543" y="121920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</xdr:row>
      <xdr:rowOff>54428</xdr:rowOff>
    </xdr:from>
    <xdr:to>
      <xdr:col>4</xdr:col>
      <xdr:colOff>1165543</xdr:colOff>
      <xdr:row>9</xdr:row>
      <xdr:rowOff>273006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E250B063-5466-4E2B-A7F3-6598511EB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3" y="2177142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</xdr:row>
      <xdr:rowOff>54428</xdr:rowOff>
    </xdr:from>
    <xdr:to>
      <xdr:col>4</xdr:col>
      <xdr:colOff>1165543</xdr:colOff>
      <xdr:row>10</xdr:row>
      <xdr:rowOff>273006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E821F713-2E3C-3403-49E8-1A253D3A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3" y="24928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</xdr:row>
      <xdr:rowOff>54430</xdr:rowOff>
    </xdr:from>
    <xdr:to>
      <xdr:col>4</xdr:col>
      <xdr:colOff>1165543</xdr:colOff>
      <xdr:row>13</xdr:row>
      <xdr:rowOff>286948</xdr:rowOff>
    </xdr:to>
    <xdr:pic>
      <xdr:nvPicPr>
        <xdr:cNvPr id="31" name="Billede 30" descr="Dannebrog">
          <a:extLst>
            <a:ext uri="{FF2B5EF4-FFF2-40B4-BE49-F238E27FC236}">
              <a16:creationId xmlns:a16="http://schemas.microsoft.com/office/drawing/2014/main" id="{747A935B-63CB-446C-ECE6-65D2139E6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01543" y="375557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</xdr:row>
      <xdr:rowOff>54430</xdr:rowOff>
    </xdr:from>
    <xdr:to>
      <xdr:col>4</xdr:col>
      <xdr:colOff>1165543</xdr:colOff>
      <xdr:row>14</xdr:row>
      <xdr:rowOff>286948</xdr:rowOff>
    </xdr:to>
    <xdr:pic>
      <xdr:nvPicPr>
        <xdr:cNvPr id="32" name="Billede 31" descr="Dannebrog">
          <a:extLst>
            <a:ext uri="{FF2B5EF4-FFF2-40B4-BE49-F238E27FC236}">
              <a16:creationId xmlns:a16="http://schemas.microsoft.com/office/drawing/2014/main" id="{7BC0929F-EC8C-0860-D51C-A6E2B5358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901543" y="407125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</xdr:row>
      <xdr:rowOff>43545</xdr:rowOff>
    </xdr:from>
    <xdr:to>
      <xdr:col>4</xdr:col>
      <xdr:colOff>1165543</xdr:colOff>
      <xdr:row>11</xdr:row>
      <xdr:rowOff>286148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EF56F3F0-B39E-516D-B52E-6AFFDC3CA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3" y="2797631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</xdr:row>
      <xdr:rowOff>43546</xdr:rowOff>
    </xdr:from>
    <xdr:to>
      <xdr:col>4</xdr:col>
      <xdr:colOff>1165543</xdr:colOff>
      <xdr:row>12</xdr:row>
      <xdr:rowOff>286149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7CF39DF1-F6B9-5FCF-6F13-74909097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3" y="3113317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15</xdr:row>
      <xdr:rowOff>54430</xdr:rowOff>
    </xdr:from>
    <xdr:to>
      <xdr:col>4</xdr:col>
      <xdr:colOff>1165543</xdr:colOff>
      <xdr:row>15</xdr:row>
      <xdr:rowOff>285619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C63D145C-E359-0B2B-4ED3-D419353AA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3" y="5018316"/>
          <a:ext cx="360000" cy="23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16</xdr:row>
      <xdr:rowOff>54431</xdr:rowOff>
    </xdr:from>
    <xdr:to>
      <xdr:col>4</xdr:col>
      <xdr:colOff>1165543</xdr:colOff>
      <xdr:row>16</xdr:row>
      <xdr:rowOff>285620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C39EA2CE-1903-6F4B-FF1B-F8627708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3" y="5334002"/>
          <a:ext cx="360000" cy="23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19</xdr:row>
      <xdr:rowOff>43546</xdr:rowOff>
    </xdr:from>
    <xdr:to>
      <xdr:col>4</xdr:col>
      <xdr:colOff>1165542</xdr:colOff>
      <xdr:row>19</xdr:row>
      <xdr:rowOff>269991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C4A0A7BF-AB63-467E-8F25-C1A373ADA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6901542" y="6585860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805544</xdr:colOff>
      <xdr:row>18</xdr:row>
      <xdr:rowOff>44382</xdr:rowOff>
    </xdr:from>
    <xdr:to>
      <xdr:col>4</xdr:col>
      <xdr:colOff>1165544</xdr:colOff>
      <xdr:row>18</xdr:row>
      <xdr:rowOff>284955</xdr:rowOff>
    </xdr:to>
    <xdr:pic>
      <xdr:nvPicPr>
        <xdr:cNvPr id="42" name="Billede 41">
          <a:extLst>
            <a:ext uri="{FF2B5EF4-FFF2-40B4-BE49-F238E27FC236}">
              <a16:creationId xmlns:a16="http://schemas.microsoft.com/office/drawing/2014/main" id="{034B0C87-AED7-7077-B97D-B862966A6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01544" y="6271011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805544</xdr:colOff>
      <xdr:row>20</xdr:row>
      <xdr:rowOff>44382</xdr:rowOff>
    </xdr:from>
    <xdr:to>
      <xdr:col>4</xdr:col>
      <xdr:colOff>1165544</xdr:colOff>
      <xdr:row>20</xdr:row>
      <xdr:rowOff>284955</xdr:rowOff>
    </xdr:to>
    <xdr:pic>
      <xdr:nvPicPr>
        <xdr:cNvPr id="43" name="Billede 42">
          <a:extLst>
            <a:ext uri="{FF2B5EF4-FFF2-40B4-BE49-F238E27FC236}">
              <a16:creationId xmlns:a16="http://schemas.microsoft.com/office/drawing/2014/main" id="{FE419039-6D1A-90E3-261A-62B921DBE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901544" y="6902382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17</xdr:row>
      <xdr:rowOff>43544</xdr:rowOff>
    </xdr:from>
    <xdr:to>
      <xdr:col>4</xdr:col>
      <xdr:colOff>1165543</xdr:colOff>
      <xdr:row>17</xdr:row>
      <xdr:rowOff>286147</xdr:rowOff>
    </xdr:to>
    <xdr:pic>
      <xdr:nvPicPr>
        <xdr:cNvPr id="44" name="Billede 43">
          <a:extLst>
            <a:ext uri="{FF2B5EF4-FFF2-40B4-BE49-F238E27FC236}">
              <a16:creationId xmlns:a16="http://schemas.microsoft.com/office/drawing/2014/main" id="{86F57869-7032-89A7-A1B5-538442CE6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543" y="5954487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805542</xdr:colOff>
      <xdr:row>21</xdr:row>
      <xdr:rowOff>54430</xdr:rowOff>
    </xdr:from>
    <xdr:to>
      <xdr:col>4</xdr:col>
      <xdr:colOff>1165542</xdr:colOff>
      <xdr:row>21</xdr:row>
      <xdr:rowOff>267824</xdr:rowOff>
    </xdr:to>
    <xdr:pic>
      <xdr:nvPicPr>
        <xdr:cNvPr id="79" name="Billede 78">
          <a:extLst>
            <a:ext uri="{FF2B5EF4-FFF2-40B4-BE49-F238E27FC236}">
              <a16:creationId xmlns:a16="http://schemas.microsoft.com/office/drawing/2014/main" id="{5B534067-74D1-40CB-B94D-25352C919B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704"/>
        <a:stretch/>
      </xdr:blipFill>
      <xdr:spPr bwMode="auto">
        <a:xfrm>
          <a:off x="7990113" y="7228116"/>
          <a:ext cx="360000" cy="21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859973</xdr:colOff>
      <xdr:row>22</xdr:row>
      <xdr:rowOff>32603</xdr:rowOff>
    </xdr:from>
    <xdr:to>
      <xdr:col>4</xdr:col>
      <xdr:colOff>1107978</xdr:colOff>
      <xdr:row>22</xdr:row>
      <xdr:rowOff>283028</xdr:rowOff>
    </xdr:to>
    <xdr:pic>
      <xdr:nvPicPr>
        <xdr:cNvPr id="85" name="Billede 84">
          <a:extLst>
            <a:ext uri="{FF2B5EF4-FFF2-40B4-BE49-F238E27FC236}">
              <a16:creationId xmlns:a16="http://schemas.microsoft.com/office/drawing/2014/main" id="{F0DE6621-A42F-43FF-8943-51C2F1FB6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544" y="7521974"/>
          <a:ext cx="248005" cy="25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23</xdr:row>
      <xdr:rowOff>54430</xdr:rowOff>
    </xdr:from>
    <xdr:to>
      <xdr:col>4</xdr:col>
      <xdr:colOff>1165543</xdr:colOff>
      <xdr:row>23</xdr:row>
      <xdr:rowOff>282287</xdr:rowOff>
    </xdr:to>
    <xdr:pic>
      <xdr:nvPicPr>
        <xdr:cNvPr id="89" name="Billede 88">
          <a:extLst>
            <a:ext uri="{FF2B5EF4-FFF2-40B4-BE49-F238E27FC236}">
              <a16:creationId xmlns:a16="http://schemas.microsoft.com/office/drawing/2014/main" id="{2021ACE4-1524-4A9B-B709-5CCF5E954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0114" y="7859487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7</xdr:row>
      <xdr:rowOff>43544</xdr:rowOff>
    </xdr:from>
    <xdr:to>
      <xdr:col>4</xdr:col>
      <xdr:colOff>1165543</xdr:colOff>
      <xdr:row>7</xdr:row>
      <xdr:rowOff>276062</xdr:rowOff>
    </xdr:to>
    <xdr:pic>
      <xdr:nvPicPr>
        <xdr:cNvPr id="90" name="Billede 89" descr="Dannebrog">
          <a:extLst>
            <a:ext uri="{FF2B5EF4-FFF2-40B4-BE49-F238E27FC236}">
              <a16:creationId xmlns:a16="http://schemas.microsoft.com/office/drawing/2014/main" id="{208A79F3-BCBD-0F05-4834-D5A99098B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90114" y="153488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8</xdr:row>
      <xdr:rowOff>32658</xdr:rowOff>
    </xdr:from>
    <xdr:to>
      <xdr:col>4</xdr:col>
      <xdr:colOff>1165543</xdr:colOff>
      <xdr:row>8</xdr:row>
      <xdr:rowOff>265176</xdr:rowOff>
    </xdr:to>
    <xdr:pic>
      <xdr:nvPicPr>
        <xdr:cNvPr id="91" name="Billede 90" descr="Dannebrog">
          <a:extLst>
            <a:ext uri="{FF2B5EF4-FFF2-40B4-BE49-F238E27FC236}">
              <a16:creationId xmlns:a16="http://schemas.microsoft.com/office/drawing/2014/main" id="{39C8E4B4-E032-3A15-02F3-D514E08EF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90114" y="183968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24</xdr:row>
      <xdr:rowOff>32658</xdr:rowOff>
    </xdr:from>
    <xdr:to>
      <xdr:col>4</xdr:col>
      <xdr:colOff>1165543</xdr:colOff>
      <xdr:row>24</xdr:row>
      <xdr:rowOff>265176</xdr:rowOff>
    </xdr:to>
    <xdr:pic>
      <xdr:nvPicPr>
        <xdr:cNvPr id="94" name="Billede 93" descr="Dannebrog">
          <a:extLst>
            <a:ext uri="{FF2B5EF4-FFF2-40B4-BE49-F238E27FC236}">
              <a16:creationId xmlns:a16="http://schemas.microsoft.com/office/drawing/2014/main" id="{5B291D5B-4E2E-4D29-9D58-E818144C9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90114" y="815340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25</xdr:row>
      <xdr:rowOff>32658</xdr:rowOff>
    </xdr:from>
    <xdr:to>
      <xdr:col>4</xdr:col>
      <xdr:colOff>1165543</xdr:colOff>
      <xdr:row>25</xdr:row>
      <xdr:rowOff>265176</xdr:rowOff>
    </xdr:to>
    <xdr:pic>
      <xdr:nvPicPr>
        <xdr:cNvPr id="99" name="Billede 98" descr="Dannebrog">
          <a:extLst>
            <a:ext uri="{FF2B5EF4-FFF2-40B4-BE49-F238E27FC236}">
              <a16:creationId xmlns:a16="http://schemas.microsoft.com/office/drawing/2014/main" id="{A868430A-D771-4989-BC1D-DFF17C7CF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90114" y="846908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816430</xdr:colOff>
      <xdr:row>27</xdr:row>
      <xdr:rowOff>43543</xdr:rowOff>
    </xdr:from>
    <xdr:to>
      <xdr:col>4</xdr:col>
      <xdr:colOff>1176430</xdr:colOff>
      <xdr:row>27</xdr:row>
      <xdr:rowOff>284116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8C1847AE-DDDA-41B8-A203-EF8AAF8D5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8040190" y="89698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5</xdr:row>
      <xdr:rowOff>36286</xdr:rowOff>
    </xdr:from>
    <xdr:to>
      <xdr:col>2</xdr:col>
      <xdr:colOff>460659</xdr:colOff>
      <xdr:row>5</xdr:row>
      <xdr:rowOff>270329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F8D79318-D4FE-4A0D-B707-83445C23F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</xdr:row>
      <xdr:rowOff>36286</xdr:rowOff>
    </xdr:from>
    <xdr:to>
      <xdr:col>2</xdr:col>
      <xdr:colOff>460659</xdr:colOff>
      <xdr:row>6</xdr:row>
      <xdr:rowOff>270329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D38B5457-3A7C-4CFD-B64E-73F4E3EA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</xdr:row>
      <xdr:rowOff>36286</xdr:rowOff>
    </xdr:from>
    <xdr:to>
      <xdr:col>2</xdr:col>
      <xdr:colOff>460659</xdr:colOff>
      <xdr:row>7</xdr:row>
      <xdr:rowOff>270329</xdr:rowOff>
    </xdr:to>
    <xdr:pic>
      <xdr:nvPicPr>
        <xdr:cNvPr id="45" name="Billede 44">
          <a:extLst>
            <a:ext uri="{FF2B5EF4-FFF2-40B4-BE49-F238E27FC236}">
              <a16:creationId xmlns:a16="http://schemas.microsoft.com/office/drawing/2014/main" id="{AD871F2D-C510-4617-B214-6B77534F4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</xdr:row>
      <xdr:rowOff>36286</xdr:rowOff>
    </xdr:from>
    <xdr:to>
      <xdr:col>2</xdr:col>
      <xdr:colOff>460659</xdr:colOff>
      <xdr:row>8</xdr:row>
      <xdr:rowOff>270329</xdr:rowOff>
    </xdr:to>
    <xdr:pic>
      <xdr:nvPicPr>
        <xdr:cNvPr id="47" name="Billede 46">
          <a:extLst>
            <a:ext uri="{FF2B5EF4-FFF2-40B4-BE49-F238E27FC236}">
              <a16:creationId xmlns:a16="http://schemas.microsoft.com/office/drawing/2014/main" id="{F7DF36D9-7A62-4CBF-AEEC-B4D2992B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</xdr:row>
      <xdr:rowOff>36286</xdr:rowOff>
    </xdr:from>
    <xdr:to>
      <xdr:col>2</xdr:col>
      <xdr:colOff>460659</xdr:colOff>
      <xdr:row>11</xdr:row>
      <xdr:rowOff>270329</xdr:rowOff>
    </xdr:to>
    <xdr:pic>
      <xdr:nvPicPr>
        <xdr:cNvPr id="49" name="Billede 48">
          <a:extLst>
            <a:ext uri="{FF2B5EF4-FFF2-40B4-BE49-F238E27FC236}">
              <a16:creationId xmlns:a16="http://schemas.microsoft.com/office/drawing/2014/main" id="{5074B8BF-2007-4843-A252-5B225BED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12</xdr:row>
      <xdr:rowOff>36286</xdr:rowOff>
    </xdr:from>
    <xdr:to>
      <xdr:col>2</xdr:col>
      <xdr:colOff>460659</xdr:colOff>
      <xdr:row>12</xdr:row>
      <xdr:rowOff>270329</xdr:rowOff>
    </xdr:to>
    <xdr:pic>
      <xdr:nvPicPr>
        <xdr:cNvPr id="52" name="Billede 51">
          <a:extLst>
            <a:ext uri="{FF2B5EF4-FFF2-40B4-BE49-F238E27FC236}">
              <a16:creationId xmlns:a16="http://schemas.microsoft.com/office/drawing/2014/main" id="{5B627B84-6DEC-4055-869E-10B82A4A3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13</xdr:row>
      <xdr:rowOff>36286</xdr:rowOff>
    </xdr:from>
    <xdr:to>
      <xdr:col>2</xdr:col>
      <xdr:colOff>460659</xdr:colOff>
      <xdr:row>13</xdr:row>
      <xdr:rowOff>270329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DF5546D5-B003-4AE9-93DF-8C5917284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14</xdr:row>
      <xdr:rowOff>36286</xdr:rowOff>
    </xdr:from>
    <xdr:to>
      <xdr:col>2</xdr:col>
      <xdr:colOff>460659</xdr:colOff>
      <xdr:row>14</xdr:row>
      <xdr:rowOff>270329</xdr:rowOff>
    </xdr:to>
    <xdr:pic>
      <xdr:nvPicPr>
        <xdr:cNvPr id="59" name="Billede 58">
          <a:extLst>
            <a:ext uri="{FF2B5EF4-FFF2-40B4-BE49-F238E27FC236}">
              <a16:creationId xmlns:a16="http://schemas.microsoft.com/office/drawing/2014/main" id="{70D13288-9F68-4E9E-BF67-4228646F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</xdr:row>
      <xdr:rowOff>36286</xdr:rowOff>
    </xdr:from>
    <xdr:to>
      <xdr:col>2</xdr:col>
      <xdr:colOff>460659</xdr:colOff>
      <xdr:row>15</xdr:row>
      <xdr:rowOff>270329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D7DB300B-DC91-4926-9581-C8494DF8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</xdr:row>
      <xdr:rowOff>36286</xdr:rowOff>
    </xdr:from>
    <xdr:to>
      <xdr:col>2</xdr:col>
      <xdr:colOff>460659</xdr:colOff>
      <xdr:row>16</xdr:row>
      <xdr:rowOff>270329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C3D5140B-9E06-4DB3-AEB0-365131E8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17</xdr:row>
      <xdr:rowOff>36286</xdr:rowOff>
    </xdr:from>
    <xdr:to>
      <xdr:col>2</xdr:col>
      <xdr:colOff>460659</xdr:colOff>
      <xdr:row>17</xdr:row>
      <xdr:rowOff>270329</xdr:rowOff>
    </xdr:to>
    <xdr:pic>
      <xdr:nvPicPr>
        <xdr:cNvPr id="69" name="Billede 68">
          <a:extLst>
            <a:ext uri="{FF2B5EF4-FFF2-40B4-BE49-F238E27FC236}">
              <a16:creationId xmlns:a16="http://schemas.microsoft.com/office/drawing/2014/main" id="{BFB293AA-08C3-417C-A0F1-DB70A0BF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</xdr:row>
      <xdr:rowOff>36286</xdr:rowOff>
    </xdr:from>
    <xdr:to>
      <xdr:col>2</xdr:col>
      <xdr:colOff>460659</xdr:colOff>
      <xdr:row>18</xdr:row>
      <xdr:rowOff>270329</xdr:rowOff>
    </xdr:to>
    <xdr:pic>
      <xdr:nvPicPr>
        <xdr:cNvPr id="71" name="Billede 70">
          <a:extLst>
            <a:ext uri="{FF2B5EF4-FFF2-40B4-BE49-F238E27FC236}">
              <a16:creationId xmlns:a16="http://schemas.microsoft.com/office/drawing/2014/main" id="{BED772A3-0821-4750-B6C5-A9C3EE301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19</xdr:row>
      <xdr:rowOff>36286</xdr:rowOff>
    </xdr:from>
    <xdr:to>
      <xdr:col>2</xdr:col>
      <xdr:colOff>460659</xdr:colOff>
      <xdr:row>19</xdr:row>
      <xdr:rowOff>270329</xdr:rowOff>
    </xdr:to>
    <xdr:pic>
      <xdr:nvPicPr>
        <xdr:cNvPr id="73" name="Billede 72">
          <a:extLst>
            <a:ext uri="{FF2B5EF4-FFF2-40B4-BE49-F238E27FC236}">
              <a16:creationId xmlns:a16="http://schemas.microsoft.com/office/drawing/2014/main" id="{13E6BC2C-B3F9-4626-B9BF-721248BC7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87" name="Billede 86">
          <a:extLst>
            <a:ext uri="{FF2B5EF4-FFF2-40B4-BE49-F238E27FC236}">
              <a16:creationId xmlns:a16="http://schemas.microsoft.com/office/drawing/2014/main" id="{82F9FFDA-06C8-45E9-B23C-7C60B0B3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24</xdr:row>
      <xdr:rowOff>36286</xdr:rowOff>
    </xdr:from>
    <xdr:to>
      <xdr:col>2</xdr:col>
      <xdr:colOff>460659</xdr:colOff>
      <xdr:row>24</xdr:row>
      <xdr:rowOff>270329</xdr:rowOff>
    </xdr:to>
    <xdr:pic>
      <xdr:nvPicPr>
        <xdr:cNvPr id="92" name="Billede 91">
          <a:extLst>
            <a:ext uri="{FF2B5EF4-FFF2-40B4-BE49-F238E27FC236}">
              <a16:creationId xmlns:a16="http://schemas.microsoft.com/office/drawing/2014/main" id="{EF0B7A1A-033C-4A54-85FB-81094E0B3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25</xdr:row>
      <xdr:rowOff>36286</xdr:rowOff>
    </xdr:from>
    <xdr:to>
      <xdr:col>2</xdr:col>
      <xdr:colOff>460659</xdr:colOff>
      <xdr:row>25</xdr:row>
      <xdr:rowOff>270329</xdr:rowOff>
    </xdr:to>
    <xdr:pic>
      <xdr:nvPicPr>
        <xdr:cNvPr id="93" name="Billede 92">
          <a:extLst>
            <a:ext uri="{FF2B5EF4-FFF2-40B4-BE49-F238E27FC236}">
              <a16:creationId xmlns:a16="http://schemas.microsoft.com/office/drawing/2014/main" id="{BEEB524C-8F9D-4062-8860-AA30CF72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27</xdr:row>
      <xdr:rowOff>36286</xdr:rowOff>
    </xdr:from>
    <xdr:to>
      <xdr:col>2</xdr:col>
      <xdr:colOff>460659</xdr:colOff>
      <xdr:row>27</xdr:row>
      <xdr:rowOff>270329</xdr:rowOff>
    </xdr:to>
    <xdr:pic>
      <xdr:nvPicPr>
        <xdr:cNvPr id="95" name="Billede 94">
          <a:extLst>
            <a:ext uri="{FF2B5EF4-FFF2-40B4-BE49-F238E27FC236}">
              <a16:creationId xmlns:a16="http://schemas.microsoft.com/office/drawing/2014/main" id="{9F745652-734B-4EAD-A593-650DC8FA2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96703" y="1301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</xdr:row>
      <xdr:rowOff>16412</xdr:rowOff>
    </xdr:from>
    <xdr:to>
      <xdr:col>2</xdr:col>
      <xdr:colOff>492761</xdr:colOff>
      <xdr:row>9</xdr:row>
      <xdr:rowOff>304800</xdr:rowOff>
    </xdr:to>
    <xdr:pic>
      <xdr:nvPicPr>
        <xdr:cNvPr id="98" name="Billede 97">
          <a:extLst>
            <a:ext uri="{FF2B5EF4-FFF2-40B4-BE49-F238E27FC236}">
              <a16:creationId xmlns:a16="http://schemas.microsoft.com/office/drawing/2014/main" id="{FD59ECA7-97C5-42C9-8E37-B7C8A3D8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69461" y="150278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</xdr:row>
      <xdr:rowOff>16412</xdr:rowOff>
    </xdr:from>
    <xdr:to>
      <xdr:col>2</xdr:col>
      <xdr:colOff>492761</xdr:colOff>
      <xdr:row>10</xdr:row>
      <xdr:rowOff>304800</xdr:rowOff>
    </xdr:to>
    <xdr:pic>
      <xdr:nvPicPr>
        <xdr:cNvPr id="122" name="Billede 121">
          <a:extLst>
            <a:ext uri="{FF2B5EF4-FFF2-40B4-BE49-F238E27FC236}">
              <a16:creationId xmlns:a16="http://schemas.microsoft.com/office/drawing/2014/main" id="{54A164DE-6676-4A7D-B9A6-93CBEBFED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69461" y="150278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21</xdr:row>
      <xdr:rowOff>16412</xdr:rowOff>
    </xdr:from>
    <xdr:to>
      <xdr:col>2</xdr:col>
      <xdr:colOff>492761</xdr:colOff>
      <xdr:row>21</xdr:row>
      <xdr:rowOff>304800</xdr:rowOff>
    </xdr:to>
    <xdr:pic>
      <xdr:nvPicPr>
        <xdr:cNvPr id="123" name="Billede 122">
          <a:extLst>
            <a:ext uri="{FF2B5EF4-FFF2-40B4-BE49-F238E27FC236}">
              <a16:creationId xmlns:a16="http://schemas.microsoft.com/office/drawing/2014/main" id="{3BB76822-E27E-4E17-9FE5-46CAA079C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69461" y="150278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22</xdr:row>
      <xdr:rowOff>16412</xdr:rowOff>
    </xdr:from>
    <xdr:to>
      <xdr:col>2</xdr:col>
      <xdr:colOff>492761</xdr:colOff>
      <xdr:row>22</xdr:row>
      <xdr:rowOff>304800</xdr:rowOff>
    </xdr:to>
    <xdr:pic>
      <xdr:nvPicPr>
        <xdr:cNvPr id="124" name="Billede 123">
          <a:extLst>
            <a:ext uri="{FF2B5EF4-FFF2-40B4-BE49-F238E27FC236}">
              <a16:creationId xmlns:a16="http://schemas.microsoft.com/office/drawing/2014/main" id="{BD77285A-C48B-4BBB-8D44-D5F8B2A32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69461" y="150278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23</xdr:row>
      <xdr:rowOff>16412</xdr:rowOff>
    </xdr:from>
    <xdr:to>
      <xdr:col>2</xdr:col>
      <xdr:colOff>492761</xdr:colOff>
      <xdr:row>23</xdr:row>
      <xdr:rowOff>304800</xdr:rowOff>
    </xdr:to>
    <xdr:pic>
      <xdr:nvPicPr>
        <xdr:cNvPr id="125" name="Billede 124">
          <a:extLst>
            <a:ext uri="{FF2B5EF4-FFF2-40B4-BE49-F238E27FC236}">
              <a16:creationId xmlns:a16="http://schemas.microsoft.com/office/drawing/2014/main" id="{75469DB4-654B-48E9-BF9D-735CA788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69461" y="150278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26</xdr:row>
      <xdr:rowOff>16412</xdr:rowOff>
    </xdr:from>
    <xdr:to>
      <xdr:col>2</xdr:col>
      <xdr:colOff>492761</xdr:colOff>
      <xdr:row>26</xdr:row>
      <xdr:rowOff>304800</xdr:rowOff>
    </xdr:to>
    <xdr:pic>
      <xdr:nvPicPr>
        <xdr:cNvPr id="126" name="Billede 125">
          <a:extLst>
            <a:ext uri="{FF2B5EF4-FFF2-40B4-BE49-F238E27FC236}">
              <a16:creationId xmlns:a16="http://schemas.microsoft.com/office/drawing/2014/main" id="{0DE20B59-AA31-4017-A8A0-CC079E9E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69461" y="15027812"/>
          <a:ext cx="312420" cy="288388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4F7FB332-37AC-4C12-ACC8-14F6D78DA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28</xdr:row>
      <xdr:rowOff>36286</xdr:rowOff>
    </xdr:from>
    <xdr:to>
      <xdr:col>2</xdr:col>
      <xdr:colOff>460659</xdr:colOff>
      <xdr:row>28</xdr:row>
      <xdr:rowOff>270329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6AD9203-1D01-492A-AA42-F76B9473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73183" y="860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29</xdr:row>
      <xdr:rowOff>16412</xdr:rowOff>
    </xdr:from>
    <xdr:to>
      <xdr:col>2</xdr:col>
      <xdr:colOff>492761</xdr:colOff>
      <xdr:row>29</xdr:row>
      <xdr:rowOff>304800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8643E304-D5B8-4490-BA4B-B35C5D860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827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30</xdr:row>
      <xdr:rowOff>16412</xdr:rowOff>
    </xdr:from>
    <xdr:to>
      <xdr:col>2</xdr:col>
      <xdr:colOff>492761</xdr:colOff>
      <xdr:row>30</xdr:row>
      <xdr:rowOff>304800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E9C3DA1D-D0D4-4AF3-91C1-E774F218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22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31</xdr:row>
      <xdr:rowOff>36286</xdr:rowOff>
    </xdr:from>
    <xdr:to>
      <xdr:col>2</xdr:col>
      <xdr:colOff>460659</xdr:colOff>
      <xdr:row>31</xdr:row>
      <xdr:rowOff>270329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9C70D089-7CF0-42B5-B995-C9D065848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73183" y="860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816430</xdr:colOff>
      <xdr:row>32</xdr:row>
      <xdr:rowOff>56243</xdr:rowOff>
    </xdr:from>
    <xdr:to>
      <xdr:col>4</xdr:col>
      <xdr:colOff>1176430</xdr:colOff>
      <xdr:row>32</xdr:row>
      <xdr:rowOff>296816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73DA98C1-A097-4C23-A29D-8C65E89FD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052130" y="10216243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32</xdr:row>
      <xdr:rowOff>36286</xdr:rowOff>
    </xdr:from>
    <xdr:to>
      <xdr:col>2</xdr:col>
      <xdr:colOff>460659</xdr:colOff>
      <xdr:row>32</xdr:row>
      <xdr:rowOff>270329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575324C8-BCF5-4377-A394-C176397A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73183" y="162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33</xdr:row>
      <xdr:rowOff>16412</xdr:rowOff>
    </xdr:from>
    <xdr:to>
      <xdr:col>2</xdr:col>
      <xdr:colOff>492761</xdr:colOff>
      <xdr:row>33</xdr:row>
      <xdr:rowOff>304800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066AE270-2023-4123-9F9F-BE3A657A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34</xdr:row>
      <xdr:rowOff>16412</xdr:rowOff>
    </xdr:from>
    <xdr:to>
      <xdr:col>2</xdr:col>
      <xdr:colOff>492761</xdr:colOff>
      <xdr:row>34</xdr:row>
      <xdr:rowOff>304800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7FD1E466-4CEA-48B1-A26D-D08B60DC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35</xdr:row>
      <xdr:rowOff>16412</xdr:rowOff>
    </xdr:from>
    <xdr:to>
      <xdr:col>2</xdr:col>
      <xdr:colOff>492761</xdr:colOff>
      <xdr:row>35</xdr:row>
      <xdr:rowOff>304800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51CE6CC4-A2E4-49E2-9E95-076E6956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36</xdr:row>
      <xdr:rowOff>16412</xdr:rowOff>
    </xdr:from>
    <xdr:to>
      <xdr:col>2</xdr:col>
      <xdr:colOff>492761</xdr:colOff>
      <xdr:row>36</xdr:row>
      <xdr:rowOff>304800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12119B87-0502-4332-B4D7-A8C11415C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37</xdr:row>
      <xdr:rowOff>16412</xdr:rowOff>
    </xdr:from>
    <xdr:to>
      <xdr:col>2</xdr:col>
      <xdr:colOff>492761</xdr:colOff>
      <xdr:row>37</xdr:row>
      <xdr:rowOff>304800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36DDC613-A5E2-4F4F-AB21-CFE3D244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38</xdr:row>
      <xdr:rowOff>16412</xdr:rowOff>
    </xdr:from>
    <xdr:to>
      <xdr:col>2</xdr:col>
      <xdr:colOff>492761</xdr:colOff>
      <xdr:row>38</xdr:row>
      <xdr:rowOff>304800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66902738-DDD9-429A-AD32-37B9A36A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39</xdr:row>
      <xdr:rowOff>16412</xdr:rowOff>
    </xdr:from>
    <xdr:to>
      <xdr:col>2</xdr:col>
      <xdr:colOff>492761</xdr:colOff>
      <xdr:row>39</xdr:row>
      <xdr:rowOff>304800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FE69E11D-AAD1-4004-9691-108B7EEF7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40</xdr:row>
      <xdr:rowOff>16412</xdr:rowOff>
    </xdr:from>
    <xdr:to>
      <xdr:col>2</xdr:col>
      <xdr:colOff>492761</xdr:colOff>
      <xdr:row>40</xdr:row>
      <xdr:rowOff>304800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D8B932B8-354D-413D-8C3B-D4336E50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41</xdr:row>
      <xdr:rowOff>16412</xdr:rowOff>
    </xdr:from>
    <xdr:to>
      <xdr:col>2</xdr:col>
      <xdr:colOff>492761</xdr:colOff>
      <xdr:row>41</xdr:row>
      <xdr:rowOff>304800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B1E90ED9-05C1-4593-8393-96C02359D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42</xdr:row>
      <xdr:rowOff>16412</xdr:rowOff>
    </xdr:from>
    <xdr:to>
      <xdr:col>2</xdr:col>
      <xdr:colOff>492761</xdr:colOff>
      <xdr:row>42</xdr:row>
      <xdr:rowOff>304800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3170D98D-26AA-48BC-AD0B-21FDE654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43</xdr:row>
      <xdr:rowOff>16412</xdr:rowOff>
    </xdr:from>
    <xdr:to>
      <xdr:col>2</xdr:col>
      <xdr:colOff>492761</xdr:colOff>
      <xdr:row>43</xdr:row>
      <xdr:rowOff>304800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8BED2A44-677B-4BB7-8EA1-B6A4AA71C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44</xdr:row>
      <xdr:rowOff>16412</xdr:rowOff>
    </xdr:from>
    <xdr:to>
      <xdr:col>2</xdr:col>
      <xdr:colOff>492761</xdr:colOff>
      <xdr:row>44</xdr:row>
      <xdr:rowOff>304800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2ABF4C93-2762-4486-ADAD-87C74D792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45</xdr:row>
      <xdr:rowOff>16412</xdr:rowOff>
    </xdr:from>
    <xdr:to>
      <xdr:col>2</xdr:col>
      <xdr:colOff>492761</xdr:colOff>
      <xdr:row>45</xdr:row>
      <xdr:rowOff>304800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441DE4B4-BE07-4044-ADAB-99B2BDA1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46</xdr:row>
      <xdr:rowOff>16412</xdr:rowOff>
    </xdr:from>
    <xdr:to>
      <xdr:col>2</xdr:col>
      <xdr:colOff>492761</xdr:colOff>
      <xdr:row>46</xdr:row>
      <xdr:rowOff>304800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5E194CF6-076B-46CC-85B5-D3AF7AAD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47</xdr:row>
      <xdr:rowOff>16412</xdr:rowOff>
    </xdr:from>
    <xdr:to>
      <xdr:col>2</xdr:col>
      <xdr:colOff>492761</xdr:colOff>
      <xdr:row>47</xdr:row>
      <xdr:rowOff>304800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9360F52D-EF15-488B-8493-112507E9F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48</xdr:row>
      <xdr:rowOff>16412</xdr:rowOff>
    </xdr:from>
    <xdr:to>
      <xdr:col>2</xdr:col>
      <xdr:colOff>492761</xdr:colOff>
      <xdr:row>48</xdr:row>
      <xdr:rowOff>304800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8C76F3F4-0168-420C-A35A-E0BE629FA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49</xdr:row>
      <xdr:rowOff>16412</xdr:rowOff>
    </xdr:from>
    <xdr:to>
      <xdr:col>2</xdr:col>
      <xdr:colOff>492761</xdr:colOff>
      <xdr:row>49</xdr:row>
      <xdr:rowOff>304800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9A663D3B-00E1-4ED3-9BCA-05373D433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59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33</xdr:row>
      <xdr:rowOff>38100</xdr:rowOff>
    </xdr:from>
    <xdr:to>
      <xdr:col>4</xdr:col>
      <xdr:colOff>1176400</xdr:colOff>
      <xdr:row>33</xdr:row>
      <xdr:rowOff>260539</xdr:rowOff>
    </xdr:to>
    <xdr:pic>
      <xdr:nvPicPr>
        <xdr:cNvPr id="46" name="Billede 45">
          <a:extLst>
            <a:ext uri="{FF2B5EF4-FFF2-40B4-BE49-F238E27FC236}">
              <a16:creationId xmlns:a16="http://schemas.microsoft.com/office/drawing/2014/main" id="{FF71C32B-F5E9-1B85-1D58-2A3333A2A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31</xdr:row>
      <xdr:rowOff>50800</xdr:rowOff>
    </xdr:from>
    <xdr:to>
      <xdr:col>4</xdr:col>
      <xdr:colOff>1176400</xdr:colOff>
      <xdr:row>31</xdr:row>
      <xdr:rowOff>273239</xdr:rowOff>
    </xdr:to>
    <xdr:pic>
      <xdr:nvPicPr>
        <xdr:cNvPr id="48" name="Billede 47">
          <a:extLst>
            <a:ext uri="{FF2B5EF4-FFF2-40B4-BE49-F238E27FC236}">
              <a16:creationId xmlns:a16="http://schemas.microsoft.com/office/drawing/2014/main" id="{ABB42175-D472-05A8-7F08-BA9E47E6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98933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34</xdr:row>
      <xdr:rowOff>38100</xdr:rowOff>
    </xdr:from>
    <xdr:to>
      <xdr:col>4</xdr:col>
      <xdr:colOff>1176400</xdr:colOff>
      <xdr:row>34</xdr:row>
      <xdr:rowOff>260539</xdr:rowOff>
    </xdr:to>
    <xdr:pic>
      <xdr:nvPicPr>
        <xdr:cNvPr id="50" name="Billede 49">
          <a:extLst>
            <a:ext uri="{FF2B5EF4-FFF2-40B4-BE49-F238E27FC236}">
              <a16:creationId xmlns:a16="http://schemas.microsoft.com/office/drawing/2014/main" id="{2EF3B687-29E6-4126-8CB9-925BE86B7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35</xdr:row>
      <xdr:rowOff>38100</xdr:rowOff>
    </xdr:from>
    <xdr:to>
      <xdr:col>4</xdr:col>
      <xdr:colOff>1176400</xdr:colOff>
      <xdr:row>35</xdr:row>
      <xdr:rowOff>260539</xdr:rowOff>
    </xdr:to>
    <xdr:pic>
      <xdr:nvPicPr>
        <xdr:cNvPr id="51" name="Billede 50">
          <a:extLst>
            <a:ext uri="{FF2B5EF4-FFF2-40B4-BE49-F238E27FC236}">
              <a16:creationId xmlns:a16="http://schemas.microsoft.com/office/drawing/2014/main" id="{2A76066A-0E42-42FC-BF82-683028A09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36</xdr:row>
      <xdr:rowOff>38100</xdr:rowOff>
    </xdr:from>
    <xdr:to>
      <xdr:col>4</xdr:col>
      <xdr:colOff>1176400</xdr:colOff>
      <xdr:row>36</xdr:row>
      <xdr:rowOff>260539</xdr:rowOff>
    </xdr:to>
    <xdr:pic>
      <xdr:nvPicPr>
        <xdr:cNvPr id="53" name="Billede 52">
          <a:extLst>
            <a:ext uri="{FF2B5EF4-FFF2-40B4-BE49-F238E27FC236}">
              <a16:creationId xmlns:a16="http://schemas.microsoft.com/office/drawing/2014/main" id="{B5EA2469-8135-409A-94C6-40A109C58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37</xdr:row>
      <xdr:rowOff>38100</xdr:rowOff>
    </xdr:from>
    <xdr:to>
      <xdr:col>4</xdr:col>
      <xdr:colOff>1176400</xdr:colOff>
      <xdr:row>37</xdr:row>
      <xdr:rowOff>260539</xdr:rowOff>
    </xdr:to>
    <xdr:pic>
      <xdr:nvPicPr>
        <xdr:cNvPr id="55" name="Billede 54">
          <a:extLst>
            <a:ext uri="{FF2B5EF4-FFF2-40B4-BE49-F238E27FC236}">
              <a16:creationId xmlns:a16="http://schemas.microsoft.com/office/drawing/2014/main" id="{78DF4D36-BC5D-4E15-BC4E-0FFBCD3F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38</xdr:row>
      <xdr:rowOff>38100</xdr:rowOff>
    </xdr:from>
    <xdr:to>
      <xdr:col>4</xdr:col>
      <xdr:colOff>1176400</xdr:colOff>
      <xdr:row>38</xdr:row>
      <xdr:rowOff>260539</xdr:rowOff>
    </xdr:to>
    <xdr:pic>
      <xdr:nvPicPr>
        <xdr:cNvPr id="56" name="Billede 55">
          <a:extLst>
            <a:ext uri="{FF2B5EF4-FFF2-40B4-BE49-F238E27FC236}">
              <a16:creationId xmlns:a16="http://schemas.microsoft.com/office/drawing/2014/main" id="{95EA463D-509E-4F9C-9B84-EB5371836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39</xdr:row>
      <xdr:rowOff>38100</xdr:rowOff>
    </xdr:from>
    <xdr:to>
      <xdr:col>4</xdr:col>
      <xdr:colOff>1176400</xdr:colOff>
      <xdr:row>39</xdr:row>
      <xdr:rowOff>260539</xdr:rowOff>
    </xdr:to>
    <xdr:pic>
      <xdr:nvPicPr>
        <xdr:cNvPr id="57" name="Billede 56">
          <a:extLst>
            <a:ext uri="{FF2B5EF4-FFF2-40B4-BE49-F238E27FC236}">
              <a16:creationId xmlns:a16="http://schemas.microsoft.com/office/drawing/2014/main" id="{75D35BAD-97C0-4717-B43B-A819226C1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40</xdr:row>
      <xdr:rowOff>38100</xdr:rowOff>
    </xdr:from>
    <xdr:to>
      <xdr:col>4</xdr:col>
      <xdr:colOff>1176400</xdr:colOff>
      <xdr:row>40</xdr:row>
      <xdr:rowOff>260539</xdr:rowOff>
    </xdr:to>
    <xdr:pic>
      <xdr:nvPicPr>
        <xdr:cNvPr id="58" name="Billede 57">
          <a:extLst>
            <a:ext uri="{FF2B5EF4-FFF2-40B4-BE49-F238E27FC236}">
              <a16:creationId xmlns:a16="http://schemas.microsoft.com/office/drawing/2014/main" id="{42844581-6B28-4064-A5B6-CDD1B5203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41</xdr:row>
      <xdr:rowOff>38100</xdr:rowOff>
    </xdr:from>
    <xdr:to>
      <xdr:col>4</xdr:col>
      <xdr:colOff>1176400</xdr:colOff>
      <xdr:row>41</xdr:row>
      <xdr:rowOff>260539</xdr:rowOff>
    </xdr:to>
    <xdr:pic>
      <xdr:nvPicPr>
        <xdr:cNvPr id="60" name="Billede 59">
          <a:extLst>
            <a:ext uri="{FF2B5EF4-FFF2-40B4-BE49-F238E27FC236}">
              <a16:creationId xmlns:a16="http://schemas.microsoft.com/office/drawing/2014/main" id="{55AAEAF8-0FCE-411E-AD41-E68B84F6E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42</xdr:row>
      <xdr:rowOff>38100</xdr:rowOff>
    </xdr:from>
    <xdr:to>
      <xdr:col>4</xdr:col>
      <xdr:colOff>1176400</xdr:colOff>
      <xdr:row>42</xdr:row>
      <xdr:rowOff>260539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7E9F1006-2781-4C03-99E7-C0C92F913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43</xdr:row>
      <xdr:rowOff>38100</xdr:rowOff>
    </xdr:from>
    <xdr:to>
      <xdr:col>4</xdr:col>
      <xdr:colOff>1176400</xdr:colOff>
      <xdr:row>43</xdr:row>
      <xdr:rowOff>260539</xdr:rowOff>
    </xdr:to>
    <xdr:pic>
      <xdr:nvPicPr>
        <xdr:cNvPr id="64" name="Billede 63">
          <a:extLst>
            <a:ext uri="{FF2B5EF4-FFF2-40B4-BE49-F238E27FC236}">
              <a16:creationId xmlns:a16="http://schemas.microsoft.com/office/drawing/2014/main" id="{3017BABE-0636-4732-9F29-5305BA00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44</xdr:row>
      <xdr:rowOff>38100</xdr:rowOff>
    </xdr:from>
    <xdr:to>
      <xdr:col>4</xdr:col>
      <xdr:colOff>1176400</xdr:colOff>
      <xdr:row>44</xdr:row>
      <xdr:rowOff>260539</xdr:rowOff>
    </xdr:to>
    <xdr:pic>
      <xdr:nvPicPr>
        <xdr:cNvPr id="66" name="Billede 65">
          <a:extLst>
            <a:ext uri="{FF2B5EF4-FFF2-40B4-BE49-F238E27FC236}">
              <a16:creationId xmlns:a16="http://schemas.microsoft.com/office/drawing/2014/main" id="{BB8E1143-042E-4205-B96D-E81286631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45</xdr:row>
      <xdr:rowOff>38100</xdr:rowOff>
    </xdr:from>
    <xdr:to>
      <xdr:col>4</xdr:col>
      <xdr:colOff>1176400</xdr:colOff>
      <xdr:row>45</xdr:row>
      <xdr:rowOff>260539</xdr:rowOff>
    </xdr:to>
    <xdr:pic>
      <xdr:nvPicPr>
        <xdr:cNvPr id="67" name="Billede 66">
          <a:extLst>
            <a:ext uri="{FF2B5EF4-FFF2-40B4-BE49-F238E27FC236}">
              <a16:creationId xmlns:a16="http://schemas.microsoft.com/office/drawing/2014/main" id="{90E6378B-E57F-44C3-BC10-CE7F460F0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46</xdr:row>
      <xdr:rowOff>38100</xdr:rowOff>
    </xdr:from>
    <xdr:to>
      <xdr:col>4</xdr:col>
      <xdr:colOff>1176400</xdr:colOff>
      <xdr:row>46</xdr:row>
      <xdr:rowOff>260539</xdr:rowOff>
    </xdr:to>
    <xdr:pic>
      <xdr:nvPicPr>
        <xdr:cNvPr id="68" name="Billede 67">
          <a:extLst>
            <a:ext uri="{FF2B5EF4-FFF2-40B4-BE49-F238E27FC236}">
              <a16:creationId xmlns:a16="http://schemas.microsoft.com/office/drawing/2014/main" id="{1D36530D-F2E7-4E4F-A960-3A368B380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47</xdr:row>
      <xdr:rowOff>38100</xdr:rowOff>
    </xdr:from>
    <xdr:to>
      <xdr:col>4</xdr:col>
      <xdr:colOff>1176400</xdr:colOff>
      <xdr:row>47</xdr:row>
      <xdr:rowOff>260539</xdr:rowOff>
    </xdr:to>
    <xdr:pic>
      <xdr:nvPicPr>
        <xdr:cNvPr id="70" name="Billede 69">
          <a:extLst>
            <a:ext uri="{FF2B5EF4-FFF2-40B4-BE49-F238E27FC236}">
              <a16:creationId xmlns:a16="http://schemas.microsoft.com/office/drawing/2014/main" id="{82330E6A-CC65-4A2A-80FB-586E1317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48</xdr:row>
      <xdr:rowOff>38100</xdr:rowOff>
    </xdr:from>
    <xdr:to>
      <xdr:col>4</xdr:col>
      <xdr:colOff>1176400</xdr:colOff>
      <xdr:row>48</xdr:row>
      <xdr:rowOff>260539</xdr:rowOff>
    </xdr:to>
    <xdr:pic>
      <xdr:nvPicPr>
        <xdr:cNvPr id="72" name="Billede 71">
          <a:extLst>
            <a:ext uri="{FF2B5EF4-FFF2-40B4-BE49-F238E27FC236}">
              <a16:creationId xmlns:a16="http://schemas.microsoft.com/office/drawing/2014/main" id="{54BE4BC1-5CB3-4022-ABE1-5C457E819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49</xdr:row>
      <xdr:rowOff>38100</xdr:rowOff>
    </xdr:from>
    <xdr:to>
      <xdr:col>4</xdr:col>
      <xdr:colOff>1176400</xdr:colOff>
      <xdr:row>49</xdr:row>
      <xdr:rowOff>260539</xdr:rowOff>
    </xdr:to>
    <xdr:pic>
      <xdr:nvPicPr>
        <xdr:cNvPr id="74" name="Billede 73">
          <a:extLst>
            <a:ext uri="{FF2B5EF4-FFF2-40B4-BE49-F238E27FC236}">
              <a16:creationId xmlns:a16="http://schemas.microsoft.com/office/drawing/2014/main" id="{577236B6-A341-400E-AA31-535F19171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0515600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201796</xdr:colOff>
      <xdr:row>50</xdr:row>
      <xdr:rowOff>29083</xdr:rowOff>
    </xdr:from>
    <xdr:to>
      <xdr:col>2</xdr:col>
      <xdr:colOff>490399</xdr:colOff>
      <xdr:row>50</xdr:row>
      <xdr:rowOff>279207</xdr:rowOff>
    </xdr:to>
    <xdr:pic>
      <xdr:nvPicPr>
        <xdr:cNvPr id="77" name="Billede 76">
          <a:extLst>
            <a:ext uri="{FF2B5EF4-FFF2-40B4-BE49-F238E27FC236}">
              <a16:creationId xmlns:a16="http://schemas.microsoft.com/office/drawing/2014/main" id="{12C85405-8E12-7C2B-B183-5400D78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66620" y="15757694"/>
          <a:ext cx="288603" cy="250124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51</xdr:row>
      <xdr:rowOff>16412</xdr:rowOff>
    </xdr:from>
    <xdr:to>
      <xdr:col>2</xdr:col>
      <xdr:colOff>492761</xdr:colOff>
      <xdr:row>51</xdr:row>
      <xdr:rowOff>304800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4C93B563-D7F4-4D36-AA74-E342F22B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52</xdr:row>
      <xdr:rowOff>16412</xdr:rowOff>
    </xdr:from>
    <xdr:to>
      <xdr:col>2</xdr:col>
      <xdr:colOff>492761</xdr:colOff>
      <xdr:row>52</xdr:row>
      <xdr:rowOff>304800</xdr:rowOff>
    </xdr:to>
    <xdr:pic>
      <xdr:nvPicPr>
        <xdr:cNvPr id="75" name="Billede 74">
          <a:extLst>
            <a:ext uri="{FF2B5EF4-FFF2-40B4-BE49-F238E27FC236}">
              <a16:creationId xmlns:a16="http://schemas.microsoft.com/office/drawing/2014/main" id="{5DE7F62A-44F6-4FEA-A01F-2A1F07F19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620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53</xdr:row>
      <xdr:rowOff>16412</xdr:rowOff>
    </xdr:from>
    <xdr:to>
      <xdr:col>2</xdr:col>
      <xdr:colOff>492761</xdr:colOff>
      <xdr:row>53</xdr:row>
      <xdr:rowOff>304800</xdr:rowOff>
    </xdr:to>
    <xdr:pic>
      <xdr:nvPicPr>
        <xdr:cNvPr id="76" name="Billede 75">
          <a:extLst>
            <a:ext uri="{FF2B5EF4-FFF2-40B4-BE49-F238E27FC236}">
              <a16:creationId xmlns:a16="http://schemas.microsoft.com/office/drawing/2014/main" id="{7389D98E-F0FF-4299-99F5-FA8639A5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652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54</xdr:row>
      <xdr:rowOff>16412</xdr:rowOff>
    </xdr:from>
    <xdr:to>
      <xdr:col>2</xdr:col>
      <xdr:colOff>492761</xdr:colOff>
      <xdr:row>54</xdr:row>
      <xdr:rowOff>304800</xdr:rowOff>
    </xdr:to>
    <xdr:pic>
      <xdr:nvPicPr>
        <xdr:cNvPr id="78" name="Billede 77">
          <a:extLst>
            <a:ext uri="{FF2B5EF4-FFF2-40B4-BE49-F238E27FC236}">
              <a16:creationId xmlns:a16="http://schemas.microsoft.com/office/drawing/2014/main" id="{E71549EE-C2D0-417E-885D-2AF0032CA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684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55</xdr:row>
      <xdr:rowOff>16412</xdr:rowOff>
    </xdr:from>
    <xdr:to>
      <xdr:col>2</xdr:col>
      <xdr:colOff>492761</xdr:colOff>
      <xdr:row>55</xdr:row>
      <xdr:rowOff>304800</xdr:rowOff>
    </xdr:to>
    <xdr:pic>
      <xdr:nvPicPr>
        <xdr:cNvPr id="80" name="Billede 79">
          <a:extLst>
            <a:ext uri="{FF2B5EF4-FFF2-40B4-BE49-F238E27FC236}">
              <a16:creationId xmlns:a16="http://schemas.microsoft.com/office/drawing/2014/main" id="{77AE136C-2AD4-4078-ADCB-3DB5E974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716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55</xdr:row>
      <xdr:rowOff>50800</xdr:rowOff>
    </xdr:from>
    <xdr:to>
      <xdr:col>4</xdr:col>
      <xdr:colOff>1176400</xdr:colOff>
      <xdr:row>55</xdr:row>
      <xdr:rowOff>295537</xdr:rowOff>
    </xdr:to>
    <xdr:pic>
      <xdr:nvPicPr>
        <xdr:cNvPr id="81" name="Billede 80">
          <a:extLst>
            <a:ext uri="{FF2B5EF4-FFF2-40B4-BE49-F238E27FC236}">
              <a16:creationId xmlns:a16="http://schemas.microsoft.com/office/drawing/2014/main" id="{896EFB27-4758-4BB3-B720-5CAE20F24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600" y="17513300"/>
          <a:ext cx="363600" cy="24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56</xdr:row>
      <xdr:rowOff>16412</xdr:rowOff>
    </xdr:from>
    <xdr:to>
      <xdr:col>2</xdr:col>
      <xdr:colOff>492761</xdr:colOff>
      <xdr:row>56</xdr:row>
      <xdr:rowOff>304800</xdr:rowOff>
    </xdr:to>
    <xdr:pic>
      <xdr:nvPicPr>
        <xdr:cNvPr id="82" name="Billede 81">
          <a:extLst>
            <a:ext uri="{FF2B5EF4-FFF2-40B4-BE49-F238E27FC236}">
              <a16:creationId xmlns:a16="http://schemas.microsoft.com/office/drawing/2014/main" id="{23C13D78-4946-4906-9AB1-9BFD610BF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747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56</xdr:row>
      <xdr:rowOff>50800</xdr:rowOff>
    </xdr:from>
    <xdr:to>
      <xdr:col>4</xdr:col>
      <xdr:colOff>1176400</xdr:colOff>
      <xdr:row>56</xdr:row>
      <xdr:rowOff>295537</xdr:rowOff>
    </xdr:to>
    <xdr:pic>
      <xdr:nvPicPr>
        <xdr:cNvPr id="83" name="Billede 82">
          <a:extLst>
            <a:ext uri="{FF2B5EF4-FFF2-40B4-BE49-F238E27FC236}">
              <a16:creationId xmlns:a16="http://schemas.microsoft.com/office/drawing/2014/main" id="{B5A854C4-A9FA-4F3A-8427-48674F368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600" y="17513300"/>
          <a:ext cx="363600" cy="24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57</xdr:row>
      <xdr:rowOff>16412</xdr:rowOff>
    </xdr:from>
    <xdr:to>
      <xdr:col>2</xdr:col>
      <xdr:colOff>492761</xdr:colOff>
      <xdr:row>57</xdr:row>
      <xdr:rowOff>304800</xdr:rowOff>
    </xdr:to>
    <xdr:pic>
      <xdr:nvPicPr>
        <xdr:cNvPr id="84" name="Billede 83">
          <a:extLst>
            <a:ext uri="{FF2B5EF4-FFF2-40B4-BE49-F238E27FC236}">
              <a16:creationId xmlns:a16="http://schemas.microsoft.com/office/drawing/2014/main" id="{F654743C-3A4C-4E3E-8A53-DFF22F341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747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57</xdr:row>
      <xdr:rowOff>50800</xdr:rowOff>
    </xdr:from>
    <xdr:to>
      <xdr:col>4</xdr:col>
      <xdr:colOff>1176400</xdr:colOff>
      <xdr:row>57</xdr:row>
      <xdr:rowOff>295537</xdr:rowOff>
    </xdr:to>
    <xdr:pic>
      <xdr:nvPicPr>
        <xdr:cNvPr id="86" name="Billede 85">
          <a:extLst>
            <a:ext uri="{FF2B5EF4-FFF2-40B4-BE49-F238E27FC236}">
              <a16:creationId xmlns:a16="http://schemas.microsoft.com/office/drawing/2014/main" id="{579ECB58-29B2-4595-8A20-E6CB5C1E7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600" y="17513300"/>
          <a:ext cx="363600" cy="24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58</xdr:row>
      <xdr:rowOff>16412</xdr:rowOff>
    </xdr:from>
    <xdr:to>
      <xdr:col>2</xdr:col>
      <xdr:colOff>492761</xdr:colOff>
      <xdr:row>58</xdr:row>
      <xdr:rowOff>304800</xdr:rowOff>
    </xdr:to>
    <xdr:pic>
      <xdr:nvPicPr>
        <xdr:cNvPr id="88" name="Billede 87">
          <a:extLst>
            <a:ext uri="{FF2B5EF4-FFF2-40B4-BE49-F238E27FC236}">
              <a16:creationId xmlns:a16="http://schemas.microsoft.com/office/drawing/2014/main" id="{F1026E2A-C308-40A6-908A-444F501A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747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58</xdr:row>
      <xdr:rowOff>50800</xdr:rowOff>
    </xdr:from>
    <xdr:to>
      <xdr:col>4</xdr:col>
      <xdr:colOff>1176400</xdr:colOff>
      <xdr:row>58</xdr:row>
      <xdr:rowOff>295537</xdr:rowOff>
    </xdr:to>
    <xdr:pic>
      <xdr:nvPicPr>
        <xdr:cNvPr id="96" name="Billede 95">
          <a:extLst>
            <a:ext uri="{FF2B5EF4-FFF2-40B4-BE49-F238E27FC236}">
              <a16:creationId xmlns:a16="http://schemas.microsoft.com/office/drawing/2014/main" id="{C1729F9F-D534-4979-8319-C33D43E99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600" y="17513300"/>
          <a:ext cx="363600" cy="24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59</xdr:row>
      <xdr:rowOff>16412</xdr:rowOff>
    </xdr:from>
    <xdr:to>
      <xdr:col>2</xdr:col>
      <xdr:colOff>492761</xdr:colOff>
      <xdr:row>59</xdr:row>
      <xdr:rowOff>304800</xdr:rowOff>
    </xdr:to>
    <xdr:pic>
      <xdr:nvPicPr>
        <xdr:cNvPr id="97" name="Billede 96">
          <a:extLst>
            <a:ext uri="{FF2B5EF4-FFF2-40B4-BE49-F238E27FC236}">
              <a16:creationId xmlns:a16="http://schemas.microsoft.com/office/drawing/2014/main" id="{0426CF25-9B1B-462F-9A27-DFD76B141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779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59</xdr:row>
      <xdr:rowOff>50800</xdr:rowOff>
    </xdr:from>
    <xdr:to>
      <xdr:col>4</xdr:col>
      <xdr:colOff>1176400</xdr:colOff>
      <xdr:row>59</xdr:row>
      <xdr:rowOff>295537</xdr:rowOff>
    </xdr:to>
    <xdr:pic>
      <xdr:nvPicPr>
        <xdr:cNvPr id="100" name="Billede 99">
          <a:extLst>
            <a:ext uri="{FF2B5EF4-FFF2-40B4-BE49-F238E27FC236}">
              <a16:creationId xmlns:a16="http://schemas.microsoft.com/office/drawing/2014/main" id="{0DB313A8-B561-4CF7-97C7-ED0004BF0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600" y="17830800"/>
          <a:ext cx="363600" cy="24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60</xdr:row>
      <xdr:rowOff>16412</xdr:rowOff>
    </xdr:from>
    <xdr:to>
      <xdr:col>2</xdr:col>
      <xdr:colOff>492761</xdr:colOff>
      <xdr:row>60</xdr:row>
      <xdr:rowOff>304800</xdr:rowOff>
    </xdr:to>
    <xdr:pic>
      <xdr:nvPicPr>
        <xdr:cNvPr id="101" name="Billede 100">
          <a:extLst>
            <a:ext uri="{FF2B5EF4-FFF2-40B4-BE49-F238E27FC236}">
              <a16:creationId xmlns:a16="http://schemas.microsoft.com/office/drawing/2014/main" id="{D1C036CA-C1AE-43E2-8BE5-0B19BFF3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60</xdr:row>
      <xdr:rowOff>50800</xdr:rowOff>
    </xdr:from>
    <xdr:to>
      <xdr:col>4</xdr:col>
      <xdr:colOff>1176400</xdr:colOff>
      <xdr:row>60</xdr:row>
      <xdr:rowOff>295537</xdr:rowOff>
    </xdr:to>
    <xdr:pic>
      <xdr:nvPicPr>
        <xdr:cNvPr id="102" name="Billede 101">
          <a:extLst>
            <a:ext uri="{FF2B5EF4-FFF2-40B4-BE49-F238E27FC236}">
              <a16:creationId xmlns:a16="http://schemas.microsoft.com/office/drawing/2014/main" id="{53D2A27B-B53D-4450-9D2C-08134D5A4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600" y="18148300"/>
          <a:ext cx="363600" cy="24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61</xdr:row>
      <xdr:rowOff>16412</xdr:rowOff>
    </xdr:from>
    <xdr:to>
      <xdr:col>2</xdr:col>
      <xdr:colOff>492761</xdr:colOff>
      <xdr:row>61</xdr:row>
      <xdr:rowOff>304800</xdr:rowOff>
    </xdr:to>
    <xdr:pic>
      <xdr:nvPicPr>
        <xdr:cNvPr id="103" name="Billede 102">
          <a:extLst>
            <a:ext uri="{FF2B5EF4-FFF2-40B4-BE49-F238E27FC236}">
              <a16:creationId xmlns:a16="http://schemas.microsoft.com/office/drawing/2014/main" id="{EA8DF5A6-CCF3-44B6-9886-863719AF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906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61</xdr:row>
      <xdr:rowOff>67128</xdr:rowOff>
    </xdr:from>
    <xdr:to>
      <xdr:col>4</xdr:col>
      <xdr:colOff>1178243</xdr:colOff>
      <xdr:row>61</xdr:row>
      <xdr:rowOff>285706</xdr:rowOff>
    </xdr:to>
    <xdr:pic>
      <xdr:nvPicPr>
        <xdr:cNvPr id="104" name="Billede 103">
          <a:extLst>
            <a:ext uri="{FF2B5EF4-FFF2-40B4-BE49-F238E27FC236}">
              <a16:creationId xmlns:a16="http://schemas.microsoft.com/office/drawing/2014/main" id="{18E5AC3B-89CF-C621-6A39-4CBB9E35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194346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62</xdr:row>
      <xdr:rowOff>16412</xdr:rowOff>
    </xdr:from>
    <xdr:to>
      <xdr:col>2</xdr:col>
      <xdr:colOff>492761</xdr:colOff>
      <xdr:row>62</xdr:row>
      <xdr:rowOff>304800</xdr:rowOff>
    </xdr:to>
    <xdr:pic>
      <xdr:nvPicPr>
        <xdr:cNvPr id="105" name="Billede 104">
          <a:extLst>
            <a:ext uri="{FF2B5EF4-FFF2-40B4-BE49-F238E27FC236}">
              <a16:creationId xmlns:a16="http://schemas.microsoft.com/office/drawing/2014/main" id="{3EA5393E-4263-4416-8B38-F73E82919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938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63</xdr:row>
      <xdr:rowOff>16412</xdr:rowOff>
    </xdr:from>
    <xdr:to>
      <xdr:col>2</xdr:col>
      <xdr:colOff>492761</xdr:colOff>
      <xdr:row>63</xdr:row>
      <xdr:rowOff>304800</xdr:rowOff>
    </xdr:to>
    <xdr:pic>
      <xdr:nvPicPr>
        <xdr:cNvPr id="106" name="Billede 105">
          <a:extLst>
            <a:ext uri="{FF2B5EF4-FFF2-40B4-BE49-F238E27FC236}">
              <a16:creationId xmlns:a16="http://schemas.microsoft.com/office/drawing/2014/main" id="{BAB65F65-AF97-4864-87CA-6D6CC507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1970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64</xdr:row>
      <xdr:rowOff>16412</xdr:rowOff>
    </xdr:from>
    <xdr:to>
      <xdr:col>2</xdr:col>
      <xdr:colOff>492761</xdr:colOff>
      <xdr:row>64</xdr:row>
      <xdr:rowOff>304800</xdr:rowOff>
    </xdr:to>
    <xdr:pic>
      <xdr:nvPicPr>
        <xdr:cNvPr id="107" name="Billede 106">
          <a:extLst>
            <a:ext uri="{FF2B5EF4-FFF2-40B4-BE49-F238E27FC236}">
              <a16:creationId xmlns:a16="http://schemas.microsoft.com/office/drawing/2014/main" id="{D326D0B4-4B42-4CE5-B50F-585474F1C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001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64</xdr:row>
      <xdr:rowOff>54428</xdr:rowOff>
    </xdr:from>
    <xdr:to>
      <xdr:col>4</xdr:col>
      <xdr:colOff>1178243</xdr:colOff>
      <xdr:row>64</xdr:row>
      <xdr:rowOff>273006</xdr:rowOff>
    </xdr:to>
    <xdr:pic>
      <xdr:nvPicPr>
        <xdr:cNvPr id="108" name="Billede 107">
          <a:extLst>
            <a:ext uri="{FF2B5EF4-FFF2-40B4-BE49-F238E27FC236}">
              <a16:creationId xmlns:a16="http://schemas.microsoft.com/office/drawing/2014/main" id="{9EB0E6BC-239D-2F9B-CA82-0441E79D8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03744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65</xdr:row>
      <xdr:rowOff>16412</xdr:rowOff>
    </xdr:from>
    <xdr:to>
      <xdr:col>2</xdr:col>
      <xdr:colOff>492761</xdr:colOff>
      <xdr:row>65</xdr:row>
      <xdr:rowOff>304800</xdr:rowOff>
    </xdr:to>
    <xdr:pic>
      <xdr:nvPicPr>
        <xdr:cNvPr id="109" name="Billede 108">
          <a:extLst>
            <a:ext uri="{FF2B5EF4-FFF2-40B4-BE49-F238E27FC236}">
              <a16:creationId xmlns:a16="http://schemas.microsoft.com/office/drawing/2014/main" id="{E7E1BFF0-B477-400A-B336-DDA70957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033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65</xdr:row>
      <xdr:rowOff>54428</xdr:rowOff>
    </xdr:from>
    <xdr:to>
      <xdr:col>4</xdr:col>
      <xdr:colOff>1178243</xdr:colOff>
      <xdr:row>65</xdr:row>
      <xdr:rowOff>273006</xdr:rowOff>
    </xdr:to>
    <xdr:pic>
      <xdr:nvPicPr>
        <xdr:cNvPr id="110" name="Billede 109">
          <a:extLst>
            <a:ext uri="{FF2B5EF4-FFF2-40B4-BE49-F238E27FC236}">
              <a16:creationId xmlns:a16="http://schemas.microsoft.com/office/drawing/2014/main" id="{5920E8F5-6D4A-4126-8A43-CC0DD2833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03744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66</xdr:row>
      <xdr:rowOff>16412</xdr:rowOff>
    </xdr:from>
    <xdr:to>
      <xdr:col>2</xdr:col>
      <xdr:colOff>492761</xdr:colOff>
      <xdr:row>66</xdr:row>
      <xdr:rowOff>304800</xdr:rowOff>
    </xdr:to>
    <xdr:pic>
      <xdr:nvPicPr>
        <xdr:cNvPr id="111" name="Billede 110">
          <a:extLst>
            <a:ext uri="{FF2B5EF4-FFF2-40B4-BE49-F238E27FC236}">
              <a16:creationId xmlns:a16="http://schemas.microsoft.com/office/drawing/2014/main" id="{65C37D53-C809-4DE6-8F42-C15E9829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065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66</xdr:row>
      <xdr:rowOff>54428</xdr:rowOff>
    </xdr:from>
    <xdr:to>
      <xdr:col>4</xdr:col>
      <xdr:colOff>1178243</xdr:colOff>
      <xdr:row>66</xdr:row>
      <xdr:rowOff>273006</xdr:rowOff>
    </xdr:to>
    <xdr:pic>
      <xdr:nvPicPr>
        <xdr:cNvPr id="112" name="Billede 111">
          <a:extLst>
            <a:ext uri="{FF2B5EF4-FFF2-40B4-BE49-F238E27FC236}">
              <a16:creationId xmlns:a16="http://schemas.microsoft.com/office/drawing/2014/main" id="{469DFA0B-E60D-4C6C-A02A-4EF513066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06919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67</xdr:row>
      <xdr:rowOff>16412</xdr:rowOff>
    </xdr:from>
    <xdr:to>
      <xdr:col>2</xdr:col>
      <xdr:colOff>492761</xdr:colOff>
      <xdr:row>67</xdr:row>
      <xdr:rowOff>304800</xdr:rowOff>
    </xdr:to>
    <xdr:pic>
      <xdr:nvPicPr>
        <xdr:cNvPr id="113" name="Billede 112">
          <a:extLst>
            <a:ext uri="{FF2B5EF4-FFF2-40B4-BE49-F238E27FC236}">
              <a16:creationId xmlns:a16="http://schemas.microsoft.com/office/drawing/2014/main" id="{7FC8D755-BD61-4BFE-BEFD-22A7C4DA6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097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67</xdr:row>
      <xdr:rowOff>54428</xdr:rowOff>
    </xdr:from>
    <xdr:to>
      <xdr:col>4</xdr:col>
      <xdr:colOff>1178243</xdr:colOff>
      <xdr:row>67</xdr:row>
      <xdr:rowOff>273006</xdr:rowOff>
    </xdr:to>
    <xdr:pic>
      <xdr:nvPicPr>
        <xdr:cNvPr id="114" name="Billede 113">
          <a:extLst>
            <a:ext uri="{FF2B5EF4-FFF2-40B4-BE49-F238E27FC236}">
              <a16:creationId xmlns:a16="http://schemas.microsoft.com/office/drawing/2014/main" id="{E7F1932A-AFB9-4CD7-BB25-94927F0C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10094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68</xdr:row>
      <xdr:rowOff>16412</xdr:rowOff>
    </xdr:from>
    <xdr:to>
      <xdr:col>2</xdr:col>
      <xdr:colOff>492761</xdr:colOff>
      <xdr:row>68</xdr:row>
      <xdr:rowOff>304800</xdr:rowOff>
    </xdr:to>
    <xdr:pic>
      <xdr:nvPicPr>
        <xdr:cNvPr id="115" name="Billede 114">
          <a:extLst>
            <a:ext uri="{FF2B5EF4-FFF2-40B4-BE49-F238E27FC236}">
              <a16:creationId xmlns:a16="http://schemas.microsoft.com/office/drawing/2014/main" id="{20A15592-2806-4E3C-B817-4F35494E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128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68</xdr:row>
      <xdr:rowOff>54428</xdr:rowOff>
    </xdr:from>
    <xdr:to>
      <xdr:col>4</xdr:col>
      <xdr:colOff>1178243</xdr:colOff>
      <xdr:row>68</xdr:row>
      <xdr:rowOff>273006</xdr:rowOff>
    </xdr:to>
    <xdr:pic>
      <xdr:nvPicPr>
        <xdr:cNvPr id="116" name="Billede 115">
          <a:extLst>
            <a:ext uri="{FF2B5EF4-FFF2-40B4-BE49-F238E27FC236}">
              <a16:creationId xmlns:a16="http://schemas.microsoft.com/office/drawing/2014/main" id="{39F4DDFA-EAD0-4FE8-8723-E798837E2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13269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69</xdr:row>
      <xdr:rowOff>16412</xdr:rowOff>
    </xdr:from>
    <xdr:to>
      <xdr:col>2</xdr:col>
      <xdr:colOff>492761</xdr:colOff>
      <xdr:row>69</xdr:row>
      <xdr:rowOff>304800</xdr:rowOff>
    </xdr:to>
    <xdr:pic>
      <xdr:nvPicPr>
        <xdr:cNvPr id="117" name="Billede 116">
          <a:extLst>
            <a:ext uri="{FF2B5EF4-FFF2-40B4-BE49-F238E27FC236}">
              <a16:creationId xmlns:a16="http://schemas.microsoft.com/office/drawing/2014/main" id="{51A16795-AAA5-4495-8500-645947A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160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70</xdr:row>
      <xdr:rowOff>16412</xdr:rowOff>
    </xdr:from>
    <xdr:to>
      <xdr:col>2</xdr:col>
      <xdr:colOff>492761</xdr:colOff>
      <xdr:row>70</xdr:row>
      <xdr:rowOff>304800</xdr:rowOff>
    </xdr:to>
    <xdr:pic>
      <xdr:nvPicPr>
        <xdr:cNvPr id="118" name="Billede 117">
          <a:extLst>
            <a:ext uri="{FF2B5EF4-FFF2-40B4-BE49-F238E27FC236}">
              <a16:creationId xmlns:a16="http://schemas.microsoft.com/office/drawing/2014/main" id="{1C507730-12BF-4558-9940-D5C7042F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160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70</xdr:row>
      <xdr:rowOff>54428</xdr:rowOff>
    </xdr:from>
    <xdr:to>
      <xdr:col>4</xdr:col>
      <xdr:colOff>1178243</xdr:colOff>
      <xdr:row>70</xdr:row>
      <xdr:rowOff>273006</xdr:rowOff>
    </xdr:to>
    <xdr:pic>
      <xdr:nvPicPr>
        <xdr:cNvPr id="119" name="Billede 118">
          <a:extLst>
            <a:ext uri="{FF2B5EF4-FFF2-40B4-BE49-F238E27FC236}">
              <a16:creationId xmlns:a16="http://schemas.microsoft.com/office/drawing/2014/main" id="{FFE9B380-DEFD-4C6C-B4D1-9E92EEBCE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16444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71</xdr:row>
      <xdr:rowOff>16412</xdr:rowOff>
    </xdr:from>
    <xdr:to>
      <xdr:col>2</xdr:col>
      <xdr:colOff>492761</xdr:colOff>
      <xdr:row>71</xdr:row>
      <xdr:rowOff>304800</xdr:rowOff>
    </xdr:to>
    <xdr:pic>
      <xdr:nvPicPr>
        <xdr:cNvPr id="120" name="Billede 119">
          <a:extLst>
            <a:ext uri="{FF2B5EF4-FFF2-40B4-BE49-F238E27FC236}">
              <a16:creationId xmlns:a16="http://schemas.microsoft.com/office/drawing/2014/main" id="{5F74E864-FA96-4041-9DCE-BFE402112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224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71</xdr:row>
      <xdr:rowOff>54428</xdr:rowOff>
    </xdr:from>
    <xdr:to>
      <xdr:col>4</xdr:col>
      <xdr:colOff>1178243</xdr:colOff>
      <xdr:row>71</xdr:row>
      <xdr:rowOff>273006</xdr:rowOff>
    </xdr:to>
    <xdr:pic>
      <xdr:nvPicPr>
        <xdr:cNvPr id="121" name="Billede 120">
          <a:extLst>
            <a:ext uri="{FF2B5EF4-FFF2-40B4-BE49-F238E27FC236}">
              <a16:creationId xmlns:a16="http://schemas.microsoft.com/office/drawing/2014/main" id="{0936C232-C620-4034-B6D3-8406F5317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22794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72</xdr:row>
      <xdr:rowOff>16412</xdr:rowOff>
    </xdr:from>
    <xdr:to>
      <xdr:col>2</xdr:col>
      <xdr:colOff>492761</xdr:colOff>
      <xdr:row>72</xdr:row>
      <xdr:rowOff>304800</xdr:rowOff>
    </xdr:to>
    <xdr:pic>
      <xdr:nvPicPr>
        <xdr:cNvPr id="127" name="Billede 126">
          <a:extLst>
            <a:ext uri="{FF2B5EF4-FFF2-40B4-BE49-F238E27FC236}">
              <a16:creationId xmlns:a16="http://schemas.microsoft.com/office/drawing/2014/main" id="{C7BC369B-D422-4B02-B60D-B81BF26C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255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818243</xdr:colOff>
      <xdr:row>72</xdr:row>
      <xdr:rowOff>54428</xdr:rowOff>
    </xdr:from>
    <xdr:to>
      <xdr:col>4</xdr:col>
      <xdr:colOff>1178243</xdr:colOff>
      <xdr:row>72</xdr:row>
      <xdr:rowOff>273006</xdr:rowOff>
    </xdr:to>
    <xdr:pic>
      <xdr:nvPicPr>
        <xdr:cNvPr id="128" name="Billede 127">
          <a:extLst>
            <a:ext uri="{FF2B5EF4-FFF2-40B4-BE49-F238E27FC236}">
              <a16:creationId xmlns:a16="http://schemas.microsoft.com/office/drawing/2014/main" id="{F3914BB3-BCD4-47AB-9620-EF95DCC01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043" y="2259692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73</xdr:row>
      <xdr:rowOff>16412</xdr:rowOff>
    </xdr:from>
    <xdr:to>
      <xdr:col>2</xdr:col>
      <xdr:colOff>492761</xdr:colOff>
      <xdr:row>73</xdr:row>
      <xdr:rowOff>304800</xdr:rowOff>
    </xdr:to>
    <xdr:pic>
      <xdr:nvPicPr>
        <xdr:cNvPr id="129" name="Billede 128">
          <a:extLst>
            <a:ext uri="{FF2B5EF4-FFF2-40B4-BE49-F238E27FC236}">
              <a16:creationId xmlns:a16="http://schemas.microsoft.com/office/drawing/2014/main" id="{69CAB0AA-CB85-4F75-9FA5-76432FD27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255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74</xdr:row>
      <xdr:rowOff>16412</xdr:rowOff>
    </xdr:from>
    <xdr:to>
      <xdr:col>2</xdr:col>
      <xdr:colOff>492761</xdr:colOff>
      <xdr:row>74</xdr:row>
      <xdr:rowOff>304800</xdr:rowOff>
    </xdr:to>
    <xdr:pic>
      <xdr:nvPicPr>
        <xdr:cNvPr id="130" name="Billede 129">
          <a:extLst>
            <a:ext uri="{FF2B5EF4-FFF2-40B4-BE49-F238E27FC236}">
              <a16:creationId xmlns:a16="http://schemas.microsoft.com/office/drawing/2014/main" id="{6A5BD20B-5A94-4506-BA88-1F8DC7C2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287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75</xdr:row>
      <xdr:rowOff>16412</xdr:rowOff>
    </xdr:from>
    <xdr:to>
      <xdr:col>2</xdr:col>
      <xdr:colOff>492761</xdr:colOff>
      <xdr:row>75</xdr:row>
      <xdr:rowOff>304800</xdr:rowOff>
    </xdr:to>
    <xdr:pic>
      <xdr:nvPicPr>
        <xdr:cNvPr id="131" name="Billede 130">
          <a:extLst>
            <a:ext uri="{FF2B5EF4-FFF2-40B4-BE49-F238E27FC236}">
              <a16:creationId xmlns:a16="http://schemas.microsoft.com/office/drawing/2014/main" id="{6C873DDB-2A7A-4CBF-8C08-0723087E3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319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76</xdr:row>
      <xdr:rowOff>16412</xdr:rowOff>
    </xdr:from>
    <xdr:to>
      <xdr:col>2</xdr:col>
      <xdr:colOff>492761</xdr:colOff>
      <xdr:row>76</xdr:row>
      <xdr:rowOff>304800</xdr:rowOff>
    </xdr:to>
    <xdr:pic>
      <xdr:nvPicPr>
        <xdr:cNvPr id="132" name="Billede 131">
          <a:extLst>
            <a:ext uri="{FF2B5EF4-FFF2-40B4-BE49-F238E27FC236}">
              <a16:creationId xmlns:a16="http://schemas.microsoft.com/office/drawing/2014/main" id="{3CB7B0D8-491E-4FAF-8960-AA926600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0041" y="2351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77</xdr:row>
      <xdr:rowOff>36286</xdr:rowOff>
    </xdr:from>
    <xdr:to>
      <xdr:col>2</xdr:col>
      <xdr:colOff>460659</xdr:colOff>
      <xdr:row>77</xdr:row>
      <xdr:rowOff>270329</xdr:rowOff>
    </xdr:to>
    <xdr:pic>
      <xdr:nvPicPr>
        <xdr:cNvPr id="133" name="Billede 132">
          <a:extLst>
            <a:ext uri="{FF2B5EF4-FFF2-40B4-BE49-F238E27FC236}">
              <a16:creationId xmlns:a16="http://schemas.microsoft.com/office/drawing/2014/main" id="{EB6BC5A0-6EB9-4464-A16E-64D3B0AC2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19183" y="987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78</xdr:row>
      <xdr:rowOff>36286</xdr:rowOff>
    </xdr:from>
    <xdr:to>
      <xdr:col>2</xdr:col>
      <xdr:colOff>460659</xdr:colOff>
      <xdr:row>78</xdr:row>
      <xdr:rowOff>270329</xdr:rowOff>
    </xdr:to>
    <xdr:pic>
      <xdr:nvPicPr>
        <xdr:cNvPr id="134" name="Billede 133">
          <a:extLst>
            <a:ext uri="{FF2B5EF4-FFF2-40B4-BE49-F238E27FC236}">
              <a16:creationId xmlns:a16="http://schemas.microsoft.com/office/drawing/2014/main" id="{5F780E08-03C9-407D-9E9A-16A89B707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19183" y="987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79</xdr:row>
      <xdr:rowOff>36286</xdr:rowOff>
    </xdr:from>
    <xdr:to>
      <xdr:col>2</xdr:col>
      <xdr:colOff>460659</xdr:colOff>
      <xdr:row>79</xdr:row>
      <xdr:rowOff>270329</xdr:rowOff>
    </xdr:to>
    <xdr:pic>
      <xdr:nvPicPr>
        <xdr:cNvPr id="135" name="Billede 134">
          <a:extLst>
            <a:ext uri="{FF2B5EF4-FFF2-40B4-BE49-F238E27FC236}">
              <a16:creationId xmlns:a16="http://schemas.microsoft.com/office/drawing/2014/main" id="{30282866-1FD7-49FC-A74B-113FBB72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5383" y="2480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80</xdr:row>
      <xdr:rowOff>36286</xdr:rowOff>
    </xdr:from>
    <xdr:to>
      <xdr:col>2</xdr:col>
      <xdr:colOff>460659</xdr:colOff>
      <xdr:row>80</xdr:row>
      <xdr:rowOff>270329</xdr:rowOff>
    </xdr:to>
    <xdr:pic>
      <xdr:nvPicPr>
        <xdr:cNvPr id="136" name="Billede 135">
          <a:extLst>
            <a:ext uri="{FF2B5EF4-FFF2-40B4-BE49-F238E27FC236}">
              <a16:creationId xmlns:a16="http://schemas.microsoft.com/office/drawing/2014/main" id="{1E846F32-7C02-4BCA-A8CB-94CBEB4D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5383" y="2511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81</xdr:row>
      <xdr:rowOff>36286</xdr:rowOff>
    </xdr:from>
    <xdr:to>
      <xdr:col>2</xdr:col>
      <xdr:colOff>460659</xdr:colOff>
      <xdr:row>81</xdr:row>
      <xdr:rowOff>270329</xdr:rowOff>
    </xdr:to>
    <xdr:pic>
      <xdr:nvPicPr>
        <xdr:cNvPr id="137" name="Billede 136">
          <a:extLst>
            <a:ext uri="{FF2B5EF4-FFF2-40B4-BE49-F238E27FC236}">
              <a16:creationId xmlns:a16="http://schemas.microsoft.com/office/drawing/2014/main" id="{AD1CA0ED-8570-4520-AEEE-46AAAD79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5383" y="2543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82</xdr:row>
      <xdr:rowOff>36286</xdr:rowOff>
    </xdr:from>
    <xdr:to>
      <xdr:col>2</xdr:col>
      <xdr:colOff>460659</xdr:colOff>
      <xdr:row>82</xdr:row>
      <xdr:rowOff>270329</xdr:rowOff>
    </xdr:to>
    <xdr:pic>
      <xdr:nvPicPr>
        <xdr:cNvPr id="138" name="Billede 137">
          <a:extLst>
            <a:ext uri="{FF2B5EF4-FFF2-40B4-BE49-F238E27FC236}">
              <a16:creationId xmlns:a16="http://schemas.microsoft.com/office/drawing/2014/main" id="{4B444493-CC4B-4661-94BE-253E8063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5383" y="2575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83</xdr:row>
      <xdr:rowOff>36286</xdr:rowOff>
    </xdr:from>
    <xdr:to>
      <xdr:col>2</xdr:col>
      <xdr:colOff>460659</xdr:colOff>
      <xdr:row>83</xdr:row>
      <xdr:rowOff>270329</xdr:rowOff>
    </xdr:to>
    <xdr:pic>
      <xdr:nvPicPr>
        <xdr:cNvPr id="139" name="Billede 138">
          <a:extLst>
            <a:ext uri="{FF2B5EF4-FFF2-40B4-BE49-F238E27FC236}">
              <a16:creationId xmlns:a16="http://schemas.microsoft.com/office/drawing/2014/main" id="{2A053ACE-1453-4FC1-BBAB-5DFB188A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5383" y="2607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84</xdr:row>
      <xdr:rowOff>36286</xdr:rowOff>
    </xdr:from>
    <xdr:to>
      <xdr:col>2</xdr:col>
      <xdr:colOff>460659</xdr:colOff>
      <xdr:row>84</xdr:row>
      <xdr:rowOff>270329</xdr:rowOff>
    </xdr:to>
    <xdr:pic>
      <xdr:nvPicPr>
        <xdr:cNvPr id="140" name="Billede 139">
          <a:extLst>
            <a:ext uri="{FF2B5EF4-FFF2-40B4-BE49-F238E27FC236}">
              <a16:creationId xmlns:a16="http://schemas.microsoft.com/office/drawing/2014/main" id="{5FA3824C-868C-403E-A891-71A11A8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5383" y="2638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85</xdr:row>
      <xdr:rowOff>36286</xdr:rowOff>
    </xdr:from>
    <xdr:to>
      <xdr:col>2</xdr:col>
      <xdr:colOff>460659</xdr:colOff>
      <xdr:row>85</xdr:row>
      <xdr:rowOff>270329</xdr:rowOff>
    </xdr:to>
    <xdr:pic>
      <xdr:nvPicPr>
        <xdr:cNvPr id="141" name="Billede 140">
          <a:extLst>
            <a:ext uri="{FF2B5EF4-FFF2-40B4-BE49-F238E27FC236}">
              <a16:creationId xmlns:a16="http://schemas.microsoft.com/office/drawing/2014/main" id="{A5E8D05A-9F3B-4BF9-B1D2-623A6EECA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5383" y="267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86</xdr:row>
      <xdr:rowOff>31063</xdr:rowOff>
    </xdr:from>
    <xdr:to>
      <xdr:col>2</xdr:col>
      <xdr:colOff>464127</xdr:colOff>
      <xdr:row>86</xdr:row>
      <xdr:rowOff>275236</xdr:rowOff>
    </xdr:to>
    <xdr:pic>
      <xdr:nvPicPr>
        <xdr:cNvPr id="142" name="Billede 141">
          <a:extLst>
            <a:ext uri="{FF2B5EF4-FFF2-40B4-BE49-F238E27FC236}">
              <a16:creationId xmlns:a16="http://schemas.microsoft.com/office/drawing/2014/main" id="{90AC84D9-6DFB-4B1F-9F12-EA12A4DB5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73682" y="26548663"/>
          <a:ext cx="273627" cy="244173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87</xdr:row>
      <xdr:rowOff>31063</xdr:rowOff>
    </xdr:from>
    <xdr:to>
      <xdr:col>2</xdr:col>
      <xdr:colOff>464127</xdr:colOff>
      <xdr:row>87</xdr:row>
      <xdr:rowOff>275236</xdr:rowOff>
    </xdr:to>
    <xdr:pic>
      <xdr:nvPicPr>
        <xdr:cNvPr id="143" name="Billede 142">
          <a:extLst>
            <a:ext uri="{FF2B5EF4-FFF2-40B4-BE49-F238E27FC236}">
              <a16:creationId xmlns:a16="http://schemas.microsoft.com/office/drawing/2014/main" id="{ABE2E51B-65E4-46FA-A0F7-3B3338EAF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74671" y="26875234"/>
          <a:ext cx="273627" cy="24417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88</xdr:row>
      <xdr:rowOff>16412</xdr:rowOff>
    </xdr:from>
    <xdr:to>
      <xdr:col>2</xdr:col>
      <xdr:colOff>492761</xdr:colOff>
      <xdr:row>88</xdr:row>
      <xdr:rowOff>304800</xdr:rowOff>
    </xdr:to>
    <xdr:pic>
      <xdr:nvPicPr>
        <xdr:cNvPr id="144" name="Billede 143">
          <a:extLst>
            <a:ext uri="{FF2B5EF4-FFF2-40B4-BE49-F238E27FC236}">
              <a16:creationId xmlns:a16="http://schemas.microsoft.com/office/drawing/2014/main" id="{089C598A-C557-4B7F-81B5-66309485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37037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89</xdr:row>
      <xdr:rowOff>16412</xdr:rowOff>
    </xdr:from>
    <xdr:to>
      <xdr:col>2</xdr:col>
      <xdr:colOff>492761</xdr:colOff>
      <xdr:row>89</xdr:row>
      <xdr:rowOff>304800</xdr:rowOff>
    </xdr:to>
    <xdr:pic>
      <xdr:nvPicPr>
        <xdr:cNvPr id="145" name="Billede 144">
          <a:extLst>
            <a:ext uri="{FF2B5EF4-FFF2-40B4-BE49-F238E27FC236}">
              <a16:creationId xmlns:a16="http://schemas.microsoft.com/office/drawing/2014/main" id="{168BD3EE-6936-4DB0-A132-6194308B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74919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90</xdr:row>
      <xdr:rowOff>16412</xdr:rowOff>
    </xdr:from>
    <xdr:to>
      <xdr:col>2</xdr:col>
      <xdr:colOff>492761</xdr:colOff>
      <xdr:row>90</xdr:row>
      <xdr:rowOff>304800</xdr:rowOff>
    </xdr:to>
    <xdr:pic>
      <xdr:nvPicPr>
        <xdr:cNvPr id="146" name="Billede 145">
          <a:extLst>
            <a:ext uri="{FF2B5EF4-FFF2-40B4-BE49-F238E27FC236}">
              <a16:creationId xmlns:a16="http://schemas.microsoft.com/office/drawing/2014/main" id="{A459B6BF-4660-4F91-B822-AD2245394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74919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91</xdr:row>
      <xdr:rowOff>16412</xdr:rowOff>
    </xdr:from>
    <xdr:to>
      <xdr:col>2</xdr:col>
      <xdr:colOff>492761</xdr:colOff>
      <xdr:row>91</xdr:row>
      <xdr:rowOff>304800</xdr:rowOff>
    </xdr:to>
    <xdr:pic>
      <xdr:nvPicPr>
        <xdr:cNvPr id="147" name="Billede 146">
          <a:extLst>
            <a:ext uri="{FF2B5EF4-FFF2-40B4-BE49-F238E27FC236}">
              <a16:creationId xmlns:a16="http://schemas.microsoft.com/office/drawing/2014/main" id="{A51CD4CF-12E0-4EAB-B23A-38D53B8D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74919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92</xdr:row>
      <xdr:rowOff>16412</xdr:rowOff>
    </xdr:from>
    <xdr:to>
      <xdr:col>2</xdr:col>
      <xdr:colOff>492761</xdr:colOff>
      <xdr:row>92</xdr:row>
      <xdr:rowOff>304800</xdr:rowOff>
    </xdr:to>
    <xdr:pic>
      <xdr:nvPicPr>
        <xdr:cNvPr id="148" name="Billede 147">
          <a:extLst>
            <a:ext uri="{FF2B5EF4-FFF2-40B4-BE49-F238E27FC236}">
              <a16:creationId xmlns:a16="http://schemas.microsoft.com/office/drawing/2014/main" id="{913543D9-323A-4202-9A44-7DAB5394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74919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93</xdr:row>
      <xdr:rowOff>16412</xdr:rowOff>
    </xdr:from>
    <xdr:to>
      <xdr:col>2</xdr:col>
      <xdr:colOff>492761</xdr:colOff>
      <xdr:row>93</xdr:row>
      <xdr:rowOff>304800</xdr:rowOff>
    </xdr:to>
    <xdr:pic>
      <xdr:nvPicPr>
        <xdr:cNvPr id="149" name="Billede 148">
          <a:extLst>
            <a:ext uri="{FF2B5EF4-FFF2-40B4-BE49-F238E27FC236}">
              <a16:creationId xmlns:a16="http://schemas.microsoft.com/office/drawing/2014/main" id="{BAFB2CB3-0E10-4905-8444-FA79B2FD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74919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94</xdr:row>
      <xdr:rowOff>16412</xdr:rowOff>
    </xdr:from>
    <xdr:to>
      <xdr:col>2</xdr:col>
      <xdr:colOff>492761</xdr:colOff>
      <xdr:row>94</xdr:row>
      <xdr:rowOff>304800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AB1F7C96-ECD7-4C6E-B285-DC13F4471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90703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95</xdr:row>
      <xdr:rowOff>16412</xdr:rowOff>
    </xdr:from>
    <xdr:to>
      <xdr:col>2</xdr:col>
      <xdr:colOff>492761</xdr:colOff>
      <xdr:row>95</xdr:row>
      <xdr:rowOff>304800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00BEF6EC-F896-4013-A849-73082EC5A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93860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96</xdr:row>
      <xdr:rowOff>16412</xdr:rowOff>
    </xdr:from>
    <xdr:to>
      <xdr:col>2</xdr:col>
      <xdr:colOff>492761</xdr:colOff>
      <xdr:row>96</xdr:row>
      <xdr:rowOff>304800</xdr:rowOff>
    </xdr:to>
    <xdr:pic>
      <xdr:nvPicPr>
        <xdr:cNvPr id="150" name="Billede 149">
          <a:extLst>
            <a:ext uri="{FF2B5EF4-FFF2-40B4-BE49-F238E27FC236}">
              <a16:creationId xmlns:a16="http://schemas.microsoft.com/office/drawing/2014/main" id="{E5BF3F2D-8D85-401C-82D3-57A064C4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93860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97</xdr:row>
      <xdr:rowOff>16412</xdr:rowOff>
    </xdr:from>
    <xdr:to>
      <xdr:col>2</xdr:col>
      <xdr:colOff>492761</xdr:colOff>
      <xdr:row>97</xdr:row>
      <xdr:rowOff>304800</xdr:rowOff>
    </xdr:to>
    <xdr:pic>
      <xdr:nvPicPr>
        <xdr:cNvPr id="151" name="Billede 150">
          <a:extLst>
            <a:ext uri="{FF2B5EF4-FFF2-40B4-BE49-F238E27FC236}">
              <a16:creationId xmlns:a16="http://schemas.microsoft.com/office/drawing/2014/main" id="{7BFD0C6B-35A5-4401-91DF-2D1B4698C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297017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98</xdr:row>
      <xdr:rowOff>16412</xdr:rowOff>
    </xdr:from>
    <xdr:to>
      <xdr:col>2</xdr:col>
      <xdr:colOff>492761</xdr:colOff>
      <xdr:row>98</xdr:row>
      <xdr:rowOff>304800</xdr:rowOff>
    </xdr:to>
    <xdr:pic>
      <xdr:nvPicPr>
        <xdr:cNvPr id="152" name="Billede 151">
          <a:extLst>
            <a:ext uri="{FF2B5EF4-FFF2-40B4-BE49-F238E27FC236}">
              <a16:creationId xmlns:a16="http://schemas.microsoft.com/office/drawing/2014/main" id="{9F473193-22CA-4455-8A21-DB3DEB13B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00174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99</xdr:row>
      <xdr:rowOff>16412</xdr:rowOff>
    </xdr:from>
    <xdr:to>
      <xdr:col>2</xdr:col>
      <xdr:colOff>492761</xdr:colOff>
      <xdr:row>99</xdr:row>
      <xdr:rowOff>304800</xdr:rowOff>
    </xdr:to>
    <xdr:pic>
      <xdr:nvPicPr>
        <xdr:cNvPr id="153" name="Billede 152">
          <a:extLst>
            <a:ext uri="{FF2B5EF4-FFF2-40B4-BE49-F238E27FC236}">
              <a16:creationId xmlns:a16="http://schemas.microsoft.com/office/drawing/2014/main" id="{85A51E65-5076-4D63-ABE5-766F04FE9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03331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100</xdr:row>
      <xdr:rowOff>16412</xdr:rowOff>
    </xdr:from>
    <xdr:to>
      <xdr:col>2</xdr:col>
      <xdr:colOff>492761</xdr:colOff>
      <xdr:row>100</xdr:row>
      <xdr:rowOff>304800</xdr:rowOff>
    </xdr:to>
    <xdr:pic>
      <xdr:nvPicPr>
        <xdr:cNvPr id="154" name="Billede 153">
          <a:extLst>
            <a:ext uri="{FF2B5EF4-FFF2-40B4-BE49-F238E27FC236}">
              <a16:creationId xmlns:a16="http://schemas.microsoft.com/office/drawing/2014/main" id="{B95BB19C-64FE-4D94-8904-793FE8B6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0964498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101</xdr:row>
      <xdr:rowOff>16412</xdr:rowOff>
    </xdr:from>
    <xdr:to>
      <xdr:col>2</xdr:col>
      <xdr:colOff>492761</xdr:colOff>
      <xdr:row>101</xdr:row>
      <xdr:rowOff>304800</xdr:rowOff>
    </xdr:to>
    <xdr:pic>
      <xdr:nvPicPr>
        <xdr:cNvPr id="155" name="Billede 154">
          <a:extLst>
            <a:ext uri="{FF2B5EF4-FFF2-40B4-BE49-F238E27FC236}">
              <a16:creationId xmlns:a16="http://schemas.microsoft.com/office/drawing/2014/main" id="{FFD16C72-3DF2-4DE0-907D-D7DB8EF7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06488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102</xdr:row>
      <xdr:rowOff>16412</xdr:rowOff>
    </xdr:from>
    <xdr:to>
      <xdr:col>2</xdr:col>
      <xdr:colOff>492761</xdr:colOff>
      <xdr:row>102</xdr:row>
      <xdr:rowOff>304800</xdr:rowOff>
    </xdr:to>
    <xdr:pic>
      <xdr:nvPicPr>
        <xdr:cNvPr id="156" name="Billede 155">
          <a:extLst>
            <a:ext uri="{FF2B5EF4-FFF2-40B4-BE49-F238E27FC236}">
              <a16:creationId xmlns:a16="http://schemas.microsoft.com/office/drawing/2014/main" id="{DDA5CE38-B450-4DF1-8562-4A7139A0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0964498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103</xdr:row>
      <xdr:rowOff>16412</xdr:rowOff>
    </xdr:from>
    <xdr:to>
      <xdr:col>2</xdr:col>
      <xdr:colOff>492761</xdr:colOff>
      <xdr:row>103</xdr:row>
      <xdr:rowOff>304800</xdr:rowOff>
    </xdr:to>
    <xdr:pic>
      <xdr:nvPicPr>
        <xdr:cNvPr id="157" name="Billede 156">
          <a:extLst>
            <a:ext uri="{FF2B5EF4-FFF2-40B4-BE49-F238E27FC236}">
              <a16:creationId xmlns:a16="http://schemas.microsoft.com/office/drawing/2014/main" id="{7FBD387E-6362-4B82-A344-53A2841B3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12801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104</xdr:row>
      <xdr:rowOff>16412</xdr:rowOff>
    </xdr:from>
    <xdr:to>
      <xdr:col>2</xdr:col>
      <xdr:colOff>492761</xdr:colOff>
      <xdr:row>104</xdr:row>
      <xdr:rowOff>304800</xdr:rowOff>
    </xdr:to>
    <xdr:pic>
      <xdr:nvPicPr>
        <xdr:cNvPr id="158" name="Billede 157">
          <a:extLst>
            <a:ext uri="{FF2B5EF4-FFF2-40B4-BE49-F238E27FC236}">
              <a16:creationId xmlns:a16="http://schemas.microsoft.com/office/drawing/2014/main" id="{E0EEBA5C-BA76-4177-85C6-7C574AD5D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22272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105</xdr:row>
      <xdr:rowOff>16412</xdr:rowOff>
    </xdr:from>
    <xdr:to>
      <xdr:col>2</xdr:col>
      <xdr:colOff>492761</xdr:colOff>
      <xdr:row>105</xdr:row>
      <xdr:rowOff>304800</xdr:rowOff>
    </xdr:to>
    <xdr:pic>
      <xdr:nvPicPr>
        <xdr:cNvPr id="159" name="Billede 158">
          <a:extLst>
            <a:ext uri="{FF2B5EF4-FFF2-40B4-BE49-F238E27FC236}">
              <a16:creationId xmlns:a16="http://schemas.microsoft.com/office/drawing/2014/main" id="{5B48F78A-4A59-49E1-A12C-3ED31A922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25429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106</xdr:row>
      <xdr:rowOff>16412</xdr:rowOff>
    </xdr:from>
    <xdr:to>
      <xdr:col>2</xdr:col>
      <xdr:colOff>492761</xdr:colOff>
      <xdr:row>106</xdr:row>
      <xdr:rowOff>304800</xdr:rowOff>
    </xdr:to>
    <xdr:pic>
      <xdr:nvPicPr>
        <xdr:cNvPr id="160" name="Billede 159">
          <a:extLst>
            <a:ext uri="{FF2B5EF4-FFF2-40B4-BE49-F238E27FC236}">
              <a16:creationId xmlns:a16="http://schemas.microsoft.com/office/drawing/2014/main" id="{9CD4180C-FE92-436E-B7F8-6B28504EF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25429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107</xdr:row>
      <xdr:rowOff>16412</xdr:rowOff>
    </xdr:from>
    <xdr:to>
      <xdr:col>2</xdr:col>
      <xdr:colOff>492761</xdr:colOff>
      <xdr:row>107</xdr:row>
      <xdr:rowOff>304800</xdr:rowOff>
    </xdr:to>
    <xdr:pic>
      <xdr:nvPicPr>
        <xdr:cNvPr id="161" name="Billede 160">
          <a:extLst>
            <a:ext uri="{FF2B5EF4-FFF2-40B4-BE49-F238E27FC236}">
              <a16:creationId xmlns:a16="http://schemas.microsoft.com/office/drawing/2014/main" id="{E34DC368-5545-4B10-B58F-528F90AC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3174298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108</xdr:row>
      <xdr:rowOff>16412</xdr:rowOff>
    </xdr:from>
    <xdr:to>
      <xdr:col>2</xdr:col>
      <xdr:colOff>492761</xdr:colOff>
      <xdr:row>108</xdr:row>
      <xdr:rowOff>304800</xdr:rowOff>
    </xdr:to>
    <xdr:pic>
      <xdr:nvPicPr>
        <xdr:cNvPr id="162" name="Billede 161">
          <a:extLst>
            <a:ext uri="{FF2B5EF4-FFF2-40B4-BE49-F238E27FC236}">
              <a16:creationId xmlns:a16="http://schemas.microsoft.com/office/drawing/2014/main" id="{44139EBB-5EBE-4F6A-ADA8-EC7FC8C3F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34899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109</xdr:row>
      <xdr:rowOff>16412</xdr:rowOff>
    </xdr:from>
    <xdr:to>
      <xdr:col>2</xdr:col>
      <xdr:colOff>492761</xdr:colOff>
      <xdr:row>109</xdr:row>
      <xdr:rowOff>304800</xdr:rowOff>
    </xdr:to>
    <xdr:pic>
      <xdr:nvPicPr>
        <xdr:cNvPr id="163" name="Billede 162">
          <a:extLst>
            <a:ext uri="{FF2B5EF4-FFF2-40B4-BE49-F238E27FC236}">
              <a16:creationId xmlns:a16="http://schemas.microsoft.com/office/drawing/2014/main" id="{E9F5CF75-D733-4CEA-9268-BFE9CBEEF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34899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110</xdr:row>
      <xdr:rowOff>16412</xdr:rowOff>
    </xdr:from>
    <xdr:to>
      <xdr:col>2</xdr:col>
      <xdr:colOff>492761</xdr:colOff>
      <xdr:row>110</xdr:row>
      <xdr:rowOff>304800</xdr:rowOff>
    </xdr:to>
    <xdr:pic>
      <xdr:nvPicPr>
        <xdr:cNvPr id="164" name="Billede 163">
          <a:extLst>
            <a:ext uri="{FF2B5EF4-FFF2-40B4-BE49-F238E27FC236}">
              <a16:creationId xmlns:a16="http://schemas.microsoft.com/office/drawing/2014/main" id="{3CBBAAE1-B750-497E-9DB3-32AB2E28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38056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111</xdr:row>
      <xdr:rowOff>16412</xdr:rowOff>
    </xdr:from>
    <xdr:to>
      <xdr:col>2</xdr:col>
      <xdr:colOff>492761</xdr:colOff>
      <xdr:row>111</xdr:row>
      <xdr:rowOff>304800</xdr:rowOff>
    </xdr:to>
    <xdr:pic>
      <xdr:nvPicPr>
        <xdr:cNvPr id="165" name="Billede 164">
          <a:extLst>
            <a:ext uri="{FF2B5EF4-FFF2-40B4-BE49-F238E27FC236}">
              <a16:creationId xmlns:a16="http://schemas.microsoft.com/office/drawing/2014/main" id="{A4762FF4-A5B3-474E-9868-7F1688F63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44370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112</xdr:row>
      <xdr:rowOff>16412</xdr:rowOff>
    </xdr:from>
    <xdr:to>
      <xdr:col>2</xdr:col>
      <xdr:colOff>492761</xdr:colOff>
      <xdr:row>112</xdr:row>
      <xdr:rowOff>304800</xdr:rowOff>
    </xdr:to>
    <xdr:pic>
      <xdr:nvPicPr>
        <xdr:cNvPr id="166" name="Billede 165">
          <a:extLst>
            <a:ext uri="{FF2B5EF4-FFF2-40B4-BE49-F238E27FC236}">
              <a16:creationId xmlns:a16="http://schemas.microsoft.com/office/drawing/2014/main" id="{9CD954E6-06DB-454B-BC07-C5F8B94D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47527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113</xdr:row>
      <xdr:rowOff>16412</xdr:rowOff>
    </xdr:from>
    <xdr:to>
      <xdr:col>2</xdr:col>
      <xdr:colOff>492761</xdr:colOff>
      <xdr:row>113</xdr:row>
      <xdr:rowOff>304800</xdr:rowOff>
    </xdr:to>
    <xdr:pic>
      <xdr:nvPicPr>
        <xdr:cNvPr id="167" name="Billede 166">
          <a:extLst>
            <a:ext uri="{FF2B5EF4-FFF2-40B4-BE49-F238E27FC236}">
              <a16:creationId xmlns:a16="http://schemas.microsoft.com/office/drawing/2014/main" id="{30D8A423-EA26-44C5-9EDB-062BDD53A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47527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114</xdr:row>
      <xdr:rowOff>16412</xdr:rowOff>
    </xdr:from>
    <xdr:to>
      <xdr:col>2</xdr:col>
      <xdr:colOff>492761</xdr:colOff>
      <xdr:row>114</xdr:row>
      <xdr:rowOff>304800</xdr:rowOff>
    </xdr:to>
    <xdr:pic>
      <xdr:nvPicPr>
        <xdr:cNvPr id="168" name="Billede 167">
          <a:extLst>
            <a:ext uri="{FF2B5EF4-FFF2-40B4-BE49-F238E27FC236}">
              <a16:creationId xmlns:a16="http://schemas.microsoft.com/office/drawing/2014/main" id="{26D1B5F6-61C4-4660-A953-ECBDED5E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5068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115</xdr:row>
      <xdr:rowOff>16412</xdr:rowOff>
    </xdr:from>
    <xdr:to>
      <xdr:col>2</xdr:col>
      <xdr:colOff>492761</xdr:colOff>
      <xdr:row>115</xdr:row>
      <xdr:rowOff>304800</xdr:rowOff>
    </xdr:to>
    <xdr:pic>
      <xdr:nvPicPr>
        <xdr:cNvPr id="169" name="Billede 168">
          <a:extLst>
            <a:ext uri="{FF2B5EF4-FFF2-40B4-BE49-F238E27FC236}">
              <a16:creationId xmlns:a16="http://schemas.microsoft.com/office/drawing/2014/main" id="{4C7D0C43-3214-4C4F-9726-7ABEA97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56997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116</xdr:row>
      <xdr:rowOff>16412</xdr:rowOff>
    </xdr:from>
    <xdr:to>
      <xdr:col>2</xdr:col>
      <xdr:colOff>492761</xdr:colOff>
      <xdr:row>116</xdr:row>
      <xdr:rowOff>304800</xdr:rowOff>
    </xdr:to>
    <xdr:pic>
      <xdr:nvPicPr>
        <xdr:cNvPr id="171" name="Billede 170">
          <a:extLst>
            <a:ext uri="{FF2B5EF4-FFF2-40B4-BE49-F238E27FC236}">
              <a16:creationId xmlns:a16="http://schemas.microsoft.com/office/drawing/2014/main" id="{446425D4-FF51-41E8-B53F-02AC18307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60154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117</xdr:row>
      <xdr:rowOff>16412</xdr:rowOff>
    </xdr:from>
    <xdr:to>
      <xdr:col>2</xdr:col>
      <xdr:colOff>492761</xdr:colOff>
      <xdr:row>117</xdr:row>
      <xdr:rowOff>304800</xdr:rowOff>
    </xdr:to>
    <xdr:pic>
      <xdr:nvPicPr>
        <xdr:cNvPr id="172" name="Billede 171">
          <a:extLst>
            <a:ext uri="{FF2B5EF4-FFF2-40B4-BE49-F238E27FC236}">
              <a16:creationId xmlns:a16="http://schemas.microsoft.com/office/drawing/2014/main" id="{E6F6DA34-65D0-4991-9C91-D21C590F2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63311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118</xdr:row>
      <xdr:rowOff>16412</xdr:rowOff>
    </xdr:from>
    <xdr:to>
      <xdr:col>2</xdr:col>
      <xdr:colOff>492761</xdr:colOff>
      <xdr:row>118</xdr:row>
      <xdr:rowOff>304800</xdr:rowOff>
    </xdr:to>
    <xdr:pic>
      <xdr:nvPicPr>
        <xdr:cNvPr id="173" name="Billede 172">
          <a:extLst>
            <a:ext uri="{FF2B5EF4-FFF2-40B4-BE49-F238E27FC236}">
              <a16:creationId xmlns:a16="http://schemas.microsoft.com/office/drawing/2014/main" id="{F5AB7117-EB46-4358-BBD5-9305FEFF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66468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119</xdr:row>
      <xdr:rowOff>16412</xdr:rowOff>
    </xdr:from>
    <xdr:to>
      <xdr:col>2</xdr:col>
      <xdr:colOff>492761</xdr:colOff>
      <xdr:row>119</xdr:row>
      <xdr:rowOff>304800</xdr:rowOff>
    </xdr:to>
    <xdr:pic>
      <xdr:nvPicPr>
        <xdr:cNvPr id="174" name="Billede 173">
          <a:extLst>
            <a:ext uri="{FF2B5EF4-FFF2-40B4-BE49-F238E27FC236}">
              <a16:creationId xmlns:a16="http://schemas.microsoft.com/office/drawing/2014/main" id="{2C4F2862-D6DB-4408-9E4F-B70BCAC6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66468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120</xdr:row>
      <xdr:rowOff>16412</xdr:rowOff>
    </xdr:from>
    <xdr:to>
      <xdr:col>2</xdr:col>
      <xdr:colOff>492761</xdr:colOff>
      <xdr:row>120</xdr:row>
      <xdr:rowOff>304800</xdr:rowOff>
    </xdr:to>
    <xdr:pic>
      <xdr:nvPicPr>
        <xdr:cNvPr id="175" name="Billede 174">
          <a:extLst>
            <a:ext uri="{FF2B5EF4-FFF2-40B4-BE49-F238E27FC236}">
              <a16:creationId xmlns:a16="http://schemas.microsoft.com/office/drawing/2014/main" id="{7CA0E6D1-2B4A-4F37-939A-4A7932F1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69625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121</xdr:row>
      <xdr:rowOff>16412</xdr:rowOff>
    </xdr:from>
    <xdr:to>
      <xdr:col>2</xdr:col>
      <xdr:colOff>492761</xdr:colOff>
      <xdr:row>121</xdr:row>
      <xdr:rowOff>304800</xdr:rowOff>
    </xdr:to>
    <xdr:pic>
      <xdr:nvPicPr>
        <xdr:cNvPr id="176" name="Billede 175">
          <a:extLst>
            <a:ext uri="{FF2B5EF4-FFF2-40B4-BE49-F238E27FC236}">
              <a16:creationId xmlns:a16="http://schemas.microsoft.com/office/drawing/2014/main" id="{64224945-1F24-46C8-AAA9-C937260C3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72782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122</xdr:row>
      <xdr:rowOff>16412</xdr:rowOff>
    </xdr:from>
    <xdr:to>
      <xdr:col>2</xdr:col>
      <xdr:colOff>492761</xdr:colOff>
      <xdr:row>122</xdr:row>
      <xdr:rowOff>304800</xdr:rowOff>
    </xdr:to>
    <xdr:pic>
      <xdr:nvPicPr>
        <xdr:cNvPr id="177" name="Billede 176">
          <a:extLst>
            <a:ext uri="{FF2B5EF4-FFF2-40B4-BE49-F238E27FC236}">
              <a16:creationId xmlns:a16="http://schemas.microsoft.com/office/drawing/2014/main" id="{AECA526B-D3D1-4D21-90DC-15F3B5B6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7593898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123</xdr:row>
      <xdr:rowOff>16412</xdr:rowOff>
    </xdr:from>
    <xdr:to>
      <xdr:col>2</xdr:col>
      <xdr:colOff>492761</xdr:colOff>
      <xdr:row>123</xdr:row>
      <xdr:rowOff>304800</xdr:rowOff>
    </xdr:to>
    <xdr:pic>
      <xdr:nvPicPr>
        <xdr:cNvPr id="178" name="Billede 177">
          <a:extLst>
            <a:ext uri="{FF2B5EF4-FFF2-40B4-BE49-F238E27FC236}">
              <a16:creationId xmlns:a16="http://schemas.microsoft.com/office/drawing/2014/main" id="{1DC7B81F-C034-42E1-94C7-7BC7D5B3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79095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124</xdr:row>
      <xdr:rowOff>16412</xdr:rowOff>
    </xdr:from>
    <xdr:to>
      <xdr:col>2</xdr:col>
      <xdr:colOff>492761</xdr:colOff>
      <xdr:row>124</xdr:row>
      <xdr:rowOff>304800</xdr:rowOff>
    </xdr:to>
    <xdr:pic>
      <xdr:nvPicPr>
        <xdr:cNvPr id="179" name="Billede 178">
          <a:extLst>
            <a:ext uri="{FF2B5EF4-FFF2-40B4-BE49-F238E27FC236}">
              <a16:creationId xmlns:a16="http://schemas.microsoft.com/office/drawing/2014/main" id="{3A115A88-EDD3-4ED6-BB0E-4A04691A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82252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125</xdr:row>
      <xdr:rowOff>16412</xdr:rowOff>
    </xdr:from>
    <xdr:to>
      <xdr:col>2</xdr:col>
      <xdr:colOff>492761</xdr:colOff>
      <xdr:row>125</xdr:row>
      <xdr:rowOff>304800</xdr:rowOff>
    </xdr:to>
    <xdr:pic>
      <xdr:nvPicPr>
        <xdr:cNvPr id="180" name="Billede 179">
          <a:extLst>
            <a:ext uri="{FF2B5EF4-FFF2-40B4-BE49-F238E27FC236}">
              <a16:creationId xmlns:a16="http://schemas.microsoft.com/office/drawing/2014/main" id="{DADC4EF5-8AA8-4010-B8B5-C198BD88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85409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126</xdr:row>
      <xdr:rowOff>16412</xdr:rowOff>
    </xdr:from>
    <xdr:to>
      <xdr:col>2</xdr:col>
      <xdr:colOff>492761</xdr:colOff>
      <xdr:row>126</xdr:row>
      <xdr:rowOff>304800</xdr:rowOff>
    </xdr:to>
    <xdr:pic>
      <xdr:nvPicPr>
        <xdr:cNvPr id="181" name="Billede 180">
          <a:extLst>
            <a:ext uri="{FF2B5EF4-FFF2-40B4-BE49-F238E27FC236}">
              <a16:creationId xmlns:a16="http://schemas.microsoft.com/office/drawing/2014/main" id="{BDE1F0DE-C941-4072-8039-5F0F259CE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88566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127</xdr:row>
      <xdr:rowOff>16412</xdr:rowOff>
    </xdr:from>
    <xdr:to>
      <xdr:col>2</xdr:col>
      <xdr:colOff>492761</xdr:colOff>
      <xdr:row>127</xdr:row>
      <xdr:rowOff>304800</xdr:rowOff>
    </xdr:to>
    <xdr:pic>
      <xdr:nvPicPr>
        <xdr:cNvPr id="182" name="Billede 181">
          <a:extLst>
            <a:ext uri="{FF2B5EF4-FFF2-40B4-BE49-F238E27FC236}">
              <a16:creationId xmlns:a16="http://schemas.microsoft.com/office/drawing/2014/main" id="{07DAEB7C-A33E-4BC9-8F23-F0DAC03EA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91723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128</xdr:row>
      <xdr:rowOff>16412</xdr:rowOff>
    </xdr:from>
    <xdr:to>
      <xdr:col>2</xdr:col>
      <xdr:colOff>492761</xdr:colOff>
      <xdr:row>128</xdr:row>
      <xdr:rowOff>304800</xdr:rowOff>
    </xdr:to>
    <xdr:pic>
      <xdr:nvPicPr>
        <xdr:cNvPr id="183" name="Billede 182">
          <a:extLst>
            <a:ext uri="{FF2B5EF4-FFF2-40B4-BE49-F238E27FC236}">
              <a16:creationId xmlns:a16="http://schemas.microsoft.com/office/drawing/2014/main" id="{544A6E7E-1120-4749-92DF-BD7FB9DE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94880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129</xdr:row>
      <xdr:rowOff>16412</xdr:rowOff>
    </xdr:from>
    <xdr:to>
      <xdr:col>2</xdr:col>
      <xdr:colOff>492761</xdr:colOff>
      <xdr:row>129</xdr:row>
      <xdr:rowOff>304800</xdr:rowOff>
    </xdr:to>
    <xdr:pic>
      <xdr:nvPicPr>
        <xdr:cNvPr id="184" name="Billede 183">
          <a:extLst>
            <a:ext uri="{FF2B5EF4-FFF2-40B4-BE49-F238E27FC236}">
              <a16:creationId xmlns:a16="http://schemas.microsoft.com/office/drawing/2014/main" id="{EA36DDC5-DDC4-4B02-B086-9EA76F560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39803698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130</xdr:row>
      <xdr:rowOff>16412</xdr:rowOff>
    </xdr:from>
    <xdr:to>
      <xdr:col>2</xdr:col>
      <xdr:colOff>492761</xdr:colOff>
      <xdr:row>130</xdr:row>
      <xdr:rowOff>304800</xdr:rowOff>
    </xdr:to>
    <xdr:pic>
      <xdr:nvPicPr>
        <xdr:cNvPr id="185" name="Billede 184">
          <a:extLst>
            <a:ext uri="{FF2B5EF4-FFF2-40B4-BE49-F238E27FC236}">
              <a16:creationId xmlns:a16="http://schemas.microsoft.com/office/drawing/2014/main" id="{DF39B107-ABD8-49EF-829A-A79AE7975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01193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131</xdr:row>
      <xdr:rowOff>16412</xdr:rowOff>
    </xdr:from>
    <xdr:to>
      <xdr:col>2</xdr:col>
      <xdr:colOff>492761</xdr:colOff>
      <xdr:row>131</xdr:row>
      <xdr:rowOff>304800</xdr:rowOff>
    </xdr:to>
    <xdr:pic>
      <xdr:nvPicPr>
        <xdr:cNvPr id="186" name="Billede 185">
          <a:extLst>
            <a:ext uri="{FF2B5EF4-FFF2-40B4-BE49-F238E27FC236}">
              <a16:creationId xmlns:a16="http://schemas.microsoft.com/office/drawing/2014/main" id="{00470876-CC95-4DED-B9AE-39811440D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04350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132</xdr:row>
      <xdr:rowOff>16412</xdr:rowOff>
    </xdr:from>
    <xdr:to>
      <xdr:col>2</xdr:col>
      <xdr:colOff>492761</xdr:colOff>
      <xdr:row>132</xdr:row>
      <xdr:rowOff>304800</xdr:rowOff>
    </xdr:to>
    <xdr:pic>
      <xdr:nvPicPr>
        <xdr:cNvPr id="187" name="Billede 186">
          <a:extLst>
            <a:ext uri="{FF2B5EF4-FFF2-40B4-BE49-F238E27FC236}">
              <a16:creationId xmlns:a16="http://schemas.microsoft.com/office/drawing/2014/main" id="{6497A00D-4C8E-4A28-AA7B-84F46A7E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07507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133</xdr:row>
      <xdr:rowOff>16412</xdr:rowOff>
    </xdr:from>
    <xdr:to>
      <xdr:col>2</xdr:col>
      <xdr:colOff>492761</xdr:colOff>
      <xdr:row>133</xdr:row>
      <xdr:rowOff>304800</xdr:rowOff>
    </xdr:to>
    <xdr:pic>
      <xdr:nvPicPr>
        <xdr:cNvPr id="188" name="Billede 187">
          <a:extLst>
            <a:ext uri="{FF2B5EF4-FFF2-40B4-BE49-F238E27FC236}">
              <a16:creationId xmlns:a16="http://schemas.microsoft.com/office/drawing/2014/main" id="{905E77B1-7530-4527-9542-E51231E88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10664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134</xdr:row>
      <xdr:rowOff>16412</xdr:rowOff>
    </xdr:from>
    <xdr:to>
      <xdr:col>2</xdr:col>
      <xdr:colOff>492761</xdr:colOff>
      <xdr:row>134</xdr:row>
      <xdr:rowOff>304800</xdr:rowOff>
    </xdr:to>
    <xdr:pic>
      <xdr:nvPicPr>
        <xdr:cNvPr id="189" name="Billede 188">
          <a:extLst>
            <a:ext uri="{FF2B5EF4-FFF2-40B4-BE49-F238E27FC236}">
              <a16:creationId xmlns:a16="http://schemas.microsoft.com/office/drawing/2014/main" id="{E6CD560D-4A42-4879-82AE-D27942ACE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13821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135</xdr:row>
      <xdr:rowOff>16412</xdr:rowOff>
    </xdr:from>
    <xdr:to>
      <xdr:col>2</xdr:col>
      <xdr:colOff>492761</xdr:colOff>
      <xdr:row>135</xdr:row>
      <xdr:rowOff>304800</xdr:rowOff>
    </xdr:to>
    <xdr:pic>
      <xdr:nvPicPr>
        <xdr:cNvPr id="190" name="Billede 189">
          <a:extLst>
            <a:ext uri="{FF2B5EF4-FFF2-40B4-BE49-F238E27FC236}">
              <a16:creationId xmlns:a16="http://schemas.microsoft.com/office/drawing/2014/main" id="{5B8DCDE5-F12E-4006-ABBA-6D823EF4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2013498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136</xdr:row>
      <xdr:rowOff>16412</xdr:rowOff>
    </xdr:from>
    <xdr:to>
      <xdr:col>2</xdr:col>
      <xdr:colOff>492761</xdr:colOff>
      <xdr:row>136</xdr:row>
      <xdr:rowOff>304800</xdr:rowOff>
    </xdr:to>
    <xdr:pic>
      <xdr:nvPicPr>
        <xdr:cNvPr id="191" name="Billede 190">
          <a:extLst>
            <a:ext uri="{FF2B5EF4-FFF2-40B4-BE49-F238E27FC236}">
              <a16:creationId xmlns:a16="http://schemas.microsoft.com/office/drawing/2014/main" id="{FCEEF4B2-E2F7-438A-A5B9-D7C9E2D5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23291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137</xdr:row>
      <xdr:rowOff>16412</xdr:rowOff>
    </xdr:from>
    <xdr:to>
      <xdr:col>2</xdr:col>
      <xdr:colOff>492761</xdr:colOff>
      <xdr:row>137</xdr:row>
      <xdr:rowOff>304800</xdr:rowOff>
    </xdr:to>
    <xdr:pic>
      <xdr:nvPicPr>
        <xdr:cNvPr id="192" name="Billede 191">
          <a:extLst>
            <a:ext uri="{FF2B5EF4-FFF2-40B4-BE49-F238E27FC236}">
              <a16:creationId xmlns:a16="http://schemas.microsoft.com/office/drawing/2014/main" id="{CCE8D2E3-76B0-47C6-AC8F-6FA57DFA1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23291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138</xdr:row>
      <xdr:rowOff>16412</xdr:rowOff>
    </xdr:from>
    <xdr:to>
      <xdr:col>2</xdr:col>
      <xdr:colOff>492761</xdr:colOff>
      <xdr:row>138</xdr:row>
      <xdr:rowOff>304800</xdr:rowOff>
    </xdr:to>
    <xdr:pic>
      <xdr:nvPicPr>
        <xdr:cNvPr id="193" name="Billede 192">
          <a:extLst>
            <a:ext uri="{FF2B5EF4-FFF2-40B4-BE49-F238E27FC236}">
              <a16:creationId xmlns:a16="http://schemas.microsoft.com/office/drawing/2014/main" id="{7B5E5F6C-ED71-480F-924D-B0D1709E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26448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139</xdr:row>
      <xdr:rowOff>16412</xdr:rowOff>
    </xdr:from>
    <xdr:to>
      <xdr:col>2</xdr:col>
      <xdr:colOff>492761</xdr:colOff>
      <xdr:row>139</xdr:row>
      <xdr:rowOff>304800</xdr:rowOff>
    </xdr:to>
    <xdr:pic>
      <xdr:nvPicPr>
        <xdr:cNvPr id="194" name="Billede 193">
          <a:extLst>
            <a:ext uri="{FF2B5EF4-FFF2-40B4-BE49-F238E27FC236}">
              <a16:creationId xmlns:a16="http://schemas.microsoft.com/office/drawing/2014/main" id="{4CE643AA-7CEE-42D2-8145-37B6A5D8C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32762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140</xdr:row>
      <xdr:rowOff>16412</xdr:rowOff>
    </xdr:from>
    <xdr:to>
      <xdr:col>2</xdr:col>
      <xdr:colOff>492761</xdr:colOff>
      <xdr:row>140</xdr:row>
      <xdr:rowOff>304800</xdr:rowOff>
    </xdr:to>
    <xdr:pic>
      <xdr:nvPicPr>
        <xdr:cNvPr id="195" name="Billede 194">
          <a:extLst>
            <a:ext uri="{FF2B5EF4-FFF2-40B4-BE49-F238E27FC236}">
              <a16:creationId xmlns:a16="http://schemas.microsoft.com/office/drawing/2014/main" id="{544600DE-DF9E-4D4B-B1C8-0DE22720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35919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141</xdr:row>
      <xdr:rowOff>16412</xdr:rowOff>
    </xdr:from>
    <xdr:to>
      <xdr:col>2</xdr:col>
      <xdr:colOff>492761</xdr:colOff>
      <xdr:row>141</xdr:row>
      <xdr:rowOff>304800</xdr:rowOff>
    </xdr:to>
    <xdr:pic>
      <xdr:nvPicPr>
        <xdr:cNvPr id="196" name="Billede 195">
          <a:extLst>
            <a:ext uri="{FF2B5EF4-FFF2-40B4-BE49-F238E27FC236}">
              <a16:creationId xmlns:a16="http://schemas.microsoft.com/office/drawing/2014/main" id="{00D861E0-8D20-43C4-A556-152073C63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39076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142</xdr:row>
      <xdr:rowOff>16412</xdr:rowOff>
    </xdr:from>
    <xdr:to>
      <xdr:col>2</xdr:col>
      <xdr:colOff>492761</xdr:colOff>
      <xdr:row>142</xdr:row>
      <xdr:rowOff>304800</xdr:rowOff>
    </xdr:to>
    <xdr:pic>
      <xdr:nvPicPr>
        <xdr:cNvPr id="197" name="Billede 196">
          <a:extLst>
            <a:ext uri="{FF2B5EF4-FFF2-40B4-BE49-F238E27FC236}">
              <a16:creationId xmlns:a16="http://schemas.microsoft.com/office/drawing/2014/main" id="{139AACFB-AE35-499A-8CA2-F5C71053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4223298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143</xdr:row>
      <xdr:rowOff>16412</xdr:rowOff>
    </xdr:from>
    <xdr:to>
      <xdr:col>2</xdr:col>
      <xdr:colOff>492761</xdr:colOff>
      <xdr:row>143</xdr:row>
      <xdr:rowOff>304800</xdr:rowOff>
    </xdr:to>
    <xdr:pic>
      <xdr:nvPicPr>
        <xdr:cNvPr id="198" name="Billede 197">
          <a:extLst>
            <a:ext uri="{FF2B5EF4-FFF2-40B4-BE49-F238E27FC236}">
              <a16:creationId xmlns:a16="http://schemas.microsoft.com/office/drawing/2014/main" id="{26AD6313-71BC-4007-93E9-56B0578B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45389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144</xdr:row>
      <xdr:rowOff>16412</xdr:rowOff>
    </xdr:from>
    <xdr:to>
      <xdr:col>2</xdr:col>
      <xdr:colOff>492761</xdr:colOff>
      <xdr:row>144</xdr:row>
      <xdr:rowOff>304800</xdr:rowOff>
    </xdr:to>
    <xdr:pic>
      <xdr:nvPicPr>
        <xdr:cNvPr id="199" name="Billede 198">
          <a:extLst>
            <a:ext uri="{FF2B5EF4-FFF2-40B4-BE49-F238E27FC236}">
              <a16:creationId xmlns:a16="http://schemas.microsoft.com/office/drawing/2014/main" id="{5D69F2ED-B20E-4C9D-A4C0-BE1B1D29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48546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145</xdr:row>
      <xdr:rowOff>16412</xdr:rowOff>
    </xdr:from>
    <xdr:to>
      <xdr:col>2</xdr:col>
      <xdr:colOff>492761</xdr:colOff>
      <xdr:row>145</xdr:row>
      <xdr:rowOff>304800</xdr:rowOff>
    </xdr:to>
    <xdr:pic>
      <xdr:nvPicPr>
        <xdr:cNvPr id="200" name="Billede 199">
          <a:extLst>
            <a:ext uri="{FF2B5EF4-FFF2-40B4-BE49-F238E27FC236}">
              <a16:creationId xmlns:a16="http://schemas.microsoft.com/office/drawing/2014/main" id="{18DDE313-AF3A-410F-930B-30B9FC91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5170355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146</xdr:row>
      <xdr:rowOff>16412</xdr:rowOff>
    </xdr:from>
    <xdr:to>
      <xdr:col>2</xdr:col>
      <xdr:colOff>492761</xdr:colOff>
      <xdr:row>146</xdr:row>
      <xdr:rowOff>304800</xdr:rowOff>
    </xdr:to>
    <xdr:pic>
      <xdr:nvPicPr>
        <xdr:cNvPr id="201" name="Billede 200">
          <a:extLst>
            <a:ext uri="{FF2B5EF4-FFF2-40B4-BE49-F238E27FC236}">
              <a16:creationId xmlns:a16="http://schemas.microsoft.com/office/drawing/2014/main" id="{0B42378E-1A6C-4BA4-A95B-AE9E7703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5486041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147</xdr:row>
      <xdr:rowOff>16412</xdr:rowOff>
    </xdr:from>
    <xdr:to>
      <xdr:col>2</xdr:col>
      <xdr:colOff>492761</xdr:colOff>
      <xdr:row>147</xdr:row>
      <xdr:rowOff>304800</xdr:rowOff>
    </xdr:to>
    <xdr:pic>
      <xdr:nvPicPr>
        <xdr:cNvPr id="202" name="Billede 201">
          <a:extLst>
            <a:ext uri="{FF2B5EF4-FFF2-40B4-BE49-F238E27FC236}">
              <a16:creationId xmlns:a16="http://schemas.microsoft.com/office/drawing/2014/main" id="{4EA878ED-F481-4593-9B7F-4AD39407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5801726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148</xdr:row>
      <xdr:rowOff>16412</xdr:rowOff>
    </xdr:from>
    <xdr:to>
      <xdr:col>2</xdr:col>
      <xdr:colOff>492761</xdr:colOff>
      <xdr:row>148</xdr:row>
      <xdr:rowOff>304800</xdr:rowOff>
    </xdr:to>
    <xdr:pic>
      <xdr:nvPicPr>
        <xdr:cNvPr id="203" name="Billede 202">
          <a:extLst>
            <a:ext uri="{FF2B5EF4-FFF2-40B4-BE49-F238E27FC236}">
              <a16:creationId xmlns:a16="http://schemas.microsoft.com/office/drawing/2014/main" id="{DC27F2F7-1C96-466C-AEAB-6C500B65E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6117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149</xdr:row>
      <xdr:rowOff>16412</xdr:rowOff>
    </xdr:from>
    <xdr:to>
      <xdr:col>2</xdr:col>
      <xdr:colOff>492761</xdr:colOff>
      <xdr:row>149</xdr:row>
      <xdr:rowOff>304800</xdr:rowOff>
    </xdr:to>
    <xdr:pic>
      <xdr:nvPicPr>
        <xdr:cNvPr id="204" name="Billede 203">
          <a:extLst>
            <a:ext uri="{FF2B5EF4-FFF2-40B4-BE49-F238E27FC236}">
              <a16:creationId xmlns:a16="http://schemas.microsoft.com/office/drawing/2014/main" id="{C0F86B7D-DB93-4F54-A431-D6F2240A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6433098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805543</xdr:colOff>
      <xdr:row>77</xdr:row>
      <xdr:rowOff>43543</xdr:rowOff>
    </xdr:from>
    <xdr:to>
      <xdr:col>4</xdr:col>
      <xdr:colOff>1165543</xdr:colOff>
      <xdr:row>77</xdr:row>
      <xdr:rowOff>276061</xdr:rowOff>
    </xdr:to>
    <xdr:pic>
      <xdr:nvPicPr>
        <xdr:cNvPr id="170" name="Billede 169" descr="Dannebrog">
          <a:extLst>
            <a:ext uri="{FF2B5EF4-FFF2-40B4-BE49-F238E27FC236}">
              <a16:creationId xmlns:a16="http://schemas.microsoft.com/office/drawing/2014/main" id="{AD1EBE54-F0AD-76A4-2122-A59B41E3E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404654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80</xdr:row>
      <xdr:rowOff>54429</xdr:rowOff>
    </xdr:from>
    <xdr:to>
      <xdr:col>4</xdr:col>
      <xdr:colOff>1165543</xdr:colOff>
      <xdr:row>80</xdr:row>
      <xdr:rowOff>286947</xdr:rowOff>
    </xdr:to>
    <xdr:pic>
      <xdr:nvPicPr>
        <xdr:cNvPr id="205" name="Billede 204" descr="Dannebrog">
          <a:extLst>
            <a:ext uri="{FF2B5EF4-FFF2-40B4-BE49-F238E27FC236}">
              <a16:creationId xmlns:a16="http://schemas.microsoft.com/office/drawing/2014/main" id="{5244C18C-3ECF-DAB7-E9FC-1AABC5741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500448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81</xdr:row>
      <xdr:rowOff>43543</xdr:rowOff>
    </xdr:from>
    <xdr:to>
      <xdr:col>4</xdr:col>
      <xdr:colOff>1165543</xdr:colOff>
      <xdr:row>81</xdr:row>
      <xdr:rowOff>276061</xdr:rowOff>
    </xdr:to>
    <xdr:pic>
      <xdr:nvPicPr>
        <xdr:cNvPr id="206" name="Billede 205" descr="Dannebrog">
          <a:extLst>
            <a:ext uri="{FF2B5EF4-FFF2-40B4-BE49-F238E27FC236}">
              <a16:creationId xmlns:a16="http://schemas.microsoft.com/office/drawing/2014/main" id="{CB020FCF-7B93-FF1D-6D94-8B135BA59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530928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86</xdr:row>
      <xdr:rowOff>54429</xdr:rowOff>
    </xdr:from>
    <xdr:to>
      <xdr:col>4</xdr:col>
      <xdr:colOff>1165543</xdr:colOff>
      <xdr:row>86</xdr:row>
      <xdr:rowOff>286947</xdr:rowOff>
    </xdr:to>
    <xdr:pic>
      <xdr:nvPicPr>
        <xdr:cNvPr id="207" name="Billede 206" descr="Dannebrog">
          <a:extLst>
            <a:ext uri="{FF2B5EF4-FFF2-40B4-BE49-F238E27FC236}">
              <a16:creationId xmlns:a16="http://schemas.microsoft.com/office/drawing/2014/main" id="{7B4B527C-A208-425B-D05A-9003B7538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6898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87</xdr:row>
      <xdr:rowOff>43543</xdr:rowOff>
    </xdr:from>
    <xdr:to>
      <xdr:col>4</xdr:col>
      <xdr:colOff>1165543</xdr:colOff>
      <xdr:row>87</xdr:row>
      <xdr:rowOff>276061</xdr:rowOff>
    </xdr:to>
    <xdr:pic>
      <xdr:nvPicPr>
        <xdr:cNvPr id="208" name="Billede 207" descr="Dannebrog">
          <a:extLst>
            <a:ext uri="{FF2B5EF4-FFF2-40B4-BE49-F238E27FC236}">
              <a16:creationId xmlns:a16="http://schemas.microsoft.com/office/drawing/2014/main" id="{15C16E61-983E-9DDF-97A9-7851CA02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72034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88</xdr:row>
      <xdr:rowOff>54428</xdr:rowOff>
    </xdr:from>
    <xdr:to>
      <xdr:col>4</xdr:col>
      <xdr:colOff>1165543</xdr:colOff>
      <xdr:row>88</xdr:row>
      <xdr:rowOff>286946</xdr:rowOff>
    </xdr:to>
    <xdr:pic>
      <xdr:nvPicPr>
        <xdr:cNvPr id="209" name="Billede 208" descr="Dannebrog">
          <a:extLst>
            <a:ext uri="{FF2B5EF4-FFF2-40B4-BE49-F238E27FC236}">
              <a16:creationId xmlns:a16="http://schemas.microsoft.com/office/drawing/2014/main" id="{C467D7BE-2F2A-5775-F808-2B42CF29B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752997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89</xdr:row>
      <xdr:rowOff>43542</xdr:rowOff>
    </xdr:from>
    <xdr:to>
      <xdr:col>4</xdr:col>
      <xdr:colOff>1165543</xdr:colOff>
      <xdr:row>89</xdr:row>
      <xdr:rowOff>276060</xdr:rowOff>
    </xdr:to>
    <xdr:pic>
      <xdr:nvPicPr>
        <xdr:cNvPr id="210" name="Billede 209" descr="Dannebrog">
          <a:extLst>
            <a:ext uri="{FF2B5EF4-FFF2-40B4-BE49-F238E27FC236}">
              <a16:creationId xmlns:a16="http://schemas.microsoft.com/office/drawing/2014/main" id="{0F4504E2-6892-B647-0B9A-F3FD87182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783477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90</xdr:row>
      <xdr:rowOff>43542</xdr:rowOff>
    </xdr:from>
    <xdr:to>
      <xdr:col>4</xdr:col>
      <xdr:colOff>1165543</xdr:colOff>
      <xdr:row>90</xdr:row>
      <xdr:rowOff>276060</xdr:rowOff>
    </xdr:to>
    <xdr:pic>
      <xdr:nvPicPr>
        <xdr:cNvPr id="211" name="Billede 210" descr="Dannebrog">
          <a:extLst>
            <a:ext uri="{FF2B5EF4-FFF2-40B4-BE49-F238E27FC236}">
              <a16:creationId xmlns:a16="http://schemas.microsoft.com/office/drawing/2014/main" id="{B994BE88-3394-9058-79E0-04F583B8C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815045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91</xdr:row>
      <xdr:rowOff>54427</xdr:rowOff>
    </xdr:from>
    <xdr:to>
      <xdr:col>4</xdr:col>
      <xdr:colOff>1165543</xdr:colOff>
      <xdr:row>91</xdr:row>
      <xdr:rowOff>286945</xdr:rowOff>
    </xdr:to>
    <xdr:pic>
      <xdr:nvPicPr>
        <xdr:cNvPr id="212" name="Billede 211" descr="Dannebrog">
          <a:extLst>
            <a:ext uri="{FF2B5EF4-FFF2-40B4-BE49-F238E27FC236}">
              <a16:creationId xmlns:a16="http://schemas.microsoft.com/office/drawing/2014/main" id="{1473E4BC-6116-FC90-59DA-DBB2FAE04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847702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801914</xdr:colOff>
      <xdr:row>78</xdr:row>
      <xdr:rowOff>48985</xdr:rowOff>
    </xdr:from>
    <xdr:to>
      <xdr:col>4</xdr:col>
      <xdr:colOff>1165514</xdr:colOff>
      <xdr:row>78</xdr:row>
      <xdr:rowOff>271424</xdr:rowOff>
    </xdr:to>
    <xdr:pic>
      <xdr:nvPicPr>
        <xdr:cNvPr id="213" name="Billede 212">
          <a:extLst>
            <a:ext uri="{FF2B5EF4-FFF2-40B4-BE49-F238E27FC236}">
              <a16:creationId xmlns:a16="http://schemas.microsoft.com/office/drawing/2014/main" id="{31025958-1E3F-7FF9-A142-2B9550E25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5257" y="24367671"/>
          <a:ext cx="363600" cy="22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92</xdr:row>
      <xdr:rowOff>43541</xdr:rowOff>
    </xdr:from>
    <xdr:to>
      <xdr:col>4</xdr:col>
      <xdr:colOff>1165543</xdr:colOff>
      <xdr:row>92</xdr:row>
      <xdr:rowOff>276059</xdr:rowOff>
    </xdr:to>
    <xdr:pic>
      <xdr:nvPicPr>
        <xdr:cNvPr id="214" name="Billede 213" descr="Dannebrog">
          <a:extLst>
            <a:ext uri="{FF2B5EF4-FFF2-40B4-BE49-F238E27FC236}">
              <a16:creationId xmlns:a16="http://schemas.microsoft.com/office/drawing/2014/main" id="{D65C2519-CBC1-F86A-30EF-DEA95EE01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878182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93</xdr:row>
      <xdr:rowOff>54427</xdr:rowOff>
    </xdr:from>
    <xdr:to>
      <xdr:col>4</xdr:col>
      <xdr:colOff>1165543</xdr:colOff>
      <xdr:row>93</xdr:row>
      <xdr:rowOff>286945</xdr:rowOff>
    </xdr:to>
    <xdr:pic>
      <xdr:nvPicPr>
        <xdr:cNvPr id="215" name="Billede 214" descr="Dannebrog">
          <a:extLst>
            <a:ext uri="{FF2B5EF4-FFF2-40B4-BE49-F238E27FC236}">
              <a16:creationId xmlns:a16="http://schemas.microsoft.com/office/drawing/2014/main" id="{BAC1E6EC-8E52-C586-2453-B6215A16E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910839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94</xdr:row>
      <xdr:rowOff>54426</xdr:rowOff>
    </xdr:from>
    <xdr:to>
      <xdr:col>4</xdr:col>
      <xdr:colOff>1165543</xdr:colOff>
      <xdr:row>94</xdr:row>
      <xdr:rowOff>286944</xdr:rowOff>
    </xdr:to>
    <xdr:pic>
      <xdr:nvPicPr>
        <xdr:cNvPr id="216" name="Billede 215" descr="Dannebrog">
          <a:extLst>
            <a:ext uri="{FF2B5EF4-FFF2-40B4-BE49-F238E27FC236}">
              <a16:creationId xmlns:a16="http://schemas.microsoft.com/office/drawing/2014/main" id="{9340AFE9-4DD8-79E7-33BF-32E668AD2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942408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95</xdr:row>
      <xdr:rowOff>54425</xdr:rowOff>
    </xdr:from>
    <xdr:to>
      <xdr:col>4</xdr:col>
      <xdr:colOff>1165543</xdr:colOff>
      <xdr:row>95</xdr:row>
      <xdr:rowOff>286943</xdr:rowOff>
    </xdr:to>
    <xdr:pic>
      <xdr:nvPicPr>
        <xdr:cNvPr id="217" name="Billede 216" descr="Dannebrog">
          <a:extLst>
            <a:ext uri="{FF2B5EF4-FFF2-40B4-BE49-F238E27FC236}">
              <a16:creationId xmlns:a16="http://schemas.microsoft.com/office/drawing/2014/main" id="{37660E4A-7066-BB05-75D8-48AB2E3D9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2973976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96</xdr:row>
      <xdr:rowOff>43539</xdr:rowOff>
    </xdr:from>
    <xdr:to>
      <xdr:col>4</xdr:col>
      <xdr:colOff>1165543</xdr:colOff>
      <xdr:row>96</xdr:row>
      <xdr:rowOff>276057</xdr:rowOff>
    </xdr:to>
    <xdr:pic>
      <xdr:nvPicPr>
        <xdr:cNvPr id="218" name="Billede 217" descr="Dannebrog">
          <a:extLst>
            <a:ext uri="{FF2B5EF4-FFF2-40B4-BE49-F238E27FC236}">
              <a16:creationId xmlns:a16="http://schemas.microsoft.com/office/drawing/2014/main" id="{6C9D3B92-F019-A732-46E3-59F73A947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004456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97</xdr:row>
      <xdr:rowOff>43540</xdr:rowOff>
    </xdr:from>
    <xdr:to>
      <xdr:col>4</xdr:col>
      <xdr:colOff>1165543</xdr:colOff>
      <xdr:row>97</xdr:row>
      <xdr:rowOff>276058</xdr:rowOff>
    </xdr:to>
    <xdr:pic>
      <xdr:nvPicPr>
        <xdr:cNvPr id="219" name="Billede 218" descr="Dannebrog">
          <a:extLst>
            <a:ext uri="{FF2B5EF4-FFF2-40B4-BE49-F238E27FC236}">
              <a16:creationId xmlns:a16="http://schemas.microsoft.com/office/drawing/2014/main" id="{4B00A74C-A16B-4869-17BA-74554D145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0360254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98</xdr:row>
      <xdr:rowOff>54425</xdr:rowOff>
    </xdr:from>
    <xdr:to>
      <xdr:col>4</xdr:col>
      <xdr:colOff>1165543</xdr:colOff>
      <xdr:row>98</xdr:row>
      <xdr:rowOff>286943</xdr:rowOff>
    </xdr:to>
    <xdr:pic>
      <xdr:nvPicPr>
        <xdr:cNvPr id="220" name="Billede 219" descr="Dannebrog">
          <a:extLst>
            <a:ext uri="{FF2B5EF4-FFF2-40B4-BE49-F238E27FC236}">
              <a16:creationId xmlns:a16="http://schemas.microsoft.com/office/drawing/2014/main" id="{4B87DACF-3808-5AA8-192E-3C9523D498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068682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99</xdr:row>
      <xdr:rowOff>54424</xdr:rowOff>
    </xdr:from>
    <xdr:to>
      <xdr:col>4</xdr:col>
      <xdr:colOff>1165543</xdr:colOff>
      <xdr:row>99</xdr:row>
      <xdr:rowOff>286942</xdr:rowOff>
    </xdr:to>
    <xdr:pic>
      <xdr:nvPicPr>
        <xdr:cNvPr id="221" name="Billede 220" descr="Dannebrog">
          <a:extLst>
            <a:ext uri="{FF2B5EF4-FFF2-40B4-BE49-F238E27FC236}">
              <a16:creationId xmlns:a16="http://schemas.microsoft.com/office/drawing/2014/main" id="{557E9319-4888-F0A3-13F8-D77E69F84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100251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100</xdr:row>
      <xdr:rowOff>54427</xdr:rowOff>
    </xdr:from>
    <xdr:to>
      <xdr:col>4</xdr:col>
      <xdr:colOff>1165543</xdr:colOff>
      <xdr:row>100</xdr:row>
      <xdr:rowOff>286945</xdr:rowOff>
    </xdr:to>
    <xdr:pic>
      <xdr:nvPicPr>
        <xdr:cNvPr id="222" name="Billede 221" descr="Dannebrog">
          <a:extLst>
            <a:ext uri="{FF2B5EF4-FFF2-40B4-BE49-F238E27FC236}">
              <a16:creationId xmlns:a16="http://schemas.microsoft.com/office/drawing/2014/main" id="{382D3CB0-DA63-A5E2-93A0-6B388F253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131819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101</xdr:row>
      <xdr:rowOff>43541</xdr:rowOff>
    </xdr:from>
    <xdr:to>
      <xdr:col>4</xdr:col>
      <xdr:colOff>1165543</xdr:colOff>
      <xdr:row>101</xdr:row>
      <xdr:rowOff>276059</xdr:rowOff>
    </xdr:to>
    <xdr:pic>
      <xdr:nvPicPr>
        <xdr:cNvPr id="223" name="Billede 222" descr="Dannebrog">
          <a:extLst>
            <a:ext uri="{FF2B5EF4-FFF2-40B4-BE49-F238E27FC236}">
              <a16:creationId xmlns:a16="http://schemas.microsoft.com/office/drawing/2014/main" id="{E6CCFA86-99B6-2771-63D9-AE7DBA93E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162299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102</xdr:row>
      <xdr:rowOff>54426</xdr:rowOff>
    </xdr:from>
    <xdr:to>
      <xdr:col>4</xdr:col>
      <xdr:colOff>1165543</xdr:colOff>
      <xdr:row>102</xdr:row>
      <xdr:rowOff>286944</xdr:rowOff>
    </xdr:to>
    <xdr:pic>
      <xdr:nvPicPr>
        <xdr:cNvPr id="224" name="Billede 223" descr="Dannebrog">
          <a:extLst>
            <a:ext uri="{FF2B5EF4-FFF2-40B4-BE49-F238E27FC236}">
              <a16:creationId xmlns:a16="http://schemas.microsoft.com/office/drawing/2014/main" id="{D34933AF-6E40-0693-B893-04450B28F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19495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103</xdr:row>
      <xdr:rowOff>54425</xdr:rowOff>
    </xdr:from>
    <xdr:to>
      <xdr:col>4</xdr:col>
      <xdr:colOff>1165543</xdr:colOff>
      <xdr:row>103</xdr:row>
      <xdr:rowOff>286943</xdr:rowOff>
    </xdr:to>
    <xdr:pic>
      <xdr:nvPicPr>
        <xdr:cNvPr id="225" name="Billede 224" descr="Dannebrog">
          <a:extLst>
            <a:ext uri="{FF2B5EF4-FFF2-40B4-BE49-F238E27FC236}">
              <a16:creationId xmlns:a16="http://schemas.microsoft.com/office/drawing/2014/main" id="{C9902420-C245-F351-2C21-5A9DDD1A6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2265254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104</xdr:row>
      <xdr:rowOff>54425</xdr:rowOff>
    </xdr:from>
    <xdr:to>
      <xdr:col>4</xdr:col>
      <xdr:colOff>1165543</xdr:colOff>
      <xdr:row>104</xdr:row>
      <xdr:rowOff>286943</xdr:rowOff>
    </xdr:to>
    <xdr:pic>
      <xdr:nvPicPr>
        <xdr:cNvPr id="226" name="Billede 225" descr="Dannebrog">
          <a:extLst>
            <a:ext uri="{FF2B5EF4-FFF2-40B4-BE49-F238E27FC236}">
              <a16:creationId xmlns:a16="http://schemas.microsoft.com/office/drawing/2014/main" id="{F8526E8E-2701-F07B-3F4F-5B5BAC1E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258093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105</xdr:row>
      <xdr:rowOff>43539</xdr:rowOff>
    </xdr:from>
    <xdr:to>
      <xdr:col>4</xdr:col>
      <xdr:colOff>1165543</xdr:colOff>
      <xdr:row>105</xdr:row>
      <xdr:rowOff>276057</xdr:rowOff>
    </xdr:to>
    <xdr:pic>
      <xdr:nvPicPr>
        <xdr:cNvPr id="227" name="Billede 226" descr="Dannebrog">
          <a:extLst>
            <a:ext uri="{FF2B5EF4-FFF2-40B4-BE49-F238E27FC236}">
              <a16:creationId xmlns:a16="http://schemas.microsoft.com/office/drawing/2014/main" id="{3E11B780-589C-B2E5-C366-2F5DE46CC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288573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106</xdr:row>
      <xdr:rowOff>43539</xdr:rowOff>
    </xdr:from>
    <xdr:to>
      <xdr:col>4</xdr:col>
      <xdr:colOff>1165543</xdr:colOff>
      <xdr:row>106</xdr:row>
      <xdr:rowOff>276057</xdr:rowOff>
    </xdr:to>
    <xdr:pic>
      <xdr:nvPicPr>
        <xdr:cNvPr id="228" name="Billede 227" descr="Dannebrog">
          <a:extLst>
            <a:ext uri="{FF2B5EF4-FFF2-40B4-BE49-F238E27FC236}">
              <a16:creationId xmlns:a16="http://schemas.microsoft.com/office/drawing/2014/main" id="{E0102201-C6DC-58F9-E358-F4DCD4507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320142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107</xdr:row>
      <xdr:rowOff>54425</xdr:rowOff>
    </xdr:from>
    <xdr:to>
      <xdr:col>4</xdr:col>
      <xdr:colOff>1165543</xdr:colOff>
      <xdr:row>107</xdr:row>
      <xdr:rowOff>286943</xdr:rowOff>
    </xdr:to>
    <xdr:pic>
      <xdr:nvPicPr>
        <xdr:cNvPr id="229" name="Billede 228" descr="Dannebrog">
          <a:extLst>
            <a:ext uri="{FF2B5EF4-FFF2-40B4-BE49-F238E27FC236}">
              <a16:creationId xmlns:a16="http://schemas.microsoft.com/office/drawing/2014/main" id="{2A5B91BB-1C14-FB5D-E81A-B711DC753C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352799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108</xdr:row>
      <xdr:rowOff>54424</xdr:rowOff>
    </xdr:from>
    <xdr:to>
      <xdr:col>4</xdr:col>
      <xdr:colOff>1165543</xdr:colOff>
      <xdr:row>108</xdr:row>
      <xdr:rowOff>286942</xdr:rowOff>
    </xdr:to>
    <xdr:pic>
      <xdr:nvPicPr>
        <xdr:cNvPr id="230" name="Billede 229" descr="Dannebrog">
          <a:extLst>
            <a:ext uri="{FF2B5EF4-FFF2-40B4-BE49-F238E27FC236}">
              <a16:creationId xmlns:a16="http://schemas.microsoft.com/office/drawing/2014/main" id="{6AE6CD17-8B27-25B0-6319-D4395C59A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384368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109</xdr:row>
      <xdr:rowOff>54426</xdr:rowOff>
    </xdr:from>
    <xdr:to>
      <xdr:col>4</xdr:col>
      <xdr:colOff>1165543</xdr:colOff>
      <xdr:row>109</xdr:row>
      <xdr:rowOff>286944</xdr:rowOff>
    </xdr:to>
    <xdr:pic>
      <xdr:nvPicPr>
        <xdr:cNvPr id="231" name="Billede 230" descr="Dannebrog">
          <a:extLst>
            <a:ext uri="{FF2B5EF4-FFF2-40B4-BE49-F238E27FC236}">
              <a16:creationId xmlns:a16="http://schemas.microsoft.com/office/drawing/2014/main" id="{855496B9-EE47-330F-7799-885A43B9A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4159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110</xdr:row>
      <xdr:rowOff>65311</xdr:rowOff>
    </xdr:from>
    <xdr:to>
      <xdr:col>4</xdr:col>
      <xdr:colOff>1165543</xdr:colOff>
      <xdr:row>110</xdr:row>
      <xdr:rowOff>297829</xdr:rowOff>
    </xdr:to>
    <xdr:pic>
      <xdr:nvPicPr>
        <xdr:cNvPr id="232" name="Billede 231" descr="Dannebrog">
          <a:extLst>
            <a:ext uri="{FF2B5EF4-FFF2-40B4-BE49-F238E27FC236}">
              <a16:creationId xmlns:a16="http://schemas.microsoft.com/office/drawing/2014/main" id="{9CEBFBA8-11E0-DC5E-333D-7D074EA1C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448594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111</xdr:row>
      <xdr:rowOff>65311</xdr:rowOff>
    </xdr:from>
    <xdr:to>
      <xdr:col>4</xdr:col>
      <xdr:colOff>1165543</xdr:colOff>
      <xdr:row>111</xdr:row>
      <xdr:rowOff>297829</xdr:rowOff>
    </xdr:to>
    <xdr:pic>
      <xdr:nvPicPr>
        <xdr:cNvPr id="233" name="Billede 232" descr="Dannebrog">
          <a:extLst>
            <a:ext uri="{FF2B5EF4-FFF2-40B4-BE49-F238E27FC236}">
              <a16:creationId xmlns:a16="http://schemas.microsoft.com/office/drawing/2014/main" id="{2FBC0BDB-87E7-4E54-C201-466F173E6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480162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112</xdr:row>
      <xdr:rowOff>65310</xdr:rowOff>
    </xdr:from>
    <xdr:to>
      <xdr:col>4</xdr:col>
      <xdr:colOff>1165543</xdr:colOff>
      <xdr:row>112</xdr:row>
      <xdr:rowOff>297828</xdr:rowOff>
    </xdr:to>
    <xdr:pic>
      <xdr:nvPicPr>
        <xdr:cNvPr id="234" name="Billede 233" descr="Dannebrog">
          <a:extLst>
            <a:ext uri="{FF2B5EF4-FFF2-40B4-BE49-F238E27FC236}">
              <a16:creationId xmlns:a16="http://schemas.microsoft.com/office/drawing/2014/main" id="{6B90FBAE-215B-36D2-AED9-0E1905C9A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511731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113</xdr:row>
      <xdr:rowOff>54424</xdr:rowOff>
    </xdr:from>
    <xdr:to>
      <xdr:col>4</xdr:col>
      <xdr:colOff>1165543</xdr:colOff>
      <xdr:row>113</xdr:row>
      <xdr:rowOff>286942</xdr:rowOff>
    </xdr:to>
    <xdr:pic>
      <xdr:nvPicPr>
        <xdr:cNvPr id="235" name="Billede 234" descr="Dannebrog">
          <a:extLst>
            <a:ext uri="{FF2B5EF4-FFF2-40B4-BE49-F238E27FC236}">
              <a16:creationId xmlns:a16="http://schemas.microsoft.com/office/drawing/2014/main" id="{7C353E11-EB88-A3F4-A461-7D1B0E638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542211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114</xdr:row>
      <xdr:rowOff>54425</xdr:rowOff>
    </xdr:from>
    <xdr:to>
      <xdr:col>4</xdr:col>
      <xdr:colOff>1165543</xdr:colOff>
      <xdr:row>114</xdr:row>
      <xdr:rowOff>286943</xdr:rowOff>
    </xdr:to>
    <xdr:pic>
      <xdr:nvPicPr>
        <xdr:cNvPr id="236" name="Billede 235" descr="Dannebrog">
          <a:extLst>
            <a:ext uri="{FF2B5EF4-FFF2-40B4-BE49-F238E27FC236}">
              <a16:creationId xmlns:a16="http://schemas.microsoft.com/office/drawing/2014/main" id="{08BD82C8-7259-A431-A25C-C5CC003CB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573779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115</xdr:row>
      <xdr:rowOff>65310</xdr:rowOff>
    </xdr:from>
    <xdr:to>
      <xdr:col>4</xdr:col>
      <xdr:colOff>1165543</xdr:colOff>
      <xdr:row>115</xdr:row>
      <xdr:rowOff>297828</xdr:rowOff>
    </xdr:to>
    <xdr:pic>
      <xdr:nvPicPr>
        <xdr:cNvPr id="237" name="Billede 236" descr="Dannebrog">
          <a:extLst>
            <a:ext uri="{FF2B5EF4-FFF2-40B4-BE49-F238E27FC236}">
              <a16:creationId xmlns:a16="http://schemas.microsoft.com/office/drawing/2014/main" id="{182CA90A-D31B-5578-778E-2B70DB6D6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606436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116</xdr:row>
      <xdr:rowOff>65309</xdr:rowOff>
    </xdr:from>
    <xdr:to>
      <xdr:col>4</xdr:col>
      <xdr:colOff>1165543</xdr:colOff>
      <xdr:row>116</xdr:row>
      <xdr:rowOff>297827</xdr:rowOff>
    </xdr:to>
    <xdr:pic>
      <xdr:nvPicPr>
        <xdr:cNvPr id="238" name="Billede 237" descr="Dannebrog">
          <a:extLst>
            <a:ext uri="{FF2B5EF4-FFF2-40B4-BE49-F238E27FC236}">
              <a16:creationId xmlns:a16="http://schemas.microsoft.com/office/drawing/2014/main" id="{1900D0AC-2136-020D-C5D0-D32666FA5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638005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117</xdr:row>
      <xdr:rowOff>43540</xdr:rowOff>
    </xdr:from>
    <xdr:to>
      <xdr:col>4</xdr:col>
      <xdr:colOff>1165543</xdr:colOff>
      <xdr:row>117</xdr:row>
      <xdr:rowOff>276058</xdr:rowOff>
    </xdr:to>
    <xdr:pic>
      <xdr:nvPicPr>
        <xdr:cNvPr id="239" name="Billede 238" descr="Dannebrog">
          <a:extLst>
            <a:ext uri="{FF2B5EF4-FFF2-40B4-BE49-F238E27FC236}">
              <a16:creationId xmlns:a16="http://schemas.microsoft.com/office/drawing/2014/main" id="{03079269-373D-E709-88B7-F0DF3DC88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66739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118</xdr:row>
      <xdr:rowOff>54426</xdr:rowOff>
    </xdr:from>
    <xdr:to>
      <xdr:col>4</xdr:col>
      <xdr:colOff>1165543</xdr:colOff>
      <xdr:row>118</xdr:row>
      <xdr:rowOff>286944</xdr:rowOff>
    </xdr:to>
    <xdr:pic>
      <xdr:nvPicPr>
        <xdr:cNvPr id="240" name="Billede 239" descr="Dannebrog">
          <a:extLst>
            <a:ext uri="{FF2B5EF4-FFF2-40B4-BE49-F238E27FC236}">
              <a16:creationId xmlns:a16="http://schemas.microsoft.com/office/drawing/2014/main" id="{79F82699-5568-8CF7-A0FE-D560A0DCB9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700054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119</xdr:row>
      <xdr:rowOff>54425</xdr:rowOff>
    </xdr:from>
    <xdr:to>
      <xdr:col>4</xdr:col>
      <xdr:colOff>1165543</xdr:colOff>
      <xdr:row>119</xdr:row>
      <xdr:rowOff>286943</xdr:rowOff>
    </xdr:to>
    <xdr:pic>
      <xdr:nvPicPr>
        <xdr:cNvPr id="241" name="Billede 240" descr="Dannebrog">
          <a:extLst>
            <a:ext uri="{FF2B5EF4-FFF2-40B4-BE49-F238E27FC236}">
              <a16:creationId xmlns:a16="http://schemas.microsoft.com/office/drawing/2014/main" id="{FBC31A4B-33BB-21D6-D7C1-2D4A067A3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731622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120</xdr:row>
      <xdr:rowOff>54424</xdr:rowOff>
    </xdr:from>
    <xdr:to>
      <xdr:col>4</xdr:col>
      <xdr:colOff>1165543</xdr:colOff>
      <xdr:row>120</xdr:row>
      <xdr:rowOff>286942</xdr:rowOff>
    </xdr:to>
    <xdr:pic>
      <xdr:nvPicPr>
        <xdr:cNvPr id="242" name="Billede 241" descr="Dannebrog">
          <a:extLst>
            <a:ext uri="{FF2B5EF4-FFF2-40B4-BE49-F238E27FC236}">
              <a16:creationId xmlns:a16="http://schemas.microsoft.com/office/drawing/2014/main" id="{EFBFAE3B-A8EC-26DA-E48F-1FAD7817F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763191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121</xdr:row>
      <xdr:rowOff>43539</xdr:rowOff>
    </xdr:from>
    <xdr:to>
      <xdr:col>4</xdr:col>
      <xdr:colOff>1165543</xdr:colOff>
      <xdr:row>121</xdr:row>
      <xdr:rowOff>276057</xdr:rowOff>
    </xdr:to>
    <xdr:pic>
      <xdr:nvPicPr>
        <xdr:cNvPr id="243" name="Billede 242" descr="Dannebrog">
          <a:extLst>
            <a:ext uri="{FF2B5EF4-FFF2-40B4-BE49-F238E27FC236}">
              <a16:creationId xmlns:a16="http://schemas.microsoft.com/office/drawing/2014/main" id="{D3315408-462C-2272-4B08-7BA42D156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793671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122</xdr:row>
      <xdr:rowOff>43539</xdr:rowOff>
    </xdr:from>
    <xdr:to>
      <xdr:col>4</xdr:col>
      <xdr:colOff>1165543</xdr:colOff>
      <xdr:row>122</xdr:row>
      <xdr:rowOff>276057</xdr:rowOff>
    </xdr:to>
    <xdr:pic>
      <xdr:nvPicPr>
        <xdr:cNvPr id="244" name="Billede 243" descr="Dannebrog">
          <a:extLst>
            <a:ext uri="{FF2B5EF4-FFF2-40B4-BE49-F238E27FC236}">
              <a16:creationId xmlns:a16="http://schemas.microsoft.com/office/drawing/2014/main" id="{2A9999F6-6945-2BD0-78C6-0D8ED0631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825239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123</xdr:row>
      <xdr:rowOff>54424</xdr:rowOff>
    </xdr:from>
    <xdr:to>
      <xdr:col>4</xdr:col>
      <xdr:colOff>1165543</xdr:colOff>
      <xdr:row>123</xdr:row>
      <xdr:rowOff>286942</xdr:rowOff>
    </xdr:to>
    <xdr:pic>
      <xdr:nvPicPr>
        <xdr:cNvPr id="245" name="Billede 244" descr="Dannebrog">
          <a:extLst>
            <a:ext uri="{FF2B5EF4-FFF2-40B4-BE49-F238E27FC236}">
              <a16:creationId xmlns:a16="http://schemas.microsoft.com/office/drawing/2014/main" id="{A9478081-8723-90C6-1816-8A95CFF34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857896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124</xdr:row>
      <xdr:rowOff>54423</xdr:rowOff>
    </xdr:from>
    <xdr:to>
      <xdr:col>4</xdr:col>
      <xdr:colOff>1165543</xdr:colOff>
      <xdr:row>124</xdr:row>
      <xdr:rowOff>286941</xdr:rowOff>
    </xdr:to>
    <xdr:pic>
      <xdr:nvPicPr>
        <xdr:cNvPr id="246" name="Billede 245" descr="Dannebrog">
          <a:extLst>
            <a:ext uri="{FF2B5EF4-FFF2-40B4-BE49-F238E27FC236}">
              <a16:creationId xmlns:a16="http://schemas.microsoft.com/office/drawing/2014/main" id="{E7242A0D-3F8E-1DBB-F6D1-92093F47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889465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125</xdr:row>
      <xdr:rowOff>43539</xdr:rowOff>
    </xdr:from>
    <xdr:to>
      <xdr:col>4</xdr:col>
      <xdr:colOff>1165543</xdr:colOff>
      <xdr:row>125</xdr:row>
      <xdr:rowOff>276057</xdr:rowOff>
    </xdr:to>
    <xdr:pic>
      <xdr:nvPicPr>
        <xdr:cNvPr id="247" name="Billede 246" descr="Dannebrog">
          <a:extLst>
            <a:ext uri="{FF2B5EF4-FFF2-40B4-BE49-F238E27FC236}">
              <a16:creationId xmlns:a16="http://schemas.microsoft.com/office/drawing/2014/main" id="{5CDF91A4-85E4-611C-A862-0E7AE8558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919945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126</xdr:row>
      <xdr:rowOff>32653</xdr:rowOff>
    </xdr:from>
    <xdr:to>
      <xdr:col>4</xdr:col>
      <xdr:colOff>1165543</xdr:colOff>
      <xdr:row>126</xdr:row>
      <xdr:rowOff>265171</xdr:rowOff>
    </xdr:to>
    <xdr:pic>
      <xdr:nvPicPr>
        <xdr:cNvPr id="248" name="Billede 247" descr="Dannebrog">
          <a:extLst>
            <a:ext uri="{FF2B5EF4-FFF2-40B4-BE49-F238E27FC236}">
              <a16:creationId xmlns:a16="http://schemas.microsoft.com/office/drawing/2014/main" id="{7F24B095-66F3-C65A-9803-6C71B575C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950425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127</xdr:row>
      <xdr:rowOff>32653</xdr:rowOff>
    </xdr:from>
    <xdr:to>
      <xdr:col>4</xdr:col>
      <xdr:colOff>1165543</xdr:colOff>
      <xdr:row>127</xdr:row>
      <xdr:rowOff>265171</xdr:rowOff>
    </xdr:to>
    <xdr:pic>
      <xdr:nvPicPr>
        <xdr:cNvPr id="249" name="Billede 248" descr="Dannebrog">
          <a:extLst>
            <a:ext uri="{FF2B5EF4-FFF2-40B4-BE49-F238E27FC236}">
              <a16:creationId xmlns:a16="http://schemas.microsoft.com/office/drawing/2014/main" id="{AA887456-2B2A-0BAB-99B4-B6513E8AD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3981993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128</xdr:row>
      <xdr:rowOff>43539</xdr:rowOff>
    </xdr:from>
    <xdr:to>
      <xdr:col>4</xdr:col>
      <xdr:colOff>1165543</xdr:colOff>
      <xdr:row>128</xdr:row>
      <xdr:rowOff>276057</xdr:rowOff>
    </xdr:to>
    <xdr:pic>
      <xdr:nvPicPr>
        <xdr:cNvPr id="250" name="Billede 249" descr="Dannebrog">
          <a:extLst>
            <a:ext uri="{FF2B5EF4-FFF2-40B4-BE49-F238E27FC236}">
              <a16:creationId xmlns:a16="http://schemas.microsoft.com/office/drawing/2014/main" id="{EB6BE10B-8E6C-9B5A-03AD-98917DFCB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014651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129</xdr:row>
      <xdr:rowOff>43538</xdr:rowOff>
    </xdr:from>
    <xdr:to>
      <xdr:col>4</xdr:col>
      <xdr:colOff>1165543</xdr:colOff>
      <xdr:row>129</xdr:row>
      <xdr:rowOff>276056</xdr:rowOff>
    </xdr:to>
    <xdr:pic>
      <xdr:nvPicPr>
        <xdr:cNvPr id="251" name="Billede 250" descr="Dannebrog">
          <a:extLst>
            <a:ext uri="{FF2B5EF4-FFF2-40B4-BE49-F238E27FC236}">
              <a16:creationId xmlns:a16="http://schemas.microsoft.com/office/drawing/2014/main" id="{83B07F0B-AEF2-1592-D963-16B1AB04F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046219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130</xdr:row>
      <xdr:rowOff>54425</xdr:rowOff>
    </xdr:from>
    <xdr:to>
      <xdr:col>4</xdr:col>
      <xdr:colOff>1165543</xdr:colOff>
      <xdr:row>130</xdr:row>
      <xdr:rowOff>286943</xdr:rowOff>
    </xdr:to>
    <xdr:pic>
      <xdr:nvPicPr>
        <xdr:cNvPr id="252" name="Billede 251" descr="Dannebrog">
          <a:extLst>
            <a:ext uri="{FF2B5EF4-FFF2-40B4-BE49-F238E27FC236}">
              <a16:creationId xmlns:a16="http://schemas.microsoft.com/office/drawing/2014/main" id="{4731F685-2D10-D01A-5400-8316F8BC2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078876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131</xdr:row>
      <xdr:rowOff>43539</xdr:rowOff>
    </xdr:from>
    <xdr:to>
      <xdr:col>4</xdr:col>
      <xdr:colOff>1165543</xdr:colOff>
      <xdr:row>131</xdr:row>
      <xdr:rowOff>276057</xdr:rowOff>
    </xdr:to>
    <xdr:pic>
      <xdr:nvPicPr>
        <xdr:cNvPr id="253" name="Billede 252" descr="Dannebrog">
          <a:extLst>
            <a:ext uri="{FF2B5EF4-FFF2-40B4-BE49-F238E27FC236}">
              <a16:creationId xmlns:a16="http://schemas.microsoft.com/office/drawing/2014/main" id="{5BE928CE-828C-F707-77A0-1FB47C4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1093568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132</xdr:row>
      <xdr:rowOff>43540</xdr:rowOff>
    </xdr:from>
    <xdr:to>
      <xdr:col>4</xdr:col>
      <xdr:colOff>1165543</xdr:colOff>
      <xdr:row>132</xdr:row>
      <xdr:rowOff>276058</xdr:rowOff>
    </xdr:to>
    <xdr:pic>
      <xdr:nvPicPr>
        <xdr:cNvPr id="254" name="Billede 253" descr="Dannebrog">
          <a:extLst>
            <a:ext uri="{FF2B5EF4-FFF2-40B4-BE49-F238E27FC236}">
              <a16:creationId xmlns:a16="http://schemas.microsoft.com/office/drawing/2014/main" id="{7D1B02C3-AFB2-0941-AB98-E17F71893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1409254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133</xdr:row>
      <xdr:rowOff>54425</xdr:rowOff>
    </xdr:from>
    <xdr:to>
      <xdr:col>4</xdr:col>
      <xdr:colOff>1165543</xdr:colOff>
      <xdr:row>133</xdr:row>
      <xdr:rowOff>286943</xdr:rowOff>
    </xdr:to>
    <xdr:pic>
      <xdr:nvPicPr>
        <xdr:cNvPr id="255" name="Billede 254" descr="Dannebrog">
          <a:extLst>
            <a:ext uri="{FF2B5EF4-FFF2-40B4-BE49-F238E27FC236}">
              <a16:creationId xmlns:a16="http://schemas.microsoft.com/office/drawing/2014/main" id="{D64D065B-CE4F-CA17-85E7-682AB664D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173582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134</xdr:row>
      <xdr:rowOff>54424</xdr:rowOff>
    </xdr:from>
    <xdr:to>
      <xdr:col>4</xdr:col>
      <xdr:colOff>1165543</xdr:colOff>
      <xdr:row>134</xdr:row>
      <xdr:rowOff>286942</xdr:rowOff>
    </xdr:to>
    <xdr:pic>
      <xdr:nvPicPr>
        <xdr:cNvPr id="256" name="Billede 255" descr="Dannebrog">
          <a:extLst>
            <a:ext uri="{FF2B5EF4-FFF2-40B4-BE49-F238E27FC236}">
              <a16:creationId xmlns:a16="http://schemas.microsoft.com/office/drawing/2014/main" id="{2DCB7499-9F3B-4656-F1C6-1B081D6C1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205151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135</xdr:row>
      <xdr:rowOff>54426</xdr:rowOff>
    </xdr:from>
    <xdr:to>
      <xdr:col>4</xdr:col>
      <xdr:colOff>1165543</xdr:colOff>
      <xdr:row>135</xdr:row>
      <xdr:rowOff>286944</xdr:rowOff>
    </xdr:to>
    <xdr:pic>
      <xdr:nvPicPr>
        <xdr:cNvPr id="257" name="Billede 256" descr="Dannebrog">
          <a:extLst>
            <a:ext uri="{FF2B5EF4-FFF2-40B4-BE49-F238E27FC236}">
              <a16:creationId xmlns:a16="http://schemas.microsoft.com/office/drawing/2014/main" id="{9A7FC87B-9F64-7D12-FBCD-3D25241D7E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236719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136</xdr:row>
      <xdr:rowOff>43540</xdr:rowOff>
    </xdr:from>
    <xdr:to>
      <xdr:col>4</xdr:col>
      <xdr:colOff>1165543</xdr:colOff>
      <xdr:row>136</xdr:row>
      <xdr:rowOff>276058</xdr:rowOff>
    </xdr:to>
    <xdr:pic>
      <xdr:nvPicPr>
        <xdr:cNvPr id="258" name="Billede 257" descr="Dannebrog">
          <a:extLst>
            <a:ext uri="{FF2B5EF4-FFF2-40B4-BE49-F238E27FC236}">
              <a16:creationId xmlns:a16="http://schemas.microsoft.com/office/drawing/2014/main" id="{6F0ECD83-F1B6-6151-156F-DB08AF7F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267199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137</xdr:row>
      <xdr:rowOff>43540</xdr:rowOff>
    </xdr:from>
    <xdr:to>
      <xdr:col>4</xdr:col>
      <xdr:colOff>1165543</xdr:colOff>
      <xdr:row>137</xdr:row>
      <xdr:rowOff>276058</xdr:rowOff>
    </xdr:to>
    <xdr:pic>
      <xdr:nvPicPr>
        <xdr:cNvPr id="259" name="Billede 258" descr="Dannebrog">
          <a:extLst>
            <a:ext uri="{FF2B5EF4-FFF2-40B4-BE49-F238E27FC236}">
              <a16:creationId xmlns:a16="http://schemas.microsoft.com/office/drawing/2014/main" id="{ECC94219-8477-9D1A-3ACC-AC36997D7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298768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138</xdr:row>
      <xdr:rowOff>54425</xdr:rowOff>
    </xdr:from>
    <xdr:to>
      <xdr:col>4</xdr:col>
      <xdr:colOff>1165543</xdr:colOff>
      <xdr:row>138</xdr:row>
      <xdr:rowOff>286943</xdr:rowOff>
    </xdr:to>
    <xdr:pic>
      <xdr:nvPicPr>
        <xdr:cNvPr id="260" name="Billede 259" descr="Dannebrog">
          <a:extLst>
            <a:ext uri="{FF2B5EF4-FFF2-40B4-BE49-F238E27FC236}">
              <a16:creationId xmlns:a16="http://schemas.microsoft.com/office/drawing/2014/main" id="{63288F1C-13EF-6D1A-A603-C77301E41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3314254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139</xdr:row>
      <xdr:rowOff>54425</xdr:rowOff>
    </xdr:from>
    <xdr:to>
      <xdr:col>4</xdr:col>
      <xdr:colOff>1165543</xdr:colOff>
      <xdr:row>139</xdr:row>
      <xdr:rowOff>286943</xdr:rowOff>
    </xdr:to>
    <xdr:pic>
      <xdr:nvPicPr>
        <xdr:cNvPr id="261" name="Billede 260" descr="Dannebrog">
          <a:extLst>
            <a:ext uri="{FF2B5EF4-FFF2-40B4-BE49-F238E27FC236}">
              <a16:creationId xmlns:a16="http://schemas.microsoft.com/office/drawing/2014/main" id="{7D98C0C6-3059-1A6F-E00F-E88669197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362993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140</xdr:row>
      <xdr:rowOff>54425</xdr:rowOff>
    </xdr:from>
    <xdr:to>
      <xdr:col>4</xdr:col>
      <xdr:colOff>1165543</xdr:colOff>
      <xdr:row>140</xdr:row>
      <xdr:rowOff>286943</xdr:rowOff>
    </xdr:to>
    <xdr:pic>
      <xdr:nvPicPr>
        <xdr:cNvPr id="262" name="Billede 261" descr="Dannebrog">
          <a:extLst>
            <a:ext uri="{FF2B5EF4-FFF2-40B4-BE49-F238E27FC236}">
              <a16:creationId xmlns:a16="http://schemas.microsoft.com/office/drawing/2014/main" id="{497A32D3-763E-95ED-7834-504AF466B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394562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141</xdr:row>
      <xdr:rowOff>43539</xdr:rowOff>
    </xdr:from>
    <xdr:to>
      <xdr:col>4</xdr:col>
      <xdr:colOff>1165543</xdr:colOff>
      <xdr:row>141</xdr:row>
      <xdr:rowOff>276057</xdr:rowOff>
    </xdr:to>
    <xdr:pic>
      <xdr:nvPicPr>
        <xdr:cNvPr id="263" name="Billede 262" descr="Dannebrog">
          <a:extLst>
            <a:ext uri="{FF2B5EF4-FFF2-40B4-BE49-F238E27FC236}">
              <a16:creationId xmlns:a16="http://schemas.microsoft.com/office/drawing/2014/main" id="{5D88268D-3C60-5363-FEAA-E9054A51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425042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142</xdr:row>
      <xdr:rowOff>43540</xdr:rowOff>
    </xdr:from>
    <xdr:to>
      <xdr:col>4</xdr:col>
      <xdr:colOff>1165543</xdr:colOff>
      <xdr:row>142</xdr:row>
      <xdr:rowOff>276058</xdr:rowOff>
    </xdr:to>
    <xdr:pic>
      <xdr:nvPicPr>
        <xdr:cNvPr id="264" name="Billede 263" descr="Dannebrog">
          <a:extLst>
            <a:ext uri="{FF2B5EF4-FFF2-40B4-BE49-F238E27FC236}">
              <a16:creationId xmlns:a16="http://schemas.microsoft.com/office/drawing/2014/main" id="{5CBA2AE5-76B9-F961-5D64-0B22B0C32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456611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143</xdr:row>
      <xdr:rowOff>54425</xdr:rowOff>
    </xdr:from>
    <xdr:to>
      <xdr:col>4</xdr:col>
      <xdr:colOff>1165543</xdr:colOff>
      <xdr:row>143</xdr:row>
      <xdr:rowOff>286943</xdr:rowOff>
    </xdr:to>
    <xdr:pic>
      <xdr:nvPicPr>
        <xdr:cNvPr id="265" name="Billede 264" descr="Dannebrog">
          <a:extLst>
            <a:ext uri="{FF2B5EF4-FFF2-40B4-BE49-F238E27FC236}">
              <a16:creationId xmlns:a16="http://schemas.microsoft.com/office/drawing/2014/main" id="{FCA470C5-E7EA-4BF7-4865-2055DA54A9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4892682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144</xdr:row>
      <xdr:rowOff>54424</xdr:rowOff>
    </xdr:from>
    <xdr:to>
      <xdr:col>4</xdr:col>
      <xdr:colOff>1165543</xdr:colOff>
      <xdr:row>144</xdr:row>
      <xdr:rowOff>286942</xdr:rowOff>
    </xdr:to>
    <xdr:pic>
      <xdr:nvPicPr>
        <xdr:cNvPr id="266" name="Billede 265" descr="Dannebrog">
          <a:extLst>
            <a:ext uri="{FF2B5EF4-FFF2-40B4-BE49-F238E27FC236}">
              <a16:creationId xmlns:a16="http://schemas.microsoft.com/office/drawing/2014/main" id="{E4A13E68-A3E4-5B5D-6BB6-9F2434E64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5208367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145</xdr:row>
      <xdr:rowOff>54425</xdr:rowOff>
    </xdr:from>
    <xdr:to>
      <xdr:col>4</xdr:col>
      <xdr:colOff>1165543</xdr:colOff>
      <xdr:row>145</xdr:row>
      <xdr:rowOff>286943</xdr:rowOff>
    </xdr:to>
    <xdr:pic>
      <xdr:nvPicPr>
        <xdr:cNvPr id="267" name="Billede 266" descr="Dannebrog">
          <a:extLst>
            <a:ext uri="{FF2B5EF4-FFF2-40B4-BE49-F238E27FC236}">
              <a16:creationId xmlns:a16="http://schemas.microsoft.com/office/drawing/2014/main" id="{2965D2CC-467D-7CFD-F286-C90137A69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5524054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146</xdr:row>
      <xdr:rowOff>43540</xdr:rowOff>
    </xdr:from>
    <xdr:to>
      <xdr:col>4</xdr:col>
      <xdr:colOff>1165543</xdr:colOff>
      <xdr:row>146</xdr:row>
      <xdr:rowOff>276058</xdr:rowOff>
    </xdr:to>
    <xdr:pic>
      <xdr:nvPicPr>
        <xdr:cNvPr id="268" name="Billede 267" descr="Dannebrog">
          <a:extLst>
            <a:ext uri="{FF2B5EF4-FFF2-40B4-BE49-F238E27FC236}">
              <a16:creationId xmlns:a16="http://schemas.microsoft.com/office/drawing/2014/main" id="{B6086A7E-978E-CA78-B01D-9C14A3D7F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5828854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147</xdr:row>
      <xdr:rowOff>43540</xdr:rowOff>
    </xdr:from>
    <xdr:to>
      <xdr:col>4</xdr:col>
      <xdr:colOff>1165543</xdr:colOff>
      <xdr:row>147</xdr:row>
      <xdr:rowOff>276058</xdr:rowOff>
    </xdr:to>
    <xdr:pic>
      <xdr:nvPicPr>
        <xdr:cNvPr id="269" name="Billede 268" descr="Dannebrog">
          <a:extLst>
            <a:ext uri="{FF2B5EF4-FFF2-40B4-BE49-F238E27FC236}">
              <a16:creationId xmlns:a16="http://schemas.microsoft.com/office/drawing/2014/main" id="{E20FD095-B853-6775-4DF4-22372EAAD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614454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148</xdr:row>
      <xdr:rowOff>54425</xdr:rowOff>
    </xdr:from>
    <xdr:to>
      <xdr:col>4</xdr:col>
      <xdr:colOff>1165543</xdr:colOff>
      <xdr:row>148</xdr:row>
      <xdr:rowOff>286943</xdr:rowOff>
    </xdr:to>
    <xdr:pic>
      <xdr:nvPicPr>
        <xdr:cNvPr id="270" name="Billede 269" descr="Dannebrog">
          <a:extLst>
            <a:ext uri="{FF2B5EF4-FFF2-40B4-BE49-F238E27FC236}">
              <a16:creationId xmlns:a16="http://schemas.microsoft.com/office/drawing/2014/main" id="{E7305E3E-AD5B-0BAD-EF79-FE7DC961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647111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149</xdr:row>
      <xdr:rowOff>54425</xdr:rowOff>
    </xdr:from>
    <xdr:to>
      <xdr:col>4</xdr:col>
      <xdr:colOff>1165543</xdr:colOff>
      <xdr:row>149</xdr:row>
      <xdr:rowOff>286943</xdr:rowOff>
    </xdr:to>
    <xdr:pic>
      <xdr:nvPicPr>
        <xdr:cNvPr id="271" name="Billede 270" descr="Dannebrog">
          <a:extLst>
            <a:ext uri="{FF2B5EF4-FFF2-40B4-BE49-F238E27FC236}">
              <a16:creationId xmlns:a16="http://schemas.microsoft.com/office/drawing/2014/main" id="{39A66290-DF7C-4F8E-8699-9B6BEF6A3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868886" y="4678679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794656</xdr:colOff>
      <xdr:row>79</xdr:row>
      <xdr:rowOff>54429</xdr:rowOff>
    </xdr:from>
    <xdr:to>
      <xdr:col>4</xdr:col>
      <xdr:colOff>1158256</xdr:colOff>
      <xdr:row>79</xdr:row>
      <xdr:rowOff>287986</xdr:rowOff>
    </xdr:to>
    <xdr:pic>
      <xdr:nvPicPr>
        <xdr:cNvPr id="272" name="Billede 271">
          <a:extLst>
            <a:ext uri="{FF2B5EF4-FFF2-40B4-BE49-F238E27FC236}">
              <a16:creationId xmlns:a16="http://schemas.microsoft.com/office/drawing/2014/main" id="{4EE60DA7-005C-AD2C-F5DA-13841B6DF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24688800"/>
          <a:ext cx="363600" cy="23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150</xdr:row>
      <xdr:rowOff>16412</xdr:rowOff>
    </xdr:from>
    <xdr:to>
      <xdr:col>2</xdr:col>
      <xdr:colOff>492761</xdr:colOff>
      <xdr:row>150</xdr:row>
      <xdr:rowOff>304800</xdr:rowOff>
    </xdr:to>
    <xdr:pic>
      <xdr:nvPicPr>
        <xdr:cNvPr id="273" name="Billede 272">
          <a:extLst>
            <a:ext uri="{FF2B5EF4-FFF2-40B4-BE49-F238E27FC236}">
              <a16:creationId xmlns:a16="http://schemas.microsoft.com/office/drawing/2014/main" id="{26C06778-E692-4675-ABA2-13F822F4D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6748783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151</xdr:row>
      <xdr:rowOff>16412</xdr:rowOff>
    </xdr:from>
    <xdr:to>
      <xdr:col>2</xdr:col>
      <xdr:colOff>492761</xdr:colOff>
      <xdr:row>151</xdr:row>
      <xdr:rowOff>304800</xdr:rowOff>
    </xdr:to>
    <xdr:pic>
      <xdr:nvPicPr>
        <xdr:cNvPr id="274" name="Billede 273">
          <a:extLst>
            <a:ext uri="{FF2B5EF4-FFF2-40B4-BE49-F238E27FC236}">
              <a16:creationId xmlns:a16="http://schemas.microsoft.com/office/drawing/2014/main" id="{2ED53520-D1BD-4E41-981A-A728D19C9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7064469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152</xdr:row>
      <xdr:rowOff>16412</xdr:rowOff>
    </xdr:from>
    <xdr:to>
      <xdr:col>2</xdr:col>
      <xdr:colOff>492761</xdr:colOff>
      <xdr:row>152</xdr:row>
      <xdr:rowOff>304800</xdr:rowOff>
    </xdr:to>
    <xdr:pic>
      <xdr:nvPicPr>
        <xdr:cNvPr id="275" name="Billede 274">
          <a:extLst>
            <a:ext uri="{FF2B5EF4-FFF2-40B4-BE49-F238E27FC236}">
              <a16:creationId xmlns:a16="http://schemas.microsoft.com/office/drawing/2014/main" id="{E1D9966A-FB1F-4916-8BAA-753882EF9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4512" y="47380155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805543</xdr:colOff>
      <xdr:row>12</xdr:row>
      <xdr:rowOff>43545</xdr:rowOff>
    </xdr:from>
    <xdr:to>
      <xdr:col>4</xdr:col>
      <xdr:colOff>1165543</xdr:colOff>
      <xdr:row>12</xdr:row>
      <xdr:rowOff>286148</xdr:rowOff>
    </xdr:to>
    <xdr:pic>
      <xdr:nvPicPr>
        <xdr:cNvPr id="276" name="Billede 275">
          <a:extLst>
            <a:ext uri="{FF2B5EF4-FFF2-40B4-BE49-F238E27FC236}">
              <a16:creationId xmlns:a16="http://schemas.microsoft.com/office/drawing/2014/main" id="{3F742C0E-1393-4193-8BB3-FD9269B9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043" y="1313545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816429</xdr:colOff>
      <xdr:row>9</xdr:row>
      <xdr:rowOff>43543</xdr:rowOff>
    </xdr:from>
    <xdr:to>
      <xdr:col>4</xdr:col>
      <xdr:colOff>1176429</xdr:colOff>
      <xdr:row>9</xdr:row>
      <xdr:rowOff>287385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07E78129-1619-40A5-9D9E-9224FA0F3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903514"/>
          <a:ext cx="360000" cy="24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11</xdr:row>
      <xdr:rowOff>43543</xdr:rowOff>
    </xdr:from>
    <xdr:to>
      <xdr:col>4</xdr:col>
      <xdr:colOff>1176429</xdr:colOff>
      <xdr:row>11</xdr:row>
      <xdr:rowOff>287385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26C4C399-C972-A881-D5C1-E79093BD9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1219200"/>
          <a:ext cx="360000" cy="24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7</xdr:row>
      <xdr:rowOff>54431</xdr:rowOff>
    </xdr:from>
    <xdr:to>
      <xdr:col>4</xdr:col>
      <xdr:colOff>1176429</xdr:colOff>
      <xdr:row>7</xdr:row>
      <xdr:rowOff>273009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DA5E8DB1-6484-4BFA-B4DC-F42117B70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1545774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23</xdr:row>
      <xdr:rowOff>54433</xdr:rowOff>
    </xdr:from>
    <xdr:to>
      <xdr:col>4</xdr:col>
      <xdr:colOff>1176428</xdr:colOff>
      <xdr:row>23</xdr:row>
      <xdr:rowOff>282290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6CC5FCF7-664D-4F76-B510-663A7EDD9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1861462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37</xdr:row>
      <xdr:rowOff>54434</xdr:rowOff>
    </xdr:from>
    <xdr:to>
      <xdr:col>4</xdr:col>
      <xdr:colOff>1176428</xdr:colOff>
      <xdr:row>37</xdr:row>
      <xdr:rowOff>282291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FA0B6380-2F07-C9B2-E5CC-D73F0EA9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4386948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35</xdr:row>
      <xdr:rowOff>43540</xdr:rowOff>
    </xdr:from>
    <xdr:to>
      <xdr:col>4</xdr:col>
      <xdr:colOff>1176428</xdr:colOff>
      <xdr:row>35</xdr:row>
      <xdr:rowOff>276058</xdr:rowOff>
    </xdr:to>
    <xdr:pic>
      <xdr:nvPicPr>
        <xdr:cNvPr id="42" name="Billede 41" descr="Dannebrog">
          <a:extLst>
            <a:ext uri="{FF2B5EF4-FFF2-40B4-BE49-F238E27FC236}">
              <a16:creationId xmlns:a16="http://schemas.microsoft.com/office/drawing/2014/main" id="{B24AF195-C452-4F8F-91CC-684D5D5E5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826828" y="4060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46</xdr:row>
      <xdr:rowOff>54426</xdr:rowOff>
    </xdr:from>
    <xdr:to>
      <xdr:col>4</xdr:col>
      <xdr:colOff>1176428</xdr:colOff>
      <xdr:row>46</xdr:row>
      <xdr:rowOff>286944</xdr:rowOff>
    </xdr:to>
    <xdr:pic>
      <xdr:nvPicPr>
        <xdr:cNvPr id="43" name="Billede 42" descr="Dannebrog">
          <a:extLst>
            <a:ext uri="{FF2B5EF4-FFF2-40B4-BE49-F238E27FC236}">
              <a16:creationId xmlns:a16="http://schemas.microsoft.com/office/drawing/2014/main" id="{B82AC0E0-922C-B3FE-8A4C-CCD8A28B4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826828" y="37555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47</xdr:row>
      <xdr:rowOff>54426</xdr:rowOff>
    </xdr:from>
    <xdr:to>
      <xdr:col>4</xdr:col>
      <xdr:colOff>1176428</xdr:colOff>
      <xdr:row>47</xdr:row>
      <xdr:rowOff>286944</xdr:rowOff>
    </xdr:to>
    <xdr:pic>
      <xdr:nvPicPr>
        <xdr:cNvPr id="44" name="Billede 43" descr="Dannebrog">
          <a:extLst>
            <a:ext uri="{FF2B5EF4-FFF2-40B4-BE49-F238E27FC236}">
              <a16:creationId xmlns:a16="http://schemas.microsoft.com/office/drawing/2014/main" id="{8493E47F-10F3-0053-BB9A-F15C86C04E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826828" y="5649683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48</xdr:row>
      <xdr:rowOff>54426</xdr:rowOff>
    </xdr:from>
    <xdr:to>
      <xdr:col>4</xdr:col>
      <xdr:colOff>1176428</xdr:colOff>
      <xdr:row>48</xdr:row>
      <xdr:rowOff>286944</xdr:rowOff>
    </xdr:to>
    <xdr:pic>
      <xdr:nvPicPr>
        <xdr:cNvPr id="45" name="Billede 44" descr="Dannebrog">
          <a:extLst>
            <a:ext uri="{FF2B5EF4-FFF2-40B4-BE49-F238E27FC236}">
              <a16:creationId xmlns:a16="http://schemas.microsoft.com/office/drawing/2014/main" id="{18C350D8-6133-D049-AA3A-137EDC4A15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826828" y="5965369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49</xdr:row>
      <xdr:rowOff>54426</xdr:rowOff>
    </xdr:from>
    <xdr:to>
      <xdr:col>4</xdr:col>
      <xdr:colOff>1176428</xdr:colOff>
      <xdr:row>49</xdr:row>
      <xdr:rowOff>286944</xdr:rowOff>
    </xdr:to>
    <xdr:pic>
      <xdr:nvPicPr>
        <xdr:cNvPr id="46" name="Billede 45" descr="Dannebrog">
          <a:extLst>
            <a:ext uri="{FF2B5EF4-FFF2-40B4-BE49-F238E27FC236}">
              <a16:creationId xmlns:a16="http://schemas.microsoft.com/office/drawing/2014/main" id="{D970C717-99EC-1FBB-0E6B-EE9C66B1C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826828" y="628105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57</xdr:row>
      <xdr:rowOff>43541</xdr:rowOff>
    </xdr:from>
    <xdr:to>
      <xdr:col>4</xdr:col>
      <xdr:colOff>1176428</xdr:colOff>
      <xdr:row>57</xdr:row>
      <xdr:rowOff>276059</xdr:rowOff>
    </xdr:to>
    <xdr:pic>
      <xdr:nvPicPr>
        <xdr:cNvPr id="47" name="Billede 46" descr="Dannebrog">
          <a:extLst>
            <a:ext uri="{FF2B5EF4-FFF2-40B4-BE49-F238E27FC236}">
              <a16:creationId xmlns:a16="http://schemas.microsoft.com/office/drawing/2014/main" id="{4AB11508-2A5F-17B5-ADB5-DB8C35C2C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826828" y="6585855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24</xdr:row>
      <xdr:rowOff>43545</xdr:rowOff>
    </xdr:from>
    <xdr:to>
      <xdr:col>4</xdr:col>
      <xdr:colOff>1176429</xdr:colOff>
      <xdr:row>24</xdr:row>
      <xdr:rowOff>284118</xdr:rowOff>
    </xdr:to>
    <xdr:pic>
      <xdr:nvPicPr>
        <xdr:cNvPr id="48" name="Billede 47">
          <a:extLst>
            <a:ext uri="{FF2B5EF4-FFF2-40B4-BE49-F238E27FC236}">
              <a16:creationId xmlns:a16="http://schemas.microsoft.com/office/drawing/2014/main" id="{3A0120BA-47D6-48CE-B612-51735E0BF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826829" y="2166259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25</xdr:row>
      <xdr:rowOff>43545</xdr:rowOff>
    </xdr:from>
    <xdr:to>
      <xdr:col>4</xdr:col>
      <xdr:colOff>1176429</xdr:colOff>
      <xdr:row>25</xdr:row>
      <xdr:rowOff>284118</xdr:rowOff>
    </xdr:to>
    <xdr:pic>
      <xdr:nvPicPr>
        <xdr:cNvPr id="49" name="Billede 48">
          <a:extLst>
            <a:ext uri="{FF2B5EF4-FFF2-40B4-BE49-F238E27FC236}">
              <a16:creationId xmlns:a16="http://schemas.microsoft.com/office/drawing/2014/main" id="{A7A130D9-369A-329F-FAB5-F73D80C367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826829" y="24819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26</xdr:row>
      <xdr:rowOff>43545</xdr:rowOff>
    </xdr:from>
    <xdr:to>
      <xdr:col>4</xdr:col>
      <xdr:colOff>1176429</xdr:colOff>
      <xdr:row>26</xdr:row>
      <xdr:rowOff>284118</xdr:rowOff>
    </xdr:to>
    <xdr:pic>
      <xdr:nvPicPr>
        <xdr:cNvPr id="50" name="Billede 49">
          <a:extLst>
            <a:ext uri="{FF2B5EF4-FFF2-40B4-BE49-F238E27FC236}">
              <a16:creationId xmlns:a16="http://schemas.microsoft.com/office/drawing/2014/main" id="{A928DC12-645E-FA78-6870-160146DD2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826829" y="2797631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27</xdr:row>
      <xdr:rowOff>43546</xdr:rowOff>
    </xdr:from>
    <xdr:to>
      <xdr:col>4</xdr:col>
      <xdr:colOff>1176429</xdr:colOff>
      <xdr:row>27</xdr:row>
      <xdr:rowOff>284119</xdr:rowOff>
    </xdr:to>
    <xdr:pic>
      <xdr:nvPicPr>
        <xdr:cNvPr id="51" name="Billede 50">
          <a:extLst>
            <a:ext uri="{FF2B5EF4-FFF2-40B4-BE49-F238E27FC236}">
              <a16:creationId xmlns:a16="http://schemas.microsoft.com/office/drawing/2014/main" id="{08F35FEF-77C9-1EB9-DB86-9524D8F74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826829" y="3113317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28</xdr:row>
      <xdr:rowOff>32660</xdr:rowOff>
    </xdr:from>
    <xdr:to>
      <xdr:col>4</xdr:col>
      <xdr:colOff>1176429</xdr:colOff>
      <xdr:row>28</xdr:row>
      <xdr:rowOff>273233</xdr:rowOff>
    </xdr:to>
    <xdr:pic>
      <xdr:nvPicPr>
        <xdr:cNvPr id="52" name="Billede 51">
          <a:extLst>
            <a:ext uri="{FF2B5EF4-FFF2-40B4-BE49-F238E27FC236}">
              <a16:creationId xmlns:a16="http://schemas.microsoft.com/office/drawing/2014/main" id="{CDC75235-FBA1-E150-D9B5-911D15D3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826829" y="3418117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30</xdr:row>
      <xdr:rowOff>54431</xdr:rowOff>
    </xdr:from>
    <xdr:to>
      <xdr:col>4</xdr:col>
      <xdr:colOff>1176429</xdr:colOff>
      <xdr:row>30</xdr:row>
      <xdr:rowOff>273009</xdr:rowOff>
    </xdr:to>
    <xdr:pic>
      <xdr:nvPicPr>
        <xdr:cNvPr id="53" name="Billede 52">
          <a:extLst>
            <a:ext uri="{FF2B5EF4-FFF2-40B4-BE49-F238E27FC236}">
              <a16:creationId xmlns:a16="http://schemas.microsoft.com/office/drawing/2014/main" id="{9F27E48F-41B8-578B-9ECF-1CA10F96E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4702631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31</xdr:row>
      <xdr:rowOff>65317</xdr:rowOff>
    </xdr:from>
    <xdr:to>
      <xdr:col>4</xdr:col>
      <xdr:colOff>1176429</xdr:colOff>
      <xdr:row>31</xdr:row>
      <xdr:rowOff>283895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FA5BAFC1-3913-37ED-2D0B-1DD6D91E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5029203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32</xdr:row>
      <xdr:rowOff>65317</xdr:rowOff>
    </xdr:from>
    <xdr:to>
      <xdr:col>4</xdr:col>
      <xdr:colOff>1176429</xdr:colOff>
      <xdr:row>32</xdr:row>
      <xdr:rowOff>283895</xdr:rowOff>
    </xdr:to>
    <xdr:pic>
      <xdr:nvPicPr>
        <xdr:cNvPr id="55" name="Billede 54">
          <a:extLst>
            <a:ext uri="{FF2B5EF4-FFF2-40B4-BE49-F238E27FC236}">
              <a16:creationId xmlns:a16="http://schemas.microsoft.com/office/drawing/2014/main" id="{29FCFFBD-F264-2878-EBA6-4BEDEF03A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534488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60</xdr:row>
      <xdr:rowOff>43548</xdr:rowOff>
    </xdr:from>
    <xdr:to>
      <xdr:col>4</xdr:col>
      <xdr:colOff>1176428</xdr:colOff>
      <xdr:row>60</xdr:row>
      <xdr:rowOff>271405</xdr:rowOff>
    </xdr:to>
    <xdr:pic>
      <xdr:nvPicPr>
        <xdr:cNvPr id="56" name="Billede 55">
          <a:extLst>
            <a:ext uri="{FF2B5EF4-FFF2-40B4-BE49-F238E27FC236}">
              <a16:creationId xmlns:a16="http://schemas.microsoft.com/office/drawing/2014/main" id="{DB51D0D5-C0D9-981A-E166-9965292B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7532919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20</xdr:row>
      <xdr:rowOff>54430</xdr:rowOff>
    </xdr:from>
    <xdr:to>
      <xdr:col>4</xdr:col>
      <xdr:colOff>1176429</xdr:colOff>
      <xdr:row>20</xdr:row>
      <xdr:rowOff>273008</xdr:rowOff>
    </xdr:to>
    <xdr:pic>
      <xdr:nvPicPr>
        <xdr:cNvPr id="57" name="Billede 56">
          <a:extLst>
            <a:ext uri="{FF2B5EF4-FFF2-40B4-BE49-F238E27FC236}">
              <a16:creationId xmlns:a16="http://schemas.microsoft.com/office/drawing/2014/main" id="{A6CACC01-9023-1A5F-68D6-907725F9C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8175173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61</xdr:row>
      <xdr:rowOff>43547</xdr:rowOff>
    </xdr:from>
    <xdr:to>
      <xdr:col>4</xdr:col>
      <xdr:colOff>1176428</xdr:colOff>
      <xdr:row>61</xdr:row>
      <xdr:rowOff>271404</xdr:rowOff>
    </xdr:to>
    <xdr:pic>
      <xdr:nvPicPr>
        <xdr:cNvPr id="58" name="Billede 57">
          <a:extLst>
            <a:ext uri="{FF2B5EF4-FFF2-40B4-BE49-F238E27FC236}">
              <a16:creationId xmlns:a16="http://schemas.microsoft.com/office/drawing/2014/main" id="{FDBF1660-CFD6-7964-321F-D870420D2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784860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21</xdr:row>
      <xdr:rowOff>54429</xdr:rowOff>
    </xdr:from>
    <xdr:to>
      <xdr:col>4</xdr:col>
      <xdr:colOff>1176429</xdr:colOff>
      <xdr:row>21</xdr:row>
      <xdr:rowOff>273007</xdr:rowOff>
    </xdr:to>
    <xdr:pic>
      <xdr:nvPicPr>
        <xdr:cNvPr id="59" name="Billede 58">
          <a:extLst>
            <a:ext uri="{FF2B5EF4-FFF2-40B4-BE49-F238E27FC236}">
              <a16:creationId xmlns:a16="http://schemas.microsoft.com/office/drawing/2014/main" id="{27C5988D-641B-E5DE-46E7-C6488C980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8490858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22</xdr:row>
      <xdr:rowOff>65316</xdr:rowOff>
    </xdr:from>
    <xdr:to>
      <xdr:col>4</xdr:col>
      <xdr:colOff>1176429</xdr:colOff>
      <xdr:row>22</xdr:row>
      <xdr:rowOff>283894</xdr:rowOff>
    </xdr:to>
    <xdr:pic>
      <xdr:nvPicPr>
        <xdr:cNvPr id="60" name="Billede 59">
          <a:extLst>
            <a:ext uri="{FF2B5EF4-FFF2-40B4-BE49-F238E27FC236}">
              <a16:creationId xmlns:a16="http://schemas.microsoft.com/office/drawing/2014/main" id="{563AAFA1-52CB-4AAF-4952-B187D3524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8817430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42</xdr:row>
      <xdr:rowOff>54430</xdr:rowOff>
    </xdr:from>
    <xdr:to>
      <xdr:col>4</xdr:col>
      <xdr:colOff>1176429</xdr:colOff>
      <xdr:row>42</xdr:row>
      <xdr:rowOff>273008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CA3B2E9B-6DD3-EC6E-5BBC-FEDD434E2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9122230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43</xdr:row>
      <xdr:rowOff>54429</xdr:rowOff>
    </xdr:from>
    <xdr:to>
      <xdr:col>4</xdr:col>
      <xdr:colOff>1176429</xdr:colOff>
      <xdr:row>43</xdr:row>
      <xdr:rowOff>273007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603B581C-A5F8-0A08-F899-BE3652A9E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9437915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63</xdr:row>
      <xdr:rowOff>43545</xdr:rowOff>
    </xdr:from>
    <xdr:to>
      <xdr:col>4</xdr:col>
      <xdr:colOff>1176429</xdr:colOff>
      <xdr:row>63</xdr:row>
      <xdr:rowOff>284118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52C8D812-76F7-31A5-605F-96F0B4EFD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826829" y="113211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58</xdr:row>
      <xdr:rowOff>43545</xdr:rowOff>
    </xdr:from>
    <xdr:to>
      <xdr:col>4</xdr:col>
      <xdr:colOff>1176429</xdr:colOff>
      <xdr:row>58</xdr:row>
      <xdr:rowOff>284118</xdr:rowOff>
    </xdr:to>
    <xdr:pic>
      <xdr:nvPicPr>
        <xdr:cNvPr id="64" name="Billede 63">
          <a:extLst>
            <a:ext uri="{FF2B5EF4-FFF2-40B4-BE49-F238E27FC236}">
              <a16:creationId xmlns:a16="http://schemas.microsoft.com/office/drawing/2014/main" id="{F231F0E8-7204-D9FA-56BC-F65917064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826829" y="11005459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70</xdr:row>
      <xdr:rowOff>54427</xdr:rowOff>
    </xdr:from>
    <xdr:to>
      <xdr:col>4</xdr:col>
      <xdr:colOff>1176429</xdr:colOff>
      <xdr:row>70</xdr:row>
      <xdr:rowOff>282284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FF358188-30E3-4683-ADF9-549D8A4CE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10700656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67</xdr:row>
      <xdr:rowOff>54428</xdr:rowOff>
    </xdr:from>
    <xdr:to>
      <xdr:col>4</xdr:col>
      <xdr:colOff>1176429</xdr:colOff>
      <xdr:row>67</xdr:row>
      <xdr:rowOff>282285</xdr:rowOff>
    </xdr:to>
    <xdr:pic>
      <xdr:nvPicPr>
        <xdr:cNvPr id="66" name="Billede 65">
          <a:extLst>
            <a:ext uri="{FF2B5EF4-FFF2-40B4-BE49-F238E27FC236}">
              <a16:creationId xmlns:a16="http://schemas.microsoft.com/office/drawing/2014/main" id="{DC6BA3D9-8A56-47D9-23BF-A3786F2F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9753599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68</xdr:row>
      <xdr:rowOff>54428</xdr:rowOff>
    </xdr:from>
    <xdr:to>
      <xdr:col>4</xdr:col>
      <xdr:colOff>1176429</xdr:colOff>
      <xdr:row>68</xdr:row>
      <xdr:rowOff>282285</xdr:rowOff>
    </xdr:to>
    <xdr:pic>
      <xdr:nvPicPr>
        <xdr:cNvPr id="67" name="Billede 66">
          <a:extLst>
            <a:ext uri="{FF2B5EF4-FFF2-40B4-BE49-F238E27FC236}">
              <a16:creationId xmlns:a16="http://schemas.microsoft.com/office/drawing/2014/main" id="{C6758FD5-C100-DDA2-9838-C5A77E256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10069285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69</xdr:row>
      <xdr:rowOff>43542</xdr:rowOff>
    </xdr:from>
    <xdr:to>
      <xdr:col>4</xdr:col>
      <xdr:colOff>1176429</xdr:colOff>
      <xdr:row>69</xdr:row>
      <xdr:rowOff>271399</xdr:rowOff>
    </xdr:to>
    <xdr:pic>
      <xdr:nvPicPr>
        <xdr:cNvPr id="68" name="Billede 67">
          <a:extLst>
            <a:ext uri="{FF2B5EF4-FFF2-40B4-BE49-F238E27FC236}">
              <a16:creationId xmlns:a16="http://schemas.microsoft.com/office/drawing/2014/main" id="{955E556D-5EEF-47E7-2419-F3045FA2A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9" y="10374085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10</xdr:row>
      <xdr:rowOff>54432</xdr:rowOff>
    </xdr:from>
    <xdr:to>
      <xdr:col>4</xdr:col>
      <xdr:colOff>1176428</xdr:colOff>
      <xdr:row>10</xdr:row>
      <xdr:rowOff>276353</xdr:rowOff>
    </xdr:to>
    <xdr:pic>
      <xdr:nvPicPr>
        <xdr:cNvPr id="112" name="Billede 111">
          <a:extLst>
            <a:ext uri="{FF2B5EF4-FFF2-40B4-BE49-F238E27FC236}">
              <a16:creationId xmlns:a16="http://schemas.microsoft.com/office/drawing/2014/main" id="{49333899-8F78-60A8-AFC2-620C10CEA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11647718"/>
          <a:ext cx="360000" cy="22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65</xdr:row>
      <xdr:rowOff>54432</xdr:rowOff>
    </xdr:from>
    <xdr:to>
      <xdr:col>4</xdr:col>
      <xdr:colOff>1176428</xdr:colOff>
      <xdr:row>65</xdr:row>
      <xdr:rowOff>276353</xdr:rowOff>
    </xdr:to>
    <xdr:pic>
      <xdr:nvPicPr>
        <xdr:cNvPr id="113" name="Billede 112">
          <a:extLst>
            <a:ext uri="{FF2B5EF4-FFF2-40B4-BE49-F238E27FC236}">
              <a16:creationId xmlns:a16="http://schemas.microsoft.com/office/drawing/2014/main" id="{46EEC896-6709-43BC-8747-6E94A53AA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11647718"/>
          <a:ext cx="360000" cy="22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66</xdr:row>
      <xdr:rowOff>54432</xdr:rowOff>
    </xdr:from>
    <xdr:to>
      <xdr:col>4</xdr:col>
      <xdr:colOff>1176428</xdr:colOff>
      <xdr:row>66</xdr:row>
      <xdr:rowOff>276353</xdr:rowOff>
    </xdr:to>
    <xdr:pic>
      <xdr:nvPicPr>
        <xdr:cNvPr id="114" name="Billede 113">
          <a:extLst>
            <a:ext uri="{FF2B5EF4-FFF2-40B4-BE49-F238E27FC236}">
              <a16:creationId xmlns:a16="http://schemas.microsoft.com/office/drawing/2014/main" id="{906E8FCF-2BDC-46AC-B6FE-2FD4BA03F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11963403"/>
          <a:ext cx="360000" cy="22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34</xdr:row>
      <xdr:rowOff>54432</xdr:rowOff>
    </xdr:from>
    <xdr:to>
      <xdr:col>4</xdr:col>
      <xdr:colOff>1176428</xdr:colOff>
      <xdr:row>34</xdr:row>
      <xdr:rowOff>276353</xdr:rowOff>
    </xdr:to>
    <xdr:pic>
      <xdr:nvPicPr>
        <xdr:cNvPr id="115" name="Billede 114">
          <a:extLst>
            <a:ext uri="{FF2B5EF4-FFF2-40B4-BE49-F238E27FC236}">
              <a16:creationId xmlns:a16="http://schemas.microsoft.com/office/drawing/2014/main" id="{ED6217E3-A568-4A1F-90DF-36DC31520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828" y="11963403"/>
          <a:ext cx="360000" cy="22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38</xdr:row>
      <xdr:rowOff>50800</xdr:rowOff>
    </xdr:from>
    <xdr:to>
      <xdr:col>4</xdr:col>
      <xdr:colOff>1172800</xdr:colOff>
      <xdr:row>38</xdr:row>
      <xdr:rowOff>277245</xdr:rowOff>
    </xdr:to>
    <xdr:pic>
      <xdr:nvPicPr>
        <xdr:cNvPr id="117" name="Billede 116">
          <a:extLst>
            <a:ext uri="{FF2B5EF4-FFF2-40B4-BE49-F238E27FC236}">
              <a16:creationId xmlns:a16="http://schemas.microsoft.com/office/drawing/2014/main" id="{EBACE4A4-313E-463B-A1A8-B74B4FFF9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8267700" y="12966700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62</xdr:row>
      <xdr:rowOff>56245</xdr:rowOff>
    </xdr:from>
    <xdr:to>
      <xdr:col>4</xdr:col>
      <xdr:colOff>1176429</xdr:colOff>
      <xdr:row>62</xdr:row>
      <xdr:rowOff>296818</xdr:rowOff>
    </xdr:to>
    <xdr:pic>
      <xdr:nvPicPr>
        <xdr:cNvPr id="125" name="Billede 124">
          <a:extLst>
            <a:ext uri="{FF2B5EF4-FFF2-40B4-BE49-F238E27FC236}">
              <a16:creationId xmlns:a16="http://schemas.microsoft.com/office/drawing/2014/main" id="{9911F104-9738-9A2F-F41F-3264191CE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903029" y="132896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14</xdr:row>
      <xdr:rowOff>43545</xdr:rowOff>
    </xdr:from>
    <xdr:to>
      <xdr:col>4</xdr:col>
      <xdr:colOff>1176429</xdr:colOff>
      <xdr:row>14</xdr:row>
      <xdr:rowOff>284118</xdr:rowOff>
    </xdr:to>
    <xdr:pic>
      <xdr:nvPicPr>
        <xdr:cNvPr id="128" name="Billede 127">
          <a:extLst>
            <a:ext uri="{FF2B5EF4-FFF2-40B4-BE49-F238E27FC236}">
              <a16:creationId xmlns:a16="http://schemas.microsoft.com/office/drawing/2014/main" id="{A995E7A0-091D-B22E-0209-C8B63EA41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903029" y="135944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40</xdr:row>
      <xdr:rowOff>43545</xdr:rowOff>
    </xdr:from>
    <xdr:to>
      <xdr:col>4</xdr:col>
      <xdr:colOff>1176429</xdr:colOff>
      <xdr:row>40</xdr:row>
      <xdr:rowOff>284118</xdr:rowOff>
    </xdr:to>
    <xdr:pic>
      <xdr:nvPicPr>
        <xdr:cNvPr id="131" name="Billede 130">
          <a:extLst>
            <a:ext uri="{FF2B5EF4-FFF2-40B4-BE49-F238E27FC236}">
              <a16:creationId xmlns:a16="http://schemas.microsoft.com/office/drawing/2014/main" id="{12C060F1-AAD5-4315-4DFE-AD9E675E2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903029" y="139119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39</xdr:row>
      <xdr:rowOff>43545</xdr:rowOff>
    </xdr:from>
    <xdr:to>
      <xdr:col>4</xdr:col>
      <xdr:colOff>1176429</xdr:colOff>
      <xdr:row>39</xdr:row>
      <xdr:rowOff>284118</xdr:rowOff>
    </xdr:to>
    <xdr:pic>
      <xdr:nvPicPr>
        <xdr:cNvPr id="132" name="Billede 131">
          <a:extLst>
            <a:ext uri="{FF2B5EF4-FFF2-40B4-BE49-F238E27FC236}">
              <a16:creationId xmlns:a16="http://schemas.microsoft.com/office/drawing/2014/main" id="{A2F59080-E55C-404A-A655-108751EC2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903029" y="139119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36</xdr:row>
      <xdr:rowOff>43545</xdr:rowOff>
    </xdr:from>
    <xdr:to>
      <xdr:col>4</xdr:col>
      <xdr:colOff>1176429</xdr:colOff>
      <xdr:row>36</xdr:row>
      <xdr:rowOff>284118</xdr:rowOff>
    </xdr:to>
    <xdr:pic>
      <xdr:nvPicPr>
        <xdr:cNvPr id="133" name="Billede 132">
          <a:extLst>
            <a:ext uri="{FF2B5EF4-FFF2-40B4-BE49-F238E27FC236}">
              <a16:creationId xmlns:a16="http://schemas.microsoft.com/office/drawing/2014/main" id="{0D0EAB51-F922-4271-9339-BE93973FED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903029" y="139119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64</xdr:row>
      <xdr:rowOff>43545</xdr:rowOff>
    </xdr:from>
    <xdr:to>
      <xdr:col>4</xdr:col>
      <xdr:colOff>1176429</xdr:colOff>
      <xdr:row>64</xdr:row>
      <xdr:rowOff>284118</xdr:rowOff>
    </xdr:to>
    <xdr:pic>
      <xdr:nvPicPr>
        <xdr:cNvPr id="134" name="Billede 133">
          <a:extLst>
            <a:ext uri="{FF2B5EF4-FFF2-40B4-BE49-F238E27FC236}">
              <a16:creationId xmlns:a16="http://schemas.microsoft.com/office/drawing/2014/main" id="{0B7E484D-7895-4305-8BB2-4410C7274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903029" y="139119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5</xdr:row>
      <xdr:rowOff>43541</xdr:rowOff>
    </xdr:from>
    <xdr:to>
      <xdr:col>4</xdr:col>
      <xdr:colOff>1176428</xdr:colOff>
      <xdr:row>5</xdr:row>
      <xdr:rowOff>276059</xdr:rowOff>
    </xdr:to>
    <xdr:pic>
      <xdr:nvPicPr>
        <xdr:cNvPr id="145" name="Billede 144" descr="Dannebrog">
          <a:extLst>
            <a:ext uri="{FF2B5EF4-FFF2-40B4-BE49-F238E27FC236}">
              <a16:creationId xmlns:a16="http://schemas.microsoft.com/office/drawing/2014/main" id="{5E99C165-2B80-E97F-616E-3A66CD65E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03028" y="151819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8</xdr:row>
      <xdr:rowOff>43541</xdr:rowOff>
    </xdr:from>
    <xdr:to>
      <xdr:col>4</xdr:col>
      <xdr:colOff>1176428</xdr:colOff>
      <xdr:row>8</xdr:row>
      <xdr:rowOff>276059</xdr:rowOff>
    </xdr:to>
    <xdr:pic>
      <xdr:nvPicPr>
        <xdr:cNvPr id="146" name="Billede 145" descr="Dannebrog">
          <a:extLst>
            <a:ext uri="{FF2B5EF4-FFF2-40B4-BE49-F238E27FC236}">
              <a16:creationId xmlns:a16="http://schemas.microsoft.com/office/drawing/2014/main" id="{3375C0B7-3B68-EAB6-7129-8695BD91B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03028" y="154994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33</xdr:row>
      <xdr:rowOff>43541</xdr:rowOff>
    </xdr:from>
    <xdr:to>
      <xdr:col>4</xdr:col>
      <xdr:colOff>1176428</xdr:colOff>
      <xdr:row>33</xdr:row>
      <xdr:rowOff>276059</xdr:rowOff>
    </xdr:to>
    <xdr:pic>
      <xdr:nvPicPr>
        <xdr:cNvPr id="147" name="Billede 146" descr="Dannebrog">
          <a:extLst>
            <a:ext uri="{FF2B5EF4-FFF2-40B4-BE49-F238E27FC236}">
              <a16:creationId xmlns:a16="http://schemas.microsoft.com/office/drawing/2014/main" id="{C08EA2A3-4155-4CA4-B848-6A98699F1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03028" y="154994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41</xdr:row>
      <xdr:rowOff>43541</xdr:rowOff>
    </xdr:from>
    <xdr:to>
      <xdr:col>4</xdr:col>
      <xdr:colOff>1176428</xdr:colOff>
      <xdr:row>41</xdr:row>
      <xdr:rowOff>276059</xdr:rowOff>
    </xdr:to>
    <xdr:pic>
      <xdr:nvPicPr>
        <xdr:cNvPr id="148" name="Billede 147" descr="Dannebrog">
          <a:extLst>
            <a:ext uri="{FF2B5EF4-FFF2-40B4-BE49-F238E27FC236}">
              <a16:creationId xmlns:a16="http://schemas.microsoft.com/office/drawing/2014/main" id="{61FB3384-D8A6-4D15-AB9E-72601C8E3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03028" y="154994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44</xdr:row>
      <xdr:rowOff>43541</xdr:rowOff>
    </xdr:from>
    <xdr:to>
      <xdr:col>4</xdr:col>
      <xdr:colOff>1176428</xdr:colOff>
      <xdr:row>44</xdr:row>
      <xdr:rowOff>276059</xdr:rowOff>
    </xdr:to>
    <xdr:pic>
      <xdr:nvPicPr>
        <xdr:cNvPr id="149" name="Billede 148" descr="Dannebrog">
          <a:extLst>
            <a:ext uri="{FF2B5EF4-FFF2-40B4-BE49-F238E27FC236}">
              <a16:creationId xmlns:a16="http://schemas.microsoft.com/office/drawing/2014/main" id="{DBA52F74-81C3-4A3C-AC89-07203C40B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03028" y="154994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45</xdr:row>
      <xdr:rowOff>43541</xdr:rowOff>
    </xdr:from>
    <xdr:to>
      <xdr:col>4</xdr:col>
      <xdr:colOff>1176428</xdr:colOff>
      <xdr:row>45</xdr:row>
      <xdr:rowOff>276059</xdr:rowOff>
    </xdr:to>
    <xdr:pic>
      <xdr:nvPicPr>
        <xdr:cNvPr id="150" name="Billede 149" descr="Dannebrog">
          <a:extLst>
            <a:ext uri="{FF2B5EF4-FFF2-40B4-BE49-F238E27FC236}">
              <a16:creationId xmlns:a16="http://schemas.microsoft.com/office/drawing/2014/main" id="{FC0841EF-A658-4806-A2E6-2F59DC2E6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03028" y="154994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59</xdr:row>
      <xdr:rowOff>43541</xdr:rowOff>
    </xdr:from>
    <xdr:to>
      <xdr:col>4</xdr:col>
      <xdr:colOff>1176428</xdr:colOff>
      <xdr:row>59</xdr:row>
      <xdr:rowOff>276059</xdr:rowOff>
    </xdr:to>
    <xdr:pic>
      <xdr:nvPicPr>
        <xdr:cNvPr id="151" name="Billede 150" descr="Dannebrog">
          <a:extLst>
            <a:ext uri="{FF2B5EF4-FFF2-40B4-BE49-F238E27FC236}">
              <a16:creationId xmlns:a16="http://schemas.microsoft.com/office/drawing/2014/main" id="{C69B4C45-A0D9-4B46-88FE-D96A68EE5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903028" y="154994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9</xdr:row>
      <xdr:rowOff>36286</xdr:rowOff>
    </xdr:from>
    <xdr:to>
      <xdr:col>2</xdr:col>
      <xdr:colOff>460659</xdr:colOff>
      <xdr:row>9</xdr:row>
      <xdr:rowOff>270329</xdr:rowOff>
    </xdr:to>
    <xdr:pic>
      <xdr:nvPicPr>
        <xdr:cNvPr id="118" name="Billede 117">
          <a:extLst>
            <a:ext uri="{FF2B5EF4-FFF2-40B4-BE49-F238E27FC236}">
              <a16:creationId xmlns:a16="http://schemas.microsoft.com/office/drawing/2014/main" id="{F3C71B33-2434-491D-8845-E0B1C1FC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</xdr:row>
      <xdr:rowOff>36286</xdr:rowOff>
    </xdr:from>
    <xdr:to>
      <xdr:col>2</xdr:col>
      <xdr:colOff>460659</xdr:colOff>
      <xdr:row>11</xdr:row>
      <xdr:rowOff>270329</xdr:rowOff>
    </xdr:to>
    <xdr:pic>
      <xdr:nvPicPr>
        <xdr:cNvPr id="126" name="Billede 125">
          <a:extLst>
            <a:ext uri="{FF2B5EF4-FFF2-40B4-BE49-F238E27FC236}">
              <a16:creationId xmlns:a16="http://schemas.microsoft.com/office/drawing/2014/main" id="{5F64785B-D04F-495D-B8D4-D59D94ECB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23</xdr:row>
      <xdr:rowOff>36286</xdr:rowOff>
    </xdr:from>
    <xdr:to>
      <xdr:col>2</xdr:col>
      <xdr:colOff>460659</xdr:colOff>
      <xdr:row>23</xdr:row>
      <xdr:rowOff>270329</xdr:rowOff>
    </xdr:to>
    <xdr:pic>
      <xdr:nvPicPr>
        <xdr:cNvPr id="165" name="Billede 164">
          <a:extLst>
            <a:ext uri="{FF2B5EF4-FFF2-40B4-BE49-F238E27FC236}">
              <a16:creationId xmlns:a16="http://schemas.microsoft.com/office/drawing/2014/main" id="{C3459576-9530-42AE-8ADA-5BE50F4F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24</xdr:row>
      <xdr:rowOff>36286</xdr:rowOff>
    </xdr:from>
    <xdr:to>
      <xdr:col>2</xdr:col>
      <xdr:colOff>460659</xdr:colOff>
      <xdr:row>24</xdr:row>
      <xdr:rowOff>270329</xdr:rowOff>
    </xdr:to>
    <xdr:pic>
      <xdr:nvPicPr>
        <xdr:cNvPr id="166" name="Billede 165">
          <a:extLst>
            <a:ext uri="{FF2B5EF4-FFF2-40B4-BE49-F238E27FC236}">
              <a16:creationId xmlns:a16="http://schemas.microsoft.com/office/drawing/2014/main" id="{A0269149-9231-4CBD-B0BC-8B0103FA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25</xdr:row>
      <xdr:rowOff>36286</xdr:rowOff>
    </xdr:from>
    <xdr:to>
      <xdr:col>2</xdr:col>
      <xdr:colOff>460659</xdr:colOff>
      <xdr:row>25</xdr:row>
      <xdr:rowOff>270329</xdr:rowOff>
    </xdr:to>
    <xdr:pic>
      <xdr:nvPicPr>
        <xdr:cNvPr id="167" name="Billede 166">
          <a:extLst>
            <a:ext uri="{FF2B5EF4-FFF2-40B4-BE49-F238E27FC236}">
              <a16:creationId xmlns:a16="http://schemas.microsoft.com/office/drawing/2014/main" id="{36E2D03B-F4B4-43BC-893D-AB4AA405F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26</xdr:row>
      <xdr:rowOff>36286</xdr:rowOff>
    </xdr:from>
    <xdr:to>
      <xdr:col>2</xdr:col>
      <xdr:colOff>460659</xdr:colOff>
      <xdr:row>26</xdr:row>
      <xdr:rowOff>270329</xdr:rowOff>
    </xdr:to>
    <xdr:pic>
      <xdr:nvPicPr>
        <xdr:cNvPr id="168" name="Billede 167">
          <a:extLst>
            <a:ext uri="{FF2B5EF4-FFF2-40B4-BE49-F238E27FC236}">
              <a16:creationId xmlns:a16="http://schemas.microsoft.com/office/drawing/2014/main" id="{52501A6B-3E1B-4135-B537-6FDCBA6A5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27</xdr:row>
      <xdr:rowOff>36286</xdr:rowOff>
    </xdr:from>
    <xdr:to>
      <xdr:col>2</xdr:col>
      <xdr:colOff>460659</xdr:colOff>
      <xdr:row>27</xdr:row>
      <xdr:rowOff>270329</xdr:rowOff>
    </xdr:to>
    <xdr:pic>
      <xdr:nvPicPr>
        <xdr:cNvPr id="169" name="Billede 168">
          <a:extLst>
            <a:ext uri="{FF2B5EF4-FFF2-40B4-BE49-F238E27FC236}">
              <a16:creationId xmlns:a16="http://schemas.microsoft.com/office/drawing/2014/main" id="{E9E27A2F-7CEE-460F-B2D5-446E6A5C5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28</xdr:row>
      <xdr:rowOff>36286</xdr:rowOff>
    </xdr:from>
    <xdr:to>
      <xdr:col>2</xdr:col>
      <xdr:colOff>460659</xdr:colOff>
      <xdr:row>28</xdr:row>
      <xdr:rowOff>270329</xdr:rowOff>
    </xdr:to>
    <xdr:pic>
      <xdr:nvPicPr>
        <xdr:cNvPr id="170" name="Billede 169">
          <a:extLst>
            <a:ext uri="{FF2B5EF4-FFF2-40B4-BE49-F238E27FC236}">
              <a16:creationId xmlns:a16="http://schemas.microsoft.com/office/drawing/2014/main" id="{DDAF06FC-0E74-428F-A949-B194268D8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46</xdr:row>
      <xdr:rowOff>36286</xdr:rowOff>
    </xdr:from>
    <xdr:to>
      <xdr:col>2</xdr:col>
      <xdr:colOff>460659</xdr:colOff>
      <xdr:row>46</xdr:row>
      <xdr:rowOff>270329</xdr:rowOff>
    </xdr:to>
    <xdr:pic>
      <xdr:nvPicPr>
        <xdr:cNvPr id="171" name="Billede 170">
          <a:extLst>
            <a:ext uri="{FF2B5EF4-FFF2-40B4-BE49-F238E27FC236}">
              <a16:creationId xmlns:a16="http://schemas.microsoft.com/office/drawing/2014/main" id="{76B31D0A-6D03-4B6F-BD5B-5B28EDA4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35</xdr:row>
      <xdr:rowOff>36286</xdr:rowOff>
    </xdr:from>
    <xdr:to>
      <xdr:col>2</xdr:col>
      <xdr:colOff>460659</xdr:colOff>
      <xdr:row>35</xdr:row>
      <xdr:rowOff>270329</xdr:rowOff>
    </xdr:to>
    <xdr:pic>
      <xdr:nvPicPr>
        <xdr:cNvPr id="172" name="Billede 171">
          <a:extLst>
            <a:ext uri="{FF2B5EF4-FFF2-40B4-BE49-F238E27FC236}">
              <a16:creationId xmlns:a16="http://schemas.microsoft.com/office/drawing/2014/main" id="{A2ABE060-9FB0-4803-A7E8-338BBD60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37</xdr:row>
      <xdr:rowOff>36286</xdr:rowOff>
    </xdr:from>
    <xdr:to>
      <xdr:col>2</xdr:col>
      <xdr:colOff>460659</xdr:colOff>
      <xdr:row>37</xdr:row>
      <xdr:rowOff>270329</xdr:rowOff>
    </xdr:to>
    <xdr:pic>
      <xdr:nvPicPr>
        <xdr:cNvPr id="173" name="Billede 172">
          <a:extLst>
            <a:ext uri="{FF2B5EF4-FFF2-40B4-BE49-F238E27FC236}">
              <a16:creationId xmlns:a16="http://schemas.microsoft.com/office/drawing/2014/main" id="{CD287C3E-88B6-4697-BF15-D7DE9DA6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47</xdr:row>
      <xdr:rowOff>36286</xdr:rowOff>
    </xdr:from>
    <xdr:to>
      <xdr:col>2</xdr:col>
      <xdr:colOff>460659</xdr:colOff>
      <xdr:row>47</xdr:row>
      <xdr:rowOff>270329</xdr:rowOff>
    </xdr:to>
    <xdr:pic>
      <xdr:nvPicPr>
        <xdr:cNvPr id="174" name="Billede 173">
          <a:extLst>
            <a:ext uri="{FF2B5EF4-FFF2-40B4-BE49-F238E27FC236}">
              <a16:creationId xmlns:a16="http://schemas.microsoft.com/office/drawing/2014/main" id="{0C59A4C5-D434-475E-96BB-197F89EB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48</xdr:row>
      <xdr:rowOff>36286</xdr:rowOff>
    </xdr:from>
    <xdr:to>
      <xdr:col>2</xdr:col>
      <xdr:colOff>460659</xdr:colOff>
      <xdr:row>48</xdr:row>
      <xdr:rowOff>270329</xdr:rowOff>
    </xdr:to>
    <xdr:pic>
      <xdr:nvPicPr>
        <xdr:cNvPr id="175" name="Billede 174">
          <a:extLst>
            <a:ext uri="{FF2B5EF4-FFF2-40B4-BE49-F238E27FC236}">
              <a16:creationId xmlns:a16="http://schemas.microsoft.com/office/drawing/2014/main" id="{A5698959-F2D9-4CBA-9C75-C53BBDC4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49</xdr:row>
      <xdr:rowOff>36286</xdr:rowOff>
    </xdr:from>
    <xdr:to>
      <xdr:col>2</xdr:col>
      <xdr:colOff>460659</xdr:colOff>
      <xdr:row>49</xdr:row>
      <xdr:rowOff>270329</xdr:rowOff>
    </xdr:to>
    <xdr:pic>
      <xdr:nvPicPr>
        <xdr:cNvPr id="176" name="Billede 175">
          <a:extLst>
            <a:ext uri="{FF2B5EF4-FFF2-40B4-BE49-F238E27FC236}">
              <a16:creationId xmlns:a16="http://schemas.microsoft.com/office/drawing/2014/main" id="{FD27F8EE-B1A7-44DC-9C28-AD0F89D51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57</xdr:row>
      <xdr:rowOff>36286</xdr:rowOff>
    </xdr:from>
    <xdr:to>
      <xdr:col>2</xdr:col>
      <xdr:colOff>460659</xdr:colOff>
      <xdr:row>57</xdr:row>
      <xdr:rowOff>270329</xdr:rowOff>
    </xdr:to>
    <xdr:pic>
      <xdr:nvPicPr>
        <xdr:cNvPr id="177" name="Billede 176">
          <a:extLst>
            <a:ext uri="{FF2B5EF4-FFF2-40B4-BE49-F238E27FC236}">
              <a16:creationId xmlns:a16="http://schemas.microsoft.com/office/drawing/2014/main" id="{D029A6CE-5F59-4DC4-9DF9-267E1B9B5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50</xdr:row>
      <xdr:rowOff>36286</xdr:rowOff>
    </xdr:from>
    <xdr:to>
      <xdr:col>2</xdr:col>
      <xdr:colOff>460659</xdr:colOff>
      <xdr:row>50</xdr:row>
      <xdr:rowOff>270329</xdr:rowOff>
    </xdr:to>
    <xdr:pic>
      <xdr:nvPicPr>
        <xdr:cNvPr id="178" name="Billede 177">
          <a:extLst>
            <a:ext uri="{FF2B5EF4-FFF2-40B4-BE49-F238E27FC236}">
              <a16:creationId xmlns:a16="http://schemas.microsoft.com/office/drawing/2014/main" id="{BADAF32F-C139-432C-8270-3DA3DCD8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51</xdr:row>
      <xdr:rowOff>36286</xdr:rowOff>
    </xdr:from>
    <xdr:to>
      <xdr:col>2</xdr:col>
      <xdr:colOff>460659</xdr:colOff>
      <xdr:row>51</xdr:row>
      <xdr:rowOff>270329</xdr:rowOff>
    </xdr:to>
    <xdr:pic>
      <xdr:nvPicPr>
        <xdr:cNvPr id="179" name="Billede 178">
          <a:extLst>
            <a:ext uri="{FF2B5EF4-FFF2-40B4-BE49-F238E27FC236}">
              <a16:creationId xmlns:a16="http://schemas.microsoft.com/office/drawing/2014/main" id="{7C79BDD1-3A16-4476-AABF-AE0EB5B80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60</xdr:row>
      <xdr:rowOff>36286</xdr:rowOff>
    </xdr:from>
    <xdr:to>
      <xdr:col>2</xdr:col>
      <xdr:colOff>460659</xdr:colOff>
      <xdr:row>60</xdr:row>
      <xdr:rowOff>270329</xdr:rowOff>
    </xdr:to>
    <xdr:pic>
      <xdr:nvPicPr>
        <xdr:cNvPr id="180" name="Billede 179">
          <a:extLst>
            <a:ext uri="{FF2B5EF4-FFF2-40B4-BE49-F238E27FC236}">
              <a16:creationId xmlns:a16="http://schemas.microsoft.com/office/drawing/2014/main" id="{EFCC6205-96D0-4A5B-BBF5-0A646AB2B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61</xdr:row>
      <xdr:rowOff>36286</xdr:rowOff>
    </xdr:from>
    <xdr:to>
      <xdr:col>2</xdr:col>
      <xdr:colOff>460659</xdr:colOff>
      <xdr:row>61</xdr:row>
      <xdr:rowOff>270329</xdr:rowOff>
    </xdr:to>
    <xdr:pic>
      <xdr:nvPicPr>
        <xdr:cNvPr id="181" name="Billede 180">
          <a:extLst>
            <a:ext uri="{FF2B5EF4-FFF2-40B4-BE49-F238E27FC236}">
              <a16:creationId xmlns:a16="http://schemas.microsoft.com/office/drawing/2014/main" id="{E1C92666-FFEC-4539-90C4-E9DEE5B7C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182" name="Billede 181">
          <a:extLst>
            <a:ext uri="{FF2B5EF4-FFF2-40B4-BE49-F238E27FC236}">
              <a16:creationId xmlns:a16="http://schemas.microsoft.com/office/drawing/2014/main" id="{FF44627C-4E05-4052-A5AE-A9E1A3460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21</xdr:row>
      <xdr:rowOff>36286</xdr:rowOff>
    </xdr:from>
    <xdr:to>
      <xdr:col>2</xdr:col>
      <xdr:colOff>460659</xdr:colOff>
      <xdr:row>21</xdr:row>
      <xdr:rowOff>270329</xdr:rowOff>
    </xdr:to>
    <xdr:pic>
      <xdr:nvPicPr>
        <xdr:cNvPr id="183" name="Billede 182">
          <a:extLst>
            <a:ext uri="{FF2B5EF4-FFF2-40B4-BE49-F238E27FC236}">
              <a16:creationId xmlns:a16="http://schemas.microsoft.com/office/drawing/2014/main" id="{A34598A3-8412-40D2-84DF-9D1D5D25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22</xdr:row>
      <xdr:rowOff>36286</xdr:rowOff>
    </xdr:from>
    <xdr:to>
      <xdr:col>2</xdr:col>
      <xdr:colOff>460659</xdr:colOff>
      <xdr:row>22</xdr:row>
      <xdr:rowOff>270329</xdr:rowOff>
    </xdr:to>
    <xdr:pic>
      <xdr:nvPicPr>
        <xdr:cNvPr id="184" name="Billede 183">
          <a:extLst>
            <a:ext uri="{FF2B5EF4-FFF2-40B4-BE49-F238E27FC236}">
              <a16:creationId xmlns:a16="http://schemas.microsoft.com/office/drawing/2014/main" id="{ABB46429-8EAA-4ADE-8C47-50B8681D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42</xdr:row>
      <xdr:rowOff>36286</xdr:rowOff>
    </xdr:from>
    <xdr:to>
      <xdr:col>2</xdr:col>
      <xdr:colOff>460659</xdr:colOff>
      <xdr:row>42</xdr:row>
      <xdr:rowOff>270329</xdr:rowOff>
    </xdr:to>
    <xdr:pic>
      <xdr:nvPicPr>
        <xdr:cNvPr id="185" name="Billede 184">
          <a:extLst>
            <a:ext uri="{FF2B5EF4-FFF2-40B4-BE49-F238E27FC236}">
              <a16:creationId xmlns:a16="http://schemas.microsoft.com/office/drawing/2014/main" id="{6563C942-5D92-4763-A34C-CB3ED654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43</xdr:row>
      <xdr:rowOff>36286</xdr:rowOff>
    </xdr:from>
    <xdr:to>
      <xdr:col>2</xdr:col>
      <xdr:colOff>460659</xdr:colOff>
      <xdr:row>43</xdr:row>
      <xdr:rowOff>270329</xdr:rowOff>
    </xdr:to>
    <xdr:pic>
      <xdr:nvPicPr>
        <xdr:cNvPr id="186" name="Billede 185">
          <a:extLst>
            <a:ext uri="{FF2B5EF4-FFF2-40B4-BE49-F238E27FC236}">
              <a16:creationId xmlns:a16="http://schemas.microsoft.com/office/drawing/2014/main" id="{2B035427-B2B4-455A-BCAF-09293E54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67</xdr:row>
      <xdr:rowOff>36286</xdr:rowOff>
    </xdr:from>
    <xdr:to>
      <xdr:col>2</xdr:col>
      <xdr:colOff>460659</xdr:colOff>
      <xdr:row>67</xdr:row>
      <xdr:rowOff>270329</xdr:rowOff>
    </xdr:to>
    <xdr:pic>
      <xdr:nvPicPr>
        <xdr:cNvPr id="187" name="Billede 186">
          <a:extLst>
            <a:ext uri="{FF2B5EF4-FFF2-40B4-BE49-F238E27FC236}">
              <a16:creationId xmlns:a16="http://schemas.microsoft.com/office/drawing/2014/main" id="{BE7E3D00-3C3C-4D93-AA8A-1A5EDEAB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68</xdr:row>
      <xdr:rowOff>36286</xdr:rowOff>
    </xdr:from>
    <xdr:to>
      <xdr:col>2</xdr:col>
      <xdr:colOff>460659</xdr:colOff>
      <xdr:row>68</xdr:row>
      <xdr:rowOff>270329</xdr:rowOff>
    </xdr:to>
    <xdr:pic>
      <xdr:nvPicPr>
        <xdr:cNvPr id="188" name="Billede 187">
          <a:extLst>
            <a:ext uri="{FF2B5EF4-FFF2-40B4-BE49-F238E27FC236}">
              <a16:creationId xmlns:a16="http://schemas.microsoft.com/office/drawing/2014/main" id="{0E0B9B9F-A664-49F4-9892-9FB7124B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69</xdr:row>
      <xdr:rowOff>36286</xdr:rowOff>
    </xdr:from>
    <xdr:to>
      <xdr:col>2</xdr:col>
      <xdr:colOff>460659</xdr:colOff>
      <xdr:row>69</xdr:row>
      <xdr:rowOff>270329</xdr:rowOff>
    </xdr:to>
    <xdr:pic>
      <xdr:nvPicPr>
        <xdr:cNvPr id="189" name="Billede 188">
          <a:extLst>
            <a:ext uri="{FF2B5EF4-FFF2-40B4-BE49-F238E27FC236}">
              <a16:creationId xmlns:a16="http://schemas.microsoft.com/office/drawing/2014/main" id="{754834E6-87A3-4817-8168-E2674190E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70</xdr:row>
      <xdr:rowOff>36286</xdr:rowOff>
    </xdr:from>
    <xdr:to>
      <xdr:col>2</xdr:col>
      <xdr:colOff>460659</xdr:colOff>
      <xdr:row>70</xdr:row>
      <xdr:rowOff>270329</xdr:rowOff>
    </xdr:to>
    <xdr:pic>
      <xdr:nvPicPr>
        <xdr:cNvPr id="190" name="Billede 189">
          <a:extLst>
            <a:ext uri="{FF2B5EF4-FFF2-40B4-BE49-F238E27FC236}">
              <a16:creationId xmlns:a16="http://schemas.microsoft.com/office/drawing/2014/main" id="{83F459A6-102D-455D-9880-CA8F255C4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58</xdr:row>
      <xdr:rowOff>36286</xdr:rowOff>
    </xdr:from>
    <xdr:to>
      <xdr:col>2</xdr:col>
      <xdr:colOff>460659</xdr:colOff>
      <xdr:row>58</xdr:row>
      <xdr:rowOff>270329</xdr:rowOff>
    </xdr:to>
    <xdr:pic>
      <xdr:nvPicPr>
        <xdr:cNvPr id="191" name="Billede 190">
          <a:extLst>
            <a:ext uri="{FF2B5EF4-FFF2-40B4-BE49-F238E27FC236}">
              <a16:creationId xmlns:a16="http://schemas.microsoft.com/office/drawing/2014/main" id="{AC95E679-B6F9-4BF4-93D5-14AAEAB5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63</xdr:row>
      <xdr:rowOff>36286</xdr:rowOff>
    </xdr:from>
    <xdr:to>
      <xdr:col>2</xdr:col>
      <xdr:colOff>460659</xdr:colOff>
      <xdr:row>63</xdr:row>
      <xdr:rowOff>270329</xdr:rowOff>
    </xdr:to>
    <xdr:pic>
      <xdr:nvPicPr>
        <xdr:cNvPr id="192" name="Billede 191">
          <a:extLst>
            <a:ext uri="{FF2B5EF4-FFF2-40B4-BE49-F238E27FC236}">
              <a16:creationId xmlns:a16="http://schemas.microsoft.com/office/drawing/2014/main" id="{8CC9EF54-87A8-4E10-B5DB-A9AEDAF9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38</xdr:row>
      <xdr:rowOff>36286</xdr:rowOff>
    </xdr:from>
    <xdr:to>
      <xdr:col>2</xdr:col>
      <xdr:colOff>460659</xdr:colOff>
      <xdr:row>38</xdr:row>
      <xdr:rowOff>270329</xdr:rowOff>
    </xdr:to>
    <xdr:pic>
      <xdr:nvPicPr>
        <xdr:cNvPr id="193" name="Billede 192">
          <a:extLst>
            <a:ext uri="{FF2B5EF4-FFF2-40B4-BE49-F238E27FC236}">
              <a16:creationId xmlns:a16="http://schemas.microsoft.com/office/drawing/2014/main" id="{5AAE21FD-47D7-4580-8F9F-E99E12D7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96703" y="122359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</xdr:row>
      <xdr:rowOff>16412</xdr:rowOff>
    </xdr:from>
    <xdr:to>
      <xdr:col>2</xdr:col>
      <xdr:colOff>492761</xdr:colOff>
      <xdr:row>7</xdr:row>
      <xdr:rowOff>304800</xdr:rowOff>
    </xdr:to>
    <xdr:pic>
      <xdr:nvPicPr>
        <xdr:cNvPr id="194" name="Billede 193">
          <a:extLst>
            <a:ext uri="{FF2B5EF4-FFF2-40B4-BE49-F238E27FC236}">
              <a16:creationId xmlns:a16="http://schemas.microsoft.com/office/drawing/2014/main" id="{9E35F505-663F-45DE-B862-1B91BEB21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30</xdr:row>
      <xdr:rowOff>16412</xdr:rowOff>
    </xdr:from>
    <xdr:to>
      <xdr:col>2</xdr:col>
      <xdr:colOff>492761</xdr:colOff>
      <xdr:row>30</xdr:row>
      <xdr:rowOff>304800</xdr:rowOff>
    </xdr:to>
    <xdr:pic>
      <xdr:nvPicPr>
        <xdr:cNvPr id="195" name="Billede 194">
          <a:extLst>
            <a:ext uri="{FF2B5EF4-FFF2-40B4-BE49-F238E27FC236}">
              <a16:creationId xmlns:a16="http://schemas.microsoft.com/office/drawing/2014/main" id="{9D7A23F7-8EF1-41E1-91E9-D46F338EB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31</xdr:row>
      <xdr:rowOff>16412</xdr:rowOff>
    </xdr:from>
    <xdr:to>
      <xdr:col>2</xdr:col>
      <xdr:colOff>492761</xdr:colOff>
      <xdr:row>31</xdr:row>
      <xdr:rowOff>304800</xdr:rowOff>
    </xdr:to>
    <xdr:pic>
      <xdr:nvPicPr>
        <xdr:cNvPr id="196" name="Billede 195">
          <a:extLst>
            <a:ext uri="{FF2B5EF4-FFF2-40B4-BE49-F238E27FC236}">
              <a16:creationId xmlns:a16="http://schemas.microsoft.com/office/drawing/2014/main" id="{76B6EBB1-3E6B-4FBB-BAC7-C6865812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32</xdr:row>
      <xdr:rowOff>16412</xdr:rowOff>
    </xdr:from>
    <xdr:to>
      <xdr:col>2</xdr:col>
      <xdr:colOff>492761</xdr:colOff>
      <xdr:row>32</xdr:row>
      <xdr:rowOff>304800</xdr:rowOff>
    </xdr:to>
    <xdr:pic>
      <xdr:nvPicPr>
        <xdr:cNvPr id="197" name="Billede 196">
          <a:extLst>
            <a:ext uri="{FF2B5EF4-FFF2-40B4-BE49-F238E27FC236}">
              <a16:creationId xmlns:a16="http://schemas.microsoft.com/office/drawing/2014/main" id="{32520AA1-210F-4436-96EB-D1286D742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</xdr:row>
      <xdr:rowOff>16412</xdr:rowOff>
    </xdr:from>
    <xdr:to>
      <xdr:col>2</xdr:col>
      <xdr:colOff>492761</xdr:colOff>
      <xdr:row>10</xdr:row>
      <xdr:rowOff>304800</xdr:rowOff>
    </xdr:to>
    <xdr:pic>
      <xdr:nvPicPr>
        <xdr:cNvPr id="198" name="Billede 197">
          <a:extLst>
            <a:ext uri="{FF2B5EF4-FFF2-40B4-BE49-F238E27FC236}">
              <a16:creationId xmlns:a16="http://schemas.microsoft.com/office/drawing/2014/main" id="{EFD13A28-4422-46B5-AC07-5F86F0856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65</xdr:row>
      <xdr:rowOff>16412</xdr:rowOff>
    </xdr:from>
    <xdr:to>
      <xdr:col>2</xdr:col>
      <xdr:colOff>492761</xdr:colOff>
      <xdr:row>65</xdr:row>
      <xdr:rowOff>304800</xdr:rowOff>
    </xdr:to>
    <xdr:pic>
      <xdr:nvPicPr>
        <xdr:cNvPr id="199" name="Billede 198">
          <a:extLst>
            <a:ext uri="{FF2B5EF4-FFF2-40B4-BE49-F238E27FC236}">
              <a16:creationId xmlns:a16="http://schemas.microsoft.com/office/drawing/2014/main" id="{175B0000-7A24-4FE9-8430-3269B1162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66</xdr:row>
      <xdr:rowOff>16412</xdr:rowOff>
    </xdr:from>
    <xdr:to>
      <xdr:col>2</xdr:col>
      <xdr:colOff>492761</xdr:colOff>
      <xdr:row>66</xdr:row>
      <xdr:rowOff>304800</xdr:rowOff>
    </xdr:to>
    <xdr:pic>
      <xdr:nvPicPr>
        <xdr:cNvPr id="200" name="Billede 199">
          <a:extLst>
            <a:ext uri="{FF2B5EF4-FFF2-40B4-BE49-F238E27FC236}">
              <a16:creationId xmlns:a16="http://schemas.microsoft.com/office/drawing/2014/main" id="{63C12B1A-7C7B-4B7D-83E9-B48079DA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34</xdr:row>
      <xdr:rowOff>16412</xdr:rowOff>
    </xdr:from>
    <xdr:to>
      <xdr:col>2</xdr:col>
      <xdr:colOff>492761</xdr:colOff>
      <xdr:row>34</xdr:row>
      <xdr:rowOff>304800</xdr:rowOff>
    </xdr:to>
    <xdr:pic>
      <xdr:nvPicPr>
        <xdr:cNvPr id="201" name="Billede 200">
          <a:extLst>
            <a:ext uri="{FF2B5EF4-FFF2-40B4-BE49-F238E27FC236}">
              <a16:creationId xmlns:a16="http://schemas.microsoft.com/office/drawing/2014/main" id="{54988F2F-C8C1-48CA-A508-82CE483C1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62</xdr:row>
      <xdr:rowOff>16412</xdr:rowOff>
    </xdr:from>
    <xdr:to>
      <xdr:col>2</xdr:col>
      <xdr:colOff>492761</xdr:colOff>
      <xdr:row>62</xdr:row>
      <xdr:rowOff>304800</xdr:rowOff>
    </xdr:to>
    <xdr:pic>
      <xdr:nvPicPr>
        <xdr:cNvPr id="202" name="Billede 201">
          <a:extLst>
            <a:ext uri="{FF2B5EF4-FFF2-40B4-BE49-F238E27FC236}">
              <a16:creationId xmlns:a16="http://schemas.microsoft.com/office/drawing/2014/main" id="{5915B125-BE84-494A-9DF8-6BF3072A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</xdr:row>
      <xdr:rowOff>16412</xdr:rowOff>
    </xdr:from>
    <xdr:to>
      <xdr:col>2</xdr:col>
      <xdr:colOff>492761</xdr:colOff>
      <xdr:row>14</xdr:row>
      <xdr:rowOff>304800</xdr:rowOff>
    </xdr:to>
    <xdr:pic>
      <xdr:nvPicPr>
        <xdr:cNvPr id="203" name="Billede 202">
          <a:extLst>
            <a:ext uri="{FF2B5EF4-FFF2-40B4-BE49-F238E27FC236}">
              <a16:creationId xmlns:a16="http://schemas.microsoft.com/office/drawing/2014/main" id="{D47A4537-4DAB-40C2-BCD5-82196AAE7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40</xdr:row>
      <xdr:rowOff>16412</xdr:rowOff>
    </xdr:from>
    <xdr:to>
      <xdr:col>2</xdr:col>
      <xdr:colOff>492761</xdr:colOff>
      <xdr:row>40</xdr:row>
      <xdr:rowOff>304800</xdr:rowOff>
    </xdr:to>
    <xdr:pic>
      <xdr:nvPicPr>
        <xdr:cNvPr id="204" name="Billede 203">
          <a:extLst>
            <a:ext uri="{FF2B5EF4-FFF2-40B4-BE49-F238E27FC236}">
              <a16:creationId xmlns:a16="http://schemas.microsoft.com/office/drawing/2014/main" id="{A3FF2B3B-75F1-4EBC-8130-089EAB29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39</xdr:row>
      <xdr:rowOff>16412</xdr:rowOff>
    </xdr:from>
    <xdr:to>
      <xdr:col>2</xdr:col>
      <xdr:colOff>492761</xdr:colOff>
      <xdr:row>39</xdr:row>
      <xdr:rowOff>304800</xdr:rowOff>
    </xdr:to>
    <xdr:pic>
      <xdr:nvPicPr>
        <xdr:cNvPr id="205" name="Billede 204">
          <a:extLst>
            <a:ext uri="{FF2B5EF4-FFF2-40B4-BE49-F238E27FC236}">
              <a16:creationId xmlns:a16="http://schemas.microsoft.com/office/drawing/2014/main" id="{2D0EC4ED-E713-42A5-8830-F57B826F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36</xdr:row>
      <xdr:rowOff>16412</xdr:rowOff>
    </xdr:from>
    <xdr:to>
      <xdr:col>2</xdr:col>
      <xdr:colOff>492761</xdr:colOff>
      <xdr:row>36</xdr:row>
      <xdr:rowOff>304800</xdr:rowOff>
    </xdr:to>
    <xdr:pic>
      <xdr:nvPicPr>
        <xdr:cNvPr id="206" name="Billede 205">
          <a:extLst>
            <a:ext uri="{FF2B5EF4-FFF2-40B4-BE49-F238E27FC236}">
              <a16:creationId xmlns:a16="http://schemas.microsoft.com/office/drawing/2014/main" id="{B942B574-943A-4A0F-850F-6F7AA149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64</xdr:row>
      <xdr:rowOff>16412</xdr:rowOff>
    </xdr:from>
    <xdr:to>
      <xdr:col>2</xdr:col>
      <xdr:colOff>492761</xdr:colOff>
      <xdr:row>64</xdr:row>
      <xdr:rowOff>304800</xdr:rowOff>
    </xdr:to>
    <xdr:pic>
      <xdr:nvPicPr>
        <xdr:cNvPr id="207" name="Billede 206">
          <a:extLst>
            <a:ext uri="{FF2B5EF4-FFF2-40B4-BE49-F238E27FC236}">
              <a16:creationId xmlns:a16="http://schemas.microsoft.com/office/drawing/2014/main" id="{6088C553-0B10-47B3-8DA2-21FFCEDED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</xdr:row>
      <xdr:rowOff>16412</xdr:rowOff>
    </xdr:from>
    <xdr:to>
      <xdr:col>2</xdr:col>
      <xdr:colOff>492761</xdr:colOff>
      <xdr:row>5</xdr:row>
      <xdr:rowOff>304800</xdr:rowOff>
    </xdr:to>
    <xdr:pic>
      <xdr:nvPicPr>
        <xdr:cNvPr id="208" name="Billede 207">
          <a:extLst>
            <a:ext uri="{FF2B5EF4-FFF2-40B4-BE49-F238E27FC236}">
              <a16:creationId xmlns:a16="http://schemas.microsoft.com/office/drawing/2014/main" id="{B2A2899A-401F-4494-A30B-24D3A1A5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</xdr:row>
      <xdr:rowOff>16412</xdr:rowOff>
    </xdr:from>
    <xdr:to>
      <xdr:col>2</xdr:col>
      <xdr:colOff>492761</xdr:colOff>
      <xdr:row>8</xdr:row>
      <xdr:rowOff>304800</xdr:rowOff>
    </xdr:to>
    <xdr:pic>
      <xdr:nvPicPr>
        <xdr:cNvPr id="209" name="Billede 208">
          <a:extLst>
            <a:ext uri="{FF2B5EF4-FFF2-40B4-BE49-F238E27FC236}">
              <a16:creationId xmlns:a16="http://schemas.microsoft.com/office/drawing/2014/main" id="{F34EE137-D818-443B-99C9-E9E711A52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33</xdr:row>
      <xdr:rowOff>16412</xdr:rowOff>
    </xdr:from>
    <xdr:to>
      <xdr:col>2</xdr:col>
      <xdr:colOff>492761</xdr:colOff>
      <xdr:row>33</xdr:row>
      <xdr:rowOff>304800</xdr:rowOff>
    </xdr:to>
    <xdr:pic>
      <xdr:nvPicPr>
        <xdr:cNvPr id="210" name="Billede 209">
          <a:extLst>
            <a:ext uri="{FF2B5EF4-FFF2-40B4-BE49-F238E27FC236}">
              <a16:creationId xmlns:a16="http://schemas.microsoft.com/office/drawing/2014/main" id="{6C508A85-1318-47A5-8230-4EC1574A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41</xdr:row>
      <xdr:rowOff>16412</xdr:rowOff>
    </xdr:from>
    <xdr:to>
      <xdr:col>2</xdr:col>
      <xdr:colOff>492761</xdr:colOff>
      <xdr:row>41</xdr:row>
      <xdr:rowOff>304800</xdr:rowOff>
    </xdr:to>
    <xdr:pic>
      <xdr:nvPicPr>
        <xdr:cNvPr id="211" name="Billede 210">
          <a:extLst>
            <a:ext uri="{FF2B5EF4-FFF2-40B4-BE49-F238E27FC236}">
              <a16:creationId xmlns:a16="http://schemas.microsoft.com/office/drawing/2014/main" id="{A4F94C11-EEF7-43FF-846C-1B494315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44</xdr:row>
      <xdr:rowOff>16412</xdr:rowOff>
    </xdr:from>
    <xdr:to>
      <xdr:col>2</xdr:col>
      <xdr:colOff>492761</xdr:colOff>
      <xdr:row>44</xdr:row>
      <xdr:rowOff>304800</xdr:rowOff>
    </xdr:to>
    <xdr:pic>
      <xdr:nvPicPr>
        <xdr:cNvPr id="212" name="Billede 211">
          <a:extLst>
            <a:ext uri="{FF2B5EF4-FFF2-40B4-BE49-F238E27FC236}">
              <a16:creationId xmlns:a16="http://schemas.microsoft.com/office/drawing/2014/main" id="{58818AD8-222E-4BAF-B7EB-8880B8F0A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45</xdr:row>
      <xdr:rowOff>16412</xdr:rowOff>
    </xdr:from>
    <xdr:to>
      <xdr:col>2</xdr:col>
      <xdr:colOff>492761</xdr:colOff>
      <xdr:row>45</xdr:row>
      <xdr:rowOff>304800</xdr:rowOff>
    </xdr:to>
    <xdr:pic>
      <xdr:nvPicPr>
        <xdr:cNvPr id="213" name="Billede 212">
          <a:extLst>
            <a:ext uri="{FF2B5EF4-FFF2-40B4-BE49-F238E27FC236}">
              <a16:creationId xmlns:a16="http://schemas.microsoft.com/office/drawing/2014/main" id="{11955602-4F5F-4DDD-A0E0-8DA89D86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59</xdr:row>
      <xdr:rowOff>16412</xdr:rowOff>
    </xdr:from>
    <xdr:to>
      <xdr:col>2</xdr:col>
      <xdr:colOff>492761</xdr:colOff>
      <xdr:row>59</xdr:row>
      <xdr:rowOff>304800</xdr:rowOff>
    </xdr:to>
    <xdr:pic>
      <xdr:nvPicPr>
        <xdr:cNvPr id="214" name="Billede 213">
          <a:extLst>
            <a:ext uri="{FF2B5EF4-FFF2-40B4-BE49-F238E27FC236}">
              <a16:creationId xmlns:a16="http://schemas.microsoft.com/office/drawing/2014/main" id="{7D584B5C-F3F9-4A8D-B40D-AB0B73122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69461" y="14090552"/>
          <a:ext cx="312420" cy="288388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38DD648E-1A63-4175-9B7A-73C03ED8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55</xdr:row>
      <xdr:rowOff>36286</xdr:rowOff>
    </xdr:from>
    <xdr:to>
      <xdr:col>2</xdr:col>
      <xdr:colOff>460659</xdr:colOff>
      <xdr:row>55</xdr:row>
      <xdr:rowOff>270329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55670F1-1D6D-4830-BADF-EA646D963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08083" y="1337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56</xdr:row>
      <xdr:rowOff>36286</xdr:rowOff>
    </xdr:from>
    <xdr:to>
      <xdr:col>2</xdr:col>
      <xdr:colOff>460659</xdr:colOff>
      <xdr:row>56</xdr:row>
      <xdr:rowOff>270329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EC73845-3759-4F67-AFED-6108C79F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08083" y="1781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52</xdr:row>
      <xdr:rowOff>36286</xdr:rowOff>
    </xdr:from>
    <xdr:to>
      <xdr:col>2</xdr:col>
      <xdr:colOff>460659</xdr:colOff>
      <xdr:row>52</xdr:row>
      <xdr:rowOff>270329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1AEFD34-95CD-4B2E-9FE4-A46ADC90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08083" y="1813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53</xdr:row>
      <xdr:rowOff>36286</xdr:rowOff>
    </xdr:from>
    <xdr:to>
      <xdr:col>2</xdr:col>
      <xdr:colOff>460659</xdr:colOff>
      <xdr:row>53</xdr:row>
      <xdr:rowOff>270329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10AC62F5-BC62-4418-B1CE-2871C8A5E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08083" y="1813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54</xdr:row>
      <xdr:rowOff>36286</xdr:rowOff>
    </xdr:from>
    <xdr:to>
      <xdr:col>2</xdr:col>
      <xdr:colOff>460659</xdr:colOff>
      <xdr:row>54</xdr:row>
      <xdr:rowOff>270329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A8B9797-D742-4A17-BBF9-8C02408D0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08083" y="1813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12</xdr:row>
      <xdr:rowOff>36286</xdr:rowOff>
    </xdr:from>
    <xdr:to>
      <xdr:col>2</xdr:col>
      <xdr:colOff>460659</xdr:colOff>
      <xdr:row>12</xdr:row>
      <xdr:rowOff>270329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53A70066-EA66-46F0-A8D1-D8DA844C5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68103" y="15992566"/>
          <a:ext cx="253076" cy="142603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12</xdr:row>
      <xdr:rowOff>38101</xdr:rowOff>
    </xdr:from>
    <xdr:to>
      <xdr:col>4</xdr:col>
      <xdr:colOff>1190800</xdr:colOff>
      <xdr:row>12</xdr:row>
      <xdr:rowOff>294308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AC80CE8F-C69A-470D-AB48-4A77A5A20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3580" y="15994381"/>
          <a:ext cx="378000" cy="13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13</xdr:row>
      <xdr:rowOff>36286</xdr:rowOff>
    </xdr:from>
    <xdr:to>
      <xdr:col>2</xdr:col>
      <xdr:colOff>460659</xdr:colOff>
      <xdr:row>13</xdr:row>
      <xdr:rowOff>270329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AB2B3E2E-87F8-4E13-A915-F8BABF89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68103" y="16167826"/>
          <a:ext cx="253076" cy="142603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13</xdr:row>
      <xdr:rowOff>38101</xdr:rowOff>
    </xdr:from>
    <xdr:to>
      <xdr:col>4</xdr:col>
      <xdr:colOff>1190800</xdr:colOff>
      <xdr:row>13</xdr:row>
      <xdr:rowOff>294308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7B38F716-BC91-4663-AB6A-FAECFD967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3580" y="16169641"/>
          <a:ext cx="378000" cy="13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29</xdr:row>
      <xdr:rowOff>36286</xdr:rowOff>
    </xdr:from>
    <xdr:to>
      <xdr:col>2</xdr:col>
      <xdr:colOff>460659</xdr:colOff>
      <xdr:row>29</xdr:row>
      <xdr:rowOff>270329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1C5457D4-5D1E-43FD-9D9C-46E3C904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9183" y="1972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</xdr:row>
      <xdr:rowOff>16412</xdr:rowOff>
    </xdr:from>
    <xdr:to>
      <xdr:col>2</xdr:col>
      <xdr:colOff>492761</xdr:colOff>
      <xdr:row>15</xdr:row>
      <xdr:rowOff>304800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17C2F3EC-CBF0-4A38-ABAF-19645A78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91941" y="1874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16</xdr:row>
      <xdr:rowOff>16412</xdr:rowOff>
    </xdr:from>
    <xdr:to>
      <xdr:col>2</xdr:col>
      <xdr:colOff>492761</xdr:colOff>
      <xdr:row>16</xdr:row>
      <xdr:rowOff>304800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92BB584F-AFAB-4331-A336-C26D1654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91941" y="414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18</xdr:row>
      <xdr:rowOff>16412</xdr:rowOff>
    </xdr:from>
    <xdr:to>
      <xdr:col>2</xdr:col>
      <xdr:colOff>492761</xdr:colOff>
      <xdr:row>18</xdr:row>
      <xdr:rowOff>304800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54B67CA5-36AC-482E-BB05-E5C582B3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65601" y="784977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19</xdr:row>
      <xdr:rowOff>16412</xdr:rowOff>
    </xdr:from>
    <xdr:to>
      <xdr:col>2</xdr:col>
      <xdr:colOff>492761</xdr:colOff>
      <xdr:row>19</xdr:row>
      <xdr:rowOff>304800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D36DCECA-CD88-40F9-952B-4898F9D39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65601" y="878703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</xdr:row>
      <xdr:rowOff>16412</xdr:rowOff>
    </xdr:from>
    <xdr:to>
      <xdr:col>2</xdr:col>
      <xdr:colOff>492761</xdr:colOff>
      <xdr:row>17</xdr:row>
      <xdr:rowOff>304800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76B02855-57C0-46C1-968B-F01B5E361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65601" y="909945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6</xdr:row>
      <xdr:rowOff>43541</xdr:rowOff>
    </xdr:from>
    <xdr:to>
      <xdr:col>4</xdr:col>
      <xdr:colOff>1176428</xdr:colOff>
      <xdr:row>6</xdr:row>
      <xdr:rowOff>276059</xdr:rowOff>
    </xdr:to>
    <xdr:pic>
      <xdr:nvPicPr>
        <xdr:cNvPr id="18" name="Billede 17" descr="Dannebrog">
          <a:extLst>
            <a:ext uri="{FF2B5EF4-FFF2-40B4-BE49-F238E27FC236}">
              <a16:creationId xmlns:a16="http://schemas.microsoft.com/office/drawing/2014/main" id="{A3DFC87E-A47F-47E2-85A2-006BE996F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798128" y="89335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</xdr:row>
      <xdr:rowOff>16412</xdr:rowOff>
    </xdr:from>
    <xdr:to>
      <xdr:col>2</xdr:col>
      <xdr:colOff>492761</xdr:colOff>
      <xdr:row>6</xdr:row>
      <xdr:rowOff>304800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5B03DC0A-C2B3-4F84-93A9-B1D77081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91941" y="890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71</xdr:row>
      <xdr:rowOff>54426</xdr:rowOff>
    </xdr:from>
    <xdr:to>
      <xdr:col>4</xdr:col>
      <xdr:colOff>1176428</xdr:colOff>
      <xdr:row>71</xdr:row>
      <xdr:rowOff>286944</xdr:rowOff>
    </xdr:to>
    <xdr:pic>
      <xdr:nvPicPr>
        <xdr:cNvPr id="20" name="Billede 19" descr="Dannebrog">
          <a:extLst>
            <a:ext uri="{FF2B5EF4-FFF2-40B4-BE49-F238E27FC236}">
              <a16:creationId xmlns:a16="http://schemas.microsoft.com/office/drawing/2014/main" id="{4182D577-B78C-4385-BC11-E416EF0BC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798128" y="13244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71</xdr:row>
      <xdr:rowOff>36286</xdr:rowOff>
    </xdr:from>
    <xdr:to>
      <xdr:col>2</xdr:col>
      <xdr:colOff>460659</xdr:colOff>
      <xdr:row>71</xdr:row>
      <xdr:rowOff>270329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567F7968-FFEF-458B-8E40-8F83114E5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91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72</xdr:row>
      <xdr:rowOff>25400</xdr:rowOff>
    </xdr:from>
    <xdr:to>
      <xdr:col>2</xdr:col>
      <xdr:colOff>466403</xdr:colOff>
      <xdr:row>72</xdr:row>
      <xdr:rowOff>275524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DA3FC2CC-1B45-4EAB-AB10-8EF5BF37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89400" y="22567900"/>
          <a:ext cx="288603" cy="250124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72</xdr:row>
      <xdr:rowOff>41726</xdr:rowOff>
    </xdr:from>
    <xdr:to>
      <xdr:col>4</xdr:col>
      <xdr:colOff>1176428</xdr:colOff>
      <xdr:row>72</xdr:row>
      <xdr:rowOff>274244</xdr:rowOff>
    </xdr:to>
    <xdr:pic>
      <xdr:nvPicPr>
        <xdr:cNvPr id="23" name="Billede 22" descr="Dannebrog">
          <a:extLst>
            <a:ext uri="{FF2B5EF4-FFF2-40B4-BE49-F238E27FC236}">
              <a16:creationId xmlns:a16="http://schemas.microsoft.com/office/drawing/2014/main" id="{7FF0C1F2-9FE3-ACA0-0231-B905027D1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798128" y="225842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73</xdr:row>
      <xdr:rowOff>43545</xdr:rowOff>
    </xdr:from>
    <xdr:to>
      <xdr:col>4</xdr:col>
      <xdr:colOff>1176429</xdr:colOff>
      <xdr:row>73</xdr:row>
      <xdr:rowOff>284118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92E7570F-F92D-4953-8152-99F6056DC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798129" y="13135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73</xdr:row>
      <xdr:rowOff>36286</xdr:rowOff>
    </xdr:from>
    <xdr:to>
      <xdr:col>2</xdr:col>
      <xdr:colOff>460659</xdr:colOff>
      <xdr:row>73</xdr:row>
      <xdr:rowOff>270329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AD2AD350-64D0-44EF-9393-D6E744B7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91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74</xdr:row>
      <xdr:rowOff>54430</xdr:rowOff>
    </xdr:from>
    <xdr:to>
      <xdr:col>4</xdr:col>
      <xdr:colOff>1165542</xdr:colOff>
      <xdr:row>74</xdr:row>
      <xdr:rowOff>267824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28F938CB-7EB7-46B7-8248-75FB953D8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704"/>
        <a:stretch/>
      </xdr:blipFill>
      <xdr:spPr bwMode="auto">
        <a:xfrm>
          <a:off x="6871062" y="6325690"/>
          <a:ext cx="360000" cy="21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859973</xdr:colOff>
      <xdr:row>75</xdr:row>
      <xdr:rowOff>32603</xdr:rowOff>
    </xdr:from>
    <xdr:to>
      <xdr:col>4</xdr:col>
      <xdr:colOff>1107978</xdr:colOff>
      <xdr:row>75</xdr:row>
      <xdr:rowOff>283028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622298C8-5C85-4644-8B88-7F28EC9BF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493" y="6616283"/>
          <a:ext cx="248005" cy="25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805543</xdr:colOff>
      <xdr:row>76</xdr:row>
      <xdr:rowOff>54430</xdr:rowOff>
    </xdr:from>
    <xdr:to>
      <xdr:col>4</xdr:col>
      <xdr:colOff>1165543</xdr:colOff>
      <xdr:row>76</xdr:row>
      <xdr:rowOff>282287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EF60C0AA-F594-4BD5-BC8C-4AEBBB6CB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1063" y="695053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74</xdr:row>
      <xdr:rowOff>16412</xdr:rowOff>
    </xdr:from>
    <xdr:to>
      <xdr:col>2</xdr:col>
      <xdr:colOff>492761</xdr:colOff>
      <xdr:row>74</xdr:row>
      <xdr:rowOff>304800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3A320D2D-79D9-4A2F-85B6-4A1A3F8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65601" y="628767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75</xdr:row>
      <xdr:rowOff>16412</xdr:rowOff>
    </xdr:from>
    <xdr:to>
      <xdr:col>2</xdr:col>
      <xdr:colOff>492761</xdr:colOff>
      <xdr:row>75</xdr:row>
      <xdr:rowOff>304800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10299B38-C9A4-4742-BCC1-90AB44563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65601" y="660009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76</xdr:row>
      <xdr:rowOff>16412</xdr:rowOff>
    </xdr:from>
    <xdr:to>
      <xdr:col>2</xdr:col>
      <xdr:colOff>492761</xdr:colOff>
      <xdr:row>76</xdr:row>
      <xdr:rowOff>304800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176C8126-EDD5-4B10-962B-6051C2445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65601" y="69125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15</xdr:row>
      <xdr:rowOff>50800</xdr:rowOff>
    </xdr:from>
    <xdr:to>
      <xdr:col>4</xdr:col>
      <xdr:colOff>1176400</xdr:colOff>
      <xdr:row>15</xdr:row>
      <xdr:rowOff>295829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5C7F2D03-C94A-4640-8C31-192DEE95E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0" y="4495800"/>
          <a:ext cx="363600" cy="245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16</xdr:row>
      <xdr:rowOff>50800</xdr:rowOff>
    </xdr:from>
    <xdr:to>
      <xdr:col>4</xdr:col>
      <xdr:colOff>1176400</xdr:colOff>
      <xdr:row>16</xdr:row>
      <xdr:rowOff>295829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84C1CA77-B99C-4600-4779-C71C6A949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0" y="4813300"/>
          <a:ext cx="363600" cy="245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77</xdr:row>
      <xdr:rowOff>36286</xdr:rowOff>
    </xdr:from>
    <xdr:to>
      <xdr:col>2</xdr:col>
      <xdr:colOff>460659</xdr:colOff>
      <xdr:row>77</xdr:row>
      <xdr:rowOff>270329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04D0780C-5A71-41F7-99D5-5D807813A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38030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77</xdr:row>
      <xdr:rowOff>56245</xdr:rowOff>
    </xdr:from>
    <xdr:to>
      <xdr:col>4</xdr:col>
      <xdr:colOff>1176429</xdr:colOff>
      <xdr:row>77</xdr:row>
      <xdr:rowOff>296818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64F5A99A-EBA8-4B67-8F28-5F7F4FE2E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382302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78</xdr:row>
      <xdr:rowOff>16412</xdr:rowOff>
    </xdr:from>
    <xdr:to>
      <xdr:col>2</xdr:col>
      <xdr:colOff>492761</xdr:colOff>
      <xdr:row>78</xdr:row>
      <xdr:rowOff>304800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BA12A77F-9AA6-4CAB-882F-2199806D9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40956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78</xdr:row>
      <xdr:rowOff>56245</xdr:rowOff>
    </xdr:from>
    <xdr:to>
      <xdr:col>4</xdr:col>
      <xdr:colOff>1176429</xdr:colOff>
      <xdr:row>78</xdr:row>
      <xdr:rowOff>296818</xdr:rowOff>
    </xdr:to>
    <xdr:pic>
      <xdr:nvPicPr>
        <xdr:cNvPr id="69" name="Billede 68">
          <a:extLst>
            <a:ext uri="{FF2B5EF4-FFF2-40B4-BE49-F238E27FC236}">
              <a16:creationId xmlns:a16="http://schemas.microsoft.com/office/drawing/2014/main" id="{70E63FF0-BF25-47E1-ABA7-D35A67244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41354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79</xdr:row>
      <xdr:rowOff>56245</xdr:rowOff>
    </xdr:from>
    <xdr:to>
      <xdr:col>4</xdr:col>
      <xdr:colOff>1176429</xdr:colOff>
      <xdr:row>79</xdr:row>
      <xdr:rowOff>296818</xdr:rowOff>
    </xdr:to>
    <xdr:pic>
      <xdr:nvPicPr>
        <xdr:cNvPr id="70" name="Billede 69">
          <a:extLst>
            <a:ext uri="{FF2B5EF4-FFF2-40B4-BE49-F238E27FC236}">
              <a16:creationId xmlns:a16="http://schemas.microsoft.com/office/drawing/2014/main" id="{AB55B2D7-CE0C-4683-92B3-BBA263816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444786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80</xdr:row>
      <xdr:rowOff>56245</xdr:rowOff>
    </xdr:from>
    <xdr:to>
      <xdr:col>4</xdr:col>
      <xdr:colOff>1176429</xdr:colOff>
      <xdr:row>80</xdr:row>
      <xdr:rowOff>296818</xdr:rowOff>
    </xdr:to>
    <xdr:pic>
      <xdr:nvPicPr>
        <xdr:cNvPr id="71" name="Billede 70">
          <a:extLst>
            <a:ext uri="{FF2B5EF4-FFF2-40B4-BE49-F238E27FC236}">
              <a16:creationId xmlns:a16="http://schemas.microsoft.com/office/drawing/2014/main" id="{07802EB5-5505-4A9F-97A8-80358EC3A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476028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81</xdr:row>
      <xdr:rowOff>56245</xdr:rowOff>
    </xdr:from>
    <xdr:to>
      <xdr:col>4</xdr:col>
      <xdr:colOff>1176429</xdr:colOff>
      <xdr:row>81</xdr:row>
      <xdr:rowOff>296818</xdr:rowOff>
    </xdr:to>
    <xdr:pic>
      <xdr:nvPicPr>
        <xdr:cNvPr id="72" name="Billede 71">
          <a:extLst>
            <a:ext uri="{FF2B5EF4-FFF2-40B4-BE49-F238E27FC236}">
              <a16:creationId xmlns:a16="http://schemas.microsoft.com/office/drawing/2014/main" id="{3AB9ACAC-6E2A-408D-A100-332F18F20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507270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82</xdr:row>
      <xdr:rowOff>56245</xdr:rowOff>
    </xdr:from>
    <xdr:to>
      <xdr:col>4</xdr:col>
      <xdr:colOff>1176429</xdr:colOff>
      <xdr:row>82</xdr:row>
      <xdr:rowOff>296818</xdr:rowOff>
    </xdr:to>
    <xdr:pic>
      <xdr:nvPicPr>
        <xdr:cNvPr id="73" name="Billede 72">
          <a:extLst>
            <a:ext uri="{FF2B5EF4-FFF2-40B4-BE49-F238E27FC236}">
              <a16:creationId xmlns:a16="http://schemas.microsoft.com/office/drawing/2014/main" id="{DEA610EF-F0B6-4319-BE30-A6A6E6612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538512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83</xdr:row>
      <xdr:rowOff>56245</xdr:rowOff>
    </xdr:from>
    <xdr:to>
      <xdr:col>4</xdr:col>
      <xdr:colOff>1176429</xdr:colOff>
      <xdr:row>83</xdr:row>
      <xdr:rowOff>296818</xdr:rowOff>
    </xdr:to>
    <xdr:pic>
      <xdr:nvPicPr>
        <xdr:cNvPr id="74" name="Billede 73">
          <a:extLst>
            <a:ext uri="{FF2B5EF4-FFF2-40B4-BE49-F238E27FC236}">
              <a16:creationId xmlns:a16="http://schemas.microsoft.com/office/drawing/2014/main" id="{8FAECA26-7948-446E-9832-B64188BB4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56975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79</xdr:row>
      <xdr:rowOff>16412</xdr:rowOff>
    </xdr:from>
    <xdr:to>
      <xdr:col>2</xdr:col>
      <xdr:colOff>492761</xdr:colOff>
      <xdr:row>79</xdr:row>
      <xdr:rowOff>304800</xdr:rowOff>
    </xdr:to>
    <xdr:pic>
      <xdr:nvPicPr>
        <xdr:cNvPr id="75" name="Billede 74">
          <a:extLst>
            <a:ext uri="{FF2B5EF4-FFF2-40B4-BE49-F238E27FC236}">
              <a16:creationId xmlns:a16="http://schemas.microsoft.com/office/drawing/2014/main" id="{0634BB99-2FFE-49A6-9AE1-8D96219A7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440803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80</xdr:row>
      <xdr:rowOff>16412</xdr:rowOff>
    </xdr:from>
    <xdr:to>
      <xdr:col>2</xdr:col>
      <xdr:colOff>492761</xdr:colOff>
      <xdr:row>80</xdr:row>
      <xdr:rowOff>304800</xdr:rowOff>
    </xdr:to>
    <xdr:pic>
      <xdr:nvPicPr>
        <xdr:cNvPr id="76" name="Billede 75">
          <a:extLst>
            <a:ext uri="{FF2B5EF4-FFF2-40B4-BE49-F238E27FC236}">
              <a16:creationId xmlns:a16="http://schemas.microsoft.com/office/drawing/2014/main" id="{0C6ABDE5-918A-4A12-8F92-9A5126C34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47204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81</xdr:row>
      <xdr:rowOff>16412</xdr:rowOff>
    </xdr:from>
    <xdr:to>
      <xdr:col>2</xdr:col>
      <xdr:colOff>492761</xdr:colOff>
      <xdr:row>81</xdr:row>
      <xdr:rowOff>304800</xdr:rowOff>
    </xdr:to>
    <xdr:pic>
      <xdr:nvPicPr>
        <xdr:cNvPr id="77" name="Billede 76">
          <a:extLst>
            <a:ext uri="{FF2B5EF4-FFF2-40B4-BE49-F238E27FC236}">
              <a16:creationId xmlns:a16="http://schemas.microsoft.com/office/drawing/2014/main" id="{D25FA142-2AD9-414C-8370-10F7F2324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503287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82</xdr:row>
      <xdr:rowOff>16412</xdr:rowOff>
    </xdr:from>
    <xdr:to>
      <xdr:col>2</xdr:col>
      <xdr:colOff>492761</xdr:colOff>
      <xdr:row>82</xdr:row>
      <xdr:rowOff>304800</xdr:rowOff>
    </xdr:to>
    <xdr:pic>
      <xdr:nvPicPr>
        <xdr:cNvPr id="78" name="Billede 77">
          <a:extLst>
            <a:ext uri="{FF2B5EF4-FFF2-40B4-BE49-F238E27FC236}">
              <a16:creationId xmlns:a16="http://schemas.microsoft.com/office/drawing/2014/main" id="{39D399C3-2D1D-45B3-986A-5C9D2213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534529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83</xdr:row>
      <xdr:rowOff>16412</xdr:rowOff>
    </xdr:from>
    <xdr:to>
      <xdr:col>2</xdr:col>
      <xdr:colOff>492761</xdr:colOff>
      <xdr:row>83</xdr:row>
      <xdr:rowOff>304800</xdr:rowOff>
    </xdr:to>
    <xdr:pic>
      <xdr:nvPicPr>
        <xdr:cNvPr id="79" name="Billede 78">
          <a:extLst>
            <a:ext uri="{FF2B5EF4-FFF2-40B4-BE49-F238E27FC236}">
              <a16:creationId xmlns:a16="http://schemas.microsoft.com/office/drawing/2014/main" id="{1683260F-FD9F-434B-8814-AECE9853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56577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84</xdr:row>
      <xdr:rowOff>16412</xdr:rowOff>
    </xdr:from>
    <xdr:to>
      <xdr:col>2</xdr:col>
      <xdr:colOff>492761</xdr:colOff>
      <xdr:row>84</xdr:row>
      <xdr:rowOff>304800</xdr:rowOff>
    </xdr:to>
    <xdr:pic>
      <xdr:nvPicPr>
        <xdr:cNvPr id="80" name="Billede 79">
          <a:extLst>
            <a:ext uri="{FF2B5EF4-FFF2-40B4-BE49-F238E27FC236}">
              <a16:creationId xmlns:a16="http://schemas.microsoft.com/office/drawing/2014/main" id="{C5746D09-D927-43E5-8DA8-2A93A7AA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597013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84</xdr:row>
      <xdr:rowOff>43545</xdr:rowOff>
    </xdr:from>
    <xdr:to>
      <xdr:col>4</xdr:col>
      <xdr:colOff>1176429</xdr:colOff>
      <xdr:row>84</xdr:row>
      <xdr:rowOff>284118</xdr:rowOff>
    </xdr:to>
    <xdr:pic>
      <xdr:nvPicPr>
        <xdr:cNvPr id="81" name="Billede 80">
          <a:extLst>
            <a:ext uri="{FF2B5EF4-FFF2-40B4-BE49-F238E27FC236}">
              <a16:creationId xmlns:a16="http://schemas.microsoft.com/office/drawing/2014/main" id="{D2BF7B47-9F22-4C93-83FE-857E26F65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599726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85</xdr:row>
      <xdr:rowOff>16412</xdr:rowOff>
    </xdr:from>
    <xdr:to>
      <xdr:col>2</xdr:col>
      <xdr:colOff>492761</xdr:colOff>
      <xdr:row>85</xdr:row>
      <xdr:rowOff>304800</xdr:rowOff>
    </xdr:to>
    <xdr:pic>
      <xdr:nvPicPr>
        <xdr:cNvPr id="82" name="Billede 81">
          <a:extLst>
            <a:ext uri="{FF2B5EF4-FFF2-40B4-BE49-F238E27FC236}">
              <a16:creationId xmlns:a16="http://schemas.microsoft.com/office/drawing/2014/main" id="{D13E087F-05B8-4F49-B271-B5F7A2AC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9401" y="2628255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85</xdr:row>
      <xdr:rowOff>43545</xdr:rowOff>
    </xdr:from>
    <xdr:to>
      <xdr:col>4</xdr:col>
      <xdr:colOff>1176429</xdr:colOff>
      <xdr:row>85</xdr:row>
      <xdr:rowOff>284118</xdr:rowOff>
    </xdr:to>
    <xdr:pic>
      <xdr:nvPicPr>
        <xdr:cNvPr id="83" name="Billede 82">
          <a:extLst>
            <a:ext uri="{FF2B5EF4-FFF2-40B4-BE49-F238E27FC236}">
              <a16:creationId xmlns:a16="http://schemas.microsoft.com/office/drawing/2014/main" id="{64DFCDC9-8E1D-4A46-80F7-0C963BD61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630968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86</xdr:row>
      <xdr:rowOff>36286</xdr:rowOff>
    </xdr:from>
    <xdr:to>
      <xdr:col>2</xdr:col>
      <xdr:colOff>460659</xdr:colOff>
      <xdr:row>86</xdr:row>
      <xdr:rowOff>270329</xdr:rowOff>
    </xdr:to>
    <xdr:pic>
      <xdr:nvPicPr>
        <xdr:cNvPr id="84" name="Billede 83">
          <a:extLst>
            <a:ext uri="{FF2B5EF4-FFF2-40B4-BE49-F238E27FC236}">
              <a16:creationId xmlns:a16="http://schemas.microsoft.com/office/drawing/2014/main" id="{2E2E35CA-7884-40DE-966B-0870EE99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66148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86</xdr:row>
      <xdr:rowOff>43545</xdr:rowOff>
    </xdr:from>
    <xdr:to>
      <xdr:col>4</xdr:col>
      <xdr:colOff>1176429</xdr:colOff>
      <xdr:row>86</xdr:row>
      <xdr:rowOff>284118</xdr:rowOff>
    </xdr:to>
    <xdr:pic>
      <xdr:nvPicPr>
        <xdr:cNvPr id="85" name="Billede 84">
          <a:extLst>
            <a:ext uri="{FF2B5EF4-FFF2-40B4-BE49-F238E27FC236}">
              <a16:creationId xmlns:a16="http://schemas.microsoft.com/office/drawing/2014/main" id="{D03BAC03-61B9-42EF-AEF3-542937D40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662210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87</xdr:row>
      <xdr:rowOff>36286</xdr:rowOff>
    </xdr:from>
    <xdr:to>
      <xdr:col>2</xdr:col>
      <xdr:colOff>460659</xdr:colOff>
      <xdr:row>87</xdr:row>
      <xdr:rowOff>270329</xdr:rowOff>
    </xdr:to>
    <xdr:pic>
      <xdr:nvPicPr>
        <xdr:cNvPr id="86" name="Billede 85">
          <a:extLst>
            <a:ext uri="{FF2B5EF4-FFF2-40B4-BE49-F238E27FC236}">
              <a16:creationId xmlns:a16="http://schemas.microsoft.com/office/drawing/2014/main" id="{0DC80F18-F8A2-4581-ABB8-7E9F90883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69272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87</xdr:row>
      <xdr:rowOff>43545</xdr:rowOff>
    </xdr:from>
    <xdr:to>
      <xdr:col>4</xdr:col>
      <xdr:colOff>1176429</xdr:colOff>
      <xdr:row>87</xdr:row>
      <xdr:rowOff>284118</xdr:rowOff>
    </xdr:to>
    <xdr:pic>
      <xdr:nvPicPr>
        <xdr:cNvPr id="87" name="Billede 86">
          <a:extLst>
            <a:ext uri="{FF2B5EF4-FFF2-40B4-BE49-F238E27FC236}">
              <a16:creationId xmlns:a16="http://schemas.microsoft.com/office/drawing/2014/main" id="{6C1E93ED-7D32-461D-B9BA-FB224738F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693452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88</xdr:row>
      <xdr:rowOff>36286</xdr:rowOff>
    </xdr:from>
    <xdr:to>
      <xdr:col>2</xdr:col>
      <xdr:colOff>460659</xdr:colOff>
      <xdr:row>88</xdr:row>
      <xdr:rowOff>270329</xdr:rowOff>
    </xdr:to>
    <xdr:pic>
      <xdr:nvPicPr>
        <xdr:cNvPr id="88" name="Billede 87">
          <a:extLst>
            <a:ext uri="{FF2B5EF4-FFF2-40B4-BE49-F238E27FC236}">
              <a16:creationId xmlns:a16="http://schemas.microsoft.com/office/drawing/2014/main" id="{415C3B92-DCCE-4525-BDD8-0998A547E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72396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88</xdr:row>
      <xdr:rowOff>56245</xdr:rowOff>
    </xdr:from>
    <xdr:to>
      <xdr:col>4</xdr:col>
      <xdr:colOff>1176429</xdr:colOff>
      <xdr:row>88</xdr:row>
      <xdr:rowOff>296818</xdr:rowOff>
    </xdr:to>
    <xdr:pic>
      <xdr:nvPicPr>
        <xdr:cNvPr id="89" name="Billede 88">
          <a:extLst>
            <a:ext uri="{FF2B5EF4-FFF2-40B4-BE49-F238E27FC236}">
              <a16:creationId xmlns:a16="http://schemas.microsoft.com/office/drawing/2014/main" id="{564AB88C-EC11-4CBB-88AF-4DD1ACBF4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72596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816429</xdr:colOff>
      <xdr:row>89</xdr:row>
      <xdr:rowOff>43545</xdr:rowOff>
    </xdr:from>
    <xdr:to>
      <xdr:col>4</xdr:col>
      <xdr:colOff>1176429</xdr:colOff>
      <xdr:row>89</xdr:row>
      <xdr:rowOff>284118</xdr:rowOff>
    </xdr:to>
    <xdr:pic>
      <xdr:nvPicPr>
        <xdr:cNvPr id="90" name="Billede 89">
          <a:extLst>
            <a:ext uri="{FF2B5EF4-FFF2-40B4-BE49-F238E27FC236}">
              <a16:creationId xmlns:a16="http://schemas.microsoft.com/office/drawing/2014/main" id="{E46EEE0C-568B-4E64-8CDE-56F1BBD90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805749" y="2755936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89</xdr:row>
      <xdr:rowOff>36286</xdr:rowOff>
    </xdr:from>
    <xdr:to>
      <xdr:col>2</xdr:col>
      <xdr:colOff>460659</xdr:colOff>
      <xdr:row>89</xdr:row>
      <xdr:rowOff>270329</xdr:rowOff>
    </xdr:to>
    <xdr:pic>
      <xdr:nvPicPr>
        <xdr:cNvPr id="91" name="Billede 90">
          <a:extLst>
            <a:ext uri="{FF2B5EF4-FFF2-40B4-BE49-F238E27FC236}">
              <a16:creationId xmlns:a16="http://schemas.microsoft.com/office/drawing/2014/main" id="{2635F159-1D99-4B6C-835D-1640A6016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75521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90</xdr:row>
      <xdr:rowOff>36286</xdr:rowOff>
    </xdr:from>
    <xdr:to>
      <xdr:col>2</xdr:col>
      <xdr:colOff>460659</xdr:colOff>
      <xdr:row>90</xdr:row>
      <xdr:rowOff>270329</xdr:rowOff>
    </xdr:to>
    <xdr:pic>
      <xdr:nvPicPr>
        <xdr:cNvPr id="92" name="Billede 91">
          <a:extLst>
            <a:ext uri="{FF2B5EF4-FFF2-40B4-BE49-F238E27FC236}">
              <a16:creationId xmlns:a16="http://schemas.microsoft.com/office/drawing/2014/main" id="{CED31AC4-8A41-4361-B953-CAF3D944C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786452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91</xdr:row>
      <xdr:rowOff>36286</xdr:rowOff>
    </xdr:from>
    <xdr:to>
      <xdr:col>2</xdr:col>
      <xdr:colOff>460659</xdr:colOff>
      <xdr:row>91</xdr:row>
      <xdr:rowOff>270329</xdr:rowOff>
    </xdr:to>
    <xdr:pic>
      <xdr:nvPicPr>
        <xdr:cNvPr id="93" name="Billede 92">
          <a:extLst>
            <a:ext uri="{FF2B5EF4-FFF2-40B4-BE49-F238E27FC236}">
              <a16:creationId xmlns:a16="http://schemas.microsoft.com/office/drawing/2014/main" id="{566F336D-C4E2-4A98-9965-8F37D326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81769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91</xdr:row>
      <xdr:rowOff>36286</xdr:rowOff>
    </xdr:from>
    <xdr:to>
      <xdr:col>2</xdr:col>
      <xdr:colOff>460659</xdr:colOff>
      <xdr:row>91</xdr:row>
      <xdr:rowOff>270329</xdr:rowOff>
    </xdr:to>
    <xdr:pic>
      <xdr:nvPicPr>
        <xdr:cNvPr id="94" name="Billede 93">
          <a:extLst>
            <a:ext uri="{FF2B5EF4-FFF2-40B4-BE49-F238E27FC236}">
              <a16:creationId xmlns:a16="http://schemas.microsoft.com/office/drawing/2014/main" id="{5CEA6966-05FB-48EE-B0D3-6A6B36BFD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81769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92</xdr:row>
      <xdr:rowOff>36286</xdr:rowOff>
    </xdr:from>
    <xdr:to>
      <xdr:col>2</xdr:col>
      <xdr:colOff>460659</xdr:colOff>
      <xdr:row>92</xdr:row>
      <xdr:rowOff>270329</xdr:rowOff>
    </xdr:to>
    <xdr:pic>
      <xdr:nvPicPr>
        <xdr:cNvPr id="95" name="Billede 94">
          <a:extLst>
            <a:ext uri="{FF2B5EF4-FFF2-40B4-BE49-F238E27FC236}">
              <a16:creationId xmlns:a16="http://schemas.microsoft.com/office/drawing/2014/main" id="{D9DFE93B-3527-419F-8522-69EE45E47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84893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92</xdr:row>
      <xdr:rowOff>36286</xdr:rowOff>
    </xdr:from>
    <xdr:to>
      <xdr:col>2</xdr:col>
      <xdr:colOff>460659</xdr:colOff>
      <xdr:row>92</xdr:row>
      <xdr:rowOff>270329</xdr:rowOff>
    </xdr:to>
    <xdr:pic>
      <xdr:nvPicPr>
        <xdr:cNvPr id="96" name="Billede 95">
          <a:extLst>
            <a:ext uri="{FF2B5EF4-FFF2-40B4-BE49-F238E27FC236}">
              <a16:creationId xmlns:a16="http://schemas.microsoft.com/office/drawing/2014/main" id="{EA8C32D3-63BA-41A1-ABB0-F9E1B62FE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84893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93</xdr:row>
      <xdr:rowOff>36286</xdr:rowOff>
    </xdr:from>
    <xdr:to>
      <xdr:col>2</xdr:col>
      <xdr:colOff>460659</xdr:colOff>
      <xdr:row>93</xdr:row>
      <xdr:rowOff>270329</xdr:rowOff>
    </xdr:to>
    <xdr:pic>
      <xdr:nvPicPr>
        <xdr:cNvPr id="97" name="Billede 96">
          <a:extLst>
            <a:ext uri="{FF2B5EF4-FFF2-40B4-BE49-F238E27FC236}">
              <a16:creationId xmlns:a16="http://schemas.microsoft.com/office/drawing/2014/main" id="{5AD69F91-185B-412A-8BD6-13BC2FD5A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8801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93</xdr:row>
      <xdr:rowOff>36286</xdr:rowOff>
    </xdr:from>
    <xdr:to>
      <xdr:col>2</xdr:col>
      <xdr:colOff>460659</xdr:colOff>
      <xdr:row>93</xdr:row>
      <xdr:rowOff>270329</xdr:rowOff>
    </xdr:to>
    <xdr:pic>
      <xdr:nvPicPr>
        <xdr:cNvPr id="98" name="Billede 97">
          <a:extLst>
            <a:ext uri="{FF2B5EF4-FFF2-40B4-BE49-F238E27FC236}">
              <a16:creationId xmlns:a16="http://schemas.microsoft.com/office/drawing/2014/main" id="{2F15CA50-C259-4DDB-BA12-89C910B5E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8801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94</xdr:row>
      <xdr:rowOff>36286</xdr:rowOff>
    </xdr:from>
    <xdr:to>
      <xdr:col>2</xdr:col>
      <xdr:colOff>460659</xdr:colOff>
      <xdr:row>94</xdr:row>
      <xdr:rowOff>270329</xdr:rowOff>
    </xdr:to>
    <xdr:pic>
      <xdr:nvPicPr>
        <xdr:cNvPr id="99" name="Billede 98">
          <a:extLst>
            <a:ext uri="{FF2B5EF4-FFF2-40B4-BE49-F238E27FC236}">
              <a16:creationId xmlns:a16="http://schemas.microsoft.com/office/drawing/2014/main" id="{111341BC-DF48-42EE-AF76-981A276D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9114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94</xdr:row>
      <xdr:rowOff>36286</xdr:rowOff>
    </xdr:from>
    <xdr:to>
      <xdr:col>2</xdr:col>
      <xdr:colOff>460659</xdr:colOff>
      <xdr:row>94</xdr:row>
      <xdr:rowOff>270329</xdr:rowOff>
    </xdr:to>
    <xdr:pic>
      <xdr:nvPicPr>
        <xdr:cNvPr id="100" name="Billede 99">
          <a:extLst>
            <a:ext uri="{FF2B5EF4-FFF2-40B4-BE49-F238E27FC236}">
              <a16:creationId xmlns:a16="http://schemas.microsoft.com/office/drawing/2014/main" id="{3C71FC5C-A32B-4661-AEC1-CD680430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911420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95</xdr:row>
      <xdr:rowOff>36286</xdr:rowOff>
    </xdr:from>
    <xdr:to>
      <xdr:col>2</xdr:col>
      <xdr:colOff>460659</xdr:colOff>
      <xdr:row>95</xdr:row>
      <xdr:rowOff>270329</xdr:rowOff>
    </xdr:to>
    <xdr:pic>
      <xdr:nvPicPr>
        <xdr:cNvPr id="101" name="Billede 100">
          <a:extLst>
            <a:ext uri="{FF2B5EF4-FFF2-40B4-BE49-F238E27FC236}">
              <a16:creationId xmlns:a16="http://schemas.microsoft.com/office/drawing/2014/main" id="{17020DB9-00B9-4188-8888-E965A71F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942662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95</xdr:row>
      <xdr:rowOff>36286</xdr:rowOff>
    </xdr:from>
    <xdr:to>
      <xdr:col>2</xdr:col>
      <xdr:colOff>460659</xdr:colOff>
      <xdr:row>95</xdr:row>
      <xdr:rowOff>270329</xdr:rowOff>
    </xdr:to>
    <xdr:pic>
      <xdr:nvPicPr>
        <xdr:cNvPr id="102" name="Billede 101">
          <a:extLst>
            <a:ext uri="{FF2B5EF4-FFF2-40B4-BE49-F238E27FC236}">
              <a16:creationId xmlns:a16="http://schemas.microsoft.com/office/drawing/2014/main" id="{16E25167-D209-4BAA-8666-7FBF2E9B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942662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96</xdr:row>
      <xdr:rowOff>36286</xdr:rowOff>
    </xdr:from>
    <xdr:to>
      <xdr:col>2</xdr:col>
      <xdr:colOff>460659</xdr:colOff>
      <xdr:row>96</xdr:row>
      <xdr:rowOff>270329</xdr:rowOff>
    </xdr:to>
    <xdr:pic>
      <xdr:nvPicPr>
        <xdr:cNvPr id="103" name="Billede 102">
          <a:extLst>
            <a:ext uri="{FF2B5EF4-FFF2-40B4-BE49-F238E27FC236}">
              <a16:creationId xmlns:a16="http://schemas.microsoft.com/office/drawing/2014/main" id="{62FC6067-B0C8-4F74-9857-1825C655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297390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96</xdr:row>
      <xdr:rowOff>56244</xdr:rowOff>
    </xdr:from>
    <xdr:to>
      <xdr:col>4</xdr:col>
      <xdr:colOff>1165542</xdr:colOff>
      <xdr:row>96</xdr:row>
      <xdr:rowOff>284101</xdr:rowOff>
    </xdr:to>
    <xdr:pic>
      <xdr:nvPicPr>
        <xdr:cNvPr id="104" name="Billede 103">
          <a:extLst>
            <a:ext uri="{FF2B5EF4-FFF2-40B4-BE49-F238E27FC236}">
              <a16:creationId xmlns:a16="http://schemas.microsoft.com/office/drawing/2014/main" id="{FFC312A3-F181-4C0E-AD06-46C5BB9D3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2975900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97</xdr:row>
      <xdr:rowOff>36286</xdr:rowOff>
    </xdr:from>
    <xdr:to>
      <xdr:col>2</xdr:col>
      <xdr:colOff>460659</xdr:colOff>
      <xdr:row>97</xdr:row>
      <xdr:rowOff>270329</xdr:rowOff>
    </xdr:to>
    <xdr:pic>
      <xdr:nvPicPr>
        <xdr:cNvPr id="105" name="Billede 104">
          <a:extLst>
            <a:ext uri="{FF2B5EF4-FFF2-40B4-BE49-F238E27FC236}">
              <a16:creationId xmlns:a16="http://schemas.microsoft.com/office/drawing/2014/main" id="{A2C1BD4C-C95D-4B95-B5C9-C4326BBE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00514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97</xdr:row>
      <xdr:rowOff>56244</xdr:rowOff>
    </xdr:from>
    <xdr:to>
      <xdr:col>4</xdr:col>
      <xdr:colOff>1165542</xdr:colOff>
      <xdr:row>97</xdr:row>
      <xdr:rowOff>284101</xdr:rowOff>
    </xdr:to>
    <xdr:pic>
      <xdr:nvPicPr>
        <xdr:cNvPr id="106" name="Billede 105">
          <a:extLst>
            <a:ext uri="{FF2B5EF4-FFF2-40B4-BE49-F238E27FC236}">
              <a16:creationId xmlns:a16="http://schemas.microsoft.com/office/drawing/2014/main" id="{EB20A66E-F30A-43A8-982C-34D30E537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007142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98</xdr:row>
      <xdr:rowOff>36286</xdr:rowOff>
    </xdr:from>
    <xdr:to>
      <xdr:col>2</xdr:col>
      <xdr:colOff>460659</xdr:colOff>
      <xdr:row>98</xdr:row>
      <xdr:rowOff>270329</xdr:rowOff>
    </xdr:to>
    <xdr:pic>
      <xdr:nvPicPr>
        <xdr:cNvPr id="107" name="Billede 106">
          <a:extLst>
            <a:ext uri="{FF2B5EF4-FFF2-40B4-BE49-F238E27FC236}">
              <a16:creationId xmlns:a16="http://schemas.microsoft.com/office/drawing/2014/main" id="{149C074D-C25C-4E68-998C-2EBF5243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03638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98</xdr:row>
      <xdr:rowOff>56244</xdr:rowOff>
    </xdr:from>
    <xdr:to>
      <xdr:col>4</xdr:col>
      <xdr:colOff>1165542</xdr:colOff>
      <xdr:row>98</xdr:row>
      <xdr:rowOff>284101</xdr:rowOff>
    </xdr:to>
    <xdr:pic>
      <xdr:nvPicPr>
        <xdr:cNvPr id="108" name="Billede 107">
          <a:extLst>
            <a:ext uri="{FF2B5EF4-FFF2-40B4-BE49-F238E27FC236}">
              <a16:creationId xmlns:a16="http://schemas.microsoft.com/office/drawing/2014/main" id="{6824CAA6-859D-418A-B7E5-4437F0C9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03838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99</xdr:row>
      <xdr:rowOff>36286</xdr:rowOff>
    </xdr:from>
    <xdr:to>
      <xdr:col>2</xdr:col>
      <xdr:colOff>460659</xdr:colOff>
      <xdr:row>99</xdr:row>
      <xdr:rowOff>270329</xdr:rowOff>
    </xdr:to>
    <xdr:pic>
      <xdr:nvPicPr>
        <xdr:cNvPr id="109" name="Billede 108">
          <a:extLst>
            <a:ext uri="{FF2B5EF4-FFF2-40B4-BE49-F238E27FC236}">
              <a16:creationId xmlns:a16="http://schemas.microsoft.com/office/drawing/2014/main" id="{C6956B16-228D-486C-BF1C-ABF4217C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067630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99</xdr:row>
      <xdr:rowOff>56244</xdr:rowOff>
    </xdr:from>
    <xdr:to>
      <xdr:col>4</xdr:col>
      <xdr:colOff>1165542</xdr:colOff>
      <xdr:row>99</xdr:row>
      <xdr:rowOff>284101</xdr:rowOff>
    </xdr:to>
    <xdr:pic>
      <xdr:nvPicPr>
        <xdr:cNvPr id="110" name="Billede 109">
          <a:extLst>
            <a:ext uri="{FF2B5EF4-FFF2-40B4-BE49-F238E27FC236}">
              <a16:creationId xmlns:a16="http://schemas.microsoft.com/office/drawing/2014/main" id="{8DE68502-6D95-46BB-B661-2D3DE389A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069626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100</xdr:row>
      <xdr:rowOff>36286</xdr:rowOff>
    </xdr:from>
    <xdr:to>
      <xdr:col>2</xdr:col>
      <xdr:colOff>460659</xdr:colOff>
      <xdr:row>100</xdr:row>
      <xdr:rowOff>270329</xdr:rowOff>
    </xdr:to>
    <xdr:pic>
      <xdr:nvPicPr>
        <xdr:cNvPr id="111" name="Billede 110">
          <a:extLst>
            <a:ext uri="{FF2B5EF4-FFF2-40B4-BE49-F238E27FC236}">
              <a16:creationId xmlns:a16="http://schemas.microsoft.com/office/drawing/2014/main" id="{62C61BE2-7226-40E2-B45B-2C1891F6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098872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100</xdr:row>
      <xdr:rowOff>56244</xdr:rowOff>
    </xdr:from>
    <xdr:to>
      <xdr:col>4</xdr:col>
      <xdr:colOff>1165542</xdr:colOff>
      <xdr:row>100</xdr:row>
      <xdr:rowOff>284101</xdr:rowOff>
    </xdr:to>
    <xdr:pic>
      <xdr:nvPicPr>
        <xdr:cNvPr id="116" name="Billede 115">
          <a:extLst>
            <a:ext uri="{FF2B5EF4-FFF2-40B4-BE49-F238E27FC236}">
              <a16:creationId xmlns:a16="http://schemas.microsoft.com/office/drawing/2014/main" id="{068A8CF9-B7BF-4BC7-B07B-27A3C0BA6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100868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101</xdr:row>
      <xdr:rowOff>36286</xdr:rowOff>
    </xdr:from>
    <xdr:to>
      <xdr:col>2</xdr:col>
      <xdr:colOff>460659</xdr:colOff>
      <xdr:row>101</xdr:row>
      <xdr:rowOff>270329</xdr:rowOff>
    </xdr:to>
    <xdr:pic>
      <xdr:nvPicPr>
        <xdr:cNvPr id="119" name="Billede 118">
          <a:extLst>
            <a:ext uri="{FF2B5EF4-FFF2-40B4-BE49-F238E27FC236}">
              <a16:creationId xmlns:a16="http://schemas.microsoft.com/office/drawing/2014/main" id="{D2A63CB1-A029-4C09-B6BC-6C6F270B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13011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101</xdr:row>
      <xdr:rowOff>56244</xdr:rowOff>
    </xdr:from>
    <xdr:to>
      <xdr:col>4</xdr:col>
      <xdr:colOff>1165542</xdr:colOff>
      <xdr:row>101</xdr:row>
      <xdr:rowOff>284101</xdr:rowOff>
    </xdr:to>
    <xdr:pic>
      <xdr:nvPicPr>
        <xdr:cNvPr id="120" name="Billede 119">
          <a:extLst>
            <a:ext uri="{FF2B5EF4-FFF2-40B4-BE49-F238E27FC236}">
              <a16:creationId xmlns:a16="http://schemas.microsoft.com/office/drawing/2014/main" id="{EF76879A-031E-4218-B5D6-6B9A2FFB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132110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102</xdr:row>
      <xdr:rowOff>36286</xdr:rowOff>
    </xdr:from>
    <xdr:to>
      <xdr:col>2</xdr:col>
      <xdr:colOff>460659</xdr:colOff>
      <xdr:row>102</xdr:row>
      <xdr:rowOff>270329</xdr:rowOff>
    </xdr:to>
    <xdr:pic>
      <xdr:nvPicPr>
        <xdr:cNvPr id="121" name="Billede 120">
          <a:extLst>
            <a:ext uri="{FF2B5EF4-FFF2-40B4-BE49-F238E27FC236}">
              <a16:creationId xmlns:a16="http://schemas.microsoft.com/office/drawing/2014/main" id="{D677B402-D96C-453B-B224-D2D31DD7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16135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102</xdr:row>
      <xdr:rowOff>56244</xdr:rowOff>
    </xdr:from>
    <xdr:to>
      <xdr:col>4</xdr:col>
      <xdr:colOff>1165542</xdr:colOff>
      <xdr:row>102</xdr:row>
      <xdr:rowOff>284101</xdr:rowOff>
    </xdr:to>
    <xdr:pic>
      <xdr:nvPicPr>
        <xdr:cNvPr id="122" name="Billede 121">
          <a:extLst>
            <a:ext uri="{FF2B5EF4-FFF2-40B4-BE49-F238E27FC236}">
              <a16:creationId xmlns:a16="http://schemas.microsoft.com/office/drawing/2014/main" id="{2A74D073-F289-4F2E-A81E-3B72BBE23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163352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103</xdr:row>
      <xdr:rowOff>36286</xdr:rowOff>
    </xdr:from>
    <xdr:to>
      <xdr:col>2</xdr:col>
      <xdr:colOff>460659</xdr:colOff>
      <xdr:row>103</xdr:row>
      <xdr:rowOff>270329</xdr:rowOff>
    </xdr:to>
    <xdr:pic>
      <xdr:nvPicPr>
        <xdr:cNvPr id="123" name="Billede 122">
          <a:extLst>
            <a:ext uri="{FF2B5EF4-FFF2-40B4-BE49-F238E27FC236}">
              <a16:creationId xmlns:a16="http://schemas.microsoft.com/office/drawing/2014/main" id="{16D47D58-812D-4AA5-8097-2BC1EBCFA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19259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103</xdr:row>
      <xdr:rowOff>56244</xdr:rowOff>
    </xdr:from>
    <xdr:to>
      <xdr:col>4</xdr:col>
      <xdr:colOff>1165542</xdr:colOff>
      <xdr:row>103</xdr:row>
      <xdr:rowOff>284101</xdr:rowOff>
    </xdr:to>
    <xdr:pic>
      <xdr:nvPicPr>
        <xdr:cNvPr id="124" name="Billede 123">
          <a:extLst>
            <a:ext uri="{FF2B5EF4-FFF2-40B4-BE49-F238E27FC236}">
              <a16:creationId xmlns:a16="http://schemas.microsoft.com/office/drawing/2014/main" id="{928FB1E1-EA96-4B7D-94E7-D20393A0F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19459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104</xdr:row>
      <xdr:rowOff>36286</xdr:rowOff>
    </xdr:from>
    <xdr:to>
      <xdr:col>2</xdr:col>
      <xdr:colOff>460659</xdr:colOff>
      <xdr:row>104</xdr:row>
      <xdr:rowOff>270329</xdr:rowOff>
    </xdr:to>
    <xdr:pic>
      <xdr:nvPicPr>
        <xdr:cNvPr id="127" name="Billede 126">
          <a:extLst>
            <a:ext uri="{FF2B5EF4-FFF2-40B4-BE49-F238E27FC236}">
              <a16:creationId xmlns:a16="http://schemas.microsoft.com/office/drawing/2014/main" id="{E35D3275-3169-453C-9F9D-E502D56EF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223840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104</xdr:row>
      <xdr:rowOff>56244</xdr:rowOff>
    </xdr:from>
    <xdr:to>
      <xdr:col>4</xdr:col>
      <xdr:colOff>1165542</xdr:colOff>
      <xdr:row>104</xdr:row>
      <xdr:rowOff>284101</xdr:rowOff>
    </xdr:to>
    <xdr:pic>
      <xdr:nvPicPr>
        <xdr:cNvPr id="129" name="Billede 128">
          <a:extLst>
            <a:ext uri="{FF2B5EF4-FFF2-40B4-BE49-F238E27FC236}">
              <a16:creationId xmlns:a16="http://schemas.microsoft.com/office/drawing/2014/main" id="{75A86F1A-7B99-4E78-A019-E8E6BA4C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225836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105</xdr:row>
      <xdr:rowOff>36286</xdr:rowOff>
    </xdr:from>
    <xdr:to>
      <xdr:col>2</xdr:col>
      <xdr:colOff>460659</xdr:colOff>
      <xdr:row>105</xdr:row>
      <xdr:rowOff>270329</xdr:rowOff>
    </xdr:to>
    <xdr:pic>
      <xdr:nvPicPr>
        <xdr:cNvPr id="130" name="Billede 129">
          <a:extLst>
            <a:ext uri="{FF2B5EF4-FFF2-40B4-BE49-F238E27FC236}">
              <a16:creationId xmlns:a16="http://schemas.microsoft.com/office/drawing/2014/main" id="{71653A4D-3F79-4CDE-8C48-D1AEF78B9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255082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105</xdr:row>
      <xdr:rowOff>56244</xdr:rowOff>
    </xdr:from>
    <xdr:to>
      <xdr:col>4</xdr:col>
      <xdr:colOff>1165542</xdr:colOff>
      <xdr:row>105</xdr:row>
      <xdr:rowOff>284101</xdr:rowOff>
    </xdr:to>
    <xdr:pic>
      <xdr:nvPicPr>
        <xdr:cNvPr id="135" name="Billede 134">
          <a:extLst>
            <a:ext uri="{FF2B5EF4-FFF2-40B4-BE49-F238E27FC236}">
              <a16:creationId xmlns:a16="http://schemas.microsoft.com/office/drawing/2014/main" id="{F3732116-F684-44B8-B88B-BE10C53B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257078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106</xdr:row>
      <xdr:rowOff>36286</xdr:rowOff>
    </xdr:from>
    <xdr:to>
      <xdr:col>2</xdr:col>
      <xdr:colOff>460659</xdr:colOff>
      <xdr:row>106</xdr:row>
      <xdr:rowOff>270329</xdr:rowOff>
    </xdr:to>
    <xdr:pic>
      <xdr:nvPicPr>
        <xdr:cNvPr id="136" name="Billede 135">
          <a:extLst>
            <a:ext uri="{FF2B5EF4-FFF2-40B4-BE49-F238E27FC236}">
              <a16:creationId xmlns:a16="http://schemas.microsoft.com/office/drawing/2014/main" id="{345BB601-4260-4B2C-94C9-A16BD620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28632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106</xdr:row>
      <xdr:rowOff>56244</xdr:rowOff>
    </xdr:from>
    <xdr:to>
      <xdr:col>4</xdr:col>
      <xdr:colOff>1165542</xdr:colOff>
      <xdr:row>106</xdr:row>
      <xdr:rowOff>284101</xdr:rowOff>
    </xdr:to>
    <xdr:pic>
      <xdr:nvPicPr>
        <xdr:cNvPr id="137" name="Billede 136">
          <a:extLst>
            <a:ext uri="{FF2B5EF4-FFF2-40B4-BE49-F238E27FC236}">
              <a16:creationId xmlns:a16="http://schemas.microsoft.com/office/drawing/2014/main" id="{224948ED-16CB-4935-AAF5-CDF8EFDFC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288320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107</xdr:row>
      <xdr:rowOff>36286</xdr:rowOff>
    </xdr:from>
    <xdr:to>
      <xdr:col>2</xdr:col>
      <xdr:colOff>460659</xdr:colOff>
      <xdr:row>107</xdr:row>
      <xdr:rowOff>270329</xdr:rowOff>
    </xdr:to>
    <xdr:pic>
      <xdr:nvPicPr>
        <xdr:cNvPr id="138" name="Billede 137">
          <a:extLst>
            <a:ext uri="{FF2B5EF4-FFF2-40B4-BE49-F238E27FC236}">
              <a16:creationId xmlns:a16="http://schemas.microsoft.com/office/drawing/2014/main" id="{12DB6E1A-DC04-4789-8319-F234B43A0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317566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107</xdr:row>
      <xdr:rowOff>56244</xdr:rowOff>
    </xdr:from>
    <xdr:to>
      <xdr:col>4</xdr:col>
      <xdr:colOff>1165542</xdr:colOff>
      <xdr:row>107</xdr:row>
      <xdr:rowOff>284101</xdr:rowOff>
    </xdr:to>
    <xdr:pic>
      <xdr:nvPicPr>
        <xdr:cNvPr id="139" name="Billede 138">
          <a:extLst>
            <a:ext uri="{FF2B5EF4-FFF2-40B4-BE49-F238E27FC236}">
              <a16:creationId xmlns:a16="http://schemas.microsoft.com/office/drawing/2014/main" id="{C6C627D6-7E87-4180-BE17-2FBA9DD64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319562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108</xdr:row>
      <xdr:rowOff>36286</xdr:rowOff>
    </xdr:from>
    <xdr:to>
      <xdr:col>2</xdr:col>
      <xdr:colOff>460659</xdr:colOff>
      <xdr:row>108</xdr:row>
      <xdr:rowOff>270329</xdr:rowOff>
    </xdr:to>
    <xdr:pic>
      <xdr:nvPicPr>
        <xdr:cNvPr id="140" name="Billede 139">
          <a:extLst>
            <a:ext uri="{FF2B5EF4-FFF2-40B4-BE49-F238E27FC236}">
              <a16:creationId xmlns:a16="http://schemas.microsoft.com/office/drawing/2014/main" id="{76795A1D-FB82-4926-938E-8690ECCB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6643" y="334880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805542</xdr:colOff>
      <xdr:row>108</xdr:row>
      <xdr:rowOff>56244</xdr:rowOff>
    </xdr:from>
    <xdr:to>
      <xdr:col>4</xdr:col>
      <xdr:colOff>1165542</xdr:colOff>
      <xdr:row>108</xdr:row>
      <xdr:rowOff>284101</xdr:rowOff>
    </xdr:to>
    <xdr:pic>
      <xdr:nvPicPr>
        <xdr:cNvPr id="141" name="Billede 140">
          <a:extLst>
            <a:ext uri="{FF2B5EF4-FFF2-40B4-BE49-F238E27FC236}">
              <a16:creationId xmlns:a16="http://schemas.microsoft.com/office/drawing/2014/main" id="{C9352378-C47A-41C5-8DC2-AB8B0B4B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862" y="33508044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892630</xdr:colOff>
      <xdr:row>5</xdr:row>
      <xdr:rowOff>43543</xdr:rowOff>
    </xdr:from>
    <xdr:to>
      <xdr:col>4</xdr:col>
      <xdr:colOff>1252630</xdr:colOff>
      <xdr:row>5</xdr:row>
      <xdr:rowOff>276061</xdr:rowOff>
    </xdr:to>
    <xdr:pic>
      <xdr:nvPicPr>
        <xdr:cNvPr id="17" name="Billede 16" descr="Dannebrog">
          <a:extLst>
            <a:ext uri="{FF2B5EF4-FFF2-40B4-BE49-F238E27FC236}">
              <a16:creationId xmlns:a16="http://schemas.microsoft.com/office/drawing/2014/main" id="{87F57F49-D941-4E1C-8A6D-5034FEE02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21287" y="903514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892631</xdr:colOff>
      <xdr:row>6</xdr:row>
      <xdr:rowOff>57786</xdr:rowOff>
    </xdr:from>
    <xdr:to>
      <xdr:col>4</xdr:col>
      <xdr:colOff>1252631</xdr:colOff>
      <xdr:row>6</xdr:row>
      <xdr:rowOff>276364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0CAE2509-B483-4D7B-9652-3A35D85A7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8" y="1233443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892631</xdr:colOff>
      <xdr:row>7</xdr:row>
      <xdr:rowOff>46900</xdr:rowOff>
    </xdr:from>
    <xdr:to>
      <xdr:col>4</xdr:col>
      <xdr:colOff>1252631</xdr:colOff>
      <xdr:row>7</xdr:row>
      <xdr:rowOff>265478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4F299CAE-5316-EA4E-80B4-F49F4BF5E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8" y="1538243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892631</xdr:colOff>
      <xdr:row>8</xdr:row>
      <xdr:rowOff>68671</xdr:rowOff>
    </xdr:from>
    <xdr:to>
      <xdr:col>4</xdr:col>
      <xdr:colOff>1252631</xdr:colOff>
      <xdr:row>8</xdr:row>
      <xdr:rowOff>287249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6A5CE409-9C02-D491-67F6-52C6BC045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8" y="1875700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17</xdr:row>
      <xdr:rowOff>43540</xdr:rowOff>
    </xdr:from>
    <xdr:to>
      <xdr:col>4</xdr:col>
      <xdr:colOff>1252629</xdr:colOff>
      <xdr:row>17</xdr:row>
      <xdr:rowOff>269985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604BE111-41AA-40A0-8432-F17C945FB5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7021286" y="4691740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903516</xdr:colOff>
      <xdr:row>18</xdr:row>
      <xdr:rowOff>44378</xdr:rowOff>
    </xdr:from>
    <xdr:to>
      <xdr:col>4</xdr:col>
      <xdr:colOff>1263516</xdr:colOff>
      <xdr:row>18</xdr:row>
      <xdr:rowOff>284951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5A82EFCA-30F9-48CA-B9D7-54E067924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032173" y="5008264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947057</xdr:colOff>
      <xdr:row>15</xdr:row>
      <xdr:rowOff>32652</xdr:rowOff>
    </xdr:from>
    <xdr:to>
      <xdr:col>4</xdr:col>
      <xdr:colOff>1195062</xdr:colOff>
      <xdr:row>15</xdr:row>
      <xdr:rowOff>283077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0FF8406A-63E2-4E25-9F19-959C854B5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14" y="4049481"/>
          <a:ext cx="248005" cy="25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947057</xdr:colOff>
      <xdr:row>14</xdr:row>
      <xdr:rowOff>32652</xdr:rowOff>
    </xdr:from>
    <xdr:to>
      <xdr:col>4</xdr:col>
      <xdr:colOff>1195062</xdr:colOff>
      <xdr:row>14</xdr:row>
      <xdr:rowOff>283077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25F5E134-645C-3429-3B86-C1D172084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14" y="3733795"/>
          <a:ext cx="248005" cy="25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9</xdr:row>
      <xdr:rowOff>43546</xdr:rowOff>
    </xdr:from>
    <xdr:to>
      <xdr:col>4</xdr:col>
      <xdr:colOff>1252629</xdr:colOff>
      <xdr:row>9</xdr:row>
      <xdr:rowOff>285860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14F4DCFF-1F0C-51BF-0CC9-ED438EE74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2166260"/>
          <a:ext cx="360000" cy="24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10</xdr:row>
      <xdr:rowOff>43546</xdr:rowOff>
    </xdr:from>
    <xdr:to>
      <xdr:col>4</xdr:col>
      <xdr:colOff>1252629</xdr:colOff>
      <xdr:row>10</xdr:row>
      <xdr:rowOff>285860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B311BE93-EC79-CCC5-3B6E-BF6F67CAC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2481946"/>
          <a:ext cx="360000" cy="24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11</xdr:row>
      <xdr:rowOff>43545</xdr:rowOff>
    </xdr:from>
    <xdr:to>
      <xdr:col>4</xdr:col>
      <xdr:colOff>1252629</xdr:colOff>
      <xdr:row>11</xdr:row>
      <xdr:rowOff>285859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DBAC62FC-77FC-CB56-B10B-0B254DA60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2797631"/>
          <a:ext cx="360000" cy="24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12</xdr:row>
      <xdr:rowOff>43546</xdr:rowOff>
    </xdr:from>
    <xdr:to>
      <xdr:col>4</xdr:col>
      <xdr:colOff>1252629</xdr:colOff>
      <xdr:row>12</xdr:row>
      <xdr:rowOff>285860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F890125D-167E-9DDA-2D01-163025865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3113317"/>
          <a:ext cx="360000" cy="24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13</xdr:row>
      <xdr:rowOff>43546</xdr:rowOff>
    </xdr:from>
    <xdr:to>
      <xdr:col>4</xdr:col>
      <xdr:colOff>1252629</xdr:colOff>
      <xdr:row>13</xdr:row>
      <xdr:rowOff>285860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2489DC31-D6FC-F7DD-7A02-73AD5C8B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3429003"/>
          <a:ext cx="360000" cy="24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19</xdr:row>
      <xdr:rowOff>43546</xdr:rowOff>
    </xdr:from>
    <xdr:to>
      <xdr:col>4</xdr:col>
      <xdr:colOff>1252629</xdr:colOff>
      <xdr:row>19</xdr:row>
      <xdr:rowOff>285860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BD400738-D42B-40A8-8A26-CCD257FEF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3113317"/>
          <a:ext cx="360000" cy="24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892629</xdr:colOff>
      <xdr:row>20</xdr:row>
      <xdr:rowOff>43546</xdr:rowOff>
    </xdr:from>
    <xdr:to>
      <xdr:col>4</xdr:col>
      <xdr:colOff>1252629</xdr:colOff>
      <xdr:row>20</xdr:row>
      <xdr:rowOff>285860</xdr:rowOff>
    </xdr:to>
    <xdr:pic>
      <xdr:nvPicPr>
        <xdr:cNvPr id="55" name="Billede 54">
          <a:extLst>
            <a:ext uri="{FF2B5EF4-FFF2-40B4-BE49-F238E27FC236}">
              <a16:creationId xmlns:a16="http://schemas.microsoft.com/office/drawing/2014/main" id="{4239D76A-0EC0-4E39-B2A9-0ED43E71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3429003"/>
          <a:ext cx="360000" cy="24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5</xdr:row>
      <xdr:rowOff>36286</xdr:rowOff>
    </xdr:from>
    <xdr:to>
      <xdr:col>2</xdr:col>
      <xdr:colOff>460659</xdr:colOff>
      <xdr:row>5</xdr:row>
      <xdr:rowOff>270329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1A97F486-62A3-4FA4-87FF-6FE376621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</xdr:row>
      <xdr:rowOff>36286</xdr:rowOff>
    </xdr:from>
    <xdr:to>
      <xdr:col>2</xdr:col>
      <xdr:colOff>460659</xdr:colOff>
      <xdr:row>9</xdr:row>
      <xdr:rowOff>270329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6D828510-31D4-4FE6-925F-20CCC4D4B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</xdr:row>
      <xdr:rowOff>36286</xdr:rowOff>
    </xdr:from>
    <xdr:to>
      <xdr:col>2</xdr:col>
      <xdr:colOff>460659</xdr:colOff>
      <xdr:row>10</xdr:row>
      <xdr:rowOff>270329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2FD9B676-F71E-4559-A2F6-4078430A0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</xdr:row>
      <xdr:rowOff>36286</xdr:rowOff>
    </xdr:from>
    <xdr:to>
      <xdr:col>2</xdr:col>
      <xdr:colOff>460659</xdr:colOff>
      <xdr:row>11</xdr:row>
      <xdr:rowOff>270329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2070BAFC-805F-409F-B4B3-6452F955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12</xdr:row>
      <xdr:rowOff>36286</xdr:rowOff>
    </xdr:from>
    <xdr:to>
      <xdr:col>2</xdr:col>
      <xdr:colOff>460659</xdr:colOff>
      <xdr:row>12</xdr:row>
      <xdr:rowOff>270329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13DCC5BB-A112-46BB-AF0A-D66158D9F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13</xdr:row>
      <xdr:rowOff>36286</xdr:rowOff>
    </xdr:from>
    <xdr:to>
      <xdr:col>2</xdr:col>
      <xdr:colOff>460659</xdr:colOff>
      <xdr:row>13</xdr:row>
      <xdr:rowOff>270329</xdr:rowOff>
    </xdr:to>
    <xdr:pic>
      <xdr:nvPicPr>
        <xdr:cNvPr id="42" name="Billede 41">
          <a:extLst>
            <a:ext uri="{FF2B5EF4-FFF2-40B4-BE49-F238E27FC236}">
              <a16:creationId xmlns:a16="http://schemas.microsoft.com/office/drawing/2014/main" id="{77690527-DB67-4ADF-9F8E-9F7B77FA0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17</xdr:row>
      <xdr:rowOff>36286</xdr:rowOff>
    </xdr:from>
    <xdr:to>
      <xdr:col>2</xdr:col>
      <xdr:colOff>460659</xdr:colOff>
      <xdr:row>17</xdr:row>
      <xdr:rowOff>270329</xdr:rowOff>
    </xdr:to>
    <xdr:pic>
      <xdr:nvPicPr>
        <xdr:cNvPr id="44" name="Billede 43">
          <a:extLst>
            <a:ext uri="{FF2B5EF4-FFF2-40B4-BE49-F238E27FC236}">
              <a16:creationId xmlns:a16="http://schemas.microsoft.com/office/drawing/2014/main" id="{1ADCC6AE-CD0E-4458-B068-74256348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</xdr:row>
      <xdr:rowOff>36286</xdr:rowOff>
    </xdr:from>
    <xdr:to>
      <xdr:col>2</xdr:col>
      <xdr:colOff>460659</xdr:colOff>
      <xdr:row>18</xdr:row>
      <xdr:rowOff>270329</xdr:rowOff>
    </xdr:to>
    <xdr:pic>
      <xdr:nvPicPr>
        <xdr:cNvPr id="46" name="Billede 45">
          <a:extLst>
            <a:ext uri="{FF2B5EF4-FFF2-40B4-BE49-F238E27FC236}">
              <a16:creationId xmlns:a16="http://schemas.microsoft.com/office/drawing/2014/main" id="{46113598-0CBD-43B8-9FD9-0AAD24F7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19</xdr:row>
      <xdr:rowOff>36286</xdr:rowOff>
    </xdr:from>
    <xdr:to>
      <xdr:col>2</xdr:col>
      <xdr:colOff>460659</xdr:colOff>
      <xdr:row>19</xdr:row>
      <xdr:rowOff>270329</xdr:rowOff>
    </xdr:to>
    <xdr:pic>
      <xdr:nvPicPr>
        <xdr:cNvPr id="58" name="Billede 57">
          <a:extLst>
            <a:ext uri="{FF2B5EF4-FFF2-40B4-BE49-F238E27FC236}">
              <a16:creationId xmlns:a16="http://schemas.microsoft.com/office/drawing/2014/main" id="{36EABB17-258E-406A-A93A-1BA7FA8D1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59" name="Billede 58">
          <a:extLst>
            <a:ext uri="{FF2B5EF4-FFF2-40B4-BE49-F238E27FC236}">
              <a16:creationId xmlns:a16="http://schemas.microsoft.com/office/drawing/2014/main" id="{BED620F5-5081-40BB-8C8D-25FA60B6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6669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</xdr:row>
      <xdr:rowOff>16412</xdr:rowOff>
    </xdr:from>
    <xdr:to>
      <xdr:col>2</xdr:col>
      <xdr:colOff>492761</xdr:colOff>
      <xdr:row>6</xdr:row>
      <xdr:rowOff>304800</xdr:rowOff>
    </xdr:to>
    <xdr:pic>
      <xdr:nvPicPr>
        <xdr:cNvPr id="60" name="Billede 59">
          <a:extLst>
            <a:ext uri="{FF2B5EF4-FFF2-40B4-BE49-F238E27FC236}">
              <a16:creationId xmlns:a16="http://schemas.microsoft.com/office/drawing/2014/main" id="{C2E35445-5666-4D91-B657-216BDA28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9461" y="144563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</xdr:row>
      <xdr:rowOff>16412</xdr:rowOff>
    </xdr:from>
    <xdr:to>
      <xdr:col>2</xdr:col>
      <xdr:colOff>492761</xdr:colOff>
      <xdr:row>7</xdr:row>
      <xdr:rowOff>304800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25777D2A-ED40-4413-ADCC-EF8338C5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9461" y="144563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</xdr:row>
      <xdr:rowOff>16412</xdr:rowOff>
    </xdr:from>
    <xdr:to>
      <xdr:col>2</xdr:col>
      <xdr:colOff>492761</xdr:colOff>
      <xdr:row>8</xdr:row>
      <xdr:rowOff>304800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5EA2E1F1-3F39-4580-BCCD-D01D94D8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9461" y="144563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</xdr:row>
      <xdr:rowOff>16412</xdr:rowOff>
    </xdr:from>
    <xdr:to>
      <xdr:col>2</xdr:col>
      <xdr:colOff>492761</xdr:colOff>
      <xdr:row>14</xdr:row>
      <xdr:rowOff>304800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F0DEF207-5AF7-411E-AC3D-3182E0263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9461" y="144563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</xdr:row>
      <xdr:rowOff>16412</xdr:rowOff>
    </xdr:from>
    <xdr:to>
      <xdr:col>2</xdr:col>
      <xdr:colOff>492761</xdr:colOff>
      <xdr:row>15</xdr:row>
      <xdr:rowOff>304800</xdr:rowOff>
    </xdr:to>
    <xdr:pic>
      <xdr:nvPicPr>
        <xdr:cNvPr id="64" name="Billede 63">
          <a:extLst>
            <a:ext uri="{FF2B5EF4-FFF2-40B4-BE49-F238E27FC236}">
              <a16:creationId xmlns:a16="http://schemas.microsoft.com/office/drawing/2014/main" id="{95C0C63A-864E-45EE-A2F8-BCB45AFC3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9461" y="144563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16</xdr:row>
      <xdr:rowOff>16412</xdr:rowOff>
    </xdr:from>
    <xdr:to>
      <xdr:col>2</xdr:col>
      <xdr:colOff>492761</xdr:colOff>
      <xdr:row>16</xdr:row>
      <xdr:rowOff>304800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DA106367-C1AB-4DBA-BB88-ACEC8CA0A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9461" y="14456312"/>
          <a:ext cx="312420" cy="288388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FA7E6C5B-A955-43CC-9833-621D42D62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00" y="63500"/>
          <a:ext cx="1346200" cy="5166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825500</xdr:colOff>
      <xdr:row>11</xdr:row>
      <xdr:rowOff>50800</xdr:rowOff>
    </xdr:from>
    <xdr:to>
      <xdr:col>4</xdr:col>
      <xdr:colOff>1185500</xdr:colOff>
      <xdr:row>11</xdr:row>
      <xdr:rowOff>278657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0243816F-74A1-4B62-A4E1-A1F1B573F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28067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825500</xdr:colOff>
      <xdr:row>12</xdr:row>
      <xdr:rowOff>38100</xdr:rowOff>
    </xdr:from>
    <xdr:to>
      <xdr:col>4</xdr:col>
      <xdr:colOff>1185500</xdr:colOff>
      <xdr:row>12</xdr:row>
      <xdr:rowOff>280703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30D9DF9F-83E3-4F22-848F-49EC3A336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115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825500</xdr:colOff>
      <xdr:row>6</xdr:row>
      <xdr:rowOff>38100</xdr:rowOff>
    </xdr:from>
    <xdr:to>
      <xdr:col>4</xdr:col>
      <xdr:colOff>1185500</xdr:colOff>
      <xdr:row>6</xdr:row>
      <xdr:rowOff>280703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F59F25C5-AEAA-E167-DB33-7DA7AB8B5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12065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825500</xdr:colOff>
      <xdr:row>7</xdr:row>
      <xdr:rowOff>38100</xdr:rowOff>
    </xdr:from>
    <xdr:to>
      <xdr:col>4</xdr:col>
      <xdr:colOff>1185500</xdr:colOff>
      <xdr:row>7</xdr:row>
      <xdr:rowOff>280703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4D1AE86C-0729-A45D-7FB6-6C9537CCC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15240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825500</xdr:colOff>
      <xdr:row>5</xdr:row>
      <xdr:rowOff>50800</xdr:rowOff>
    </xdr:from>
    <xdr:to>
      <xdr:col>4</xdr:col>
      <xdr:colOff>1185500</xdr:colOff>
      <xdr:row>5</xdr:row>
      <xdr:rowOff>283318</xdr:rowOff>
    </xdr:to>
    <xdr:pic>
      <xdr:nvPicPr>
        <xdr:cNvPr id="23" name="Billede 22" descr="Dannebrog">
          <a:extLst>
            <a:ext uri="{FF2B5EF4-FFF2-40B4-BE49-F238E27FC236}">
              <a16:creationId xmlns:a16="http://schemas.microsoft.com/office/drawing/2014/main" id="{AF0C9DF9-1BB5-461C-93FA-9EEE5AEE7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8255000" y="9017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825500</xdr:colOff>
      <xdr:row>10</xdr:row>
      <xdr:rowOff>50800</xdr:rowOff>
    </xdr:from>
    <xdr:to>
      <xdr:col>4</xdr:col>
      <xdr:colOff>1185500</xdr:colOff>
      <xdr:row>10</xdr:row>
      <xdr:rowOff>283753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43E13380-A2FA-4D0E-847F-DAFF85790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8255000" y="2489200"/>
          <a:ext cx="360000" cy="232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825500</xdr:colOff>
      <xdr:row>9</xdr:row>
      <xdr:rowOff>50800</xdr:rowOff>
    </xdr:from>
    <xdr:to>
      <xdr:col>4</xdr:col>
      <xdr:colOff>1185500</xdr:colOff>
      <xdr:row>9</xdr:row>
      <xdr:rowOff>277245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A7E8157E-6223-4A59-90F4-2B9A83416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8255000" y="2171700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825500</xdr:colOff>
      <xdr:row>8</xdr:row>
      <xdr:rowOff>50800</xdr:rowOff>
    </xdr:from>
    <xdr:to>
      <xdr:col>4</xdr:col>
      <xdr:colOff>1185500</xdr:colOff>
      <xdr:row>8</xdr:row>
      <xdr:rowOff>293403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B5F4B72B-4086-46A1-BA92-F0E861AB4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18542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5</xdr:row>
      <xdr:rowOff>36286</xdr:rowOff>
    </xdr:from>
    <xdr:to>
      <xdr:col>2</xdr:col>
      <xdr:colOff>460659</xdr:colOff>
      <xdr:row>5</xdr:row>
      <xdr:rowOff>270329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314C5377-D578-49A2-9CF4-C24B0EBF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6</xdr:row>
      <xdr:rowOff>36286</xdr:rowOff>
    </xdr:from>
    <xdr:to>
      <xdr:col>2</xdr:col>
      <xdr:colOff>460659</xdr:colOff>
      <xdr:row>6</xdr:row>
      <xdr:rowOff>270329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1F00A4FC-B7A5-4E6C-B3C5-DF84E4CD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</xdr:row>
      <xdr:rowOff>36286</xdr:rowOff>
    </xdr:from>
    <xdr:to>
      <xdr:col>2</xdr:col>
      <xdr:colOff>460659</xdr:colOff>
      <xdr:row>7</xdr:row>
      <xdr:rowOff>270329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D2150EBA-CB79-4B93-A63F-7FD190427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</xdr:row>
      <xdr:rowOff>36286</xdr:rowOff>
    </xdr:from>
    <xdr:to>
      <xdr:col>2</xdr:col>
      <xdr:colOff>460659</xdr:colOff>
      <xdr:row>8</xdr:row>
      <xdr:rowOff>270329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7F2197BF-61C1-45DA-8962-7D4BB4DB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</xdr:row>
      <xdr:rowOff>36286</xdr:rowOff>
    </xdr:from>
    <xdr:to>
      <xdr:col>2</xdr:col>
      <xdr:colOff>460659</xdr:colOff>
      <xdr:row>9</xdr:row>
      <xdr:rowOff>270329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63970549-718D-4055-B9C2-B9C221464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</xdr:row>
      <xdr:rowOff>36286</xdr:rowOff>
    </xdr:from>
    <xdr:to>
      <xdr:col>2</xdr:col>
      <xdr:colOff>460659</xdr:colOff>
      <xdr:row>10</xdr:row>
      <xdr:rowOff>270329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BAB8F606-1709-4C29-8641-33F14872D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</xdr:row>
      <xdr:rowOff>36286</xdr:rowOff>
    </xdr:from>
    <xdr:to>
      <xdr:col>2</xdr:col>
      <xdr:colOff>460659</xdr:colOff>
      <xdr:row>11</xdr:row>
      <xdr:rowOff>270329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7A82B850-E473-4479-BF4B-E029AF4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12</xdr:row>
      <xdr:rowOff>36286</xdr:rowOff>
    </xdr:from>
    <xdr:to>
      <xdr:col>2</xdr:col>
      <xdr:colOff>460659</xdr:colOff>
      <xdr:row>12</xdr:row>
      <xdr:rowOff>270329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7CFA9D37-D88C-4F17-8C93-F8FE8C4CA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6703" y="10727146"/>
          <a:ext cx="253076" cy="234043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DB762B8-2575-4DCF-9B35-72A76D20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723DF628-ECFD-41E8-9EA1-F268C0F64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13</xdr:row>
      <xdr:rowOff>36286</xdr:rowOff>
    </xdr:from>
    <xdr:to>
      <xdr:col>2</xdr:col>
      <xdr:colOff>460659</xdr:colOff>
      <xdr:row>13</xdr:row>
      <xdr:rowOff>270329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EB7A04E-C20A-4A29-AFE0-6C6AF789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352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825500</xdr:colOff>
      <xdr:row>13</xdr:row>
      <xdr:rowOff>50800</xdr:rowOff>
    </xdr:from>
    <xdr:to>
      <xdr:col>4</xdr:col>
      <xdr:colOff>1185500</xdr:colOff>
      <xdr:row>13</xdr:row>
      <xdr:rowOff>283318</xdr:rowOff>
    </xdr:to>
    <xdr:pic>
      <xdr:nvPicPr>
        <xdr:cNvPr id="3" name="Billede 2" descr="Dannebrog">
          <a:extLst>
            <a:ext uri="{FF2B5EF4-FFF2-40B4-BE49-F238E27FC236}">
              <a16:creationId xmlns:a16="http://schemas.microsoft.com/office/drawing/2014/main" id="{731B9E87-D948-5FEB-066F-08DDC79DD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112000" y="3860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14</xdr:row>
      <xdr:rowOff>36286</xdr:rowOff>
    </xdr:from>
    <xdr:to>
      <xdr:col>2</xdr:col>
      <xdr:colOff>460659</xdr:colOff>
      <xdr:row>14</xdr:row>
      <xdr:rowOff>270329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B30CAF5E-31C9-419F-AD0C-4576A57C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384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</xdr:row>
      <xdr:rowOff>36286</xdr:rowOff>
    </xdr:from>
    <xdr:to>
      <xdr:col>2</xdr:col>
      <xdr:colOff>460659</xdr:colOff>
      <xdr:row>15</xdr:row>
      <xdr:rowOff>270329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38E06B9-7C8D-4CCB-80C2-FE419027D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416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</xdr:row>
      <xdr:rowOff>36286</xdr:rowOff>
    </xdr:from>
    <xdr:to>
      <xdr:col>2</xdr:col>
      <xdr:colOff>460659</xdr:colOff>
      <xdr:row>16</xdr:row>
      <xdr:rowOff>270329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D18AF3DD-3191-4864-8201-153ADCE2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416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17</xdr:row>
      <xdr:rowOff>36286</xdr:rowOff>
    </xdr:from>
    <xdr:to>
      <xdr:col>2</xdr:col>
      <xdr:colOff>460659</xdr:colOff>
      <xdr:row>17</xdr:row>
      <xdr:rowOff>270329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283B87E1-87F3-449B-A2A9-66FFB8757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416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</xdr:row>
      <xdr:rowOff>36286</xdr:rowOff>
    </xdr:from>
    <xdr:to>
      <xdr:col>2</xdr:col>
      <xdr:colOff>460659</xdr:colOff>
      <xdr:row>18</xdr:row>
      <xdr:rowOff>270329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3A1927CF-C6FA-4614-B104-EA994BA7A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416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19</xdr:row>
      <xdr:rowOff>36286</xdr:rowOff>
    </xdr:from>
    <xdr:to>
      <xdr:col>2</xdr:col>
      <xdr:colOff>460659</xdr:colOff>
      <xdr:row>19</xdr:row>
      <xdr:rowOff>270329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7701785F-93D9-4900-8D8B-EE342719D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448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2E20B0D2-26DF-40B9-9C20-3AB58763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479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21</xdr:row>
      <xdr:rowOff>36286</xdr:rowOff>
    </xdr:from>
    <xdr:to>
      <xdr:col>2</xdr:col>
      <xdr:colOff>460659</xdr:colOff>
      <xdr:row>21</xdr:row>
      <xdr:rowOff>270329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76D98E43-82F3-4A4C-A974-887B6C704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511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818244</xdr:colOff>
      <xdr:row>22</xdr:row>
      <xdr:rowOff>44382</xdr:rowOff>
    </xdr:from>
    <xdr:to>
      <xdr:col>4</xdr:col>
      <xdr:colOff>1178244</xdr:colOff>
      <xdr:row>22</xdr:row>
      <xdr:rowOff>284955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6070F37F-0137-40A6-957C-724CC541D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257144" y="6711882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22</xdr:row>
      <xdr:rowOff>36286</xdr:rowOff>
    </xdr:from>
    <xdr:to>
      <xdr:col>2</xdr:col>
      <xdr:colOff>460659</xdr:colOff>
      <xdr:row>22</xdr:row>
      <xdr:rowOff>270329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5B61BB5C-F9D3-444E-AF2C-53F5A7F6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68103" y="568270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818244</xdr:colOff>
      <xdr:row>23</xdr:row>
      <xdr:rowOff>44382</xdr:rowOff>
    </xdr:from>
    <xdr:to>
      <xdr:col>4</xdr:col>
      <xdr:colOff>1178244</xdr:colOff>
      <xdr:row>23</xdr:row>
      <xdr:rowOff>284955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56365B8E-385A-459A-9A4B-15B87977E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7257144" y="7029382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23</xdr:row>
      <xdr:rowOff>36286</xdr:rowOff>
    </xdr:from>
    <xdr:to>
      <xdr:col>2</xdr:col>
      <xdr:colOff>460659</xdr:colOff>
      <xdr:row>23</xdr:row>
      <xdr:rowOff>270329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4DA87B91-C661-4DA5-8781-3025C909F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22383" y="670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24</xdr:row>
      <xdr:rowOff>36286</xdr:rowOff>
    </xdr:from>
    <xdr:to>
      <xdr:col>2</xdr:col>
      <xdr:colOff>460659</xdr:colOff>
      <xdr:row>24</xdr:row>
      <xdr:rowOff>270329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26F9F1D2-51DF-4AE2-8075-05C7DD24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702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25</xdr:row>
      <xdr:rowOff>36286</xdr:rowOff>
    </xdr:from>
    <xdr:to>
      <xdr:col>2</xdr:col>
      <xdr:colOff>460659</xdr:colOff>
      <xdr:row>25</xdr:row>
      <xdr:rowOff>270329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04392D14-D89E-46E7-B480-4282CB7AA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733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26</xdr:row>
      <xdr:rowOff>36286</xdr:rowOff>
    </xdr:from>
    <xdr:to>
      <xdr:col>2</xdr:col>
      <xdr:colOff>460659</xdr:colOff>
      <xdr:row>26</xdr:row>
      <xdr:rowOff>270329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E5ECEC14-AD60-4DC3-B2D1-84311187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702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27</xdr:row>
      <xdr:rowOff>36286</xdr:rowOff>
    </xdr:from>
    <xdr:to>
      <xdr:col>2</xdr:col>
      <xdr:colOff>460659</xdr:colOff>
      <xdr:row>27</xdr:row>
      <xdr:rowOff>270329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2F61E06B-6923-4982-A74C-67337CC3F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733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28</xdr:row>
      <xdr:rowOff>36286</xdr:rowOff>
    </xdr:from>
    <xdr:to>
      <xdr:col>2</xdr:col>
      <xdr:colOff>460659</xdr:colOff>
      <xdr:row>28</xdr:row>
      <xdr:rowOff>270329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003C1E91-FD99-4295-89FB-9174A69F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702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29</xdr:row>
      <xdr:rowOff>36286</xdr:rowOff>
    </xdr:from>
    <xdr:to>
      <xdr:col>2</xdr:col>
      <xdr:colOff>460659</xdr:colOff>
      <xdr:row>29</xdr:row>
      <xdr:rowOff>270329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2BE0996E-F933-492D-8011-4BFE4336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733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30</xdr:row>
      <xdr:rowOff>36286</xdr:rowOff>
    </xdr:from>
    <xdr:to>
      <xdr:col>2</xdr:col>
      <xdr:colOff>460659</xdr:colOff>
      <xdr:row>30</xdr:row>
      <xdr:rowOff>270329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49A93A63-AA17-4D2F-BDBB-D68B4D042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9243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812800</xdr:colOff>
      <xdr:row>24</xdr:row>
      <xdr:rowOff>50799</xdr:rowOff>
    </xdr:from>
    <xdr:to>
      <xdr:col>4</xdr:col>
      <xdr:colOff>1183600</xdr:colOff>
      <xdr:row>24</xdr:row>
      <xdr:rowOff>290292</xdr:rowOff>
    </xdr:to>
    <xdr:pic>
      <xdr:nvPicPr>
        <xdr:cNvPr id="42" name="Billede 41" descr="Dannebrog">
          <a:extLst>
            <a:ext uri="{FF2B5EF4-FFF2-40B4-BE49-F238E27FC236}">
              <a16:creationId xmlns:a16="http://schemas.microsoft.com/office/drawing/2014/main" id="{BEDF1B38-1E82-3817-E4F0-5DB4173B8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251700" y="7353299"/>
          <a:ext cx="370800" cy="23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25</xdr:row>
      <xdr:rowOff>50799</xdr:rowOff>
    </xdr:from>
    <xdr:to>
      <xdr:col>4</xdr:col>
      <xdr:colOff>1183600</xdr:colOff>
      <xdr:row>25</xdr:row>
      <xdr:rowOff>290292</xdr:rowOff>
    </xdr:to>
    <xdr:pic>
      <xdr:nvPicPr>
        <xdr:cNvPr id="44" name="Billede 43" descr="Dannebrog">
          <a:extLst>
            <a:ext uri="{FF2B5EF4-FFF2-40B4-BE49-F238E27FC236}">
              <a16:creationId xmlns:a16="http://schemas.microsoft.com/office/drawing/2014/main" id="{092CBBF3-8488-4737-AC6A-D91F18AFC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251700" y="7353299"/>
          <a:ext cx="370800" cy="23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26</xdr:row>
      <xdr:rowOff>50799</xdr:rowOff>
    </xdr:from>
    <xdr:to>
      <xdr:col>4</xdr:col>
      <xdr:colOff>1183600</xdr:colOff>
      <xdr:row>26</xdr:row>
      <xdr:rowOff>290292</xdr:rowOff>
    </xdr:to>
    <xdr:pic>
      <xdr:nvPicPr>
        <xdr:cNvPr id="45" name="Billede 44" descr="Dannebrog">
          <a:extLst>
            <a:ext uri="{FF2B5EF4-FFF2-40B4-BE49-F238E27FC236}">
              <a16:creationId xmlns:a16="http://schemas.microsoft.com/office/drawing/2014/main" id="{12496E23-CD0A-4DCC-AE3B-B9C5AE578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251700" y="7353299"/>
          <a:ext cx="370800" cy="23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27</xdr:row>
      <xdr:rowOff>50799</xdr:rowOff>
    </xdr:from>
    <xdr:to>
      <xdr:col>4</xdr:col>
      <xdr:colOff>1183600</xdr:colOff>
      <xdr:row>27</xdr:row>
      <xdr:rowOff>290292</xdr:rowOff>
    </xdr:to>
    <xdr:pic>
      <xdr:nvPicPr>
        <xdr:cNvPr id="46" name="Billede 45" descr="Dannebrog">
          <a:extLst>
            <a:ext uri="{FF2B5EF4-FFF2-40B4-BE49-F238E27FC236}">
              <a16:creationId xmlns:a16="http://schemas.microsoft.com/office/drawing/2014/main" id="{4792E799-04DE-4B02-B1B1-9605CA930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251700" y="7353299"/>
          <a:ext cx="370800" cy="23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28</xdr:row>
      <xdr:rowOff>50799</xdr:rowOff>
    </xdr:from>
    <xdr:to>
      <xdr:col>4</xdr:col>
      <xdr:colOff>1183600</xdr:colOff>
      <xdr:row>28</xdr:row>
      <xdr:rowOff>290292</xdr:rowOff>
    </xdr:to>
    <xdr:pic>
      <xdr:nvPicPr>
        <xdr:cNvPr id="47" name="Billede 46" descr="Dannebrog">
          <a:extLst>
            <a:ext uri="{FF2B5EF4-FFF2-40B4-BE49-F238E27FC236}">
              <a16:creationId xmlns:a16="http://schemas.microsoft.com/office/drawing/2014/main" id="{F8F5A4D9-0C48-4C90-B77D-8F1718713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251700" y="7353299"/>
          <a:ext cx="370800" cy="23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29</xdr:row>
      <xdr:rowOff>50799</xdr:rowOff>
    </xdr:from>
    <xdr:to>
      <xdr:col>4</xdr:col>
      <xdr:colOff>1183600</xdr:colOff>
      <xdr:row>29</xdr:row>
      <xdr:rowOff>290292</xdr:rowOff>
    </xdr:to>
    <xdr:pic>
      <xdr:nvPicPr>
        <xdr:cNvPr id="48" name="Billede 47" descr="Dannebrog">
          <a:extLst>
            <a:ext uri="{FF2B5EF4-FFF2-40B4-BE49-F238E27FC236}">
              <a16:creationId xmlns:a16="http://schemas.microsoft.com/office/drawing/2014/main" id="{9C69AEF4-6055-453D-9404-CB894DA23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251700" y="7353299"/>
          <a:ext cx="370800" cy="23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812800</xdr:colOff>
      <xdr:row>30</xdr:row>
      <xdr:rowOff>50799</xdr:rowOff>
    </xdr:from>
    <xdr:to>
      <xdr:col>4</xdr:col>
      <xdr:colOff>1183600</xdr:colOff>
      <xdr:row>30</xdr:row>
      <xdr:rowOff>290292</xdr:rowOff>
    </xdr:to>
    <xdr:pic>
      <xdr:nvPicPr>
        <xdr:cNvPr id="49" name="Billede 48" descr="Dannebrog">
          <a:extLst>
            <a:ext uri="{FF2B5EF4-FFF2-40B4-BE49-F238E27FC236}">
              <a16:creationId xmlns:a16="http://schemas.microsoft.com/office/drawing/2014/main" id="{AE21EB78-A379-4B3D-B266-F4D235F62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251700" y="7353299"/>
          <a:ext cx="370800" cy="23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6</xdr:row>
      <xdr:rowOff>36286</xdr:rowOff>
    </xdr:from>
    <xdr:to>
      <xdr:col>2</xdr:col>
      <xdr:colOff>460659</xdr:colOff>
      <xdr:row>6</xdr:row>
      <xdr:rowOff>270329</xdr:rowOff>
    </xdr:to>
    <xdr:pic>
      <xdr:nvPicPr>
        <xdr:cNvPr id="50" name="Billede 49">
          <a:extLst>
            <a:ext uri="{FF2B5EF4-FFF2-40B4-BE49-F238E27FC236}">
              <a16:creationId xmlns:a16="http://schemas.microsoft.com/office/drawing/2014/main" id="{3183707C-AF8D-4DEA-A3EF-FB76DC27A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</xdr:row>
      <xdr:rowOff>36286</xdr:rowOff>
    </xdr:from>
    <xdr:to>
      <xdr:col>2</xdr:col>
      <xdr:colOff>460659</xdr:colOff>
      <xdr:row>7</xdr:row>
      <xdr:rowOff>270329</xdr:rowOff>
    </xdr:to>
    <xdr:pic>
      <xdr:nvPicPr>
        <xdr:cNvPr id="51" name="Billede 50">
          <a:extLst>
            <a:ext uri="{FF2B5EF4-FFF2-40B4-BE49-F238E27FC236}">
              <a16:creationId xmlns:a16="http://schemas.microsoft.com/office/drawing/2014/main" id="{9A317F0F-A8AD-439F-9ECE-7B334DA2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</xdr:row>
      <xdr:rowOff>36286</xdr:rowOff>
    </xdr:from>
    <xdr:to>
      <xdr:col>2</xdr:col>
      <xdr:colOff>460659</xdr:colOff>
      <xdr:row>8</xdr:row>
      <xdr:rowOff>270329</xdr:rowOff>
    </xdr:to>
    <xdr:pic>
      <xdr:nvPicPr>
        <xdr:cNvPr id="52" name="Billede 51">
          <a:extLst>
            <a:ext uri="{FF2B5EF4-FFF2-40B4-BE49-F238E27FC236}">
              <a16:creationId xmlns:a16="http://schemas.microsoft.com/office/drawing/2014/main" id="{6D75D852-ACF1-43F7-AF3F-16B786C4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</xdr:row>
      <xdr:rowOff>36286</xdr:rowOff>
    </xdr:from>
    <xdr:to>
      <xdr:col>2</xdr:col>
      <xdr:colOff>460659</xdr:colOff>
      <xdr:row>9</xdr:row>
      <xdr:rowOff>270329</xdr:rowOff>
    </xdr:to>
    <xdr:pic>
      <xdr:nvPicPr>
        <xdr:cNvPr id="53" name="Billede 52">
          <a:extLst>
            <a:ext uri="{FF2B5EF4-FFF2-40B4-BE49-F238E27FC236}">
              <a16:creationId xmlns:a16="http://schemas.microsoft.com/office/drawing/2014/main" id="{210DFB62-2D8D-43AA-B261-633000E7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</xdr:row>
      <xdr:rowOff>36286</xdr:rowOff>
    </xdr:from>
    <xdr:to>
      <xdr:col>2</xdr:col>
      <xdr:colOff>460659</xdr:colOff>
      <xdr:row>10</xdr:row>
      <xdr:rowOff>270329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6BACF343-CD74-497D-8370-0F0CA0D1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</xdr:row>
      <xdr:rowOff>36286</xdr:rowOff>
    </xdr:from>
    <xdr:to>
      <xdr:col>2</xdr:col>
      <xdr:colOff>460659</xdr:colOff>
      <xdr:row>11</xdr:row>
      <xdr:rowOff>270329</xdr:rowOff>
    </xdr:to>
    <xdr:pic>
      <xdr:nvPicPr>
        <xdr:cNvPr id="55" name="Billede 54">
          <a:extLst>
            <a:ext uri="{FF2B5EF4-FFF2-40B4-BE49-F238E27FC236}">
              <a16:creationId xmlns:a16="http://schemas.microsoft.com/office/drawing/2014/main" id="{4BA742B2-8471-4884-964F-1B782D8C2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12</xdr:row>
      <xdr:rowOff>36286</xdr:rowOff>
    </xdr:from>
    <xdr:to>
      <xdr:col>2</xdr:col>
      <xdr:colOff>460659</xdr:colOff>
      <xdr:row>12</xdr:row>
      <xdr:rowOff>270329</xdr:rowOff>
    </xdr:to>
    <xdr:pic>
      <xdr:nvPicPr>
        <xdr:cNvPr id="56" name="Billede 55">
          <a:extLst>
            <a:ext uri="{FF2B5EF4-FFF2-40B4-BE49-F238E27FC236}">
              <a16:creationId xmlns:a16="http://schemas.microsoft.com/office/drawing/2014/main" id="{57006BFF-4DA0-41A5-AFC5-C40875C0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13</xdr:row>
      <xdr:rowOff>36286</xdr:rowOff>
    </xdr:from>
    <xdr:to>
      <xdr:col>2</xdr:col>
      <xdr:colOff>460659</xdr:colOff>
      <xdr:row>13</xdr:row>
      <xdr:rowOff>270329</xdr:rowOff>
    </xdr:to>
    <xdr:pic>
      <xdr:nvPicPr>
        <xdr:cNvPr id="57" name="Billede 56">
          <a:extLst>
            <a:ext uri="{FF2B5EF4-FFF2-40B4-BE49-F238E27FC236}">
              <a16:creationId xmlns:a16="http://schemas.microsoft.com/office/drawing/2014/main" id="{5B9DEA9D-A066-48A9-AD86-0F75D74B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14</xdr:row>
      <xdr:rowOff>36286</xdr:rowOff>
    </xdr:from>
    <xdr:to>
      <xdr:col>2</xdr:col>
      <xdr:colOff>460659</xdr:colOff>
      <xdr:row>14</xdr:row>
      <xdr:rowOff>270329</xdr:rowOff>
    </xdr:to>
    <xdr:pic>
      <xdr:nvPicPr>
        <xdr:cNvPr id="58" name="Billede 57">
          <a:extLst>
            <a:ext uri="{FF2B5EF4-FFF2-40B4-BE49-F238E27FC236}">
              <a16:creationId xmlns:a16="http://schemas.microsoft.com/office/drawing/2014/main" id="{40026CA1-987B-4E79-9495-5C35BA35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</xdr:row>
      <xdr:rowOff>36286</xdr:rowOff>
    </xdr:from>
    <xdr:to>
      <xdr:col>2</xdr:col>
      <xdr:colOff>460659</xdr:colOff>
      <xdr:row>15</xdr:row>
      <xdr:rowOff>270329</xdr:rowOff>
    </xdr:to>
    <xdr:pic>
      <xdr:nvPicPr>
        <xdr:cNvPr id="59" name="Billede 58">
          <a:extLst>
            <a:ext uri="{FF2B5EF4-FFF2-40B4-BE49-F238E27FC236}">
              <a16:creationId xmlns:a16="http://schemas.microsoft.com/office/drawing/2014/main" id="{2899B580-C7B5-40AF-A522-6043D1DD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</xdr:row>
      <xdr:rowOff>36286</xdr:rowOff>
    </xdr:from>
    <xdr:to>
      <xdr:col>2</xdr:col>
      <xdr:colOff>460659</xdr:colOff>
      <xdr:row>16</xdr:row>
      <xdr:rowOff>270329</xdr:rowOff>
    </xdr:to>
    <xdr:pic>
      <xdr:nvPicPr>
        <xdr:cNvPr id="60" name="Billede 59">
          <a:extLst>
            <a:ext uri="{FF2B5EF4-FFF2-40B4-BE49-F238E27FC236}">
              <a16:creationId xmlns:a16="http://schemas.microsoft.com/office/drawing/2014/main" id="{53445CD4-4BB4-4AC5-A0ED-7291046FC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17</xdr:row>
      <xdr:rowOff>36286</xdr:rowOff>
    </xdr:from>
    <xdr:to>
      <xdr:col>2</xdr:col>
      <xdr:colOff>460659</xdr:colOff>
      <xdr:row>17</xdr:row>
      <xdr:rowOff>270329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335C529D-9D87-4C45-B4E2-331429EF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</xdr:row>
      <xdr:rowOff>36286</xdr:rowOff>
    </xdr:from>
    <xdr:to>
      <xdr:col>2</xdr:col>
      <xdr:colOff>460659</xdr:colOff>
      <xdr:row>18</xdr:row>
      <xdr:rowOff>270329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EE8C3A21-95EC-4AAE-AAC7-636A6013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19</xdr:row>
      <xdr:rowOff>36286</xdr:rowOff>
    </xdr:from>
    <xdr:to>
      <xdr:col>2</xdr:col>
      <xdr:colOff>460659</xdr:colOff>
      <xdr:row>19</xdr:row>
      <xdr:rowOff>270329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D76ECEF7-D695-4F37-A110-4480771F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64" name="Billede 63">
          <a:extLst>
            <a:ext uri="{FF2B5EF4-FFF2-40B4-BE49-F238E27FC236}">
              <a16:creationId xmlns:a16="http://schemas.microsoft.com/office/drawing/2014/main" id="{352D5D5F-F975-4B0A-AE78-389503E1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21</xdr:row>
      <xdr:rowOff>36286</xdr:rowOff>
    </xdr:from>
    <xdr:to>
      <xdr:col>2</xdr:col>
      <xdr:colOff>460659</xdr:colOff>
      <xdr:row>21</xdr:row>
      <xdr:rowOff>270329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31714FD7-EE50-4E16-8617-48F61E51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22</xdr:row>
      <xdr:rowOff>36286</xdr:rowOff>
    </xdr:from>
    <xdr:to>
      <xdr:col>2</xdr:col>
      <xdr:colOff>460659</xdr:colOff>
      <xdr:row>22</xdr:row>
      <xdr:rowOff>270329</xdr:rowOff>
    </xdr:to>
    <xdr:pic>
      <xdr:nvPicPr>
        <xdr:cNvPr id="66" name="Billede 65">
          <a:extLst>
            <a:ext uri="{FF2B5EF4-FFF2-40B4-BE49-F238E27FC236}">
              <a16:creationId xmlns:a16="http://schemas.microsoft.com/office/drawing/2014/main" id="{91953EC5-4773-4F62-B0DC-D7A604324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23</xdr:row>
      <xdr:rowOff>36286</xdr:rowOff>
    </xdr:from>
    <xdr:to>
      <xdr:col>2</xdr:col>
      <xdr:colOff>460659</xdr:colOff>
      <xdr:row>23</xdr:row>
      <xdr:rowOff>270329</xdr:rowOff>
    </xdr:to>
    <xdr:pic>
      <xdr:nvPicPr>
        <xdr:cNvPr id="67" name="Billede 66">
          <a:extLst>
            <a:ext uri="{FF2B5EF4-FFF2-40B4-BE49-F238E27FC236}">
              <a16:creationId xmlns:a16="http://schemas.microsoft.com/office/drawing/2014/main" id="{F592BC09-7CB4-47BA-AEF5-936CB7A7A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24</xdr:row>
      <xdr:rowOff>36286</xdr:rowOff>
    </xdr:from>
    <xdr:to>
      <xdr:col>2</xdr:col>
      <xdr:colOff>460659</xdr:colOff>
      <xdr:row>24</xdr:row>
      <xdr:rowOff>270329</xdr:rowOff>
    </xdr:to>
    <xdr:pic>
      <xdr:nvPicPr>
        <xdr:cNvPr id="68" name="Billede 67">
          <a:extLst>
            <a:ext uri="{FF2B5EF4-FFF2-40B4-BE49-F238E27FC236}">
              <a16:creationId xmlns:a16="http://schemas.microsoft.com/office/drawing/2014/main" id="{8E6ADA73-0B7A-4A78-A06B-04706B9B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25</xdr:row>
      <xdr:rowOff>36286</xdr:rowOff>
    </xdr:from>
    <xdr:to>
      <xdr:col>2</xdr:col>
      <xdr:colOff>460659</xdr:colOff>
      <xdr:row>25</xdr:row>
      <xdr:rowOff>270329</xdr:rowOff>
    </xdr:to>
    <xdr:pic>
      <xdr:nvPicPr>
        <xdr:cNvPr id="70" name="Billede 69">
          <a:extLst>
            <a:ext uri="{FF2B5EF4-FFF2-40B4-BE49-F238E27FC236}">
              <a16:creationId xmlns:a16="http://schemas.microsoft.com/office/drawing/2014/main" id="{C23695FF-5513-41B7-A36E-1FA0FE37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26</xdr:row>
      <xdr:rowOff>36286</xdr:rowOff>
    </xdr:from>
    <xdr:to>
      <xdr:col>2</xdr:col>
      <xdr:colOff>460659</xdr:colOff>
      <xdr:row>26</xdr:row>
      <xdr:rowOff>270329</xdr:rowOff>
    </xdr:to>
    <xdr:pic>
      <xdr:nvPicPr>
        <xdr:cNvPr id="71" name="Billede 70">
          <a:extLst>
            <a:ext uri="{FF2B5EF4-FFF2-40B4-BE49-F238E27FC236}">
              <a16:creationId xmlns:a16="http://schemas.microsoft.com/office/drawing/2014/main" id="{6F973875-34F4-465A-91C6-BA689BE1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27</xdr:row>
      <xdr:rowOff>36286</xdr:rowOff>
    </xdr:from>
    <xdr:to>
      <xdr:col>2</xdr:col>
      <xdr:colOff>460659</xdr:colOff>
      <xdr:row>27</xdr:row>
      <xdr:rowOff>270329</xdr:rowOff>
    </xdr:to>
    <xdr:pic>
      <xdr:nvPicPr>
        <xdr:cNvPr id="72" name="Billede 71">
          <a:extLst>
            <a:ext uri="{FF2B5EF4-FFF2-40B4-BE49-F238E27FC236}">
              <a16:creationId xmlns:a16="http://schemas.microsoft.com/office/drawing/2014/main" id="{62980468-755F-4D4B-B741-A9C724688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28</xdr:row>
      <xdr:rowOff>36286</xdr:rowOff>
    </xdr:from>
    <xdr:to>
      <xdr:col>2</xdr:col>
      <xdr:colOff>460659</xdr:colOff>
      <xdr:row>28</xdr:row>
      <xdr:rowOff>270329</xdr:rowOff>
    </xdr:to>
    <xdr:pic>
      <xdr:nvPicPr>
        <xdr:cNvPr id="73" name="Billede 72">
          <a:extLst>
            <a:ext uri="{FF2B5EF4-FFF2-40B4-BE49-F238E27FC236}">
              <a16:creationId xmlns:a16="http://schemas.microsoft.com/office/drawing/2014/main" id="{63D6286A-9DBA-41C8-91EE-1DBCF8279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29</xdr:row>
      <xdr:rowOff>36286</xdr:rowOff>
    </xdr:from>
    <xdr:to>
      <xdr:col>2</xdr:col>
      <xdr:colOff>460659</xdr:colOff>
      <xdr:row>29</xdr:row>
      <xdr:rowOff>270329</xdr:rowOff>
    </xdr:to>
    <xdr:pic>
      <xdr:nvPicPr>
        <xdr:cNvPr id="74" name="Billede 73">
          <a:extLst>
            <a:ext uri="{FF2B5EF4-FFF2-40B4-BE49-F238E27FC236}">
              <a16:creationId xmlns:a16="http://schemas.microsoft.com/office/drawing/2014/main" id="{23989C2E-DD3A-459D-9A16-B7D21705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30</xdr:row>
      <xdr:rowOff>36286</xdr:rowOff>
    </xdr:from>
    <xdr:to>
      <xdr:col>2</xdr:col>
      <xdr:colOff>460659</xdr:colOff>
      <xdr:row>30</xdr:row>
      <xdr:rowOff>270329</xdr:rowOff>
    </xdr:to>
    <xdr:pic>
      <xdr:nvPicPr>
        <xdr:cNvPr id="75" name="Billede 74">
          <a:extLst>
            <a:ext uri="{FF2B5EF4-FFF2-40B4-BE49-F238E27FC236}">
              <a16:creationId xmlns:a16="http://schemas.microsoft.com/office/drawing/2014/main" id="{EF2B27DB-1DE1-4112-ADE5-DF1D853E7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4783" y="130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31</xdr:row>
      <xdr:rowOff>43545</xdr:rowOff>
    </xdr:from>
    <xdr:to>
      <xdr:col>4</xdr:col>
      <xdr:colOff>1176429</xdr:colOff>
      <xdr:row>31</xdr:row>
      <xdr:rowOff>284118</xdr:rowOff>
    </xdr:to>
    <xdr:pic>
      <xdr:nvPicPr>
        <xdr:cNvPr id="76" name="Billede 75">
          <a:extLst>
            <a:ext uri="{FF2B5EF4-FFF2-40B4-BE49-F238E27FC236}">
              <a16:creationId xmlns:a16="http://schemas.microsoft.com/office/drawing/2014/main" id="{6848578C-BA27-41ED-93C6-C74407DD4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104709" y="1943644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31</xdr:row>
      <xdr:rowOff>36286</xdr:rowOff>
    </xdr:from>
    <xdr:to>
      <xdr:col>2</xdr:col>
      <xdr:colOff>460659</xdr:colOff>
      <xdr:row>31</xdr:row>
      <xdr:rowOff>270329</xdr:rowOff>
    </xdr:to>
    <xdr:pic>
      <xdr:nvPicPr>
        <xdr:cNvPr id="77" name="Billede 76">
          <a:extLst>
            <a:ext uri="{FF2B5EF4-FFF2-40B4-BE49-F238E27FC236}">
              <a16:creationId xmlns:a16="http://schemas.microsoft.com/office/drawing/2014/main" id="{211E81BC-6DD0-441D-A01E-4D8B128A2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5603" y="194291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32</xdr:row>
      <xdr:rowOff>54426</xdr:rowOff>
    </xdr:from>
    <xdr:to>
      <xdr:col>4</xdr:col>
      <xdr:colOff>1176428</xdr:colOff>
      <xdr:row>32</xdr:row>
      <xdr:rowOff>286944</xdr:rowOff>
    </xdr:to>
    <xdr:pic>
      <xdr:nvPicPr>
        <xdr:cNvPr id="78" name="Billede 77" descr="Dannebrog">
          <a:extLst>
            <a:ext uri="{FF2B5EF4-FFF2-40B4-BE49-F238E27FC236}">
              <a16:creationId xmlns:a16="http://schemas.microsoft.com/office/drawing/2014/main" id="{045A6819-6A73-4D72-A345-208FA4BE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104708" y="1444860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33</xdr:row>
      <xdr:rowOff>54426</xdr:rowOff>
    </xdr:from>
    <xdr:to>
      <xdr:col>4</xdr:col>
      <xdr:colOff>1176428</xdr:colOff>
      <xdr:row>33</xdr:row>
      <xdr:rowOff>286944</xdr:rowOff>
    </xdr:to>
    <xdr:pic>
      <xdr:nvPicPr>
        <xdr:cNvPr id="79" name="Billede 78" descr="Dannebrog">
          <a:extLst>
            <a:ext uri="{FF2B5EF4-FFF2-40B4-BE49-F238E27FC236}">
              <a16:creationId xmlns:a16="http://schemas.microsoft.com/office/drawing/2014/main" id="{07EDDD21-1BEE-460F-9487-C0FB90F67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104708" y="147610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34</xdr:row>
      <xdr:rowOff>54426</xdr:rowOff>
    </xdr:from>
    <xdr:to>
      <xdr:col>4</xdr:col>
      <xdr:colOff>1176428</xdr:colOff>
      <xdr:row>34</xdr:row>
      <xdr:rowOff>286944</xdr:rowOff>
    </xdr:to>
    <xdr:pic>
      <xdr:nvPicPr>
        <xdr:cNvPr id="80" name="Billede 79" descr="Dannebrog">
          <a:extLst>
            <a:ext uri="{FF2B5EF4-FFF2-40B4-BE49-F238E27FC236}">
              <a16:creationId xmlns:a16="http://schemas.microsoft.com/office/drawing/2014/main" id="{DE3F797B-4F3D-4C40-BD95-D1F13F2BF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104708" y="1507344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32</xdr:row>
      <xdr:rowOff>36286</xdr:rowOff>
    </xdr:from>
    <xdr:to>
      <xdr:col>2</xdr:col>
      <xdr:colOff>460659</xdr:colOff>
      <xdr:row>32</xdr:row>
      <xdr:rowOff>270329</xdr:rowOff>
    </xdr:to>
    <xdr:pic>
      <xdr:nvPicPr>
        <xdr:cNvPr id="81" name="Billede 80">
          <a:extLst>
            <a:ext uri="{FF2B5EF4-FFF2-40B4-BE49-F238E27FC236}">
              <a16:creationId xmlns:a16="http://schemas.microsoft.com/office/drawing/2014/main" id="{4FCE3713-CCC0-4E08-90DA-5EBBC542F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5603" y="144304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33</xdr:row>
      <xdr:rowOff>36286</xdr:rowOff>
    </xdr:from>
    <xdr:to>
      <xdr:col>2</xdr:col>
      <xdr:colOff>460659</xdr:colOff>
      <xdr:row>33</xdr:row>
      <xdr:rowOff>270329</xdr:rowOff>
    </xdr:to>
    <xdr:pic>
      <xdr:nvPicPr>
        <xdr:cNvPr id="82" name="Billede 81">
          <a:extLst>
            <a:ext uri="{FF2B5EF4-FFF2-40B4-BE49-F238E27FC236}">
              <a16:creationId xmlns:a16="http://schemas.microsoft.com/office/drawing/2014/main" id="{326954D8-8873-4DDA-87C1-01435A713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5603" y="147428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34</xdr:row>
      <xdr:rowOff>36286</xdr:rowOff>
    </xdr:from>
    <xdr:to>
      <xdr:col>2</xdr:col>
      <xdr:colOff>460659</xdr:colOff>
      <xdr:row>34</xdr:row>
      <xdr:rowOff>270329</xdr:rowOff>
    </xdr:to>
    <xdr:pic>
      <xdr:nvPicPr>
        <xdr:cNvPr id="83" name="Billede 82">
          <a:extLst>
            <a:ext uri="{FF2B5EF4-FFF2-40B4-BE49-F238E27FC236}">
              <a16:creationId xmlns:a16="http://schemas.microsoft.com/office/drawing/2014/main" id="{35F726E8-478F-4017-B20C-09BAF646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5603" y="1505530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35</xdr:row>
      <xdr:rowOff>54426</xdr:rowOff>
    </xdr:from>
    <xdr:to>
      <xdr:col>4</xdr:col>
      <xdr:colOff>1176428</xdr:colOff>
      <xdr:row>35</xdr:row>
      <xdr:rowOff>286944</xdr:rowOff>
    </xdr:to>
    <xdr:pic>
      <xdr:nvPicPr>
        <xdr:cNvPr id="85" name="Billede 84" descr="Dannebrog">
          <a:extLst>
            <a:ext uri="{FF2B5EF4-FFF2-40B4-BE49-F238E27FC236}">
              <a16:creationId xmlns:a16="http://schemas.microsoft.com/office/drawing/2014/main" id="{79B887CD-9402-6D9E-73AD-1D560CF44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11669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36</xdr:row>
      <xdr:rowOff>54426</xdr:rowOff>
    </xdr:from>
    <xdr:to>
      <xdr:col>4</xdr:col>
      <xdr:colOff>1176428</xdr:colOff>
      <xdr:row>36</xdr:row>
      <xdr:rowOff>286944</xdr:rowOff>
    </xdr:to>
    <xdr:pic>
      <xdr:nvPicPr>
        <xdr:cNvPr id="87" name="Billede 86" descr="Dannebrog">
          <a:extLst>
            <a:ext uri="{FF2B5EF4-FFF2-40B4-BE49-F238E27FC236}">
              <a16:creationId xmlns:a16="http://schemas.microsoft.com/office/drawing/2014/main" id="{577536E9-EABF-A331-4844-0E907F10A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11669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37</xdr:row>
      <xdr:rowOff>54426</xdr:rowOff>
    </xdr:from>
    <xdr:to>
      <xdr:col>4</xdr:col>
      <xdr:colOff>1176428</xdr:colOff>
      <xdr:row>37</xdr:row>
      <xdr:rowOff>286944</xdr:rowOff>
    </xdr:to>
    <xdr:pic>
      <xdr:nvPicPr>
        <xdr:cNvPr id="88" name="Billede 87" descr="Dannebrog">
          <a:extLst>
            <a:ext uri="{FF2B5EF4-FFF2-40B4-BE49-F238E27FC236}">
              <a16:creationId xmlns:a16="http://schemas.microsoft.com/office/drawing/2014/main" id="{55E6AB41-36B0-E94C-B5F8-24EC1BCBA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14844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35</xdr:row>
      <xdr:rowOff>16412</xdr:rowOff>
    </xdr:from>
    <xdr:to>
      <xdr:col>2</xdr:col>
      <xdr:colOff>492761</xdr:colOff>
      <xdr:row>35</xdr:row>
      <xdr:rowOff>304800</xdr:rowOff>
    </xdr:to>
    <xdr:pic>
      <xdr:nvPicPr>
        <xdr:cNvPr id="90" name="Billede 89">
          <a:extLst>
            <a:ext uri="{FF2B5EF4-FFF2-40B4-BE49-F238E27FC236}">
              <a16:creationId xmlns:a16="http://schemas.microsoft.com/office/drawing/2014/main" id="{2EF8E6F2-A0B5-4CE9-AF4F-46C57006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8361" y="3627999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36</xdr:row>
      <xdr:rowOff>16412</xdr:rowOff>
    </xdr:from>
    <xdr:to>
      <xdr:col>2</xdr:col>
      <xdr:colOff>492761</xdr:colOff>
      <xdr:row>36</xdr:row>
      <xdr:rowOff>304800</xdr:rowOff>
    </xdr:to>
    <xdr:pic>
      <xdr:nvPicPr>
        <xdr:cNvPr id="91" name="Billede 90">
          <a:extLst>
            <a:ext uri="{FF2B5EF4-FFF2-40B4-BE49-F238E27FC236}">
              <a16:creationId xmlns:a16="http://schemas.microsoft.com/office/drawing/2014/main" id="{073A7F85-94E5-445F-997C-F034022E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8361" y="3627999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37</xdr:row>
      <xdr:rowOff>16412</xdr:rowOff>
    </xdr:from>
    <xdr:to>
      <xdr:col>2</xdr:col>
      <xdr:colOff>492761</xdr:colOff>
      <xdr:row>37</xdr:row>
      <xdr:rowOff>304800</xdr:rowOff>
    </xdr:to>
    <xdr:pic>
      <xdr:nvPicPr>
        <xdr:cNvPr id="92" name="Billede 91">
          <a:extLst>
            <a:ext uri="{FF2B5EF4-FFF2-40B4-BE49-F238E27FC236}">
              <a16:creationId xmlns:a16="http://schemas.microsoft.com/office/drawing/2014/main" id="{03B155B3-CF10-440F-A846-88B42D24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8361" y="3627999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38</xdr:row>
      <xdr:rowOff>16412</xdr:rowOff>
    </xdr:from>
    <xdr:to>
      <xdr:col>2</xdr:col>
      <xdr:colOff>492761</xdr:colOff>
      <xdr:row>38</xdr:row>
      <xdr:rowOff>304800</xdr:rowOff>
    </xdr:to>
    <xdr:pic>
      <xdr:nvPicPr>
        <xdr:cNvPr id="93" name="Billede 92">
          <a:extLst>
            <a:ext uri="{FF2B5EF4-FFF2-40B4-BE49-F238E27FC236}">
              <a16:creationId xmlns:a16="http://schemas.microsoft.com/office/drawing/2014/main" id="{837EBF24-2223-4DCD-AFBB-9265CDC34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144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38</xdr:row>
      <xdr:rowOff>41726</xdr:rowOff>
    </xdr:from>
    <xdr:to>
      <xdr:col>4</xdr:col>
      <xdr:colOff>1176428</xdr:colOff>
      <xdr:row>38</xdr:row>
      <xdr:rowOff>274244</xdr:rowOff>
    </xdr:to>
    <xdr:pic>
      <xdr:nvPicPr>
        <xdr:cNvPr id="94" name="Billede 93" descr="Dannebrog">
          <a:extLst>
            <a:ext uri="{FF2B5EF4-FFF2-40B4-BE49-F238E27FC236}">
              <a16:creationId xmlns:a16="http://schemas.microsoft.com/office/drawing/2014/main" id="{4B87A0A5-85D3-CF9B-0B22-6FAC8945F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17892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39</xdr:row>
      <xdr:rowOff>54426</xdr:rowOff>
    </xdr:from>
    <xdr:to>
      <xdr:col>4</xdr:col>
      <xdr:colOff>1176428</xdr:colOff>
      <xdr:row>39</xdr:row>
      <xdr:rowOff>286944</xdr:rowOff>
    </xdr:to>
    <xdr:pic>
      <xdr:nvPicPr>
        <xdr:cNvPr id="95" name="Billede 94" descr="Dannebrog">
          <a:extLst>
            <a:ext uri="{FF2B5EF4-FFF2-40B4-BE49-F238E27FC236}">
              <a16:creationId xmlns:a16="http://schemas.microsoft.com/office/drawing/2014/main" id="{54F52418-DB72-43A7-A10E-8D917B20D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14844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39</xdr:row>
      <xdr:rowOff>16412</xdr:rowOff>
    </xdr:from>
    <xdr:to>
      <xdr:col>2</xdr:col>
      <xdr:colOff>492761</xdr:colOff>
      <xdr:row>39</xdr:row>
      <xdr:rowOff>304800</xdr:rowOff>
    </xdr:to>
    <xdr:pic>
      <xdr:nvPicPr>
        <xdr:cNvPr id="96" name="Billede 95">
          <a:extLst>
            <a:ext uri="{FF2B5EF4-FFF2-40B4-BE49-F238E27FC236}">
              <a16:creationId xmlns:a16="http://schemas.microsoft.com/office/drawing/2014/main" id="{72B4FB2D-D9B5-44E0-9C6B-69E159F97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144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40</xdr:row>
      <xdr:rowOff>16412</xdr:rowOff>
    </xdr:from>
    <xdr:to>
      <xdr:col>2</xdr:col>
      <xdr:colOff>492761</xdr:colOff>
      <xdr:row>40</xdr:row>
      <xdr:rowOff>304800</xdr:rowOff>
    </xdr:to>
    <xdr:pic>
      <xdr:nvPicPr>
        <xdr:cNvPr id="97" name="Billede 96">
          <a:extLst>
            <a:ext uri="{FF2B5EF4-FFF2-40B4-BE49-F238E27FC236}">
              <a16:creationId xmlns:a16="http://schemas.microsoft.com/office/drawing/2014/main" id="{849AAB1D-F240-4CC2-AC3C-D9E2A87E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176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40</xdr:row>
      <xdr:rowOff>41726</xdr:rowOff>
    </xdr:from>
    <xdr:to>
      <xdr:col>4</xdr:col>
      <xdr:colOff>1176428</xdr:colOff>
      <xdr:row>40</xdr:row>
      <xdr:rowOff>274244</xdr:rowOff>
    </xdr:to>
    <xdr:pic>
      <xdr:nvPicPr>
        <xdr:cNvPr id="98" name="Billede 97" descr="Dannebrog">
          <a:extLst>
            <a:ext uri="{FF2B5EF4-FFF2-40B4-BE49-F238E27FC236}">
              <a16:creationId xmlns:a16="http://schemas.microsoft.com/office/drawing/2014/main" id="{05CECC86-F418-415D-972B-F502F5CA1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1789226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41</xdr:row>
      <xdr:rowOff>36286</xdr:rowOff>
    </xdr:from>
    <xdr:to>
      <xdr:col>2</xdr:col>
      <xdr:colOff>460659</xdr:colOff>
      <xdr:row>41</xdr:row>
      <xdr:rowOff>270329</xdr:rowOff>
    </xdr:to>
    <xdr:pic>
      <xdr:nvPicPr>
        <xdr:cNvPr id="99" name="Billede 98">
          <a:extLst>
            <a:ext uri="{FF2B5EF4-FFF2-40B4-BE49-F238E27FC236}">
              <a16:creationId xmlns:a16="http://schemas.microsoft.com/office/drawing/2014/main" id="{7F24A6D5-D2A7-4EE9-BB4B-F360B8DA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5603" y="2661484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41</xdr:row>
      <xdr:rowOff>43545</xdr:rowOff>
    </xdr:from>
    <xdr:to>
      <xdr:col>4</xdr:col>
      <xdr:colOff>1176429</xdr:colOff>
      <xdr:row>41</xdr:row>
      <xdr:rowOff>284118</xdr:rowOff>
    </xdr:to>
    <xdr:pic>
      <xdr:nvPicPr>
        <xdr:cNvPr id="100" name="Billede 99">
          <a:extLst>
            <a:ext uri="{FF2B5EF4-FFF2-40B4-BE49-F238E27FC236}">
              <a16:creationId xmlns:a16="http://schemas.microsoft.com/office/drawing/2014/main" id="{2306F0F0-065A-425C-9391-5E52D5FDE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8" b="4932"/>
        <a:stretch/>
      </xdr:blipFill>
      <xdr:spPr bwMode="auto">
        <a:xfrm>
          <a:off x="6104709" y="26622105"/>
          <a:ext cx="360000" cy="2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42</xdr:row>
      <xdr:rowOff>43541</xdr:rowOff>
    </xdr:from>
    <xdr:to>
      <xdr:col>4</xdr:col>
      <xdr:colOff>1176428</xdr:colOff>
      <xdr:row>42</xdr:row>
      <xdr:rowOff>276059</xdr:rowOff>
    </xdr:to>
    <xdr:pic>
      <xdr:nvPicPr>
        <xdr:cNvPr id="101" name="Billede 100" descr="Dannebrog">
          <a:extLst>
            <a:ext uri="{FF2B5EF4-FFF2-40B4-BE49-F238E27FC236}">
              <a16:creationId xmlns:a16="http://schemas.microsoft.com/office/drawing/2014/main" id="{7C5B8E56-88A8-43BC-BFAC-0743BD5FB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6104708" y="1756192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42</xdr:row>
      <xdr:rowOff>36286</xdr:rowOff>
    </xdr:from>
    <xdr:to>
      <xdr:col>2</xdr:col>
      <xdr:colOff>460659</xdr:colOff>
      <xdr:row>42</xdr:row>
      <xdr:rowOff>270329</xdr:rowOff>
    </xdr:to>
    <xdr:pic>
      <xdr:nvPicPr>
        <xdr:cNvPr id="102" name="Billede 101">
          <a:extLst>
            <a:ext uri="{FF2B5EF4-FFF2-40B4-BE49-F238E27FC236}">
              <a16:creationId xmlns:a16="http://schemas.microsoft.com/office/drawing/2014/main" id="{AFA6A36D-64A3-4461-9BF3-8096AA959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5603" y="1755466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43</xdr:row>
      <xdr:rowOff>36286</xdr:rowOff>
    </xdr:from>
    <xdr:to>
      <xdr:col>2</xdr:col>
      <xdr:colOff>460659</xdr:colOff>
      <xdr:row>43</xdr:row>
      <xdr:rowOff>270329</xdr:rowOff>
    </xdr:to>
    <xdr:pic>
      <xdr:nvPicPr>
        <xdr:cNvPr id="103" name="Billede 102">
          <a:extLst>
            <a:ext uri="{FF2B5EF4-FFF2-40B4-BE49-F238E27FC236}">
              <a16:creationId xmlns:a16="http://schemas.microsoft.com/office/drawing/2014/main" id="{024194E6-4030-4DC5-9D83-7D9D00E0A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4283" y="13053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43</xdr:row>
      <xdr:rowOff>56241</xdr:rowOff>
    </xdr:from>
    <xdr:to>
      <xdr:col>4</xdr:col>
      <xdr:colOff>1176428</xdr:colOff>
      <xdr:row>43</xdr:row>
      <xdr:rowOff>288759</xdr:rowOff>
    </xdr:to>
    <xdr:pic>
      <xdr:nvPicPr>
        <xdr:cNvPr id="104" name="Billede 103" descr="Dannebrog">
          <a:extLst>
            <a:ext uri="{FF2B5EF4-FFF2-40B4-BE49-F238E27FC236}">
              <a16:creationId xmlns:a16="http://schemas.microsoft.com/office/drawing/2014/main" id="{16DC1903-2186-4B81-20C4-38D2D9338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33912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44</xdr:row>
      <xdr:rowOff>36286</xdr:rowOff>
    </xdr:from>
    <xdr:to>
      <xdr:col>2</xdr:col>
      <xdr:colOff>460659</xdr:colOff>
      <xdr:row>44</xdr:row>
      <xdr:rowOff>270329</xdr:rowOff>
    </xdr:to>
    <xdr:pic>
      <xdr:nvPicPr>
        <xdr:cNvPr id="109" name="Billede 108">
          <a:extLst>
            <a:ext uri="{FF2B5EF4-FFF2-40B4-BE49-F238E27FC236}">
              <a16:creationId xmlns:a16="http://schemas.microsoft.com/office/drawing/2014/main" id="{6B80355F-AA24-4A94-8D57-C96C254E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4283" y="1305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45</xdr:row>
      <xdr:rowOff>36286</xdr:rowOff>
    </xdr:from>
    <xdr:to>
      <xdr:col>2</xdr:col>
      <xdr:colOff>460659</xdr:colOff>
      <xdr:row>45</xdr:row>
      <xdr:rowOff>270329</xdr:rowOff>
    </xdr:to>
    <xdr:pic>
      <xdr:nvPicPr>
        <xdr:cNvPr id="110" name="Billede 109">
          <a:extLst>
            <a:ext uri="{FF2B5EF4-FFF2-40B4-BE49-F238E27FC236}">
              <a16:creationId xmlns:a16="http://schemas.microsoft.com/office/drawing/2014/main" id="{D597D775-CC26-4CA4-8D09-F1C18FC7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4283" y="13371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44</xdr:row>
      <xdr:rowOff>56241</xdr:rowOff>
    </xdr:from>
    <xdr:to>
      <xdr:col>4</xdr:col>
      <xdr:colOff>1176428</xdr:colOff>
      <xdr:row>44</xdr:row>
      <xdr:rowOff>288759</xdr:rowOff>
    </xdr:to>
    <xdr:pic>
      <xdr:nvPicPr>
        <xdr:cNvPr id="111" name="Billede 110" descr="Dannebrog">
          <a:extLst>
            <a:ext uri="{FF2B5EF4-FFF2-40B4-BE49-F238E27FC236}">
              <a16:creationId xmlns:a16="http://schemas.microsoft.com/office/drawing/2014/main" id="{2E978363-51BA-C7E9-A3D5-A90F31E89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37087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45</xdr:row>
      <xdr:rowOff>43541</xdr:rowOff>
    </xdr:from>
    <xdr:to>
      <xdr:col>4</xdr:col>
      <xdr:colOff>1176428</xdr:colOff>
      <xdr:row>45</xdr:row>
      <xdr:rowOff>276059</xdr:rowOff>
    </xdr:to>
    <xdr:pic>
      <xdr:nvPicPr>
        <xdr:cNvPr id="112" name="Billede 111" descr="Dannebrog">
          <a:extLst>
            <a:ext uri="{FF2B5EF4-FFF2-40B4-BE49-F238E27FC236}">
              <a16:creationId xmlns:a16="http://schemas.microsoft.com/office/drawing/2014/main" id="{CEFEDDC1-935B-A1CE-86A3-D68E5F842B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40135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46</xdr:row>
      <xdr:rowOff>36286</xdr:rowOff>
    </xdr:from>
    <xdr:to>
      <xdr:col>2</xdr:col>
      <xdr:colOff>460659</xdr:colOff>
      <xdr:row>46</xdr:row>
      <xdr:rowOff>270329</xdr:rowOff>
    </xdr:to>
    <xdr:pic>
      <xdr:nvPicPr>
        <xdr:cNvPr id="113" name="Billede 112">
          <a:extLst>
            <a:ext uri="{FF2B5EF4-FFF2-40B4-BE49-F238E27FC236}">
              <a16:creationId xmlns:a16="http://schemas.microsoft.com/office/drawing/2014/main" id="{3A93BE07-09D8-4672-9E85-692265CA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4283" y="1368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47</xdr:row>
      <xdr:rowOff>36286</xdr:rowOff>
    </xdr:from>
    <xdr:to>
      <xdr:col>2</xdr:col>
      <xdr:colOff>460659</xdr:colOff>
      <xdr:row>47</xdr:row>
      <xdr:rowOff>270329</xdr:rowOff>
    </xdr:to>
    <xdr:pic>
      <xdr:nvPicPr>
        <xdr:cNvPr id="114" name="Billede 113">
          <a:extLst>
            <a:ext uri="{FF2B5EF4-FFF2-40B4-BE49-F238E27FC236}">
              <a16:creationId xmlns:a16="http://schemas.microsoft.com/office/drawing/2014/main" id="{430880A9-D7D5-4AA0-AD3D-A682BF1D6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4283" y="1400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46</xdr:row>
      <xdr:rowOff>56241</xdr:rowOff>
    </xdr:from>
    <xdr:to>
      <xdr:col>4</xdr:col>
      <xdr:colOff>1176428</xdr:colOff>
      <xdr:row>46</xdr:row>
      <xdr:rowOff>288759</xdr:rowOff>
    </xdr:to>
    <xdr:pic>
      <xdr:nvPicPr>
        <xdr:cNvPr id="115" name="Billede 114" descr="Dannebrog">
          <a:extLst>
            <a:ext uri="{FF2B5EF4-FFF2-40B4-BE49-F238E27FC236}">
              <a16:creationId xmlns:a16="http://schemas.microsoft.com/office/drawing/2014/main" id="{5904DD28-1136-864A-8E6B-EACF44CB0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43437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47</xdr:row>
      <xdr:rowOff>56241</xdr:rowOff>
    </xdr:from>
    <xdr:to>
      <xdr:col>4</xdr:col>
      <xdr:colOff>1176428</xdr:colOff>
      <xdr:row>47</xdr:row>
      <xdr:rowOff>288759</xdr:rowOff>
    </xdr:to>
    <xdr:pic>
      <xdr:nvPicPr>
        <xdr:cNvPr id="116" name="Billede 115" descr="Dannebrog">
          <a:extLst>
            <a:ext uri="{FF2B5EF4-FFF2-40B4-BE49-F238E27FC236}">
              <a16:creationId xmlns:a16="http://schemas.microsoft.com/office/drawing/2014/main" id="{B6E4765D-CCF6-B543-1716-76FE8D255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46612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48</xdr:row>
      <xdr:rowOff>16412</xdr:rowOff>
    </xdr:from>
    <xdr:to>
      <xdr:col>2</xdr:col>
      <xdr:colOff>492761</xdr:colOff>
      <xdr:row>48</xdr:row>
      <xdr:rowOff>304800</xdr:rowOff>
    </xdr:to>
    <xdr:pic>
      <xdr:nvPicPr>
        <xdr:cNvPr id="117" name="Billede 116">
          <a:extLst>
            <a:ext uri="{FF2B5EF4-FFF2-40B4-BE49-F238E27FC236}">
              <a16:creationId xmlns:a16="http://schemas.microsoft.com/office/drawing/2014/main" id="{CFE1F725-9192-44A7-AE25-126B4DDFB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20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49</xdr:row>
      <xdr:rowOff>16412</xdr:rowOff>
    </xdr:from>
    <xdr:to>
      <xdr:col>2</xdr:col>
      <xdr:colOff>492761</xdr:colOff>
      <xdr:row>49</xdr:row>
      <xdr:rowOff>304800</xdr:rowOff>
    </xdr:to>
    <xdr:pic>
      <xdr:nvPicPr>
        <xdr:cNvPr id="118" name="Billede 117">
          <a:extLst>
            <a:ext uri="{FF2B5EF4-FFF2-40B4-BE49-F238E27FC236}">
              <a16:creationId xmlns:a16="http://schemas.microsoft.com/office/drawing/2014/main" id="{CD0240D8-90BC-4AFB-B404-60CAD54F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239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816428</xdr:colOff>
      <xdr:row>48</xdr:row>
      <xdr:rowOff>56241</xdr:rowOff>
    </xdr:from>
    <xdr:to>
      <xdr:col>4</xdr:col>
      <xdr:colOff>1176428</xdr:colOff>
      <xdr:row>48</xdr:row>
      <xdr:rowOff>288759</xdr:rowOff>
    </xdr:to>
    <xdr:pic>
      <xdr:nvPicPr>
        <xdr:cNvPr id="119" name="Billede 118" descr="Dannebrog">
          <a:extLst>
            <a:ext uri="{FF2B5EF4-FFF2-40B4-BE49-F238E27FC236}">
              <a16:creationId xmlns:a16="http://schemas.microsoft.com/office/drawing/2014/main" id="{08C1FA66-C0D0-0AE1-0BE4-1CA2F13B6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49787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816428</xdr:colOff>
      <xdr:row>49</xdr:row>
      <xdr:rowOff>56241</xdr:rowOff>
    </xdr:from>
    <xdr:to>
      <xdr:col>4</xdr:col>
      <xdr:colOff>1176428</xdr:colOff>
      <xdr:row>49</xdr:row>
      <xdr:rowOff>288759</xdr:rowOff>
    </xdr:to>
    <xdr:pic>
      <xdr:nvPicPr>
        <xdr:cNvPr id="120" name="Billede 119" descr="Dannebrog">
          <a:extLst>
            <a:ext uri="{FF2B5EF4-FFF2-40B4-BE49-F238E27FC236}">
              <a16:creationId xmlns:a16="http://schemas.microsoft.com/office/drawing/2014/main" id="{CA7C6B64-8445-779F-4D43-DCBE843BB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064828" y="15296241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50</xdr:row>
      <xdr:rowOff>16412</xdr:rowOff>
    </xdr:from>
    <xdr:to>
      <xdr:col>2</xdr:col>
      <xdr:colOff>492761</xdr:colOff>
      <xdr:row>50</xdr:row>
      <xdr:rowOff>304800</xdr:rowOff>
    </xdr:to>
    <xdr:pic>
      <xdr:nvPicPr>
        <xdr:cNvPr id="121" name="Billede 120">
          <a:extLst>
            <a:ext uri="{FF2B5EF4-FFF2-40B4-BE49-F238E27FC236}">
              <a16:creationId xmlns:a16="http://schemas.microsoft.com/office/drawing/2014/main" id="{83AEB445-8C4B-4017-99CF-077343F6A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525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51</xdr:row>
      <xdr:rowOff>16412</xdr:rowOff>
    </xdr:from>
    <xdr:to>
      <xdr:col>2</xdr:col>
      <xdr:colOff>492761</xdr:colOff>
      <xdr:row>51</xdr:row>
      <xdr:rowOff>304800</xdr:rowOff>
    </xdr:to>
    <xdr:pic>
      <xdr:nvPicPr>
        <xdr:cNvPr id="122" name="Billede 121">
          <a:extLst>
            <a:ext uri="{FF2B5EF4-FFF2-40B4-BE49-F238E27FC236}">
              <a16:creationId xmlns:a16="http://schemas.microsoft.com/office/drawing/2014/main" id="{4D9F7C2F-D33A-4636-ADBD-CDAA43E39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52</xdr:row>
      <xdr:rowOff>16412</xdr:rowOff>
    </xdr:from>
    <xdr:to>
      <xdr:col>2</xdr:col>
      <xdr:colOff>492761</xdr:colOff>
      <xdr:row>52</xdr:row>
      <xdr:rowOff>304800</xdr:rowOff>
    </xdr:to>
    <xdr:pic>
      <xdr:nvPicPr>
        <xdr:cNvPr id="123" name="Billede 122">
          <a:extLst>
            <a:ext uri="{FF2B5EF4-FFF2-40B4-BE49-F238E27FC236}">
              <a16:creationId xmlns:a16="http://schemas.microsoft.com/office/drawing/2014/main" id="{76BF8F64-E085-4A1F-928C-AFFBF67B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7041" y="15891412"/>
          <a:ext cx="312420" cy="2883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F4EEC2B3-E434-4B0A-AC33-6FE8F7819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77B68ED8-679E-4711-AB99-7715B9C1B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</xdr:row>
      <xdr:rowOff>16412</xdr:rowOff>
    </xdr:from>
    <xdr:to>
      <xdr:col>2</xdr:col>
      <xdr:colOff>492761</xdr:colOff>
      <xdr:row>5</xdr:row>
      <xdr:rowOff>304800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FDC21CC9-79B7-4AAB-9BB3-7B830D265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2761" y="410073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5</xdr:row>
      <xdr:rowOff>50800</xdr:rowOff>
    </xdr:from>
    <xdr:to>
      <xdr:col>4</xdr:col>
      <xdr:colOff>1223600</xdr:colOff>
      <xdr:row>5</xdr:row>
      <xdr:rowOff>283318</xdr:rowOff>
    </xdr:to>
    <xdr:pic>
      <xdr:nvPicPr>
        <xdr:cNvPr id="35" name="Billede 34" descr="Dannebrog">
          <a:extLst>
            <a:ext uri="{FF2B5EF4-FFF2-40B4-BE49-F238E27FC236}">
              <a16:creationId xmlns:a16="http://schemas.microsoft.com/office/drawing/2014/main" id="{2E2DB7B4-C1B3-4911-BAE5-EDB38DE2C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163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</xdr:row>
      <xdr:rowOff>50800</xdr:rowOff>
    </xdr:from>
    <xdr:to>
      <xdr:col>4</xdr:col>
      <xdr:colOff>1223600</xdr:colOff>
      <xdr:row>6</xdr:row>
      <xdr:rowOff>278657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4A3B14B5-4F61-4DD9-9A74-C0BAD51B5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9558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</xdr:row>
      <xdr:rowOff>16412</xdr:rowOff>
    </xdr:from>
    <xdr:to>
      <xdr:col>2</xdr:col>
      <xdr:colOff>492761</xdr:colOff>
      <xdr:row>6</xdr:row>
      <xdr:rowOff>304800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10C7CD11-8A2D-4152-ABB5-9588C473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4541" y="160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7</xdr:row>
      <xdr:rowOff>50800</xdr:rowOff>
    </xdr:from>
    <xdr:to>
      <xdr:col>4</xdr:col>
      <xdr:colOff>1223600</xdr:colOff>
      <xdr:row>7</xdr:row>
      <xdr:rowOff>283318</xdr:rowOff>
    </xdr:to>
    <xdr:pic>
      <xdr:nvPicPr>
        <xdr:cNvPr id="38" name="Billede 37" descr="Dannebrog">
          <a:extLst>
            <a:ext uri="{FF2B5EF4-FFF2-40B4-BE49-F238E27FC236}">
              <a16:creationId xmlns:a16="http://schemas.microsoft.com/office/drawing/2014/main" id="{9BE1782F-59D9-6A75-3DA9-3A0177F51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227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7</xdr:row>
      <xdr:rowOff>36286</xdr:rowOff>
    </xdr:from>
    <xdr:to>
      <xdr:col>2</xdr:col>
      <xdr:colOff>460659</xdr:colOff>
      <xdr:row>7</xdr:row>
      <xdr:rowOff>270329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F4982A5F-B26A-4F98-81D4-D79131E0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30003" y="5370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</xdr:row>
      <xdr:rowOff>36286</xdr:rowOff>
    </xdr:from>
    <xdr:to>
      <xdr:col>2</xdr:col>
      <xdr:colOff>460659</xdr:colOff>
      <xdr:row>8</xdr:row>
      <xdr:rowOff>270329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3C164C0A-206C-47B3-88B1-E741A591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01783" y="225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11</xdr:row>
      <xdr:rowOff>50800</xdr:rowOff>
    </xdr:from>
    <xdr:to>
      <xdr:col>4</xdr:col>
      <xdr:colOff>1223600</xdr:colOff>
      <xdr:row>11</xdr:row>
      <xdr:rowOff>283318</xdr:rowOff>
    </xdr:to>
    <xdr:pic>
      <xdr:nvPicPr>
        <xdr:cNvPr id="56" name="Billede 55" descr="Dannebrog">
          <a:extLst>
            <a:ext uri="{FF2B5EF4-FFF2-40B4-BE49-F238E27FC236}">
              <a16:creationId xmlns:a16="http://schemas.microsoft.com/office/drawing/2014/main" id="{5ADE68C8-9A20-4595-BF98-2BDFBFB8E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227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11</xdr:row>
      <xdr:rowOff>36286</xdr:rowOff>
    </xdr:from>
    <xdr:to>
      <xdr:col>2</xdr:col>
      <xdr:colOff>460659</xdr:colOff>
      <xdr:row>11</xdr:row>
      <xdr:rowOff>270329</xdr:rowOff>
    </xdr:to>
    <xdr:pic>
      <xdr:nvPicPr>
        <xdr:cNvPr id="57" name="Billede 56">
          <a:extLst>
            <a:ext uri="{FF2B5EF4-FFF2-40B4-BE49-F238E27FC236}">
              <a16:creationId xmlns:a16="http://schemas.microsoft.com/office/drawing/2014/main" id="{4F179C80-3137-4D2E-BCC7-DF28D273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01783" y="225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12</xdr:row>
      <xdr:rowOff>50800</xdr:rowOff>
    </xdr:from>
    <xdr:to>
      <xdr:col>4</xdr:col>
      <xdr:colOff>1223600</xdr:colOff>
      <xdr:row>12</xdr:row>
      <xdr:rowOff>283318</xdr:rowOff>
    </xdr:to>
    <xdr:pic>
      <xdr:nvPicPr>
        <xdr:cNvPr id="58" name="Billede 57" descr="Dannebrog">
          <a:extLst>
            <a:ext uri="{FF2B5EF4-FFF2-40B4-BE49-F238E27FC236}">
              <a16:creationId xmlns:a16="http://schemas.microsoft.com/office/drawing/2014/main" id="{68A331F6-1A86-4D50-A761-EC5288ED1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2590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12</xdr:row>
      <xdr:rowOff>36286</xdr:rowOff>
    </xdr:from>
    <xdr:to>
      <xdr:col>2</xdr:col>
      <xdr:colOff>460659</xdr:colOff>
      <xdr:row>12</xdr:row>
      <xdr:rowOff>270329</xdr:rowOff>
    </xdr:to>
    <xdr:pic>
      <xdr:nvPicPr>
        <xdr:cNvPr id="59" name="Billede 58">
          <a:extLst>
            <a:ext uri="{FF2B5EF4-FFF2-40B4-BE49-F238E27FC236}">
              <a16:creationId xmlns:a16="http://schemas.microsoft.com/office/drawing/2014/main" id="{502EAC6E-0F95-4C9E-AD6A-1819A7589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01783" y="257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13</xdr:row>
      <xdr:rowOff>50800</xdr:rowOff>
    </xdr:from>
    <xdr:to>
      <xdr:col>4</xdr:col>
      <xdr:colOff>1223600</xdr:colOff>
      <xdr:row>13</xdr:row>
      <xdr:rowOff>283318</xdr:rowOff>
    </xdr:to>
    <xdr:pic>
      <xdr:nvPicPr>
        <xdr:cNvPr id="60" name="Billede 59" descr="Dannebrog">
          <a:extLst>
            <a:ext uri="{FF2B5EF4-FFF2-40B4-BE49-F238E27FC236}">
              <a16:creationId xmlns:a16="http://schemas.microsoft.com/office/drawing/2014/main" id="{B9595E7D-A761-4405-97D3-510B49DBC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29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14</xdr:row>
      <xdr:rowOff>50800</xdr:rowOff>
    </xdr:from>
    <xdr:to>
      <xdr:col>4</xdr:col>
      <xdr:colOff>1223600</xdr:colOff>
      <xdr:row>14</xdr:row>
      <xdr:rowOff>283318</xdr:rowOff>
    </xdr:to>
    <xdr:pic>
      <xdr:nvPicPr>
        <xdr:cNvPr id="61" name="Billede 60" descr="Dannebrog">
          <a:extLst>
            <a:ext uri="{FF2B5EF4-FFF2-40B4-BE49-F238E27FC236}">
              <a16:creationId xmlns:a16="http://schemas.microsoft.com/office/drawing/2014/main" id="{C4C8E254-AA35-4C62-8AAC-FE68AE9675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322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8</xdr:row>
      <xdr:rowOff>50800</xdr:rowOff>
    </xdr:from>
    <xdr:to>
      <xdr:col>4</xdr:col>
      <xdr:colOff>1223600</xdr:colOff>
      <xdr:row>8</xdr:row>
      <xdr:rowOff>283318</xdr:rowOff>
    </xdr:to>
    <xdr:pic>
      <xdr:nvPicPr>
        <xdr:cNvPr id="64" name="Billede 63" descr="Dannebrog">
          <a:extLst>
            <a:ext uri="{FF2B5EF4-FFF2-40B4-BE49-F238E27FC236}">
              <a16:creationId xmlns:a16="http://schemas.microsoft.com/office/drawing/2014/main" id="{D4B71BF8-0CAF-436B-AB4A-C4BDE4B37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227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9</xdr:row>
      <xdr:rowOff>50800</xdr:rowOff>
    </xdr:from>
    <xdr:to>
      <xdr:col>4</xdr:col>
      <xdr:colOff>1223600</xdr:colOff>
      <xdr:row>9</xdr:row>
      <xdr:rowOff>283318</xdr:rowOff>
    </xdr:to>
    <xdr:pic>
      <xdr:nvPicPr>
        <xdr:cNvPr id="65" name="Billede 64" descr="Dannebrog">
          <a:extLst>
            <a:ext uri="{FF2B5EF4-FFF2-40B4-BE49-F238E27FC236}">
              <a16:creationId xmlns:a16="http://schemas.microsoft.com/office/drawing/2014/main" id="{C7ACDA40-1C84-4FF9-9405-3C5B41CB5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227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10</xdr:row>
      <xdr:rowOff>50800</xdr:rowOff>
    </xdr:from>
    <xdr:to>
      <xdr:col>4</xdr:col>
      <xdr:colOff>1223600</xdr:colOff>
      <xdr:row>10</xdr:row>
      <xdr:rowOff>283318</xdr:rowOff>
    </xdr:to>
    <xdr:pic>
      <xdr:nvPicPr>
        <xdr:cNvPr id="66" name="Billede 65" descr="Dannebrog">
          <a:extLst>
            <a:ext uri="{FF2B5EF4-FFF2-40B4-BE49-F238E27FC236}">
              <a16:creationId xmlns:a16="http://schemas.microsoft.com/office/drawing/2014/main" id="{FB17E97A-01BA-47A6-929F-ACA136206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227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12</xdr:row>
      <xdr:rowOff>50800</xdr:rowOff>
    </xdr:from>
    <xdr:to>
      <xdr:col>4</xdr:col>
      <xdr:colOff>1223600</xdr:colOff>
      <xdr:row>12</xdr:row>
      <xdr:rowOff>283318</xdr:rowOff>
    </xdr:to>
    <xdr:pic>
      <xdr:nvPicPr>
        <xdr:cNvPr id="67" name="Billede 66" descr="Dannebrog">
          <a:extLst>
            <a:ext uri="{FF2B5EF4-FFF2-40B4-BE49-F238E27FC236}">
              <a16:creationId xmlns:a16="http://schemas.microsoft.com/office/drawing/2014/main" id="{1163B8B9-D27D-4349-A7E2-553E9AF5D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354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13</xdr:row>
      <xdr:rowOff>50800</xdr:rowOff>
    </xdr:from>
    <xdr:to>
      <xdr:col>4</xdr:col>
      <xdr:colOff>1223600</xdr:colOff>
      <xdr:row>13</xdr:row>
      <xdr:rowOff>283318</xdr:rowOff>
    </xdr:to>
    <xdr:pic>
      <xdr:nvPicPr>
        <xdr:cNvPr id="68" name="Billede 67" descr="Dannebrog">
          <a:extLst>
            <a:ext uri="{FF2B5EF4-FFF2-40B4-BE49-F238E27FC236}">
              <a16:creationId xmlns:a16="http://schemas.microsoft.com/office/drawing/2014/main" id="{42D190D6-DA51-470F-8416-E311ADC52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354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14</xdr:row>
      <xdr:rowOff>50800</xdr:rowOff>
    </xdr:from>
    <xdr:to>
      <xdr:col>4</xdr:col>
      <xdr:colOff>1223600</xdr:colOff>
      <xdr:row>14</xdr:row>
      <xdr:rowOff>283318</xdr:rowOff>
    </xdr:to>
    <xdr:pic>
      <xdr:nvPicPr>
        <xdr:cNvPr id="69" name="Billede 68" descr="Dannebrog">
          <a:extLst>
            <a:ext uri="{FF2B5EF4-FFF2-40B4-BE49-F238E27FC236}">
              <a16:creationId xmlns:a16="http://schemas.microsoft.com/office/drawing/2014/main" id="{02E12572-701E-4615-A1AF-15FDAB774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354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15</xdr:row>
      <xdr:rowOff>50800</xdr:rowOff>
    </xdr:from>
    <xdr:to>
      <xdr:col>4</xdr:col>
      <xdr:colOff>1223600</xdr:colOff>
      <xdr:row>15</xdr:row>
      <xdr:rowOff>283318</xdr:rowOff>
    </xdr:to>
    <xdr:pic>
      <xdr:nvPicPr>
        <xdr:cNvPr id="70" name="Billede 69" descr="Dannebrog">
          <a:extLst>
            <a:ext uri="{FF2B5EF4-FFF2-40B4-BE49-F238E27FC236}">
              <a16:creationId xmlns:a16="http://schemas.microsoft.com/office/drawing/2014/main" id="{09E61E41-4534-408B-83AC-6F07CEDB2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354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15</xdr:row>
      <xdr:rowOff>36286</xdr:rowOff>
    </xdr:from>
    <xdr:to>
      <xdr:col>2</xdr:col>
      <xdr:colOff>460659</xdr:colOff>
      <xdr:row>15</xdr:row>
      <xdr:rowOff>270329</xdr:rowOff>
    </xdr:to>
    <xdr:pic>
      <xdr:nvPicPr>
        <xdr:cNvPr id="71" name="Billede 70">
          <a:extLst>
            <a:ext uri="{FF2B5EF4-FFF2-40B4-BE49-F238E27FC236}">
              <a16:creationId xmlns:a16="http://schemas.microsoft.com/office/drawing/2014/main" id="{0A12A0FA-FADC-42C8-9B6F-E8917A49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01783" y="352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</xdr:row>
      <xdr:rowOff>36286</xdr:rowOff>
    </xdr:from>
    <xdr:to>
      <xdr:col>2</xdr:col>
      <xdr:colOff>460659</xdr:colOff>
      <xdr:row>16</xdr:row>
      <xdr:rowOff>270329</xdr:rowOff>
    </xdr:to>
    <xdr:pic>
      <xdr:nvPicPr>
        <xdr:cNvPr id="73" name="Billede 72">
          <a:extLst>
            <a:ext uri="{FF2B5EF4-FFF2-40B4-BE49-F238E27FC236}">
              <a16:creationId xmlns:a16="http://schemas.microsoft.com/office/drawing/2014/main" id="{9561627D-F39E-4999-8B16-B52ABF407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01783" y="384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16</xdr:row>
      <xdr:rowOff>50800</xdr:rowOff>
    </xdr:from>
    <xdr:to>
      <xdr:col>4</xdr:col>
      <xdr:colOff>1223600</xdr:colOff>
      <xdr:row>16</xdr:row>
      <xdr:rowOff>283318</xdr:rowOff>
    </xdr:to>
    <xdr:pic>
      <xdr:nvPicPr>
        <xdr:cNvPr id="81" name="Billede 80" descr="Dannebrog">
          <a:extLst>
            <a:ext uri="{FF2B5EF4-FFF2-40B4-BE49-F238E27FC236}">
              <a16:creationId xmlns:a16="http://schemas.microsoft.com/office/drawing/2014/main" id="{CE0A0D09-443C-451B-962D-A198F6595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481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17</xdr:row>
      <xdr:rowOff>50800</xdr:rowOff>
    </xdr:from>
    <xdr:to>
      <xdr:col>4</xdr:col>
      <xdr:colOff>1223600</xdr:colOff>
      <xdr:row>17</xdr:row>
      <xdr:rowOff>283318</xdr:rowOff>
    </xdr:to>
    <xdr:pic>
      <xdr:nvPicPr>
        <xdr:cNvPr id="82" name="Billede 81" descr="Dannebrog">
          <a:extLst>
            <a:ext uri="{FF2B5EF4-FFF2-40B4-BE49-F238E27FC236}">
              <a16:creationId xmlns:a16="http://schemas.microsoft.com/office/drawing/2014/main" id="{217DCC43-F782-472F-B4DB-653260976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481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18</xdr:row>
      <xdr:rowOff>50800</xdr:rowOff>
    </xdr:from>
    <xdr:to>
      <xdr:col>4</xdr:col>
      <xdr:colOff>1223600</xdr:colOff>
      <xdr:row>18</xdr:row>
      <xdr:rowOff>283318</xdr:rowOff>
    </xdr:to>
    <xdr:pic>
      <xdr:nvPicPr>
        <xdr:cNvPr id="83" name="Billede 82" descr="Dannebrog">
          <a:extLst>
            <a:ext uri="{FF2B5EF4-FFF2-40B4-BE49-F238E27FC236}">
              <a16:creationId xmlns:a16="http://schemas.microsoft.com/office/drawing/2014/main" id="{8B79F9BF-E846-46EB-909A-ED52528B4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429500" y="481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19</xdr:row>
      <xdr:rowOff>50800</xdr:rowOff>
    </xdr:from>
    <xdr:to>
      <xdr:col>4</xdr:col>
      <xdr:colOff>1223600</xdr:colOff>
      <xdr:row>19</xdr:row>
      <xdr:rowOff>278657</xdr:rowOff>
    </xdr:to>
    <xdr:pic>
      <xdr:nvPicPr>
        <xdr:cNvPr id="84" name="Billede 83">
          <a:extLst>
            <a:ext uri="{FF2B5EF4-FFF2-40B4-BE49-F238E27FC236}">
              <a16:creationId xmlns:a16="http://schemas.microsoft.com/office/drawing/2014/main" id="{66780DEE-083B-517A-23B0-B4D31C52F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60833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20</xdr:row>
      <xdr:rowOff>50800</xdr:rowOff>
    </xdr:from>
    <xdr:to>
      <xdr:col>4</xdr:col>
      <xdr:colOff>1223600</xdr:colOff>
      <xdr:row>20</xdr:row>
      <xdr:rowOff>278657</xdr:rowOff>
    </xdr:to>
    <xdr:pic>
      <xdr:nvPicPr>
        <xdr:cNvPr id="85" name="Billede 84">
          <a:extLst>
            <a:ext uri="{FF2B5EF4-FFF2-40B4-BE49-F238E27FC236}">
              <a16:creationId xmlns:a16="http://schemas.microsoft.com/office/drawing/2014/main" id="{D87FE691-236F-456C-8174-3F1A6974F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60833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19</xdr:row>
      <xdr:rowOff>36286</xdr:rowOff>
    </xdr:from>
    <xdr:to>
      <xdr:col>2</xdr:col>
      <xdr:colOff>460659</xdr:colOff>
      <xdr:row>19</xdr:row>
      <xdr:rowOff>270329</xdr:rowOff>
    </xdr:to>
    <xdr:pic>
      <xdr:nvPicPr>
        <xdr:cNvPr id="86" name="Billede 85">
          <a:extLst>
            <a:ext uri="{FF2B5EF4-FFF2-40B4-BE49-F238E27FC236}">
              <a16:creationId xmlns:a16="http://schemas.microsoft.com/office/drawing/2014/main" id="{E6945CDB-DE41-4E6E-A334-90D108736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479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87" name="Billede 86">
          <a:extLst>
            <a:ext uri="{FF2B5EF4-FFF2-40B4-BE49-F238E27FC236}">
              <a16:creationId xmlns:a16="http://schemas.microsoft.com/office/drawing/2014/main" id="{78BC4C7A-96F0-43F8-AA5C-8C0E1006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511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21</xdr:row>
      <xdr:rowOff>38100</xdr:rowOff>
    </xdr:from>
    <xdr:to>
      <xdr:col>4</xdr:col>
      <xdr:colOff>1223600</xdr:colOff>
      <xdr:row>21</xdr:row>
      <xdr:rowOff>270618</xdr:rowOff>
    </xdr:to>
    <xdr:pic>
      <xdr:nvPicPr>
        <xdr:cNvPr id="88" name="Billede 87" descr="Dannebrog">
          <a:extLst>
            <a:ext uri="{FF2B5EF4-FFF2-40B4-BE49-F238E27FC236}">
              <a16:creationId xmlns:a16="http://schemas.microsoft.com/office/drawing/2014/main" id="{B0B345AE-631B-EBE0-3BE5-9CF5ABA84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670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22</xdr:row>
      <xdr:rowOff>38100</xdr:rowOff>
    </xdr:from>
    <xdr:to>
      <xdr:col>4</xdr:col>
      <xdr:colOff>1223600</xdr:colOff>
      <xdr:row>22</xdr:row>
      <xdr:rowOff>270618</xdr:rowOff>
    </xdr:to>
    <xdr:pic>
      <xdr:nvPicPr>
        <xdr:cNvPr id="89" name="Billede 88" descr="Dannebrog">
          <a:extLst>
            <a:ext uri="{FF2B5EF4-FFF2-40B4-BE49-F238E27FC236}">
              <a16:creationId xmlns:a16="http://schemas.microsoft.com/office/drawing/2014/main" id="{AEFDF6E4-7484-4000-9951-F68C5912C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670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23</xdr:row>
      <xdr:rowOff>38100</xdr:rowOff>
    </xdr:from>
    <xdr:to>
      <xdr:col>4</xdr:col>
      <xdr:colOff>1223600</xdr:colOff>
      <xdr:row>23</xdr:row>
      <xdr:rowOff>270618</xdr:rowOff>
    </xdr:to>
    <xdr:pic>
      <xdr:nvPicPr>
        <xdr:cNvPr id="90" name="Billede 89" descr="Dannebrog">
          <a:extLst>
            <a:ext uri="{FF2B5EF4-FFF2-40B4-BE49-F238E27FC236}">
              <a16:creationId xmlns:a16="http://schemas.microsoft.com/office/drawing/2014/main" id="{1978330D-C47B-41E9-B5C9-EBE694E929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670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24</xdr:row>
      <xdr:rowOff>38100</xdr:rowOff>
    </xdr:from>
    <xdr:to>
      <xdr:col>4</xdr:col>
      <xdr:colOff>1223600</xdr:colOff>
      <xdr:row>24</xdr:row>
      <xdr:rowOff>270618</xdr:rowOff>
    </xdr:to>
    <xdr:pic>
      <xdr:nvPicPr>
        <xdr:cNvPr id="91" name="Billede 90" descr="Dannebrog">
          <a:extLst>
            <a:ext uri="{FF2B5EF4-FFF2-40B4-BE49-F238E27FC236}">
              <a16:creationId xmlns:a16="http://schemas.microsoft.com/office/drawing/2014/main" id="{0A855291-EF34-43CA-9546-7C6FC9A1B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670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21</xdr:row>
      <xdr:rowOff>36286</xdr:rowOff>
    </xdr:from>
    <xdr:to>
      <xdr:col>2</xdr:col>
      <xdr:colOff>460659</xdr:colOff>
      <xdr:row>21</xdr:row>
      <xdr:rowOff>270329</xdr:rowOff>
    </xdr:to>
    <xdr:pic>
      <xdr:nvPicPr>
        <xdr:cNvPr id="92" name="Billede 91">
          <a:extLst>
            <a:ext uri="{FF2B5EF4-FFF2-40B4-BE49-F238E27FC236}">
              <a16:creationId xmlns:a16="http://schemas.microsoft.com/office/drawing/2014/main" id="{BD22E023-6D1B-4E61-870E-B85EA2F9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606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22</xdr:row>
      <xdr:rowOff>36286</xdr:rowOff>
    </xdr:from>
    <xdr:to>
      <xdr:col>2</xdr:col>
      <xdr:colOff>460659</xdr:colOff>
      <xdr:row>22</xdr:row>
      <xdr:rowOff>270329</xdr:rowOff>
    </xdr:to>
    <xdr:pic>
      <xdr:nvPicPr>
        <xdr:cNvPr id="93" name="Billede 92">
          <a:extLst>
            <a:ext uri="{FF2B5EF4-FFF2-40B4-BE49-F238E27FC236}">
              <a16:creationId xmlns:a16="http://schemas.microsoft.com/office/drawing/2014/main" id="{462DD232-7C3B-4B18-B7E1-4725F3ACE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638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23</xdr:row>
      <xdr:rowOff>36286</xdr:rowOff>
    </xdr:from>
    <xdr:to>
      <xdr:col>2</xdr:col>
      <xdr:colOff>460659</xdr:colOff>
      <xdr:row>23</xdr:row>
      <xdr:rowOff>270329</xdr:rowOff>
    </xdr:to>
    <xdr:pic>
      <xdr:nvPicPr>
        <xdr:cNvPr id="94" name="Billede 93">
          <a:extLst>
            <a:ext uri="{FF2B5EF4-FFF2-40B4-BE49-F238E27FC236}">
              <a16:creationId xmlns:a16="http://schemas.microsoft.com/office/drawing/2014/main" id="{FBDE8DED-2D40-40CE-9785-CAE54868F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606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24</xdr:row>
      <xdr:rowOff>36286</xdr:rowOff>
    </xdr:from>
    <xdr:to>
      <xdr:col>2</xdr:col>
      <xdr:colOff>460659</xdr:colOff>
      <xdr:row>24</xdr:row>
      <xdr:rowOff>270329</xdr:rowOff>
    </xdr:to>
    <xdr:pic>
      <xdr:nvPicPr>
        <xdr:cNvPr id="95" name="Billede 94">
          <a:extLst>
            <a:ext uri="{FF2B5EF4-FFF2-40B4-BE49-F238E27FC236}">
              <a16:creationId xmlns:a16="http://schemas.microsoft.com/office/drawing/2014/main" id="{1A7B54D5-67DA-4195-B86E-3001DE80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638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25</xdr:row>
      <xdr:rowOff>38100</xdr:rowOff>
    </xdr:from>
    <xdr:to>
      <xdr:col>4</xdr:col>
      <xdr:colOff>1223600</xdr:colOff>
      <xdr:row>25</xdr:row>
      <xdr:rowOff>270618</xdr:rowOff>
    </xdr:to>
    <xdr:pic>
      <xdr:nvPicPr>
        <xdr:cNvPr id="96" name="Billede 95" descr="Dannebrog">
          <a:extLst>
            <a:ext uri="{FF2B5EF4-FFF2-40B4-BE49-F238E27FC236}">
              <a16:creationId xmlns:a16="http://schemas.microsoft.com/office/drawing/2014/main" id="{2C41676A-CDEF-4FF5-B219-220BA4F73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670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25</xdr:row>
      <xdr:rowOff>36286</xdr:rowOff>
    </xdr:from>
    <xdr:to>
      <xdr:col>2</xdr:col>
      <xdr:colOff>460659</xdr:colOff>
      <xdr:row>25</xdr:row>
      <xdr:rowOff>270329</xdr:rowOff>
    </xdr:to>
    <xdr:pic>
      <xdr:nvPicPr>
        <xdr:cNvPr id="100" name="Billede 99">
          <a:extLst>
            <a:ext uri="{FF2B5EF4-FFF2-40B4-BE49-F238E27FC236}">
              <a16:creationId xmlns:a16="http://schemas.microsoft.com/office/drawing/2014/main" id="{FE626D22-471B-4E13-B564-2AE43F86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670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26</xdr:row>
      <xdr:rowOff>36286</xdr:rowOff>
    </xdr:from>
    <xdr:to>
      <xdr:col>2</xdr:col>
      <xdr:colOff>460659</xdr:colOff>
      <xdr:row>26</xdr:row>
      <xdr:rowOff>270329</xdr:rowOff>
    </xdr:to>
    <xdr:pic>
      <xdr:nvPicPr>
        <xdr:cNvPr id="101" name="Billede 100">
          <a:extLst>
            <a:ext uri="{FF2B5EF4-FFF2-40B4-BE49-F238E27FC236}">
              <a16:creationId xmlns:a16="http://schemas.microsoft.com/office/drawing/2014/main" id="{BA4D642E-CB79-46E8-A5C5-A1DE0FBA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702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27</xdr:row>
      <xdr:rowOff>36286</xdr:rowOff>
    </xdr:from>
    <xdr:to>
      <xdr:col>2</xdr:col>
      <xdr:colOff>460659</xdr:colOff>
      <xdr:row>27</xdr:row>
      <xdr:rowOff>270329</xdr:rowOff>
    </xdr:to>
    <xdr:pic>
      <xdr:nvPicPr>
        <xdr:cNvPr id="102" name="Billede 101">
          <a:extLst>
            <a:ext uri="{FF2B5EF4-FFF2-40B4-BE49-F238E27FC236}">
              <a16:creationId xmlns:a16="http://schemas.microsoft.com/office/drawing/2014/main" id="{55BE8DB5-08EE-4653-84E2-07ED78940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733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28</xdr:row>
      <xdr:rowOff>36286</xdr:rowOff>
    </xdr:from>
    <xdr:to>
      <xdr:col>2</xdr:col>
      <xdr:colOff>460659</xdr:colOff>
      <xdr:row>28</xdr:row>
      <xdr:rowOff>270329</xdr:rowOff>
    </xdr:to>
    <xdr:pic>
      <xdr:nvPicPr>
        <xdr:cNvPr id="103" name="Billede 102">
          <a:extLst>
            <a:ext uri="{FF2B5EF4-FFF2-40B4-BE49-F238E27FC236}">
              <a16:creationId xmlns:a16="http://schemas.microsoft.com/office/drawing/2014/main" id="{AF8899F4-3E21-4D0C-A989-B82A5CE3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765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26</xdr:row>
      <xdr:rowOff>38100</xdr:rowOff>
    </xdr:from>
    <xdr:to>
      <xdr:col>4</xdr:col>
      <xdr:colOff>1223600</xdr:colOff>
      <xdr:row>26</xdr:row>
      <xdr:rowOff>270618</xdr:rowOff>
    </xdr:to>
    <xdr:pic>
      <xdr:nvPicPr>
        <xdr:cNvPr id="104" name="Billede 103" descr="Dannebrog">
          <a:extLst>
            <a:ext uri="{FF2B5EF4-FFF2-40B4-BE49-F238E27FC236}">
              <a16:creationId xmlns:a16="http://schemas.microsoft.com/office/drawing/2014/main" id="{FAD34386-41CB-4EC3-8F84-3E0F35113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797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27</xdr:row>
      <xdr:rowOff>38100</xdr:rowOff>
    </xdr:from>
    <xdr:to>
      <xdr:col>4</xdr:col>
      <xdr:colOff>1223600</xdr:colOff>
      <xdr:row>27</xdr:row>
      <xdr:rowOff>270618</xdr:rowOff>
    </xdr:to>
    <xdr:pic>
      <xdr:nvPicPr>
        <xdr:cNvPr id="105" name="Billede 104" descr="Dannebrog">
          <a:extLst>
            <a:ext uri="{FF2B5EF4-FFF2-40B4-BE49-F238E27FC236}">
              <a16:creationId xmlns:a16="http://schemas.microsoft.com/office/drawing/2014/main" id="{753FDBDC-1CF0-428E-A432-47F0A24BD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797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28</xdr:row>
      <xdr:rowOff>38100</xdr:rowOff>
    </xdr:from>
    <xdr:to>
      <xdr:col>4</xdr:col>
      <xdr:colOff>1223600</xdr:colOff>
      <xdr:row>28</xdr:row>
      <xdr:rowOff>270618</xdr:rowOff>
    </xdr:to>
    <xdr:pic>
      <xdr:nvPicPr>
        <xdr:cNvPr id="106" name="Billede 105" descr="Dannebrog">
          <a:extLst>
            <a:ext uri="{FF2B5EF4-FFF2-40B4-BE49-F238E27FC236}">
              <a16:creationId xmlns:a16="http://schemas.microsoft.com/office/drawing/2014/main" id="{BDB450F5-59FD-401A-8B6E-A73203468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79756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29</xdr:row>
      <xdr:rowOff>36286</xdr:rowOff>
    </xdr:from>
    <xdr:to>
      <xdr:col>2</xdr:col>
      <xdr:colOff>460659</xdr:colOff>
      <xdr:row>29</xdr:row>
      <xdr:rowOff>270329</xdr:rowOff>
    </xdr:to>
    <xdr:pic>
      <xdr:nvPicPr>
        <xdr:cNvPr id="107" name="Billede 106">
          <a:extLst>
            <a:ext uri="{FF2B5EF4-FFF2-40B4-BE49-F238E27FC236}">
              <a16:creationId xmlns:a16="http://schemas.microsoft.com/office/drawing/2014/main" id="{25A3E86B-044D-4DA3-A2F4-1B9D5559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892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29</xdr:row>
      <xdr:rowOff>50800</xdr:rowOff>
    </xdr:from>
    <xdr:to>
      <xdr:col>4</xdr:col>
      <xdr:colOff>1223600</xdr:colOff>
      <xdr:row>29</xdr:row>
      <xdr:rowOff>283318</xdr:rowOff>
    </xdr:to>
    <xdr:pic>
      <xdr:nvPicPr>
        <xdr:cNvPr id="108" name="Billede 107" descr="Dannebrog">
          <a:extLst>
            <a:ext uri="{FF2B5EF4-FFF2-40B4-BE49-F238E27FC236}">
              <a16:creationId xmlns:a16="http://schemas.microsoft.com/office/drawing/2014/main" id="{EB7809C5-DA26-F6CB-F2C5-FD5616BA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30</xdr:row>
      <xdr:rowOff>50800</xdr:rowOff>
    </xdr:from>
    <xdr:to>
      <xdr:col>4</xdr:col>
      <xdr:colOff>1223600</xdr:colOff>
      <xdr:row>30</xdr:row>
      <xdr:rowOff>283318</xdr:rowOff>
    </xdr:to>
    <xdr:pic>
      <xdr:nvPicPr>
        <xdr:cNvPr id="109" name="Billede 108" descr="Dannebrog">
          <a:extLst>
            <a:ext uri="{FF2B5EF4-FFF2-40B4-BE49-F238E27FC236}">
              <a16:creationId xmlns:a16="http://schemas.microsoft.com/office/drawing/2014/main" id="{6C383C86-ADE2-4051-9EA4-076178539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31</xdr:row>
      <xdr:rowOff>50800</xdr:rowOff>
    </xdr:from>
    <xdr:to>
      <xdr:col>4</xdr:col>
      <xdr:colOff>1223600</xdr:colOff>
      <xdr:row>31</xdr:row>
      <xdr:rowOff>283318</xdr:rowOff>
    </xdr:to>
    <xdr:pic>
      <xdr:nvPicPr>
        <xdr:cNvPr id="110" name="Billede 109" descr="Dannebrog">
          <a:extLst>
            <a:ext uri="{FF2B5EF4-FFF2-40B4-BE49-F238E27FC236}">
              <a16:creationId xmlns:a16="http://schemas.microsoft.com/office/drawing/2014/main" id="{20B64B15-D5F3-4A83-9ECC-48B16FC4C4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32</xdr:row>
      <xdr:rowOff>50800</xdr:rowOff>
    </xdr:from>
    <xdr:to>
      <xdr:col>4</xdr:col>
      <xdr:colOff>1223600</xdr:colOff>
      <xdr:row>32</xdr:row>
      <xdr:rowOff>283318</xdr:rowOff>
    </xdr:to>
    <xdr:pic>
      <xdr:nvPicPr>
        <xdr:cNvPr id="111" name="Billede 110" descr="Dannebrog">
          <a:extLst>
            <a:ext uri="{FF2B5EF4-FFF2-40B4-BE49-F238E27FC236}">
              <a16:creationId xmlns:a16="http://schemas.microsoft.com/office/drawing/2014/main" id="{2FAE2EE3-CE8D-4F16-AF8D-9EC577B34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33</xdr:row>
      <xdr:rowOff>50800</xdr:rowOff>
    </xdr:from>
    <xdr:to>
      <xdr:col>4</xdr:col>
      <xdr:colOff>1223600</xdr:colOff>
      <xdr:row>33</xdr:row>
      <xdr:rowOff>283318</xdr:rowOff>
    </xdr:to>
    <xdr:pic>
      <xdr:nvPicPr>
        <xdr:cNvPr id="112" name="Billede 111" descr="Dannebrog">
          <a:extLst>
            <a:ext uri="{FF2B5EF4-FFF2-40B4-BE49-F238E27FC236}">
              <a16:creationId xmlns:a16="http://schemas.microsoft.com/office/drawing/2014/main" id="{784DAC87-F9BB-4F00-95AC-3E89CDC9DA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34</xdr:row>
      <xdr:rowOff>50800</xdr:rowOff>
    </xdr:from>
    <xdr:to>
      <xdr:col>4</xdr:col>
      <xdr:colOff>1223600</xdr:colOff>
      <xdr:row>34</xdr:row>
      <xdr:rowOff>283318</xdr:rowOff>
    </xdr:to>
    <xdr:pic>
      <xdr:nvPicPr>
        <xdr:cNvPr id="113" name="Billede 112" descr="Dannebrog">
          <a:extLst>
            <a:ext uri="{FF2B5EF4-FFF2-40B4-BE49-F238E27FC236}">
              <a16:creationId xmlns:a16="http://schemas.microsoft.com/office/drawing/2014/main" id="{22FA8A1B-99F5-4BF4-8FF8-50439D45C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35</xdr:row>
      <xdr:rowOff>50800</xdr:rowOff>
    </xdr:from>
    <xdr:to>
      <xdr:col>4</xdr:col>
      <xdr:colOff>1223600</xdr:colOff>
      <xdr:row>35</xdr:row>
      <xdr:rowOff>283318</xdr:rowOff>
    </xdr:to>
    <xdr:pic>
      <xdr:nvPicPr>
        <xdr:cNvPr id="114" name="Billede 113" descr="Dannebrog">
          <a:extLst>
            <a:ext uri="{FF2B5EF4-FFF2-40B4-BE49-F238E27FC236}">
              <a16:creationId xmlns:a16="http://schemas.microsoft.com/office/drawing/2014/main" id="{2403AC72-A48D-4B71-ADEC-42B844B45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36</xdr:row>
      <xdr:rowOff>50800</xdr:rowOff>
    </xdr:from>
    <xdr:to>
      <xdr:col>4</xdr:col>
      <xdr:colOff>1223600</xdr:colOff>
      <xdr:row>36</xdr:row>
      <xdr:rowOff>283318</xdr:rowOff>
    </xdr:to>
    <xdr:pic>
      <xdr:nvPicPr>
        <xdr:cNvPr id="115" name="Billede 114" descr="Dannebrog">
          <a:extLst>
            <a:ext uri="{FF2B5EF4-FFF2-40B4-BE49-F238E27FC236}">
              <a16:creationId xmlns:a16="http://schemas.microsoft.com/office/drawing/2014/main" id="{C6D571F1-E44B-492F-AA74-60F3186FA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92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30</xdr:row>
      <xdr:rowOff>36286</xdr:rowOff>
    </xdr:from>
    <xdr:to>
      <xdr:col>2</xdr:col>
      <xdr:colOff>460659</xdr:colOff>
      <xdr:row>30</xdr:row>
      <xdr:rowOff>270329</xdr:rowOff>
    </xdr:to>
    <xdr:pic>
      <xdr:nvPicPr>
        <xdr:cNvPr id="116" name="Billede 115">
          <a:extLst>
            <a:ext uri="{FF2B5EF4-FFF2-40B4-BE49-F238E27FC236}">
              <a16:creationId xmlns:a16="http://schemas.microsoft.com/office/drawing/2014/main" id="{EA224B02-B342-47D8-8EAF-7ABB06CF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892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31</xdr:row>
      <xdr:rowOff>36286</xdr:rowOff>
    </xdr:from>
    <xdr:to>
      <xdr:col>2</xdr:col>
      <xdr:colOff>460659</xdr:colOff>
      <xdr:row>31</xdr:row>
      <xdr:rowOff>270329</xdr:rowOff>
    </xdr:to>
    <xdr:pic>
      <xdr:nvPicPr>
        <xdr:cNvPr id="117" name="Billede 116">
          <a:extLst>
            <a:ext uri="{FF2B5EF4-FFF2-40B4-BE49-F238E27FC236}">
              <a16:creationId xmlns:a16="http://schemas.microsoft.com/office/drawing/2014/main" id="{A6EA7BC5-9429-48F7-B625-D3A0DB514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924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32</xdr:row>
      <xdr:rowOff>36286</xdr:rowOff>
    </xdr:from>
    <xdr:to>
      <xdr:col>2</xdr:col>
      <xdr:colOff>460659</xdr:colOff>
      <xdr:row>32</xdr:row>
      <xdr:rowOff>270329</xdr:rowOff>
    </xdr:to>
    <xdr:pic>
      <xdr:nvPicPr>
        <xdr:cNvPr id="118" name="Billede 117">
          <a:extLst>
            <a:ext uri="{FF2B5EF4-FFF2-40B4-BE49-F238E27FC236}">
              <a16:creationId xmlns:a16="http://schemas.microsoft.com/office/drawing/2014/main" id="{706AC045-9284-4E2F-A894-6AD92775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892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33</xdr:row>
      <xdr:rowOff>36286</xdr:rowOff>
    </xdr:from>
    <xdr:to>
      <xdr:col>2</xdr:col>
      <xdr:colOff>460659</xdr:colOff>
      <xdr:row>33</xdr:row>
      <xdr:rowOff>270329</xdr:rowOff>
    </xdr:to>
    <xdr:pic>
      <xdr:nvPicPr>
        <xdr:cNvPr id="119" name="Billede 118">
          <a:extLst>
            <a:ext uri="{FF2B5EF4-FFF2-40B4-BE49-F238E27FC236}">
              <a16:creationId xmlns:a16="http://schemas.microsoft.com/office/drawing/2014/main" id="{BFF0FAD5-DD78-471B-B56E-416CABF7A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924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34</xdr:row>
      <xdr:rowOff>36286</xdr:rowOff>
    </xdr:from>
    <xdr:to>
      <xdr:col>2</xdr:col>
      <xdr:colOff>460659</xdr:colOff>
      <xdr:row>34</xdr:row>
      <xdr:rowOff>270329</xdr:rowOff>
    </xdr:to>
    <xdr:pic>
      <xdr:nvPicPr>
        <xdr:cNvPr id="120" name="Billede 119">
          <a:extLst>
            <a:ext uri="{FF2B5EF4-FFF2-40B4-BE49-F238E27FC236}">
              <a16:creationId xmlns:a16="http://schemas.microsoft.com/office/drawing/2014/main" id="{4AB7FDA2-0EF9-4824-AE4E-4B28D9F0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892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35</xdr:row>
      <xdr:rowOff>36286</xdr:rowOff>
    </xdr:from>
    <xdr:to>
      <xdr:col>2</xdr:col>
      <xdr:colOff>460659</xdr:colOff>
      <xdr:row>35</xdr:row>
      <xdr:rowOff>270329</xdr:rowOff>
    </xdr:to>
    <xdr:pic>
      <xdr:nvPicPr>
        <xdr:cNvPr id="121" name="Billede 120">
          <a:extLst>
            <a:ext uri="{FF2B5EF4-FFF2-40B4-BE49-F238E27FC236}">
              <a16:creationId xmlns:a16="http://schemas.microsoft.com/office/drawing/2014/main" id="{2D6CE9C8-BF4E-4A1B-8291-029CA0E8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924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36</xdr:row>
      <xdr:rowOff>36286</xdr:rowOff>
    </xdr:from>
    <xdr:to>
      <xdr:col>2</xdr:col>
      <xdr:colOff>460659</xdr:colOff>
      <xdr:row>36</xdr:row>
      <xdr:rowOff>270329</xdr:rowOff>
    </xdr:to>
    <xdr:pic>
      <xdr:nvPicPr>
        <xdr:cNvPr id="122" name="Billede 121">
          <a:extLst>
            <a:ext uri="{FF2B5EF4-FFF2-40B4-BE49-F238E27FC236}">
              <a16:creationId xmlns:a16="http://schemas.microsoft.com/office/drawing/2014/main" id="{DF2FE37E-0333-4156-B1B8-5634DE5B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37</xdr:row>
      <xdr:rowOff>50800</xdr:rowOff>
    </xdr:from>
    <xdr:to>
      <xdr:col>4</xdr:col>
      <xdr:colOff>1223600</xdr:colOff>
      <xdr:row>37</xdr:row>
      <xdr:rowOff>283318</xdr:rowOff>
    </xdr:to>
    <xdr:pic>
      <xdr:nvPicPr>
        <xdr:cNvPr id="2" name="Billede 1" descr="Dannebrog">
          <a:extLst>
            <a:ext uri="{FF2B5EF4-FFF2-40B4-BE49-F238E27FC236}">
              <a16:creationId xmlns:a16="http://schemas.microsoft.com/office/drawing/2014/main" id="{D25AF2B0-9B6F-2136-FA05-602E449C2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179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37</xdr:row>
      <xdr:rowOff>36286</xdr:rowOff>
    </xdr:from>
    <xdr:to>
      <xdr:col>2</xdr:col>
      <xdr:colOff>460659</xdr:colOff>
      <xdr:row>37</xdr:row>
      <xdr:rowOff>270329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295BCECC-8521-48EC-97A9-9174BF42B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46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38</xdr:row>
      <xdr:rowOff>36286</xdr:rowOff>
    </xdr:from>
    <xdr:to>
      <xdr:col>2</xdr:col>
      <xdr:colOff>460659</xdr:colOff>
      <xdr:row>38</xdr:row>
      <xdr:rowOff>270329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3899D235-5C53-4496-9113-7EB5E07D4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78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39</xdr:row>
      <xdr:rowOff>36286</xdr:rowOff>
    </xdr:from>
    <xdr:to>
      <xdr:col>2</xdr:col>
      <xdr:colOff>460659</xdr:colOff>
      <xdr:row>39</xdr:row>
      <xdr:rowOff>270329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8BAFD30D-F50B-4C27-A496-055D145EA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210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40</xdr:row>
      <xdr:rowOff>36286</xdr:rowOff>
    </xdr:from>
    <xdr:to>
      <xdr:col>2</xdr:col>
      <xdr:colOff>460659</xdr:colOff>
      <xdr:row>40</xdr:row>
      <xdr:rowOff>270329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2A255A3B-5435-4249-AFF5-72DB9DE3A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241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41</xdr:row>
      <xdr:rowOff>36286</xdr:rowOff>
    </xdr:from>
    <xdr:to>
      <xdr:col>2</xdr:col>
      <xdr:colOff>460659</xdr:colOff>
      <xdr:row>41</xdr:row>
      <xdr:rowOff>270329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9B4C0F89-64DE-4656-B653-178E0DA8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273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41</xdr:row>
      <xdr:rowOff>50800</xdr:rowOff>
    </xdr:from>
    <xdr:to>
      <xdr:col>4</xdr:col>
      <xdr:colOff>1223600</xdr:colOff>
      <xdr:row>41</xdr:row>
      <xdr:rowOff>283318</xdr:rowOff>
    </xdr:to>
    <xdr:pic>
      <xdr:nvPicPr>
        <xdr:cNvPr id="11" name="Billede 10" descr="Dannebrog">
          <a:extLst>
            <a:ext uri="{FF2B5EF4-FFF2-40B4-BE49-F238E27FC236}">
              <a16:creationId xmlns:a16="http://schemas.microsoft.com/office/drawing/2014/main" id="{02611ABF-6A64-7161-5DA8-64122EF89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306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42</xdr:row>
      <xdr:rowOff>36286</xdr:rowOff>
    </xdr:from>
    <xdr:to>
      <xdr:col>2</xdr:col>
      <xdr:colOff>460659</xdr:colOff>
      <xdr:row>42</xdr:row>
      <xdr:rowOff>270329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5D61DCC9-C39F-4913-A148-886B15114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3053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42</xdr:row>
      <xdr:rowOff>76200</xdr:rowOff>
    </xdr:from>
    <xdr:to>
      <xdr:col>4</xdr:col>
      <xdr:colOff>1223600</xdr:colOff>
      <xdr:row>42</xdr:row>
      <xdr:rowOff>258696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7DC33163-1548-BE8F-D150-204A6F680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3411200"/>
          <a:ext cx="360000" cy="182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43</xdr:row>
      <xdr:rowOff>76200</xdr:rowOff>
    </xdr:from>
    <xdr:to>
      <xdr:col>4</xdr:col>
      <xdr:colOff>1223600</xdr:colOff>
      <xdr:row>43</xdr:row>
      <xdr:rowOff>258696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AF307079-E6E7-44D3-B6B7-B55B03CC6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3411200"/>
          <a:ext cx="360000" cy="182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17</xdr:row>
      <xdr:rowOff>36286</xdr:rowOff>
    </xdr:from>
    <xdr:to>
      <xdr:col>2</xdr:col>
      <xdr:colOff>460659</xdr:colOff>
      <xdr:row>17</xdr:row>
      <xdr:rowOff>270329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160FD070-C197-481C-B626-FA158179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511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</xdr:row>
      <xdr:rowOff>36286</xdr:rowOff>
    </xdr:from>
    <xdr:to>
      <xdr:col>2</xdr:col>
      <xdr:colOff>460659</xdr:colOff>
      <xdr:row>18</xdr:row>
      <xdr:rowOff>270329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7E45205C-12C0-4848-8389-20C8B3220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511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13</xdr:row>
      <xdr:rowOff>36286</xdr:rowOff>
    </xdr:from>
    <xdr:to>
      <xdr:col>2</xdr:col>
      <xdr:colOff>460659</xdr:colOff>
      <xdr:row>13</xdr:row>
      <xdr:rowOff>270329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833ED53C-AB8B-406D-A0E8-918B95595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511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14</xdr:row>
      <xdr:rowOff>36286</xdr:rowOff>
    </xdr:from>
    <xdr:to>
      <xdr:col>2</xdr:col>
      <xdr:colOff>460659</xdr:colOff>
      <xdr:row>14</xdr:row>
      <xdr:rowOff>270329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66E72E65-6CAF-41F6-8115-58E2D6F9B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511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</xdr:row>
      <xdr:rowOff>36286</xdr:rowOff>
    </xdr:from>
    <xdr:to>
      <xdr:col>2</xdr:col>
      <xdr:colOff>460659</xdr:colOff>
      <xdr:row>9</xdr:row>
      <xdr:rowOff>270329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CA3C0719-630D-4F84-8CBC-1CBEB77C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352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</xdr:row>
      <xdr:rowOff>36286</xdr:rowOff>
    </xdr:from>
    <xdr:to>
      <xdr:col>2</xdr:col>
      <xdr:colOff>460659</xdr:colOff>
      <xdr:row>10</xdr:row>
      <xdr:rowOff>270329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13603C00-2882-4842-B16F-8E7EA2B28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352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44</xdr:row>
      <xdr:rowOff>76200</xdr:rowOff>
    </xdr:from>
    <xdr:to>
      <xdr:col>4</xdr:col>
      <xdr:colOff>1223600</xdr:colOff>
      <xdr:row>44</xdr:row>
      <xdr:rowOff>258696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DD511997-B6CA-4DC4-8FAD-AFF328C8C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3728700"/>
          <a:ext cx="360000" cy="182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43</xdr:row>
      <xdr:rowOff>16412</xdr:rowOff>
    </xdr:from>
    <xdr:to>
      <xdr:col>2</xdr:col>
      <xdr:colOff>492761</xdr:colOff>
      <xdr:row>43</xdr:row>
      <xdr:rowOff>304800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7767518E-ADA0-4A92-B3F7-616F81327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39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44</xdr:row>
      <xdr:rowOff>36286</xdr:rowOff>
    </xdr:from>
    <xdr:to>
      <xdr:col>2</xdr:col>
      <xdr:colOff>460659</xdr:colOff>
      <xdr:row>44</xdr:row>
      <xdr:rowOff>270329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9B87F7D3-CF32-4723-9D86-92CD0BB4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3371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45</xdr:row>
      <xdr:rowOff>76200</xdr:rowOff>
    </xdr:from>
    <xdr:to>
      <xdr:col>4</xdr:col>
      <xdr:colOff>1223600</xdr:colOff>
      <xdr:row>45</xdr:row>
      <xdr:rowOff>258696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C80F4B29-37A6-4ED3-B339-657860312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4046200"/>
          <a:ext cx="360000" cy="182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45</xdr:row>
      <xdr:rowOff>16412</xdr:rowOff>
    </xdr:from>
    <xdr:to>
      <xdr:col>2</xdr:col>
      <xdr:colOff>492761</xdr:colOff>
      <xdr:row>45</xdr:row>
      <xdr:rowOff>304800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1D27BFCF-87AC-4C79-8025-4F52A16B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366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46</xdr:row>
      <xdr:rowOff>50800</xdr:rowOff>
    </xdr:from>
    <xdr:to>
      <xdr:col>4</xdr:col>
      <xdr:colOff>1223600</xdr:colOff>
      <xdr:row>46</xdr:row>
      <xdr:rowOff>283318</xdr:rowOff>
    </xdr:to>
    <xdr:pic>
      <xdr:nvPicPr>
        <xdr:cNvPr id="31" name="Billede 30" descr="Dannebrog">
          <a:extLst>
            <a:ext uri="{FF2B5EF4-FFF2-40B4-BE49-F238E27FC236}">
              <a16:creationId xmlns:a16="http://schemas.microsoft.com/office/drawing/2014/main" id="{F5D1AD23-6C37-D42D-1026-C61D1A549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465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46</xdr:row>
      <xdr:rowOff>16412</xdr:rowOff>
    </xdr:from>
    <xdr:to>
      <xdr:col>2</xdr:col>
      <xdr:colOff>492761</xdr:colOff>
      <xdr:row>46</xdr:row>
      <xdr:rowOff>304800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72CD67A9-6920-4395-AF38-016F9CBB1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430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47</xdr:row>
      <xdr:rowOff>50800</xdr:rowOff>
    </xdr:from>
    <xdr:to>
      <xdr:col>4</xdr:col>
      <xdr:colOff>1223600</xdr:colOff>
      <xdr:row>47</xdr:row>
      <xdr:rowOff>283318</xdr:rowOff>
    </xdr:to>
    <xdr:pic>
      <xdr:nvPicPr>
        <xdr:cNvPr id="33" name="Billede 32" descr="Dannebrog">
          <a:extLst>
            <a:ext uri="{FF2B5EF4-FFF2-40B4-BE49-F238E27FC236}">
              <a16:creationId xmlns:a16="http://schemas.microsoft.com/office/drawing/2014/main" id="{FB5B4799-F8DF-4679-9BDB-871BF1C143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465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47</xdr:row>
      <xdr:rowOff>16412</xdr:rowOff>
    </xdr:from>
    <xdr:to>
      <xdr:col>2</xdr:col>
      <xdr:colOff>492761</xdr:colOff>
      <xdr:row>47</xdr:row>
      <xdr:rowOff>304800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ACB5CFB4-628D-4F52-AE48-0550D1D9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462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48</xdr:row>
      <xdr:rowOff>50800</xdr:rowOff>
    </xdr:from>
    <xdr:to>
      <xdr:col>4</xdr:col>
      <xdr:colOff>1223600</xdr:colOff>
      <xdr:row>48</xdr:row>
      <xdr:rowOff>283318</xdr:rowOff>
    </xdr:to>
    <xdr:pic>
      <xdr:nvPicPr>
        <xdr:cNvPr id="42" name="Billede 41" descr="Dannebrog">
          <a:extLst>
            <a:ext uri="{FF2B5EF4-FFF2-40B4-BE49-F238E27FC236}">
              <a16:creationId xmlns:a16="http://schemas.microsoft.com/office/drawing/2014/main" id="{D42EEA3D-0692-4E32-A504-55A163C2B1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497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48</xdr:row>
      <xdr:rowOff>16412</xdr:rowOff>
    </xdr:from>
    <xdr:to>
      <xdr:col>2</xdr:col>
      <xdr:colOff>492761</xdr:colOff>
      <xdr:row>48</xdr:row>
      <xdr:rowOff>304800</xdr:rowOff>
    </xdr:to>
    <xdr:pic>
      <xdr:nvPicPr>
        <xdr:cNvPr id="43" name="Billede 42">
          <a:extLst>
            <a:ext uri="{FF2B5EF4-FFF2-40B4-BE49-F238E27FC236}">
              <a16:creationId xmlns:a16="http://schemas.microsoft.com/office/drawing/2014/main" id="{C11E85A5-8CFD-48AA-A3A5-8A3938E9E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493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49</xdr:row>
      <xdr:rowOff>50800</xdr:rowOff>
    </xdr:from>
    <xdr:to>
      <xdr:col>4</xdr:col>
      <xdr:colOff>1223600</xdr:colOff>
      <xdr:row>49</xdr:row>
      <xdr:rowOff>283318</xdr:rowOff>
    </xdr:to>
    <xdr:pic>
      <xdr:nvPicPr>
        <xdr:cNvPr id="44" name="Billede 43" descr="Dannebrog">
          <a:extLst>
            <a:ext uri="{FF2B5EF4-FFF2-40B4-BE49-F238E27FC236}">
              <a16:creationId xmlns:a16="http://schemas.microsoft.com/office/drawing/2014/main" id="{45BFAE50-0C63-26E1-D4CE-7EE0558F6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50</xdr:row>
      <xdr:rowOff>50800</xdr:rowOff>
    </xdr:from>
    <xdr:to>
      <xdr:col>4</xdr:col>
      <xdr:colOff>1223600</xdr:colOff>
      <xdr:row>50</xdr:row>
      <xdr:rowOff>283318</xdr:rowOff>
    </xdr:to>
    <xdr:pic>
      <xdr:nvPicPr>
        <xdr:cNvPr id="45" name="Billede 44" descr="Dannebrog">
          <a:extLst>
            <a:ext uri="{FF2B5EF4-FFF2-40B4-BE49-F238E27FC236}">
              <a16:creationId xmlns:a16="http://schemas.microsoft.com/office/drawing/2014/main" id="{C40DECD7-D132-4CB5-97C2-EC5B6ADD9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51</xdr:row>
      <xdr:rowOff>50800</xdr:rowOff>
    </xdr:from>
    <xdr:to>
      <xdr:col>4</xdr:col>
      <xdr:colOff>1223600</xdr:colOff>
      <xdr:row>51</xdr:row>
      <xdr:rowOff>283318</xdr:rowOff>
    </xdr:to>
    <xdr:pic>
      <xdr:nvPicPr>
        <xdr:cNvPr id="48" name="Billede 47" descr="Dannebrog">
          <a:extLst>
            <a:ext uri="{FF2B5EF4-FFF2-40B4-BE49-F238E27FC236}">
              <a16:creationId xmlns:a16="http://schemas.microsoft.com/office/drawing/2014/main" id="{B71B0D6A-1E36-4DF7-B8F8-3422B3EDC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52</xdr:row>
      <xdr:rowOff>50800</xdr:rowOff>
    </xdr:from>
    <xdr:to>
      <xdr:col>4</xdr:col>
      <xdr:colOff>1223600</xdr:colOff>
      <xdr:row>52</xdr:row>
      <xdr:rowOff>283318</xdr:rowOff>
    </xdr:to>
    <xdr:pic>
      <xdr:nvPicPr>
        <xdr:cNvPr id="49" name="Billede 48" descr="Dannebrog">
          <a:extLst>
            <a:ext uri="{FF2B5EF4-FFF2-40B4-BE49-F238E27FC236}">
              <a16:creationId xmlns:a16="http://schemas.microsoft.com/office/drawing/2014/main" id="{3ADBCD8C-11CD-477E-B242-BFC2FC8B6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53</xdr:row>
      <xdr:rowOff>50800</xdr:rowOff>
    </xdr:from>
    <xdr:to>
      <xdr:col>4</xdr:col>
      <xdr:colOff>1223600</xdr:colOff>
      <xdr:row>53</xdr:row>
      <xdr:rowOff>283318</xdr:rowOff>
    </xdr:to>
    <xdr:pic>
      <xdr:nvPicPr>
        <xdr:cNvPr id="50" name="Billede 49" descr="Dannebrog">
          <a:extLst>
            <a:ext uri="{FF2B5EF4-FFF2-40B4-BE49-F238E27FC236}">
              <a16:creationId xmlns:a16="http://schemas.microsoft.com/office/drawing/2014/main" id="{7EA2692B-9E02-48BA-81BF-BC36B2405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54</xdr:row>
      <xdr:rowOff>50800</xdr:rowOff>
    </xdr:from>
    <xdr:to>
      <xdr:col>4</xdr:col>
      <xdr:colOff>1223600</xdr:colOff>
      <xdr:row>54</xdr:row>
      <xdr:rowOff>283318</xdr:rowOff>
    </xdr:to>
    <xdr:pic>
      <xdr:nvPicPr>
        <xdr:cNvPr id="51" name="Billede 50" descr="Dannebrog">
          <a:extLst>
            <a:ext uri="{FF2B5EF4-FFF2-40B4-BE49-F238E27FC236}">
              <a16:creationId xmlns:a16="http://schemas.microsoft.com/office/drawing/2014/main" id="{92BE1848-51B1-464B-A8CB-AE8D49D17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55</xdr:row>
      <xdr:rowOff>50800</xdr:rowOff>
    </xdr:from>
    <xdr:to>
      <xdr:col>4</xdr:col>
      <xdr:colOff>1223600</xdr:colOff>
      <xdr:row>55</xdr:row>
      <xdr:rowOff>283318</xdr:rowOff>
    </xdr:to>
    <xdr:pic>
      <xdr:nvPicPr>
        <xdr:cNvPr id="52" name="Billede 51" descr="Dannebrog">
          <a:extLst>
            <a:ext uri="{FF2B5EF4-FFF2-40B4-BE49-F238E27FC236}">
              <a16:creationId xmlns:a16="http://schemas.microsoft.com/office/drawing/2014/main" id="{3C292739-3F65-4E4A-8882-D30FF083D9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56</xdr:row>
      <xdr:rowOff>50800</xdr:rowOff>
    </xdr:from>
    <xdr:to>
      <xdr:col>4</xdr:col>
      <xdr:colOff>1223600</xdr:colOff>
      <xdr:row>56</xdr:row>
      <xdr:rowOff>283318</xdr:rowOff>
    </xdr:to>
    <xdr:pic>
      <xdr:nvPicPr>
        <xdr:cNvPr id="53" name="Billede 52" descr="Dannebrog">
          <a:extLst>
            <a:ext uri="{FF2B5EF4-FFF2-40B4-BE49-F238E27FC236}">
              <a16:creationId xmlns:a16="http://schemas.microsoft.com/office/drawing/2014/main" id="{1FD0E080-905C-4551-8D67-1952BD4B84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560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49</xdr:row>
      <xdr:rowOff>36286</xdr:rowOff>
    </xdr:from>
    <xdr:to>
      <xdr:col>2</xdr:col>
      <xdr:colOff>460659</xdr:colOff>
      <xdr:row>49</xdr:row>
      <xdr:rowOff>270329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79E9778A-C442-40CF-8758-9A20919F7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50</xdr:row>
      <xdr:rowOff>36286</xdr:rowOff>
    </xdr:from>
    <xdr:to>
      <xdr:col>2</xdr:col>
      <xdr:colOff>460659</xdr:colOff>
      <xdr:row>50</xdr:row>
      <xdr:rowOff>270329</xdr:rowOff>
    </xdr:to>
    <xdr:pic>
      <xdr:nvPicPr>
        <xdr:cNvPr id="55" name="Billede 54">
          <a:extLst>
            <a:ext uri="{FF2B5EF4-FFF2-40B4-BE49-F238E27FC236}">
              <a16:creationId xmlns:a16="http://schemas.microsoft.com/office/drawing/2014/main" id="{89D91540-FA26-4055-BBA1-68028AD1B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51</xdr:row>
      <xdr:rowOff>36286</xdr:rowOff>
    </xdr:from>
    <xdr:to>
      <xdr:col>2</xdr:col>
      <xdr:colOff>460659</xdr:colOff>
      <xdr:row>51</xdr:row>
      <xdr:rowOff>270329</xdr:rowOff>
    </xdr:to>
    <xdr:pic>
      <xdr:nvPicPr>
        <xdr:cNvPr id="72" name="Billede 71">
          <a:extLst>
            <a:ext uri="{FF2B5EF4-FFF2-40B4-BE49-F238E27FC236}">
              <a16:creationId xmlns:a16="http://schemas.microsoft.com/office/drawing/2014/main" id="{AB885D6C-2E2B-448B-839A-538D6E0A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52</xdr:row>
      <xdr:rowOff>36286</xdr:rowOff>
    </xdr:from>
    <xdr:to>
      <xdr:col>2</xdr:col>
      <xdr:colOff>460659</xdr:colOff>
      <xdr:row>52</xdr:row>
      <xdr:rowOff>270329</xdr:rowOff>
    </xdr:to>
    <xdr:pic>
      <xdr:nvPicPr>
        <xdr:cNvPr id="74" name="Billede 73">
          <a:extLst>
            <a:ext uri="{FF2B5EF4-FFF2-40B4-BE49-F238E27FC236}">
              <a16:creationId xmlns:a16="http://schemas.microsoft.com/office/drawing/2014/main" id="{8544FEEE-6465-4E2D-8EEE-E9C14A6E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53</xdr:row>
      <xdr:rowOff>36286</xdr:rowOff>
    </xdr:from>
    <xdr:to>
      <xdr:col>2</xdr:col>
      <xdr:colOff>460659</xdr:colOff>
      <xdr:row>53</xdr:row>
      <xdr:rowOff>270329</xdr:rowOff>
    </xdr:to>
    <xdr:pic>
      <xdr:nvPicPr>
        <xdr:cNvPr id="75" name="Billede 74">
          <a:extLst>
            <a:ext uri="{FF2B5EF4-FFF2-40B4-BE49-F238E27FC236}">
              <a16:creationId xmlns:a16="http://schemas.microsoft.com/office/drawing/2014/main" id="{4E95AAF2-8A4C-4FD4-9704-0D7A0943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54</xdr:row>
      <xdr:rowOff>36286</xdr:rowOff>
    </xdr:from>
    <xdr:to>
      <xdr:col>2</xdr:col>
      <xdr:colOff>460659</xdr:colOff>
      <xdr:row>54</xdr:row>
      <xdr:rowOff>270329</xdr:rowOff>
    </xdr:to>
    <xdr:pic>
      <xdr:nvPicPr>
        <xdr:cNvPr id="78" name="Billede 77">
          <a:extLst>
            <a:ext uri="{FF2B5EF4-FFF2-40B4-BE49-F238E27FC236}">
              <a16:creationId xmlns:a16="http://schemas.microsoft.com/office/drawing/2014/main" id="{77701E70-7483-4C65-9BFA-E6B044A89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55</xdr:row>
      <xdr:rowOff>36286</xdr:rowOff>
    </xdr:from>
    <xdr:to>
      <xdr:col>2</xdr:col>
      <xdr:colOff>460659</xdr:colOff>
      <xdr:row>55</xdr:row>
      <xdr:rowOff>270329</xdr:rowOff>
    </xdr:to>
    <xdr:pic>
      <xdr:nvPicPr>
        <xdr:cNvPr id="79" name="Billede 78">
          <a:extLst>
            <a:ext uri="{FF2B5EF4-FFF2-40B4-BE49-F238E27FC236}">
              <a16:creationId xmlns:a16="http://schemas.microsoft.com/office/drawing/2014/main" id="{214C4BCD-9ED8-4FFE-8E9D-46C4BED10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56</xdr:row>
      <xdr:rowOff>36286</xdr:rowOff>
    </xdr:from>
    <xdr:to>
      <xdr:col>2</xdr:col>
      <xdr:colOff>460659</xdr:colOff>
      <xdr:row>56</xdr:row>
      <xdr:rowOff>270329</xdr:rowOff>
    </xdr:to>
    <xdr:pic>
      <xdr:nvPicPr>
        <xdr:cNvPr id="80" name="Billede 79">
          <a:extLst>
            <a:ext uri="{FF2B5EF4-FFF2-40B4-BE49-F238E27FC236}">
              <a16:creationId xmlns:a16="http://schemas.microsoft.com/office/drawing/2014/main" id="{0899452D-1D61-4679-AF0C-2E1B8B84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1148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57</xdr:row>
      <xdr:rowOff>63500</xdr:rowOff>
    </xdr:from>
    <xdr:to>
      <xdr:col>4</xdr:col>
      <xdr:colOff>1223600</xdr:colOff>
      <xdr:row>57</xdr:row>
      <xdr:rowOff>282937</xdr:rowOff>
    </xdr:to>
    <xdr:pic>
      <xdr:nvPicPr>
        <xdr:cNvPr id="97" name="Billede 96">
          <a:extLst>
            <a:ext uri="{FF2B5EF4-FFF2-40B4-BE49-F238E27FC236}">
              <a16:creationId xmlns:a16="http://schemas.microsoft.com/office/drawing/2014/main" id="{09520002-57DC-4DA0-943C-66119137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8161000"/>
          <a:ext cx="360000" cy="21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57</xdr:row>
      <xdr:rowOff>36286</xdr:rowOff>
    </xdr:from>
    <xdr:to>
      <xdr:col>2</xdr:col>
      <xdr:colOff>460659</xdr:colOff>
      <xdr:row>57</xdr:row>
      <xdr:rowOff>270329</xdr:rowOff>
    </xdr:to>
    <xdr:pic>
      <xdr:nvPicPr>
        <xdr:cNvPr id="98" name="Billede 97">
          <a:extLst>
            <a:ext uri="{FF2B5EF4-FFF2-40B4-BE49-F238E27FC236}">
              <a16:creationId xmlns:a16="http://schemas.microsoft.com/office/drawing/2014/main" id="{7AD7D692-1C96-4E3F-96E1-89E3AB97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78162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58</xdr:row>
      <xdr:rowOff>38100</xdr:rowOff>
    </xdr:from>
    <xdr:to>
      <xdr:col>4</xdr:col>
      <xdr:colOff>1223600</xdr:colOff>
      <xdr:row>58</xdr:row>
      <xdr:rowOff>265957</xdr:rowOff>
    </xdr:to>
    <xdr:pic>
      <xdr:nvPicPr>
        <xdr:cNvPr id="99" name="Billede 98">
          <a:extLst>
            <a:ext uri="{FF2B5EF4-FFF2-40B4-BE49-F238E27FC236}">
              <a16:creationId xmlns:a16="http://schemas.microsoft.com/office/drawing/2014/main" id="{A4A6292E-4B08-290B-E3C0-6E0797B7E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84531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58</xdr:row>
      <xdr:rowOff>16412</xdr:rowOff>
    </xdr:from>
    <xdr:to>
      <xdr:col>2</xdr:col>
      <xdr:colOff>492761</xdr:colOff>
      <xdr:row>58</xdr:row>
      <xdr:rowOff>304800</xdr:rowOff>
    </xdr:to>
    <xdr:pic>
      <xdr:nvPicPr>
        <xdr:cNvPr id="123" name="Billede 122">
          <a:extLst>
            <a:ext uri="{FF2B5EF4-FFF2-40B4-BE49-F238E27FC236}">
              <a16:creationId xmlns:a16="http://schemas.microsoft.com/office/drawing/2014/main" id="{2571D2BB-75A6-4802-A8A2-ADE51D4D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525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59</xdr:row>
      <xdr:rowOff>50800</xdr:rowOff>
    </xdr:from>
    <xdr:to>
      <xdr:col>4</xdr:col>
      <xdr:colOff>1223600</xdr:colOff>
      <xdr:row>59</xdr:row>
      <xdr:rowOff>283318</xdr:rowOff>
    </xdr:to>
    <xdr:pic>
      <xdr:nvPicPr>
        <xdr:cNvPr id="124" name="Billede 123" descr="Dannebrog">
          <a:extLst>
            <a:ext uri="{FF2B5EF4-FFF2-40B4-BE49-F238E27FC236}">
              <a16:creationId xmlns:a16="http://schemas.microsoft.com/office/drawing/2014/main" id="{42367E25-EDB3-841D-91D0-BAAE1BD0D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878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60</xdr:row>
      <xdr:rowOff>50800</xdr:rowOff>
    </xdr:from>
    <xdr:to>
      <xdr:col>4</xdr:col>
      <xdr:colOff>1223600</xdr:colOff>
      <xdr:row>60</xdr:row>
      <xdr:rowOff>283318</xdr:rowOff>
    </xdr:to>
    <xdr:pic>
      <xdr:nvPicPr>
        <xdr:cNvPr id="125" name="Billede 124" descr="Dannebrog">
          <a:extLst>
            <a:ext uri="{FF2B5EF4-FFF2-40B4-BE49-F238E27FC236}">
              <a16:creationId xmlns:a16="http://schemas.microsoft.com/office/drawing/2014/main" id="{F52421A8-488C-4BF6-904D-BAE7BB287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878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61</xdr:row>
      <xdr:rowOff>50800</xdr:rowOff>
    </xdr:from>
    <xdr:to>
      <xdr:col>4</xdr:col>
      <xdr:colOff>1223600</xdr:colOff>
      <xdr:row>61</xdr:row>
      <xdr:rowOff>283318</xdr:rowOff>
    </xdr:to>
    <xdr:pic>
      <xdr:nvPicPr>
        <xdr:cNvPr id="126" name="Billede 125" descr="Dannebrog">
          <a:extLst>
            <a:ext uri="{FF2B5EF4-FFF2-40B4-BE49-F238E27FC236}">
              <a16:creationId xmlns:a16="http://schemas.microsoft.com/office/drawing/2014/main" id="{A1AC3BC2-3CD4-40AA-8BF2-5120D6188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8783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59</xdr:row>
      <xdr:rowOff>16412</xdr:rowOff>
    </xdr:from>
    <xdr:to>
      <xdr:col>2</xdr:col>
      <xdr:colOff>492761</xdr:colOff>
      <xdr:row>59</xdr:row>
      <xdr:rowOff>304800</xdr:rowOff>
    </xdr:to>
    <xdr:pic>
      <xdr:nvPicPr>
        <xdr:cNvPr id="127" name="Billede 126">
          <a:extLst>
            <a:ext uri="{FF2B5EF4-FFF2-40B4-BE49-F238E27FC236}">
              <a16:creationId xmlns:a16="http://schemas.microsoft.com/office/drawing/2014/main" id="{A546EA07-EA0D-46AF-A067-9DEE48116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843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60</xdr:row>
      <xdr:rowOff>16412</xdr:rowOff>
    </xdr:from>
    <xdr:to>
      <xdr:col>2</xdr:col>
      <xdr:colOff>492761</xdr:colOff>
      <xdr:row>60</xdr:row>
      <xdr:rowOff>304800</xdr:rowOff>
    </xdr:to>
    <xdr:pic>
      <xdr:nvPicPr>
        <xdr:cNvPr id="128" name="Billede 127">
          <a:extLst>
            <a:ext uri="{FF2B5EF4-FFF2-40B4-BE49-F238E27FC236}">
              <a16:creationId xmlns:a16="http://schemas.microsoft.com/office/drawing/2014/main" id="{52D48921-F136-4456-8519-E67E3EE3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843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61</xdr:row>
      <xdr:rowOff>16412</xdr:rowOff>
    </xdr:from>
    <xdr:to>
      <xdr:col>2</xdr:col>
      <xdr:colOff>492761</xdr:colOff>
      <xdr:row>61</xdr:row>
      <xdr:rowOff>304800</xdr:rowOff>
    </xdr:to>
    <xdr:pic>
      <xdr:nvPicPr>
        <xdr:cNvPr id="129" name="Billede 128">
          <a:extLst>
            <a:ext uri="{FF2B5EF4-FFF2-40B4-BE49-F238E27FC236}">
              <a16:creationId xmlns:a16="http://schemas.microsoft.com/office/drawing/2014/main" id="{38AC27C0-7E3E-4DBD-9922-059584077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843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62</xdr:row>
      <xdr:rowOff>50800</xdr:rowOff>
    </xdr:from>
    <xdr:to>
      <xdr:col>4</xdr:col>
      <xdr:colOff>1223600</xdr:colOff>
      <xdr:row>62</xdr:row>
      <xdr:rowOff>283318</xdr:rowOff>
    </xdr:to>
    <xdr:pic>
      <xdr:nvPicPr>
        <xdr:cNvPr id="130" name="Billede 129" descr="Dannebrog">
          <a:extLst>
            <a:ext uri="{FF2B5EF4-FFF2-40B4-BE49-F238E27FC236}">
              <a16:creationId xmlns:a16="http://schemas.microsoft.com/office/drawing/2014/main" id="{68C833BF-9C5B-F026-A614-23CA72807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973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63</xdr:row>
      <xdr:rowOff>50800</xdr:rowOff>
    </xdr:from>
    <xdr:to>
      <xdr:col>4</xdr:col>
      <xdr:colOff>1223600</xdr:colOff>
      <xdr:row>63</xdr:row>
      <xdr:rowOff>283318</xdr:rowOff>
    </xdr:to>
    <xdr:pic>
      <xdr:nvPicPr>
        <xdr:cNvPr id="131" name="Billede 130" descr="Dannebrog">
          <a:extLst>
            <a:ext uri="{FF2B5EF4-FFF2-40B4-BE49-F238E27FC236}">
              <a16:creationId xmlns:a16="http://schemas.microsoft.com/office/drawing/2014/main" id="{493386E5-3420-41AD-B958-2EEE83309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973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64</xdr:row>
      <xdr:rowOff>50800</xdr:rowOff>
    </xdr:from>
    <xdr:to>
      <xdr:col>4</xdr:col>
      <xdr:colOff>1223600</xdr:colOff>
      <xdr:row>64</xdr:row>
      <xdr:rowOff>283318</xdr:rowOff>
    </xdr:to>
    <xdr:pic>
      <xdr:nvPicPr>
        <xdr:cNvPr id="132" name="Billede 131" descr="Dannebrog">
          <a:extLst>
            <a:ext uri="{FF2B5EF4-FFF2-40B4-BE49-F238E27FC236}">
              <a16:creationId xmlns:a16="http://schemas.microsoft.com/office/drawing/2014/main" id="{A41330A2-139E-4D6F-9139-1256D5B6C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973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65</xdr:row>
      <xdr:rowOff>50800</xdr:rowOff>
    </xdr:from>
    <xdr:to>
      <xdr:col>4</xdr:col>
      <xdr:colOff>1223600</xdr:colOff>
      <xdr:row>65</xdr:row>
      <xdr:rowOff>283318</xdr:rowOff>
    </xdr:to>
    <xdr:pic>
      <xdr:nvPicPr>
        <xdr:cNvPr id="133" name="Billede 132" descr="Dannebrog">
          <a:extLst>
            <a:ext uri="{FF2B5EF4-FFF2-40B4-BE49-F238E27FC236}">
              <a16:creationId xmlns:a16="http://schemas.microsoft.com/office/drawing/2014/main" id="{8A443D40-F699-4B22-8672-B26F69D23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973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66</xdr:row>
      <xdr:rowOff>50800</xdr:rowOff>
    </xdr:from>
    <xdr:to>
      <xdr:col>4</xdr:col>
      <xdr:colOff>1223600</xdr:colOff>
      <xdr:row>66</xdr:row>
      <xdr:rowOff>283318</xdr:rowOff>
    </xdr:to>
    <xdr:pic>
      <xdr:nvPicPr>
        <xdr:cNvPr id="134" name="Billede 133" descr="Dannebrog">
          <a:extLst>
            <a:ext uri="{FF2B5EF4-FFF2-40B4-BE49-F238E27FC236}">
              <a16:creationId xmlns:a16="http://schemas.microsoft.com/office/drawing/2014/main" id="{9B53DF1B-F0D9-410A-9E38-D54EC0D5D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973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67</xdr:row>
      <xdr:rowOff>50800</xdr:rowOff>
    </xdr:from>
    <xdr:to>
      <xdr:col>4</xdr:col>
      <xdr:colOff>1223600</xdr:colOff>
      <xdr:row>67</xdr:row>
      <xdr:rowOff>283318</xdr:rowOff>
    </xdr:to>
    <xdr:pic>
      <xdr:nvPicPr>
        <xdr:cNvPr id="135" name="Billede 134" descr="Dannebrog">
          <a:extLst>
            <a:ext uri="{FF2B5EF4-FFF2-40B4-BE49-F238E27FC236}">
              <a16:creationId xmlns:a16="http://schemas.microsoft.com/office/drawing/2014/main" id="{38308B04-21E9-4BE3-8F22-37F995141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1973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62</xdr:row>
      <xdr:rowOff>16412</xdr:rowOff>
    </xdr:from>
    <xdr:to>
      <xdr:col>2</xdr:col>
      <xdr:colOff>492761</xdr:colOff>
      <xdr:row>62</xdr:row>
      <xdr:rowOff>304800</xdr:rowOff>
    </xdr:to>
    <xdr:pic>
      <xdr:nvPicPr>
        <xdr:cNvPr id="136" name="Billede 135">
          <a:extLst>
            <a:ext uri="{FF2B5EF4-FFF2-40B4-BE49-F238E27FC236}">
              <a16:creationId xmlns:a16="http://schemas.microsoft.com/office/drawing/2014/main" id="{363E068D-DB35-4FB8-B833-CDB77A678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874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63</xdr:row>
      <xdr:rowOff>16412</xdr:rowOff>
    </xdr:from>
    <xdr:to>
      <xdr:col>2</xdr:col>
      <xdr:colOff>492761</xdr:colOff>
      <xdr:row>63</xdr:row>
      <xdr:rowOff>304800</xdr:rowOff>
    </xdr:to>
    <xdr:pic>
      <xdr:nvPicPr>
        <xdr:cNvPr id="137" name="Billede 136">
          <a:extLst>
            <a:ext uri="{FF2B5EF4-FFF2-40B4-BE49-F238E27FC236}">
              <a16:creationId xmlns:a16="http://schemas.microsoft.com/office/drawing/2014/main" id="{BB8248E5-F3A6-4AA8-B95B-58CAB7FA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906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64</xdr:row>
      <xdr:rowOff>16412</xdr:rowOff>
    </xdr:from>
    <xdr:to>
      <xdr:col>2</xdr:col>
      <xdr:colOff>492761</xdr:colOff>
      <xdr:row>64</xdr:row>
      <xdr:rowOff>304800</xdr:rowOff>
    </xdr:to>
    <xdr:pic>
      <xdr:nvPicPr>
        <xdr:cNvPr id="138" name="Billede 137">
          <a:extLst>
            <a:ext uri="{FF2B5EF4-FFF2-40B4-BE49-F238E27FC236}">
              <a16:creationId xmlns:a16="http://schemas.microsoft.com/office/drawing/2014/main" id="{9832DC58-DD2A-4BFB-A8D9-CDF96F70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938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65</xdr:row>
      <xdr:rowOff>16412</xdr:rowOff>
    </xdr:from>
    <xdr:to>
      <xdr:col>2</xdr:col>
      <xdr:colOff>492761</xdr:colOff>
      <xdr:row>65</xdr:row>
      <xdr:rowOff>304800</xdr:rowOff>
    </xdr:to>
    <xdr:pic>
      <xdr:nvPicPr>
        <xdr:cNvPr id="139" name="Billede 138">
          <a:extLst>
            <a:ext uri="{FF2B5EF4-FFF2-40B4-BE49-F238E27FC236}">
              <a16:creationId xmlns:a16="http://schemas.microsoft.com/office/drawing/2014/main" id="{857DCEB3-E8CD-49B0-B854-A0222F629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874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66</xdr:row>
      <xdr:rowOff>16412</xdr:rowOff>
    </xdr:from>
    <xdr:to>
      <xdr:col>2</xdr:col>
      <xdr:colOff>492761</xdr:colOff>
      <xdr:row>66</xdr:row>
      <xdr:rowOff>304800</xdr:rowOff>
    </xdr:to>
    <xdr:pic>
      <xdr:nvPicPr>
        <xdr:cNvPr id="140" name="Billede 139">
          <a:extLst>
            <a:ext uri="{FF2B5EF4-FFF2-40B4-BE49-F238E27FC236}">
              <a16:creationId xmlns:a16="http://schemas.microsoft.com/office/drawing/2014/main" id="{A894A75E-8E06-429F-B5BF-AA969FB6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906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67</xdr:row>
      <xdr:rowOff>16412</xdr:rowOff>
    </xdr:from>
    <xdr:to>
      <xdr:col>2</xdr:col>
      <xdr:colOff>492761</xdr:colOff>
      <xdr:row>67</xdr:row>
      <xdr:rowOff>304800</xdr:rowOff>
    </xdr:to>
    <xdr:pic>
      <xdr:nvPicPr>
        <xdr:cNvPr id="141" name="Billede 140">
          <a:extLst>
            <a:ext uri="{FF2B5EF4-FFF2-40B4-BE49-F238E27FC236}">
              <a16:creationId xmlns:a16="http://schemas.microsoft.com/office/drawing/2014/main" id="{77B6D83F-84D7-41B9-9D55-5266D51F0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1938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68</xdr:row>
      <xdr:rowOff>16412</xdr:rowOff>
    </xdr:from>
    <xdr:to>
      <xdr:col>2</xdr:col>
      <xdr:colOff>492761</xdr:colOff>
      <xdr:row>68</xdr:row>
      <xdr:rowOff>304800</xdr:rowOff>
    </xdr:to>
    <xdr:pic>
      <xdr:nvPicPr>
        <xdr:cNvPr id="142" name="Billede 141">
          <a:extLst>
            <a:ext uri="{FF2B5EF4-FFF2-40B4-BE49-F238E27FC236}">
              <a16:creationId xmlns:a16="http://schemas.microsoft.com/office/drawing/2014/main" id="{D82ABE6C-A20D-4BC8-9632-03D51377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0741" y="2128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68</xdr:row>
      <xdr:rowOff>38100</xdr:rowOff>
    </xdr:from>
    <xdr:to>
      <xdr:col>4</xdr:col>
      <xdr:colOff>1223600</xdr:colOff>
      <xdr:row>68</xdr:row>
      <xdr:rowOff>270618</xdr:rowOff>
    </xdr:to>
    <xdr:pic>
      <xdr:nvPicPr>
        <xdr:cNvPr id="143" name="Billede 142" descr="Dannebrog">
          <a:extLst>
            <a:ext uri="{FF2B5EF4-FFF2-40B4-BE49-F238E27FC236}">
              <a16:creationId xmlns:a16="http://schemas.microsoft.com/office/drawing/2014/main" id="{57269AA8-921E-A595-A31D-3665486B8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216281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207583</xdr:colOff>
      <xdr:row>69</xdr:row>
      <xdr:rowOff>36286</xdr:rowOff>
    </xdr:from>
    <xdr:to>
      <xdr:col>2</xdr:col>
      <xdr:colOff>460659</xdr:colOff>
      <xdr:row>69</xdr:row>
      <xdr:rowOff>270329</xdr:rowOff>
    </xdr:to>
    <xdr:pic>
      <xdr:nvPicPr>
        <xdr:cNvPr id="144" name="Billede 143">
          <a:extLst>
            <a:ext uri="{FF2B5EF4-FFF2-40B4-BE49-F238E27FC236}">
              <a16:creationId xmlns:a16="http://schemas.microsoft.com/office/drawing/2014/main" id="{0E31D19C-6570-4A20-96B2-37B1144F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81337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70</xdr:row>
      <xdr:rowOff>36286</xdr:rowOff>
    </xdr:from>
    <xdr:to>
      <xdr:col>2</xdr:col>
      <xdr:colOff>460659</xdr:colOff>
      <xdr:row>70</xdr:row>
      <xdr:rowOff>270329</xdr:rowOff>
    </xdr:to>
    <xdr:pic>
      <xdr:nvPicPr>
        <xdr:cNvPr id="145" name="Billede 144">
          <a:extLst>
            <a:ext uri="{FF2B5EF4-FFF2-40B4-BE49-F238E27FC236}">
              <a16:creationId xmlns:a16="http://schemas.microsoft.com/office/drawing/2014/main" id="{BDE2DAE5-9D50-4064-ABC8-2E421757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7983" y="18133786"/>
          <a:ext cx="253076" cy="234043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69</xdr:row>
      <xdr:rowOff>50800</xdr:rowOff>
    </xdr:from>
    <xdr:to>
      <xdr:col>4</xdr:col>
      <xdr:colOff>1223600</xdr:colOff>
      <xdr:row>69</xdr:row>
      <xdr:rowOff>283318</xdr:rowOff>
    </xdr:to>
    <xdr:pic>
      <xdr:nvPicPr>
        <xdr:cNvPr id="146" name="Billede 145" descr="Dannebrog">
          <a:extLst>
            <a:ext uri="{FF2B5EF4-FFF2-40B4-BE49-F238E27FC236}">
              <a16:creationId xmlns:a16="http://schemas.microsoft.com/office/drawing/2014/main" id="{B84EF0D1-465C-4493-8DAA-7A55A65A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219583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70</xdr:row>
      <xdr:rowOff>50800</xdr:rowOff>
    </xdr:from>
    <xdr:to>
      <xdr:col>4</xdr:col>
      <xdr:colOff>1223600</xdr:colOff>
      <xdr:row>70</xdr:row>
      <xdr:rowOff>283318</xdr:rowOff>
    </xdr:to>
    <xdr:pic>
      <xdr:nvPicPr>
        <xdr:cNvPr id="147" name="Billede 146" descr="Dannebrog">
          <a:extLst>
            <a:ext uri="{FF2B5EF4-FFF2-40B4-BE49-F238E27FC236}">
              <a16:creationId xmlns:a16="http://schemas.microsoft.com/office/drawing/2014/main" id="{8507CCD3-98ED-3567-7ABC-970CF30A5E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505700" y="2227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863600</xdr:colOff>
      <xdr:row>71</xdr:row>
      <xdr:rowOff>38100</xdr:rowOff>
    </xdr:from>
    <xdr:to>
      <xdr:col>4</xdr:col>
      <xdr:colOff>1223600</xdr:colOff>
      <xdr:row>71</xdr:row>
      <xdr:rowOff>265957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C4B438F-0DA5-4AE0-BFB3-1CCBEC2D4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0" y="181356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71</xdr:row>
      <xdr:rowOff>16412</xdr:rowOff>
    </xdr:from>
    <xdr:to>
      <xdr:col>2</xdr:col>
      <xdr:colOff>492761</xdr:colOff>
      <xdr:row>71</xdr:row>
      <xdr:rowOff>304800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0F141972-C96B-4508-93B0-6E4BA8D3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</xdr:row>
      <xdr:rowOff>16412</xdr:rowOff>
    </xdr:from>
    <xdr:to>
      <xdr:col>2</xdr:col>
      <xdr:colOff>492761</xdr:colOff>
      <xdr:row>6</xdr:row>
      <xdr:rowOff>304800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D3BC46FB-CB19-4EF5-A8B4-C30A9FD11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8</xdr:row>
      <xdr:rowOff>36286</xdr:rowOff>
    </xdr:from>
    <xdr:to>
      <xdr:col>2</xdr:col>
      <xdr:colOff>460659</xdr:colOff>
      <xdr:row>8</xdr:row>
      <xdr:rowOff>270329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8542913E-7BCB-4BCC-89EB-19ED6B95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9</xdr:row>
      <xdr:rowOff>36286</xdr:rowOff>
    </xdr:from>
    <xdr:to>
      <xdr:col>2</xdr:col>
      <xdr:colOff>460659</xdr:colOff>
      <xdr:row>9</xdr:row>
      <xdr:rowOff>270329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00EBF7F1-6578-4036-B421-E2B95EB4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10</xdr:row>
      <xdr:rowOff>36286</xdr:rowOff>
    </xdr:from>
    <xdr:to>
      <xdr:col>2</xdr:col>
      <xdr:colOff>460659</xdr:colOff>
      <xdr:row>10</xdr:row>
      <xdr:rowOff>270329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D354420F-54E4-428C-800D-6E02C3F0A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11</xdr:row>
      <xdr:rowOff>36286</xdr:rowOff>
    </xdr:from>
    <xdr:to>
      <xdr:col>2</xdr:col>
      <xdr:colOff>460659</xdr:colOff>
      <xdr:row>11</xdr:row>
      <xdr:rowOff>270329</xdr:rowOff>
    </xdr:to>
    <xdr:pic>
      <xdr:nvPicPr>
        <xdr:cNvPr id="46" name="Billede 45">
          <a:extLst>
            <a:ext uri="{FF2B5EF4-FFF2-40B4-BE49-F238E27FC236}">
              <a16:creationId xmlns:a16="http://schemas.microsoft.com/office/drawing/2014/main" id="{218B0463-0F01-4859-BD93-308507E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12</xdr:row>
      <xdr:rowOff>36286</xdr:rowOff>
    </xdr:from>
    <xdr:to>
      <xdr:col>2</xdr:col>
      <xdr:colOff>460659</xdr:colOff>
      <xdr:row>12</xdr:row>
      <xdr:rowOff>270329</xdr:rowOff>
    </xdr:to>
    <xdr:pic>
      <xdr:nvPicPr>
        <xdr:cNvPr id="47" name="Billede 46">
          <a:extLst>
            <a:ext uri="{FF2B5EF4-FFF2-40B4-BE49-F238E27FC236}">
              <a16:creationId xmlns:a16="http://schemas.microsoft.com/office/drawing/2014/main" id="{250B902C-44E7-43DB-8396-F2BA49E6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13</xdr:row>
      <xdr:rowOff>36286</xdr:rowOff>
    </xdr:from>
    <xdr:to>
      <xdr:col>2</xdr:col>
      <xdr:colOff>460659</xdr:colOff>
      <xdr:row>13</xdr:row>
      <xdr:rowOff>270329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19B6B47A-C86F-4CBF-B922-C89A730E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14</xdr:row>
      <xdr:rowOff>36286</xdr:rowOff>
    </xdr:from>
    <xdr:to>
      <xdr:col>2</xdr:col>
      <xdr:colOff>460659</xdr:colOff>
      <xdr:row>14</xdr:row>
      <xdr:rowOff>270329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4DC85286-4CCD-4D25-A8C7-0FA812ECD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15</xdr:row>
      <xdr:rowOff>36286</xdr:rowOff>
    </xdr:from>
    <xdr:to>
      <xdr:col>2</xdr:col>
      <xdr:colOff>460659</xdr:colOff>
      <xdr:row>15</xdr:row>
      <xdr:rowOff>270329</xdr:rowOff>
    </xdr:to>
    <xdr:pic>
      <xdr:nvPicPr>
        <xdr:cNvPr id="76" name="Billede 75">
          <a:extLst>
            <a:ext uri="{FF2B5EF4-FFF2-40B4-BE49-F238E27FC236}">
              <a16:creationId xmlns:a16="http://schemas.microsoft.com/office/drawing/2014/main" id="{2F5CA3FD-6D45-4BC6-84EC-777B0819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16</xdr:row>
      <xdr:rowOff>36286</xdr:rowOff>
    </xdr:from>
    <xdr:to>
      <xdr:col>2</xdr:col>
      <xdr:colOff>460659</xdr:colOff>
      <xdr:row>16</xdr:row>
      <xdr:rowOff>270329</xdr:rowOff>
    </xdr:to>
    <xdr:pic>
      <xdr:nvPicPr>
        <xdr:cNvPr id="77" name="Billede 76">
          <a:extLst>
            <a:ext uri="{FF2B5EF4-FFF2-40B4-BE49-F238E27FC236}">
              <a16:creationId xmlns:a16="http://schemas.microsoft.com/office/drawing/2014/main" id="{51E0F29E-DFEC-4D1C-B24E-89BB0381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17</xdr:row>
      <xdr:rowOff>36286</xdr:rowOff>
    </xdr:from>
    <xdr:to>
      <xdr:col>2</xdr:col>
      <xdr:colOff>460659</xdr:colOff>
      <xdr:row>17</xdr:row>
      <xdr:rowOff>270329</xdr:rowOff>
    </xdr:to>
    <xdr:pic>
      <xdr:nvPicPr>
        <xdr:cNvPr id="148" name="Billede 147">
          <a:extLst>
            <a:ext uri="{FF2B5EF4-FFF2-40B4-BE49-F238E27FC236}">
              <a16:creationId xmlns:a16="http://schemas.microsoft.com/office/drawing/2014/main" id="{DB93A2FB-256A-475C-9780-3B3A0C27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18</xdr:row>
      <xdr:rowOff>36286</xdr:rowOff>
    </xdr:from>
    <xdr:to>
      <xdr:col>2</xdr:col>
      <xdr:colOff>460659</xdr:colOff>
      <xdr:row>18</xdr:row>
      <xdr:rowOff>270329</xdr:rowOff>
    </xdr:to>
    <xdr:pic>
      <xdr:nvPicPr>
        <xdr:cNvPr id="149" name="Billede 148">
          <a:extLst>
            <a:ext uri="{FF2B5EF4-FFF2-40B4-BE49-F238E27FC236}">
              <a16:creationId xmlns:a16="http://schemas.microsoft.com/office/drawing/2014/main" id="{3D5DB0A3-E06B-4044-8F9B-6F1F6333C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19</xdr:row>
      <xdr:rowOff>36286</xdr:rowOff>
    </xdr:from>
    <xdr:to>
      <xdr:col>2</xdr:col>
      <xdr:colOff>460659</xdr:colOff>
      <xdr:row>19</xdr:row>
      <xdr:rowOff>270329</xdr:rowOff>
    </xdr:to>
    <xdr:pic>
      <xdr:nvPicPr>
        <xdr:cNvPr id="150" name="Billede 149">
          <a:extLst>
            <a:ext uri="{FF2B5EF4-FFF2-40B4-BE49-F238E27FC236}">
              <a16:creationId xmlns:a16="http://schemas.microsoft.com/office/drawing/2014/main" id="{F54F4951-992A-484B-839F-87F9ABD6D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20</xdr:row>
      <xdr:rowOff>36286</xdr:rowOff>
    </xdr:from>
    <xdr:to>
      <xdr:col>2</xdr:col>
      <xdr:colOff>460659</xdr:colOff>
      <xdr:row>20</xdr:row>
      <xdr:rowOff>270329</xdr:rowOff>
    </xdr:to>
    <xdr:pic>
      <xdr:nvPicPr>
        <xdr:cNvPr id="151" name="Billede 150">
          <a:extLst>
            <a:ext uri="{FF2B5EF4-FFF2-40B4-BE49-F238E27FC236}">
              <a16:creationId xmlns:a16="http://schemas.microsoft.com/office/drawing/2014/main" id="{A5042FE4-8566-4E4A-8AF0-316A00B8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21</xdr:row>
      <xdr:rowOff>36286</xdr:rowOff>
    </xdr:from>
    <xdr:to>
      <xdr:col>2</xdr:col>
      <xdr:colOff>460659</xdr:colOff>
      <xdr:row>21</xdr:row>
      <xdr:rowOff>270329</xdr:rowOff>
    </xdr:to>
    <xdr:pic>
      <xdr:nvPicPr>
        <xdr:cNvPr id="152" name="Billede 151">
          <a:extLst>
            <a:ext uri="{FF2B5EF4-FFF2-40B4-BE49-F238E27FC236}">
              <a16:creationId xmlns:a16="http://schemas.microsoft.com/office/drawing/2014/main" id="{354E21BA-2F44-4322-B368-E545529E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22</xdr:row>
      <xdr:rowOff>36286</xdr:rowOff>
    </xdr:from>
    <xdr:to>
      <xdr:col>2</xdr:col>
      <xdr:colOff>460659</xdr:colOff>
      <xdr:row>22</xdr:row>
      <xdr:rowOff>270329</xdr:rowOff>
    </xdr:to>
    <xdr:pic>
      <xdr:nvPicPr>
        <xdr:cNvPr id="153" name="Billede 152">
          <a:extLst>
            <a:ext uri="{FF2B5EF4-FFF2-40B4-BE49-F238E27FC236}">
              <a16:creationId xmlns:a16="http://schemas.microsoft.com/office/drawing/2014/main" id="{1517FDF7-8EE2-4A0B-9B7D-AD686C58A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23</xdr:row>
      <xdr:rowOff>36286</xdr:rowOff>
    </xdr:from>
    <xdr:to>
      <xdr:col>2</xdr:col>
      <xdr:colOff>460659</xdr:colOff>
      <xdr:row>23</xdr:row>
      <xdr:rowOff>270329</xdr:rowOff>
    </xdr:to>
    <xdr:pic>
      <xdr:nvPicPr>
        <xdr:cNvPr id="154" name="Billede 153">
          <a:extLst>
            <a:ext uri="{FF2B5EF4-FFF2-40B4-BE49-F238E27FC236}">
              <a16:creationId xmlns:a16="http://schemas.microsoft.com/office/drawing/2014/main" id="{6F8B9273-1E4C-4F67-BAE2-9FC281DA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24</xdr:row>
      <xdr:rowOff>36286</xdr:rowOff>
    </xdr:from>
    <xdr:to>
      <xdr:col>2</xdr:col>
      <xdr:colOff>460659</xdr:colOff>
      <xdr:row>24</xdr:row>
      <xdr:rowOff>270329</xdr:rowOff>
    </xdr:to>
    <xdr:pic>
      <xdr:nvPicPr>
        <xdr:cNvPr id="155" name="Billede 154">
          <a:extLst>
            <a:ext uri="{FF2B5EF4-FFF2-40B4-BE49-F238E27FC236}">
              <a16:creationId xmlns:a16="http://schemas.microsoft.com/office/drawing/2014/main" id="{C84F7E47-B13D-4CDD-A14C-57ABD4E83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25</xdr:row>
      <xdr:rowOff>36286</xdr:rowOff>
    </xdr:from>
    <xdr:to>
      <xdr:col>2</xdr:col>
      <xdr:colOff>460659</xdr:colOff>
      <xdr:row>25</xdr:row>
      <xdr:rowOff>270329</xdr:rowOff>
    </xdr:to>
    <xdr:pic>
      <xdr:nvPicPr>
        <xdr:cNvPr id="156" name="Billede 155">
          <a:extLst>
            <a:ext uri="{FF2B5EF4-FFF2-40B4-BE49-F238E27FC236}">
              <a16:creationId xmlns:a16="http://schemas.microsoft.com/office/drawing/2014/main" id="{3A622446-8DF9-44C2-B625-F669CBC71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26</xdr:row>
      <xdr:rowOff>36286</xdr:rowOff>
    </xdr:from>
    <xdr:to>
      <xdr:col>2</xdr:col>
      <xdr:colOff>460659</xdr:colOff>
      <xdr:row>26</xdr:row>
      <xdr:rowOff>270329</xdr:rowOff>
    </xdr:to>
    <xdr:pic>
      <xdr:nvPicPr>
        <xdr:cNvPr id="157" name="Billede 156">
          <a:extLst>
            <a:ext uri="{FF2B5EF4-FFF2-40B4-BE49-F238E27FC236}">
              <a16:creationId xmlns:a16="http://schemas.microsoft.com/office/drawing/2014/main" id="{99A68913-BCFD-4515-A163-0BF104CA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27</xdr:row>
      <xdr:rowOff>36286</xdr:rowOff>
    </xdr:from>
    <xdr:to>
      <xdr:col>2</xdr:col>
      <xdr:colOff>460659</xdr:colOff>
      <xdr:row>27</xdr:row>
      <xdr:rowOff>270329</xdr:rowOff>
    </xdr:to>
    <xdr:pic>
      <xdr:nvPicPr>
        <xdr:cNvPr id="158" name="Billede 157">
          <a:extLst>
            <a:ext uri="{FF2B5EF4-FFF2-40B4-BE49-F238E27FC236}">
              <a16:creationId xmlns:a16="http://schemas.microsoft.com/office/drawing/2014/main" id="{D1F01F5E-E05C-4E8B-BE30-F64620C46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28</xdr:row>
      <xdr:rowOff>36286</xdr:rowOff>
    </xdr:from>
    <xdr:to>
      <xdr:col>2</xdr:col>
      <xdr:colOff>460659</xdr:colOff>
      <xdr:row>28</xdr:row>
      <xdr:rowOff>270329</xdr:rowOff>
    </xdr:to>
    <xdr:pic>
      <xdr:nvPicPr>
        <xdr:cNvPr id="159" name="Billede 158">
          <a:extLst>
            <a:ext uri="{FF2B5EF4-FFF2-40B4-BE49-F238E27FC236}">
              <a16:creationId xmlns:a16="http://schemas.microsoft.com/office/drawing/2014/main" id="{05DE5B54-908D-46C1-8DC3-E61CA538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29</xdr:row>
      <xdr:rowOff>36286</xdr:rowOff>
    </xdr:from>
    <xdr:to>
      <xdr:col>2</xdr:col>
      <xdr:colOff>460659</xdr:colOff>
      <xdr:row>29</xdr:row>
      <xdr:rowOff>270329</xdr:rowOff>
    </xdr:to>
    <xdr:pic>
      <xdr:nvPicPr>
        <xdr:cNvPr id="160" name="Billede 159">
          <a:extLst>
            <a:ext uri="{FF2B5EF4-FFF2-40B4-BE49-F238E27FC236}">
              <a16:creationId xmlns:a16="http://schemas.microsoft.com/office/drawing/2014/main" id="{F375B583-EFDC-481F-8E6F-FD2835D66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30</xdr:row>
      <xdr:rowOff>36286</xdr:rowOff>
    </xdr:from>
    <xdr:to>
      <xdr:col>2</xdr:col>
      <xdr:colOff>460659</xdr:colOff>
      <xdr:row>30</xdr:row>
      <xdr:rowOff>270329</xdr:rowOff>
    </xdr:to>
    <xdr:pic>
      <xdr:nvPicPr>
        <xdr:cNvPr id="161" name="Billede 160">
          <a:extLst>
            <a:ext uri="{FF2B5EF4-FFF2-40B4-BE49-F238E27FC236}">
              <a16:creationId xmlns:a16="http://schemas.microsoft.com/office/drawing/2014/main" id="{9C70D5F4-3577-4084-9526-3DA88DB3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31</xdr:row>
      <xdr:rowOff>36286</xdr:rowOff>
    </xdr:from>
    <xdr:to>
      <xdr:col>2</xdr:col>
      <xdr:colOff>460659</xdr:colOff>
      <xdr:row>31</xdr:row>
      <xdr:rowOff>270329</xdr:rowOff>
    </xdr:to>
    <xdr:pic>
      <xdr:nvPicPr>
        <xdr:cNvPr id="162" name="Billede 161">
          <a:extLst>
            <a:ext uri="{FF2B5EF4-FFF2-40B4-BE49-F238E27FC236}">
              <a16:creationId xmlns:a16="http://schemas.microsoft.com/office/drawing/2014/main" id="{1E233AA3-218C-4822-B5CB-E9CF5EA1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32</xdr:row>
      <xdr:rowOff>36286</xdr:rowOff>
    </xdr:from>
    <xdr:to>
      <xdr:col>2</xdr:col>
      <xdr:colOff>460659</xdr:colOff>
      <xdr:row>32</xdr:row>
      <xdr:rowOff>270329</xdr:rowOff>
    </xdr:to>
    <xdr:pic>
      <xdr:nvPicPr>
        <xdr:cNvPr id="163" name="Billede 162">
          <a:extLst>
            <a:ext uri="{FF2B5EF4-FFF2-40B4-BE49-F238E27FC236}">
              <a16:creationId xmlns:a16="http://schemas.microsoft.com/office/drawing/2014/main" id="{2952D27D-DADF-43DB-9DE7-531A21E8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33</xdr:row>
      <xdr:rowOff>36286</xdr:rowOff>
    </xdr:from>
    <xdr:to>
      <xdr:col>2</xdr:col>
      <xdr:colOff>460659</xdr:colOff>
      <xdr:row>33</xdr:row>
      <xdr:rowOff>270329</xdr:rowOff>
    </xdr:to>
    <xdr:pic>
      <xdr:nvPicPr>
        <xdr:cNvPr id="164" name="Billede 163">
          <a:extLst>
            <a:ext uri="{FF2B5EF4-FFF2-40B4-BE49-F238E27FC236}">
              <a16:creationId xmlns:a16="http://schemas.microsoft.com/office/drawing/2014/main" id="{7DAC194B-4227-44C9-AB7A-E01DDDFA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34</xdr:row>
      <xdr:rowOff>36286</xdr:rowOff>
    </xdr:from>
    <xdr:to>
      <xdr:col>2</xdr:col>
      <xdr:colOff>460659</xdr:colOff>
      <xdr:row>34</xdr:row>
      <xdr:rowOff>270329</xdr:rowOff>
    </xdr:to>
    <xdr:pic>
      <xdr:nvPicPr>
        <xdr:cNvPr id="165" name="Billede 164">
          <a:extLst>
            <a:ext uri="{FF2B5EF4-FFF2-40B4-BE49-F238E27FC236}">
              <a16:creationId xmlns:a16="http://schemas.microsoft.com/office/drawing/2014/main" id="{E7E04789-441C-42D8-8860-781EB7718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35</xdr:row>
      <xdr:rowOff>36286</xdr:rowOff>
    </xdr:from>
    <xdr:to>
      <xdr:col>2</xdr:col>
      <xdr:colOff>460659</xdr:colOff>
      <xdr:row>35</xdr:row>
      <xdr:rowOff>270329</xdr:rowOff>
    </xdr:to>
    <xdr:pic>
      <xdr:nvPicPr>
        <xdr:cNvPr id="166" name="Billede 165">
          <a:extLst>
            <a:ext uri="{FF2B5EF4-FFF2-40B4-BE49-F238E27FC236}">
              <a16:creationId xmlns:a16="http://schemas.microsoft.com/office/drawing/2014/main" id="{C7CB820F-4C89-4853-8883-9AE980EA1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36</xdr:row>
      <xdr:rowOff>36286</xdr:rowOff>
    </xdr:from>
    <xdr:to>
      <xdr:col>2</xdr:col>
      <xdr:colOff>460659</xdr:colOff>
      <xdr:row>36</xdr:row>
      <xdr:rowOff>270329</xdr:rowOff>
    </xdr:to>
    <xdr:pic>
      <xdr:nvPicPr>
        <xdr:cNvPr id="167" name="Billede 166">
          <a:extLst>
            <a:ext uri="{FF2B5EF4-FFF2-40B4-BE49-F238E27FC236}">
              <a16:creationId xmlns:a16="http://schemas.microsoft.com/office/drawing/2014/main" id="{DFFA82C2-F5A5-43D3-AA4E-81F5C668D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37</xdr:row>
      <xdr:rowOff>36286</xdr:rowOff>
    </xdr:from>
    <xdr:to>
      <xdr:col>2</xdr:col>
      <xdr:colOff>460659</xdr:colOff>
      <xdr:row>37</xdr:row>
      <xdr:rowOff>270329</xdr:rowOff>
    </xdr:to>
    <xdr:pic>
      <xdr:nvPicPr>
        <xdr:cNvPr id="168" name="Billede 167">
          <a:extLst>
            <a:ext uri="{FF2B5EF4-FFF2-40B4-BE49-F238E27FC236}">
              <a16:creationId xmlns:a16="http://schemas.microsoft.com/office/drawing/2014/main" id="{D1C3400A-4064-4E1F-AB3A-3E6C70390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38</xdr:row>
      <xdr:rowOff>36286</xdr:rowOff>
    </xdr:from>
    <xdr:to>
      <xdr:col>2</xdr:col>
      <xdr:colOff>460659</xdr:colOff>
      <xdr:row>38</xdr:row>
      <xdr:rowOff>270329</xdr:rowOff>
    </xdr:to>
    <xdr:pic>
      <xdr:nvPicPr>
        <xdr:cNvPr id="169" name="Billede 168">
          <a:extLst>
            <a:ext uri="{FF2B5EF4-FFF2-40B4-BE49-F238E27FC236}">
              <a16:creationId xmlns:a16="http://schemas.microsoft.com/office/drawing/2014/main" id="{10C33EB0-19A4-4C83-8AAE-D11F0E1FC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39</xdr:row>
      <xdr:rowOff>36286</xdr:rowOff>
    </xdr:from>
    <xdr:to>
      <xdr:col>2</xdr:col>
      <xdr:colOff>460659</xdr:colOff>
      <xdr:row>39</xdr:row>
      <xdr:rowOff>270329</xdr:rowOff>
    </xdr:to>
    <xdr:pic>
      <xdr:nvPicPr>
        <xdr:cNvPr id="170" name="Billede 169">
          <a:extLst>
            <a:ext uri="{FF2B5EF4-FFF2-40B4-BE49-F238E27FC236}">
              <a16:creationId xmlns:a16="http://schemas.microsoft.com/office/drawing/2014/main" id="{450037ED-A75D-4859-8836-0489F6CC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40</xdr:row>
      <xdr:rowOff>36286</xdr:rowOff>
    </xdr:from>
    <xdr:to>
      <xdr:col>2</xdr:col>
      <xdr:colOff>460659</xdr:colOff>
      <xdr:row>40</xdr:row>
      <xdr:rowOff>270329</xdr:rowOff>
    </xdr:to>
    <xdr:pic>
      <xdr:nvPicPr>
        <xdr:cNvPr id="171" name="Billede 170">
          <a:extLst>
            <a:ext uri="{FF2B5EF4-FFF2-40B4-BE49-F238E27FC236}">
              <a16:creationId xmlns:a16="http://schemas.microsoft.com/office/drawing/2014/main" id="{878FE87A-EE0C-4451-9D7F-4EE36D94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41</xdr:row>
      <xdr:rowOff>36286</xdr:rowOff>
    </xdr:from>
    <xdr:to>
      <xdr:col>2</xdr:col>
      <xdr:colOff>460659</xdr:colOff>
      <xdr:row>41</xdr:row>
      <xdr:rowOff>270329</xdr:rowOff>
    </xdr:to>
    <xdr:pic>
      <xdr:nvPicPr>
        <xdr:cNvPr id="172" name="Billede 171">
          <a:extLst>
            <a:ext uri="{FF2B5EF4-FFF2-40B4-BE49-F238E27FC236}">
              <a16:creationId xmlns:a16="http://schemas.microsoft.com/office/drawing/2014/main" id="{E3B9C452-22A5-42B9-ADAF-E0C0DECB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42</xdr:row>
      <xdr:rowOff>36286</xdr:rowOff>
    </xdr:from>
    <xdr:to>
      <xdr:col>2</xdr:col>
      <xdr:colOff>460659</xdr:colOff>
      <xdr:row>42</xdr:row>
      <xdr:rowOff>270329</xdr:rowOff>
    </xdr:to>
    <xdr:pic>
      <xdr:nvPicPr>
        <xdr:cNvPr id="173" name="Billede 172">
          <a:extLst>
            <a:ext uri="{FF2B5EF4-FFF2-40B4-BE49-F238E27FC236}">
              <a16:creationId xmlns:a16="http://schemas.microsoft.com/office/drawing/2014/main" id="{483F2040-3094-4169-AB53-AF816C5F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941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46</xdr:row>
      <xdr:rowOff>16412</xdr:rowOff>
    </xdr:from>
    <xdr:to>
      <xdr:col>2</xdr:col>
      <xdr:colOff>492761</xdr:colOff>
      <xdr:row>46</xdr:row>
      <xdr:rowOff>304800</xdr:rowOff>
    </xdr:to>
    <xdr:pic>
      <xdr:nvPicPr>
        <xdr:cNvPr id="174" name="Billede 173">
          <a:extLst>
            <a:ext uri="{FF2B5EF4-FFF2-40B4-BE49-F238E27FC236}">
              <a16:creationId xmlns:a16="http://schemas.microsoft.com/office/drawing/2014/main" id="{F2855CDF-52BC-4461-8891-C539AB5B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39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47</xdr:row>
      <xdr:rowOff>16412</xdr:rowOff>
    </xdr:from>
    <xdr:to>
      <xdr:col>2</xdr:col>
      <xdr:colOff>492761</xdr:colOff>
      <xdr:row>47</xdr:row>
      <xdr:rowOff>304800</xdr:rowOff>
    </xdr:to>
    <xdr:pic>
      <xdr:nvPicPr>
        <xdr:cNvPr id="175" name="Billede 174">
          <a:extLst>
            <a:ext uri="{FF2B5EF4-FFF2-40B4-BE49-F238E27FC236}">
              <a16:creationId xmlns:a16="http://schemas.microsoft.com/office/drawing/2014/main" id="{09E5C2D9-FBA0-4FFA-AE17-4459523B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39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48</xdr:row>
      <xdr:rowOff>16412</xdr:rowOff>
    </xdr:from>
    <xdr:to>
      <xdr:col>2</xdr:col>
      <xdr:colOff>492761</xdr:colOff>
      <xdr:row>48</xdr:row>
      <xdr:rowOff>304800</xdr:rowOff>
    </xdr:to>
    <xdr:pic>
      <xdr:nvPicPr>
        <xdr:cNvPr id="176" name="Billede 175">
          <a:extLst>
            <a:ext uri="{FF2B5EF4-FFF2-40B4-BE49-F238E27FC236}">
              <a16:creationId xmlns:a16="http://schemas.microsoft.com/office/drawing/2014/main" id="{9AF277F7-E4BB-4BC7-A549-F5071351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39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50</xdr:row>
      <xdr:rowOff>36286</xdr:rowOff>
    </xdr:from>
    <xdr:to>
      <xdr:col>2</xdr:col>
      <xdr:colOff>460659</xdr:colOff>
      <xdr:row>50</xdr:row>
      <xdr:rowOff>270329</xdr:rowOff>
    </xdr:to>
    <xdr:pic>
      <xdr:nvPicPr>
        <xdr:cNvPr id="177" name="Billede 176">
          <a:extLst>
            <a:ext uri="{FF2B5EF4-FFF2-40B4-BE49-F238E27FC236}">
              <a16:creationId xmlns:a16="http://schemas.microsoft.com/office/drawing/2014/main" id="{ECC4C87E-8FEF-48D9-B8EC-64F29C915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51</xdr:row>
      <xdr:rowOff>36286</xdr:rowOff>
    </xdr:from>
    <xdr:to>
      <xdr:col>2</xdr:col>
      <xdr:colOff>460659</xdr:colOff>
      <xdr:row>51</xdr:row>
      <xdr:rowOff>270329</xdr:rowOff>
    </xdr:to>
    <xdr:pic>
      <xdr:nvPicPr>
        <xdr:cNvPr id="178" name="Billede 177">
          <a:extLst>
            <a:ext uri="{FF2B5EF4-FFF2-40B4-BE49-F238E27FC236}">
              <a16:creationId xmlns:a16="http://schemas.microsoft.com/office/drawing/2014/main" id="{D63BC198-3E4D-48FC-AA70-27530AD4B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52</xdr:row>
      <xdr:rowOff>36286</xdr:rowOff>
    </xdr:from>
    <xdr:to>
      <xdr:col>2</xdr:col>
      <xdr:colOff>460659</xdr:colOff>
      <xdr:row>52</xdr:row>
      <xdr:rowOff>270329</xdr:rowOff>
    </xdr:to>
    <xdr:pic>
      <xdr:nvPicPr>
        <xdr:cNvPr id="179" name="Billede 178">
          <a:extLst>
            <a:ext uri="{FF2B5EF4-FFF2-40B4-BE49-F238E27FC236}">
              <a16:creationId xmlns:a16="http://schemas.microsoft.com/office/drawing/2014/main" id="{4327AF06-6561-4604-AC64-3165CA72E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53</xdr:row>
      <xdr:rowOff>36286</xdr:rowOff>
    </xdr:from>
    <xdr:to>
      <xdr:col>2</xdr:col>
      <xdr:colOff>460659</xdr:colOff>
      <xdr:row>53</xdr:row>
      <xdr:rowOff>270329</xdr:rowOff>
    </xdr:to>
    <xdr:pic>
      <xdr:nvPicPr>
        <xdr:cNvPr id="180" name="Billede 179">
          <a:extLst>
            <a:ext uri="{FF2B5EF4-FFF2-40B4-BE49-F238E27FC236}">
              <a16:creationId xmlns:a16="http://schemas.microsoft.com/office/drawing/2014/main" id="{C77DB67D-E05F-4A35-9BA2-B23AA840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54</xdr:row>
      <xdr:rowOff>36286</xdr:rowOff>
    </xdr:from>
    <xdr:to>
      <xdr:col>2</xdr:col>
      <xdr:colOff>460659</xdr:colOff>
      <xdr:row>54</xdr:row>
      <xdr:rowOff>270329</xdr:rowOff>
    </xdr:to>
    <xdr:pic>
      <xdr:nvPicPr>
        <xdr:cNvPr id="181" name="Billede 180">
          <a:extLst>
            <a:ext uri="{FF2B5EF4-FFF2-40B4-BE49-F238E27FC236}">
              <a16:creationId xmlns:a16="http://schemas.microsoft.com/office/drawing/2014/main" id="{F3DA88BB-2571-49D3-AAC0-645F9F285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55</xdr:row>
      <xdr:rowOff>36286</xdr:rowOff>
    </xdr:from>
    <xdr:to>
      <xdr:col>2</xdr:col>
      <xdr:colOff>460659</xdr:colOff>
      <xdr:row>55</xdr:row>
      <xdr:rowOff>270329</xdr:rowOff>
    </xdr:to>
    <xdr:pic>
      <xdr:nvPicPr>
        <xdr:cNvPr id="182" name="Billede 181">
          <a:extLst>
            <a:ext uri="{FF2B5EF4-FFF2-40B4-BE49-F238E27FC236}">
              <a16:creationId xmlns:a16="http://schemas.microsoft.com/office/drawing/2014/main" id="{7809D621-7C6A-430C-AA5A-5B123E4C3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56</xdr:row>
      <xdr:rowOff>36286</xdr:rowOff>
    </xdr:from>
    <xdr:to>
      <xdr:col>2</xdr:col>
      <xdr:colOff>460659</xdr:colOff>
      <xdr:row>56</xdr:row>
      <xdr:rowOff>270329</xdr:rowOff>
    </xdr:to>
    <xdr:pic>
      <xdr:nvPicPr>
        <xdr:cNvPr id="183" name="Billede 182">
          <a:extLst>
            <a:ext uri="{FF2B5EF4-FFF2-40B4-BE49-F238E27FC236}">
              <a16:creationId xmlns:a16="http://schemas.microsoft.com/office/drawing/2014/main" id="{4AC5903E-B167-4436-8E03-A6DA1838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207583</xdr:colOff>
      <xdr:row>57</xdr:row>
      <xdr:rowOff>36286</xdr:rowOff>
    </xdr:from>
    <xdr:to>
      <xdr:col>2</xdr:col>
      <xdr:colOff>460659</xdr:colOff>
      <xdr:row>57</xdr:row>
      <xdr:rowOff>270329</xdr:rowOff>
    </xdr:to>
    <xdr:pic>
      <xdr:nvPicPr>
        <xdr:cNvPr id="184" name="Billede 183">
          <a:extLst>
            <a:ext uri="{FF2B5EF4-FFF2-40B4-BE49-F238E27FC236}">
              <a16:creationId xmlns:a16="http://schemas.microsoft.com/office/drawing/2014/main" id="{360ADB95-B76C-40BA-8203-BF67EE92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183" y="15276286"/>
          <a:ext cx="253076" cy="234043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59</xdr:row>
      <xdr:rowOff>16412</xdr:rowOff>
    </xdr:from>
    <xdr:to>
      <xdr:col>2</xdr:col>
      <xdr:colOff>492761</xdr:colOff>
      <xdr:row>59</xdr:row>
      <xdr:rowOff>304800</xdr:rowOff>
    </xdr:to>
    <xdr:pic>
      <xdr:nvPicPr>
        <xdr:cNvPr id="185" name="Billede 184">
          <a:extLst>
            <a:ext uri="{FF2B5EF4-FFF2-40B4-BE49-F238E27FC236}">
              <a16:creationId xmlns:a16="http://schemas.microsoft.com/office/drawing/2014/main" id="{B5691D5C-D35E-4C43-878A-3C093174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60</xdr:row>
      <xdr:rowOff>16412</xdr:rowOff>
    </xdr:from>
    <xdr:to>
      <xdr:col>2</xdr:col>
      <xdr:colOff>492761</xdr:colOff>
      <xdr:row>60</xdr:row>
      <xdr:rowOff>304800</xdr:rowOff>
    </xdr:to>
    <xdr:pic>
      <xdr:nvPicPr>
        <xdr:cNvPr id="186" name="Billede 185">
          <a:extLst>
            <a:ext uri="{FF2B5EF4-FFF2-40B4-BE49-F238E27FC236}">
              <a16:creationId xmlns:a16="http://schemas.microsoft.com/office/drawing/2014/main" id="{936355A7-9DD0-4E4A-98DB-3C8C4E6E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61</xdr:row>
      <xdr:rowOff>16412</xdr:rowOff>
    </xdr:from>
    <xdr:to>
      <xdr:col>2</xdr:col>
      <xdr:colOff>492761</xdr:colOff>
      <xdr:row>61</xdr:row>
      <xdr:rowOff>304800</xdr:rowOff>
    </xdr:to>
    <xdr:pic>
      <xdr:nvPicPr>
        <xdr:cNvPr id="187" name="Billede 186">
          <a:extLst>
            <a:ext uri="{FF2B5EF4-FFF2-40B4-BE49-F238E27FC236}">
              <a16:creationId xmlns:a16="http://schemas.microsoft.com/office/drawing/2014/main" id="{78FC135C-9B0D-44B2-AD12-81BA80F6A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62</xdr:row>
      <xdr:rowOff>16412</xdr:rowOff>
    </xdr:from>
    <xdr:to>
      <xdr:col>2</xdr:col>
      <xdr:colOff>492761</xdr:colOff>
      <xdr:row>62</xdr:row>
      <xdr:rowOff>304800</xdr:rowOff>
    </xdr:to>
    <xdr:pic>
      <xdr:nvPicPr>
        <xdr:cNvPr id="188" name="Billede 187">
          <a:extLst>
            <a:ext uri="{FF2B5EF4-FFF2-40B4-BE49-F238E27FC236}">
              <a16:creationId xmlns:a16="http://schemas.microsoft.com/office/drawing/2014/main" id="{7B274BFA-7CCB-4036-8A73-3AE80743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63</xdr:row>
      <xdr:rowOff>16412</xdr:rowOff>
    </xdr:from>
    <xdr:to>
      <xdr:col>2</xdr:col>
      <xdr:colOff>492761</xdr:colOff>
      <xdr:row>63</xdr:row>
      <xdr:rowOff>304800</xdr:rowOff>
    </xdr:to>
    <xdr:pic>
      <xdr:nvPicPr>
        <xdr:cNvPr id="189" name="Billede 188">
          <a:extLst>
            <a:ext uri="{FF2B5EF4-FFF2-40B4-BE49-F238E27FC236}">
              <a16:creationId xmlns:a16="http://schemas.microsoft.com/office/drawing/2014/main" id="{19D24844-27EA-4721-A036-8EF0EBF8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64</xdr:row>
      <xdr:rowOff>16412</xdr:rowOff>
    </xdr:from>
    <xdr:to>
      <xdr:col>2</xdr:col>
      <xdr:colOff>492761</xdr:colOff>
      <xdr:row>64</xdr:row>
      <xdr:rowOff>304800</xdr:rowOff>
    </xdr:to>
    <xdr:pic>
      <xdr:nvPicPr>
        <xdr:cNvPr id="190" name="Billede 189">
          <a:extLst>
            <a:ext uri="{FF2B5EF4-FFF2-40B4-BE49-F238E27FC236}">
              <a16:creationId xmlns:a16="http://schemas.microsoft.com/office/drawing/2014/main" id="{818369C7-DFD4-425F-A5AF-2BC97F4E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65</xdr:row>
      <xdr:rowOff>16412</xdr:rowOff>
    </xdr:from>
    <xdr:to>
      <xdr:col>2</xdr:col>
      <xdr:colOff>492761</xdr:colOff>
      <xdr:row>65</xdr:row>
      <xdr:rowOff>304800</xdr:rowOff>
    </xdr:to>
    <xdr:pic>
      <xdr:nvPicPr>
        <xdr:cNvPr id="191" name="Billede 190">
          <a:extLst>
            <a:ext uri="{FF2B5EF4-FFF2-40B4-BE49-F238E27FC236}">
              <a16:creationId xmlns:a16="http://schemas.microsoft.com/office/drawing/2014/main" id="{8E324200-8A5A-480E-9B1E-E272E58E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66</xdr:row>
      <xdr:rowOff>16412</xdr:rowOff>
    </xdr:from>
    <xdr:to>
      <xdr:col>2</xdr:col>
      <xdr:colOff>492761</xdr:colOff>
      <xdr:row>66</xdr:row>
      <xdr:rowOff>304800</xdr:rowOff>
    </xdr:to>
    <xdr:pic>
      <xdr:nvPicPr>
        <xdr:cNvPr id="192" name="Billede 191">
          <a:extLst>
            <a:ext uri="{FF2B5EF4-FFF2-40B4-BE49-F238E27FC236}">
              <a16:creationId xmlns:a16="http://schemas.microsoft.com/office/drawing/2014/main" id="{814B685E-6803-446E-9BA9-55B90272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67</xdr:row>
      <xdr:rowOff>16412</xdr:rowOff>
    </xdr:from>
    <xdr:to>
      <xdr:col>2</xdr:col>
      <xdr:colOff>492761</xdr:colOff>
      <xdr:row>67</xdr:row>
      <xdr:rowOff>304800</xdr:rowOff>
    </xdr:to>
    <xdr:pic>
      <xdr:nvPicPr>
        <xdr:cNvPr id="193" name="Billede 192">
          <a:extLst>
            <a:ext uri="{FF2B5EF4-FFF2-40B4-BE49-F238E27FC236}">
              <a16:creationId xmlns:a16="http://schemas.microsoft.com/office/drawing/2014/main" id="{8F58B7B3-0270-4466-BFA3-18C5699A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68</xdr:row>
      <xdr:rowOff>16412</xdr:rowOff>
    </xdr:from>
    <xdr:to>
      <xdr:col>2</xdr:col>
      <xdr:colOff>492761</xdr:colOff>
      <xdr:row>68</xdr:row>
      <xdr:rowOff>304800</xdr:rowOff>
    </xdr:to>
    <xdr:pic>
      <xdr:nvPicPr>
        <xdr:cNvPr id="194" name="Billede 193">
          <a:extLst>
            <a:ext uri="{FF2B5EF4-FFF2-40B4-BE49-F238E27FC236}">
              <a16:creationId xmlns:a16="http://schemas.microsoft.com/office/drawing/2014/main" id="{CD567BD9-398D-4503-9049-F73E9007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8941" y="18113912"/>
          <a:ext cx="312420" cy="2883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7BC58E96-1237-469D-B781-D433B7788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</xdr:row>
      <xdr:rowOff>63500</xdr:rowOff>
    </xdr:from>
    <xdr:to>
      <xdr:col>0</xdr:col>
      <xdr:colOff>1397000</xdr:colOff>
      <xdr:row>2</xdr:row>
      <xdr:rowOff>580186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EF4F4BE5-411B-4C41-AF9F-CE50131BE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3500"/>
          <a:ext cx="1346200" cy="516686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</xdr:row>
      <xdr:rowOff>16412</xdr:rowOff>
    </xdr:from>
    <xdr:to>
      <xdr:col>2</xdr:col>
      <xdr:colOff>492761</xdr:colOff>
      <xdr:row>5</xdr:row>
      <xdr:rowOff>304800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3AD62077-5437-409D-AA61-F05A26A8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</xdr:row>
      <xdr:rowOff>16412</xdr:rowOff>
    </xdr:from>
    <xdr:to>
      <xdr:col>2</xdr:col>
      <xdr:colOff>492761</xdr:colOff>
      <xdr:row>6</xdr:row>
      <xdr:rowOff>304800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6E12CA53-53AE-49ED-B9FB-618AA665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</xdr:row>
      <xdr:rowOff>16412</xdr:rowOff>
    </xdr:from>
    <xdr:to>
      <xdr:col>2</xdr:col>
      <xdr:colOff>492761</xdr:colOff>
      <xdr:row>7</xdr:row>
      <xdr:rowOff>304800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B0E77202-BF94-4C06-84CC-C3C517F7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</xdr:row>
      <xdr:rowOff>16412</xdr:rowOff>
    </xdr:from>
    <xdr:to>
      <xdr:col>2</xdr:col>
      <xdr:colOff>492761</xdr:colOff>
      <xdr:row>8</xdr:row>
      <xdr:rowOff>304800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455272E0-C614-40CB-97AC-082BA0635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</xdr:row>
      <xdr:rowOff>16412</xdr:rowOff>
    </xdr:from>
    <xdr:to>
      <xdr:col>2</xdr:col>
      <xdr:colOff>492761</xdr:colOff>
      <xdr:row>9</xdr:row>
      <xdr:rowOff>304800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878FED84-E150-409F-A763-36047191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</xdr:row>
      <xdr:rowOff>16412</xdr:rowOff>
    </xdr:from>
    <xdr:to>
      <xdr:col>2</xdr:col>
      <xdr:colOff>492761</xdr:colOff>
      <xdr:row>10</xdr:row>
      <xdr:rowOff>304800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486CDCCE-4AA4-4166-872D-124485DAE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</xdr:row>
      <xdr:rowOff>16412</xdr:rowOff>
    </xdr:from>
    <xdr:to>
      <xdr:col>2</xdr:col>
      <xdr:colOff>492761</xdr:colOff>
      <xdr:row>11</xdr:row>
      <xdr:rowOff>304800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329F47B-F693-4567-BB62-036DA222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</xdr:row>
      <xdr:rowOff>16412</xdr:rowOff>
    </xdr:from>
    <xdr:to>
      <xdr:col>2</xdr:col>
      <xdr:colOff>492761</xdr:colOff>
      <xdr:row>12</xdr:row>
      <xdr:rowOff>304800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2AA0664E-334E-4D7E-B13B-A8E54F0C2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</xdr:row>
      <xdr:rowOff>16412</xdr:rowOff>
    </xdr:from>
    <xdr:to>
      <xdr:col>2</xdr:col>
      <xdr:colOff>492761</xdr:colOff>
      <xdr:row>13</xdr:row>
      <xdr:rowOff>304800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BF9FC9C9-D61F-4F11-9B89-477C0409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</xdr:row>
      <xdr:rowOff>16412</xdr:rowOff>
    </xdr:from>
    <xdr:to>
      <xdr:col>2</xdr:col>
      <xdr:colOff>492761</xdr:colOff>
      <xdr:row>14</xdr:row>
      <xdr:rowOff>304800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2E8C4607-5A52-4C9F-A3E8-786078F2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</xdr:row>
      <xdr:rowOff>16412</xdr:rowOff>
    </xdr:from>
    <xdr:to>
      <xdr:col>2</xdr:col>
      <xdr:colOff>492761</xdr:colOff>
      <xdr:row>15</xdr:row>
      <xdr:rowOff>304800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FABF92DF-04E9-478E-972B-173B2705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16</xdr:row>
      <xdr:rowOff>16412</xdr:rowOff>
    </xdr:from>
    <xdr:to>
      <xdr:col>2</xdr:col>
      <xdr:colOff>492761</xdr:colOff>
      <xdr:row>16</xdr:row>
      <xdr:rowOff>304800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3653AA6B-B567-4F6C-931A-81046057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</xdr:row>
      <xdr:rowOff>16412</xdr:rowOff>
    </xdr:from>
    <xdr:to>
      <xdr:col>2</xdr:col>
      <xdr:colOff>492761</xdr:colOff>
      <xdr:row>17</xdr:row>
      <xdr:rowOff>304800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841E63C9-2F4C-4128-89F6-06F4497C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6601" y="128895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18</xdr:row>
      <xdr:rowOff>16412</xdr:rowOff>
    </xdr:from>
    <xdr:to>
      <xdr:col>2</xdr:col>
      <xdr:colOff>492761</xdr:colOff>
      <xdr:row>18</xdr:row>
      <xdr:rowOff>304800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45DE01EC-9C02-4148-A6D6-749E1B177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54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19</xdr:row>
      <xdr:rowOff>16412</xdr:rowOff>
    </xdr:from>
    <xdr:to>
      <xdr:col>2</xdr:col>
      <xdr:colOff>492761</xdr:colOff>
      <xdr:row>19</xdr:row>
      <xdr:rowOff>304800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BD56DDAB-B5AF-441B-A38F-CD7A0834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573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20</xdr:row>
      <xdr:rowOff>16412</xdr:rowOff>
    </xdr:from>
    <xdr:to>
      <xdr:col>2</xdr:col>
      <xdr:colOff>492761</xdr:colOff>
      <xdr:row>20</xdr:row>
      <xdr:rowOff>304800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A44B2598-742D-4FAC-AF6D-DB059A9AA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573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21</xdr:row>
      <xdr:rowOff>16412</xdr:rowOff>
    </xdr:from>
    <xdr:to>
      <xdr:col>2</xdr:col>
      <xdr:colOff>492761</xdr:colOff>
      <xdr:row>21</xdr:row>
      <xdr:rowOff>304800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A43C6493-C991-4B19-A46B-B1BB72061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573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22</xdr:row>
      <xdr:rowOff>16412</xdr:rowOff>
    </xdr:from>
    <xdr:to>
      <xdr:col>2</xdr:col>
      <xdr:colOff>492761</xdr:colOff>
      <xdr:row>22</xdr:row>
      <xdr:rowOff>304800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B93625AA-504B-4339-82BF-9132B2CC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668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23</xdr:row>
      <xdr:rowOff>16412</xdr:rowOff>
    </xdr:from>
    <xdr:to>
      <xdr:col>2</xdr:col>
      <xdr:colOff>492761</xdr:colOff>
      <xdr:row>23</xdr:row>
      <xdr:rowOff>304800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7B61D2E0-0CEA-4F8E-9ECB-FC7B9EBD6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700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24</xdr:row>
      <xdr:rowOff>16412</xdr:rowOff>
    </xdr:from>
    <xdr:to>
      <xdr:col>2</xdr:col>
      <xdr:colOff>492761</xdr:colOff>
      <xdr:row>24</xdr:row>
      <xdr:rowOff>304800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1247AFD3-3648-4F80-A66C-59A37841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731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25</xdr:row>
      <xdr:rowOff>16412</xdr:rowOff>
    </xdr:from>
    <xdr:to>
      <xdr:col>2</xdr:col>
      <xdr:colOff>492761</xdr:colOff>
      <xdr:row>25</xdr:row>
      <xdr:rowOff>304800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C0E7B060-688C-4491-AB9F-90FB5D8F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731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26</xdr:row>
      <xdr:rowOff>16412</xdr:rowOff>
    </xdr:from>
    <xdr:to>
      <xdr:col>2</xdr:col>
      <xdr:colOff>492761</xdr:colOff>
      <xdr:row>26</xdr:row>
      <xdr:rowOff>304800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95E0A577-2F62-443D-9226-9903ABBA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763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27</xdr:row>
      <xdr:rowOff>16412</xdr:rowOff>
    </xdr:from>
    <xdr:to>
      <xdr:col>2</xdr:col>
      <xdr:colOff>492761</xdr:colOff>
      <xdr:row>27</xdr:row>
      <xdr:rowOff>304800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0AF52169-781D-4D2C-B211-0E9265C6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827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28</xdr:row>
      <xdr:rowOff>16412</xdr:rowOff>
    </xdr:from>
    <xdr:to>
      <xdr:col>2</xdr:col>
      <xdr:colOff>492761</xdr:colOff>
      <xdr:row>28</xdr:row>
      <xdr:rowOff>304800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553A1B2D-65BF-44F3-A717-B4A72527A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858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29</xdr:row>
      <xdr:rowOff>16412</xdr:rowOff>
    </xdr:from>
    <xdr:to>
      <xdr:col>2</xdr:col>
      <xdr:colOff>492761</xdr:colOff>
      <xdr:row>29</xdr:row>
      <xdr:rowOff>304800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AA4C681E-F5C0-4B7A-B8A3-3714FB5E9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890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30</xdr:row>
      <xdr:rowOff>16412</xdr:rowOff>
    </xdr:from>
    <xdr:to>
      <xdr:col>2</xdr:col>
      <xdr:colOff>492761</xdr:colOff>
      <xdr:row>30</xdr:row>
      <xdr:rowOff>304800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33B9327C-A3FE-44C0-8E5C-0824269DC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922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31</xdr:row>
      <xdr:rowOff>16412</xdr:rowOff>
    </xdr:from>
    <xdr:to>
      <xdr:col>2</xdr:col>
      <xdr:colOff>492761</xdr:colOff>
      <xdr:row>31</xdr:row>
      <xdr:rowOff>304800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6F08ECE2-45EB-47CD-AF5E-A9B43FE6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954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32</xdr:row>
      <xdr:rowOff>16412</xdr:rowOff>
    </xdr:from>
    <xdr:to>
      <xdr:col>2</xdr:col>
      <xdr:colOff>492761</xdr:colOff>
      <xdr:row>32</xdr:row>
      <xdr:rowOff>304800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0CF46817-FAEC-4927-BF69-72A62EF64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541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33</xdr:row>
      <xdr:rowOff>16412</xdr:rowOff>
    </xdr:from>
    <xdr:to>
      <xdr:col>2</xdr:col>
      <xdr:colOff>492761</xdr:colOff>
      <xdr:row>33</xdr:row>
      <xdr:rowOff>304800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B12C8E19-509A-478B-B002-E06D118F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017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34</xdr:row>
      <xdr:rowOff>16412</xdr:rowOff>
    </xdr:from>
    <xdr:to>
      <xdr:col>2</xdr:col>
      <xdr:colOff>492761</xdr:colOff>
      <xdr:row>34</xdr:row>
      <xdr:rowOff>304800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EC8AF306-0EC9-4892-9004-25B11FF4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049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35</xdr:row>
      <xdr:rowOff>16412</xdr:rowOff>
    </xdr:from>
    <xdr:to>
      <xdr:col>2</xdr:col>
      <xdr:colOff>492761</xdr:colOff>
      <xdr:row>35</xdr:row>
      <xdr:rowOff>304800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F79DD20E-50A4-4A54-83D5-EA649648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985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36</xdr:row>
      <xdr:rowOff>16412</xdr:rowOff>
    </xdr:from>
    <xdr:to>
      <xdr:col>2</xdr:col>
      <xdr:colOff>492761</xdr:colOff>
      <xdr:row>36</xdr:row>
      <xdr:rowOff>304800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C5A2EF0B-7F02-4A14-BBDB-1167F702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017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37</xdr:row>
      <xdr:rowOff>16412</xdr:rowOff>
    </xdr:from>
    <xdr:to>
      <xdr:col>2</xdr:col>
      <xdr:colOff>492761</xdr:colOff>
      <xdr:row>37</xdr:row>
      <xdr:rowOff>304800</xdr:rowOff>
    </xdr:to>
    <xdr:pic>
      <xdr:nvPicPr>
        <xdr:cNvPr id="42" name="Billede 41">
          <a:extLst>
            <a:ext uri="{FF2B5EF4-FFF2-40B4-BE49-F238E27FC236}">
              <a16:creationId xmlns:a16="http://schemas.microsoft.com/office/drawing/2014/main" id="{AD8BE4DD-ED1C-4972-9317-C00594920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049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38</xdr:row>
      <xdr:rowOff>16412</xdr:rowOff>
    </xdr:from>
    <xdr:to>
      <xdr:col>2</xdr:col>
      <xdr:colOff>492761</xdr:colOff>
      <xdr:row>38</xdr:row>
      <xdr:rowOff>304800</xdr:rowOff>
    </xdr:to>
    <xdr:pic>
      <xdr:nvPicPr>
        <xdr:cNvPr id="43" name="Billede 42">
          <a:extLst>
            <a:ext uri="{FF2B5EF4-FFF2-40B4-BE49-F238E27FC236}">
              <a16:creationId xmlns:a16="http://schemas.microsoft.com/office/drawing/2014/main" id="{835A8CE8-4012-4B75-A4B2-7741D431F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081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39</xdr:row>
      <xdr:rowOff>16412</xdr:rowOff>
    </xdr:from>
    <xdr:to>
      <xdr:col>2</xdr:col>
      <xdr:colOff>492761</xdr:colOff>
      <xdr:row>39</xdr:row>
      <xdr:rowOff>304800</xdr:rowOff>
    </xdr:to>
    <xdr:pic>
      <xdr:nvPicPr>
        <xdr:cNvPr id="44" name="Billede 43">
          <a:extLst>
            <a:ext uri="{FF2B5EF4-FFF2-40B4-BE49-F238E27FC236}">
              <a16:creationId xmlns:a16="http://schemas.microsoft.com/office/drawing/2014/main" id="{949C6F5E-6406-4D58-8547-232C1328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208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40</xdr:row>
      <xdr:rowOff>16412</xdr:rowOff>
    </xdr:from>
    <xdr:to>
      <xdr:col>2</xdr:col>
      <xdr:colOff>492761</xdr:colOff>
      <xdr:row>40</xdr:row>
      <xdr:rowOff>304800</xdr:rowOff>
    </xdr:to>
    <xdr:pic>
      <xdr:nvPicPr>
        <xdr:cNvPr id="45" name="Billede 44">
          <a:extLst>
            <a:ext uri="{FF2B5EF4-FFF2-40B4-BE49-F238E27FC236}">
              <a16:creationId xmlns:a16="http://schemas.microsoft.com/office/drawing/2014/main" id="{66DFFDCA-1D67-4BEF-9966-DC21AE0E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239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41</xdr:row>
      <xdr:rowOff>16412</xdr:rowOff>
    </xdr:from>
    <xdr:to>
      <xdr:col>2</xdr:col>
      <xdr:colOff>492761</xdr:colOff>
      <xdr:row>41</xdr:row>
      <xdr:rowOff>304800</xdr:rowOff>
    </xdr:to>
    <xdr:pic>
      <xdr:nvPicPr>
        <xdr:cNvPr id="46" name="Billede 45">
          <a:extLst>
            <a:ext uri="{FF2B5EF4-FFF2-40B4-BE49-F238E27FC236}">
              <a16:creationId xmlns:a16="http://schemas.microsoft.com/office/drawing/2014/main" id="{389969A0-29F5-433C-B59C-01E06A60E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271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8</xdr:row>
      <xdr:rowOff>50800</xdr:rowOff>
    </xdr:from>
    <xdr:to>
      <xdr:col>4</xdr:col>
      <xdr:colOff>1210900</xdr:colOff>
      <xdr:row>8</xdr:row>
      <xdr:rowOff>277245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41A831AE-5947-468E-9E7D-11A4C6B5A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7137400" y="2273300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10</xdr:row>
      <xdr:rowOff>50800</xdr:rowOff>
    </xdr:from>
    <xdr:to>
      <xdr:col>4</xdr:col>
      <xdr:colOff>1210900</xdr:colOff>
      <xdr:row>10</xdr:row>
      <xdr:rowOff>278657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ED14C13E-EFA5-4B1B-8160-8E36CFBEE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9083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11</xdr:row>
      <xdr:rowOff>50800</xdr:rowOff>
    </xdr:from>
    <xdr:to>
      <xdr:col>4</xdr:col>
      <xdr:colOff>1210900</xdr:colOff>
      <xdr:row>11</xdr:row>
      <xdr:rowOff>278657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9056528B-A3F0-169F-C607-EC53BF224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32258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12</xdr:row>
      <xdr:rowOff>50800</xdr:rowOff>
    </xdr:from>
    <xdr:to>
      <xdr:col>4</xdr:col>
      <xdr:colOff>1210900</xdr:colOff>
      <xdr:row>12</xdr:row>
      <xdr:rowOff>278657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AF3D20A8-EA0F-B788-0AFE-CEA3E5476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3543300"/>
          <a:ext cx="360000" cy="22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14</xdr:row>
      <xdr:rowOff>50800</xdr:rowOff>
    </xdr:from>
    <xdr:to>
      <xdr:col>4</xdr:col>
      <xdr:colOff>1210900</xdr:colOff>
      <xdr:row>14</xdr:row>
      <xdr:rowOff>269378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094F72A0-9F69-4835-BCC0-D913C1AF5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4178300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17</xdr:row>
      <xdr:rowOff>63500</xdr:rowOff>
    </xdr:from>
    <xdr:to>
      <xdr:col>4</xdr:col>
      <xdr:colOff>1210900</xdr:colOff>
      <xdr:row>17</xdr:row>
      <xdr:rowOff>282078</xdr:rowOff>
    </xdr:to>
    <xdr:pic>
      <xdr:nvPicPr>
        <xdr:cNvPr id="47" name="Billede 46">
          <a:extLst>
            <a:ext uri="{FF2B5EF4-FFF2-40B4-BE49-F238E27FC236}">
              <a16:creationId xmlns:a16="http://schemas.microsoft.com/office/drawing/2014/main" id="{BB805830-2CBB-EF17-C9BF-685F60ED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5461000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15</xdr:row>
      <xdr:rowOff>38100</xdr:rowOff>
    </xdr:from>
    <xdr:to>
      <xdr:col>4</xdr:col>
      <xdr:colOff>1210900</xdr:colOff>
      <xdr:row>15</xdr:row>
      <xdr:rowOff>280703</xdr:rowOff>
    </xdr:to>
    <xdr:pic>
      <xdr:nvPicPr>
        <xdr:cNvPr id="48" name="Billede 47">
          <a:extLst>
            <a:ext uri="{FF2B5EF4-FFF2-40B4-BE49-F238E27FC236}">
              <a16:creationId xmlns:a16="http://schemas.microsoft.com/office/drawing/2014/main" id="{3AEEAADD-0A4E-49DA-B2A5-31B709498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44831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16</xdr:row>
      <xdr:rowOff>38100</xdr:rowOff>
    </xdr:from>
    <xdr:to>
      <xdr:col>4</xdr:col>
      <xdr:colOff>1210900</xdr:colOff>
      <xdr:row>16</xdr:row>
      <xdr:rowOff>280703</xdr:rowOff>
    </xdr:to>
    <xdr:pic>
      <xdr:nvPicPr>
        <xdr:cNvPr id="49" name="Billede 48">
          <a:extLst>
            <a:ext uri="{FF2B5EF4-FFF2-40B4-BE49-F238E27FC236}">
              <a16:creationId xmlns:a16="http://schemas.microsoft.com/office/drawing/2014/main" id="{BD51903C-89A4-6B3E-15F5-8C24F4A5B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48006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18</xdr:row>
      <xdr:rowOff>38100</xdr:rowOff>
    </xdr:from>
    <xdr:to>
      <xdr:col>4</xdr:col>
      <xdr:colOff>1210900</xdr:colOff>
      <xdr:row>18</xdr:row>
      <xdr:rowOff>280703</xdr:rowOff>
    </xdr:to>
    <xdr:pic>
      <xdr:nvPicPr>
        <xdr:cNvPr id="51" name="Billede 50">
          <a:extLst>
            <a:ext uri="{FF2B5EF4-FFF2-40B4-BE49-F238E27FC236}">
              <a16:creationId xmlns:a16="http://schemas.microsoft.com/office/drawing/2014/main" id="{87329593-5D58-8EDD-A5E3-8225E05BE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57531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19</xdr:row>
      <xdr:rowOff>38100</xdr:rowOff>
    </xdr:from>
    <xdr:to>
      <xdr:col>4</xdr:col>
      <xdr:colOff>1210900</xdr:colOff>
      <xdr:row>19</xdr:row>
      <xdr:rowOff>280703</xdr:rowOff>
    </xdr:to>
    <xdr:pic>
      <xdr:nvPicPr>
        <xdr:cNvPr id="52" name="Billede 51">
          <a:extLst>
            <a:ext uri="{FF2B5EF4-FFF2-40B4-BE49-F238E27FC236}">
              <a16:creationId xmlns:a16="http://schemas.microsoft.com/office/drawing/2014/main" id="{41F4430C-110B-CDA1-01BD-63AE35113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60706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20</xdr:row>
      <xdr:rowOff>42333</xdr:rowOff>
    </xdr:from>
    <xdr:to>
      <xdr:col>4</xdr:col>
      <xdr:colOff>1210900</xdr:colOff>
      <xdr:row>20</xdr:row>
      <xdr:rowOff>284936</xdr:rowOff>
    </xdr:to>
    <xdr:pic>
      <xdr:nvPicPr>
        <xdr:cNvPr id="53" name="Billede 52">
          <a:extLst>
            <a:ext uri="{FF2B5EF4-FFF2-40B4-BE49-F238E27FC236}">
              <a16:creationId xmlns:a16="http://schemas.microsoft.com/office/drawing/2014/main" id="{1AD1D550-5501-97F0-36EC-33F7C5415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63330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42</xdr:row>
      <xdr:rowOff>16412</xdr:rowOff>
    </xdr:from>
    <xdr:to>
      <xdr:col>2</xdr:col>
      <xdr:colOff>492761</xdr:colOff>
      <xdr:row>42</xdr:row>
      <xdr:rowOff>304800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80BBEF8F-1B95-4032-B6A1-4C555DFC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303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43</xdr:row>
      <xdr:rowOff>16412</xdr:rowOff>
    </xdr:from>
    <xdr:to>
      <xdr:col>2</xdr:col>
      <xdr:colOff>492761</xdr:colOff>
      <xdr:row>43</xdr:row>
      <xdr:rowOff>304800</xdr:rowOff>
    </xdr:to>
    <xdr:pic>
      <xdr:nvPicPr>
        <xdr:cNvPr id="55" name="Billede 54">
          <a:extLst>
            <a:ext uri="{FF2B5EF4-FFF2-40B4-BE49-F238E27FC236}">
              <a16:creationId xmlns:a16="http://schemas.microsoft.com/office/drawing/2014/main" id="{08F69D2C-513C-401E-A2EA-251CE8E8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335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44</xdr:row>
      <xdr:rowOff>16412</xdr:rowOff>
    </xdr:from>
    <xdr:to>
      <xdr:col>2</xdr:col>
      <xdr:colOff>492761</xdr:colOff>
      <xdr:row>44</xdr:row>
      <xdr:rowOff>304800</xdr:rowOff>
    </xdr:to>
    <xdr:pic>
      <xdr:nvPicPr>
        <xdr:cNvPr id="56" name="Billede 55">
          <a:extLst>
            <a:ext uri="{FF2B5EF4-FFF2-40B4-BE49-F238E27FC236}">
              <a16:creationId xmlns:a16="http://schemas.microsoft.com/office/drawing/2014/main" id="{19A14CF1-6166-4DB1-BE72-BBEFB1A1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366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45</xdr:row>
      <xdr:rowOff>16412</xdr:rowOff>
    </xdr:from>
    <xdr:to>
      <xdr:col>2</xdr:col>
      <xdr:colOff>492761</xdr:colOff>
      <xdr:row>45</xdr:row>
      <xdr:rowOff>304800</xdr:rowOff>
    </xdr:to>
    <xdr:pic>
      <xdr:nvPicPr>
        <xdr:cNvPr id="57" name="Billede 56">
          <a:extLst>
            <a:ext uri="{FF2B5EF4-FFF2-40B4-BE49-F238E27FC236}">
              <a16:creationId xmlns:a16="http://schemas.microsoft.com/office/drawing/2014/main" id="{4A703FC2-AF27-44B5-B607-C58A5D7E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39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46</xdr:row>
      <xdr:rowOff>16412</xdr:rowOff>
    </xdr:from>
    <xdr:to>
      <xdr:col>2</xdr:col>
      <xdr:colOff>492761</xdr:colOff>
      <xdr:row>46</xdr:row>
      <xdr:rowOff>304800</xdr:rowOff>
    </xdr:to>
    <xdr:pic>
      <xdr:nvPicPr>
        <xdr:cNvPr id="58" name="Billede 57">
          <a:extLst>
            <a:ext uri="{FF2B5EF4-FFF2-40B4-BE49-F238E27FC236}">
              <a16:creationId xmlns:a16="http://schemas.microsoft.com/office/drawing/2014/main" id="{B27D34AA-3B72-4EFF-8839-785D7EF74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430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47</xdr:row>
      <xdr:rowOff>16412</xdr:rowOff>
    </xdr:from>
    <xdr:to>
      <xdr:col>2</xdr:col>
      <xdr:colOff>492761</xdr:colOff>
      <xdr:row>47</xdr:row>
      <xdr:rowOff>304800</xdr:rowOff>
    </xdr:to>
    <xdr:pic>
      <xdr:nvPicPr>
        <xdr:cNvPr id="59" name="Billede 58">
          <a:extLst>
            <a:ext uri="{FF2B5EF4-FFF2-40B4-BE49-F238E27FC236}">
              <a16:creationId xmlns:a16="http://schemas.microsoft.com/office/drawing/2014/main" id="{291CBCD2-83C8-416A-A324-35C784910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462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48</xdr:row>
      <xdr:rowOff>16412</xdr:rowOff>
    </xdr:from>
    <xdr:to>
      <xdr:col>2</xdr:col>
      <xdr:colOff>492761</xdr:colOff>
      <xdr:row>48</xdr:row>
      <xdr:rowOff>304800</xdr:rowOff>
    </xdr:to>
    <xdr:pic>
      <xdr:nvPicPr>
        <xdr:cNvPr id="60" name="Billede 59">
          <a:extLst>
            <a:ext uri="{FF2B5EF4-FFF2-40B4-BE49-F238E27FC236}">
              <a16:creationId xmlns:a16="http://schemas.microsoft.com/office/drawing/2014/main" id="{8D59634C-46E2-41FA-B49B-B586E8FD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493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49</xdr:row>
      <xdr:rowOff>16412</xdr:rowOff>
    </xdr:from>
    <xdr:to>
      <xdr:col>2</xdr:col>
      <xdr:colOff>492761</xdr:colOff>
      <xdr:row>49</xdr:row>
      <xdr:rowOff>304800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F37BFA68-78C2-4187-A8AD-F78A6238C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525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50</xdr:row>
      <xdr:rowOff>16412</xdr:rowOff>
    </xdr:from>
    <xdr:to>
      <xdr:col>2</xdr:col>
      <xdr:colOff>492761</xdr:colOff>
      <xdr:row>50</xdr:row>
      <xdr:rowOff>304800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93A58C19-34F6-44D4-AD76-503488F10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51</xdr:row>
      <xdr:rowOff>16412</xdr:rowOff>
    </xdr:from>
    <xdr:to>
      <xdr:col>2</xdr:col>
      <xdr:colOff>492761</xdr:colOff>
      <xdr:row>51</xdr:row>
      <xdr:rowOff>304800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39299877-5F69-482D-B913-9648B135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53</xdr:row>
      <xdr:rowOff>16412</xdr:rowOff>
    </xdr:from>
    <xdr:to>
      <xdr:col>2</xdr:col>
      <xdr:colOff>492761</xdr:colOff>
      <xdr:row>53</xdr:row>
      <xdr:rowOff>304800</xdr:rowOff>
    </xdr:to>
    <xdr:pic>
      <xdr:nvPicPr>
        <xdr:cNvPr id="64" name="Billede 63">
          <a:extLst>
            <a:ext uri="{FF2B5EF4-FFF2-40B4-BE49-F238E27FC236}">
              <a16:creationId xmlns:a16="http://schemas.microsoft.com/office/drawing/2014/main" id="{A5E07DB9-9988-456D-B7BC-621D76FD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54</xdr:row>
      <xdr:rowOff>16412</xdr:rowOff>
    </xdr:from>
    <xdr:to>
      <xdr:col>2</xdr:col>
      <xdr:colOff>492761</xdr:colOff>
      <xdr:row>54</xdr:row>
      <xdr:rowOff>304800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0CCF1CAB-8F87-4247-BA82-F4508379A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55</xdr:row>
      <xdr:rowOff>16412</xdr:rowOff>
    </xdr:from>
    <xdr:to>
      <xdr:col>2</xdr:col>
      <xdr:colOff>492761</xdr:colOff>
      <xdr:row>55</xdr:row>
      <xdr:rowOff>304800</xdr:rowOff>
    </xdr:to>
    <xdr:pic>
      <xdr:nvPicPr>
        <xdr:cNvPr id="66" name="Billede 65">
          <a:extLst>
            <a:ext uri="{FF2B5EF4-FFF2-40B4-BE49-F238E27FC236}">
              <a16:creationId xmlns:a16="http://schemas.microsoft.com/office/drawing/2014/main" id="{F9499202-DA51-4162-8E1D-10CA43CF8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56</xdr:row>
      <xdr:rowOff>16412</xdr:rowOff>
    </xdr:from>
    <xdr:to>
      <xdr:col>2</xdr:col>
      <xdr:colOff>492761</xdr:colOff>
      <xdr:row>56</xdr:row>
      <xdr:rowOff>304800</xdr:rowOff>
    </xdr:to>
    <xdr:pic>
      <xdr:nvPicPr>
        <xdr:cNvPr id="67" name="Billede 66">
          <a:extLst>
            <a:ext uri="{FF2B5EF4-FFF2-40B4-BE49-F238E27FC236}">
              <a16:creationId xmlns:a16="http://schemas.microsoft.com/office/drawing/2014/main" id="{70125F63-4762-4E50-8D47-59E9B3DDF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557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855133</xdr:colOff>
      <xdr:row>5</xdr:row>
      <xdr:rowOff>46561</xdr:rowOff>
    </xdr:from>
    <xdr:to>
      <xdr:col>4</xdr:col>
      <xdr:colOff>1215133</xdr:colOff>
      <xdr:row>5</xdr:row>
      <xdr:rowOff>290840</xdr:rowOff>
    </xdr:to>
    <xdr:pic>
      <xdr:nvPicPr>
        <xdr:cNvPr id="68" name="Billede 67">
          <a:extLst>
            <a:ext uri="{FF2B5EF4-FFF2-40B4-BE49-F238E27FC236}">
              <a16:creationId xmlns:a16="http://schemas.microsoft.com/office/drawing/2014/main" id="{D575574C-2B7E-C3BD-0976-CCE25FA9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933" y="1325028"/>
          <a:ext cx="360000" cy="244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855133</xdr:colOff>
      <xdr:row>6</xdr:row>
      <xdr:rowOff>38095</xdr:rowOff>
    </xdr:from>
    <xdr:to>
      <xdr:col>4</xdr:col>
      <xdr:colOff>1215133</xdr:colOff>
      <xdr:row>6</xdr:row>
      <xdr:rowOff>282374</xdr:rowOff>
    </xdr:to>
    <xdr:pic>
      <xdr:nvPicPr>
        <xdr:cNvPr id="69" name="Billede 68">
          <a:extLst>
            <a:ext uri="{FF2B5EF4-FFF2-40B4-BE49-F238E27FC236}">
              <a16:creationId xmlns:a16="http://schemas.microsoft.com/office/drawing/2014/main" id="{031B52BF-5E24-0B78-F004-C53120DC6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933" y="1629828"/>
          <a:ext cx="360000" cy="244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855133</xdr:colOff>
      <xdr:row>7</xdr:row>
      <xdr:rowOff>55028</xdr:rowOff>
    </xdr:from>
    <xdr:to>
      <xdr:col>4</xdr:col>
      <xdr:colOff>1215133</xdr:colOff>
      <xdr:row>7</xdr:row>
      <xdr:rowOff>299307</xdr:rowOff>
    </xdr:to>
    <xdr:pic>
      <xdr:nvPicPr>
        <xdr:cNvPr id="70" name="Billede 69">
          <a:extLst>
            <a:ext uri="{FF2B5EF4-FFF2-40B4-BE49-F238E27FC236}">
              <a16:creationId xmlns:a16="http://schemas.microsoft.com/office/drawing/2014/main" id="{B90D7109-8A7D-C430-4473-9206FE535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933" y="1960028"/>
          <a:ext cx="360000" cy="244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855133</xdr:colOff>
      <xdr:row>9</xdr:row>
      <xdr:rowOff>59270</xdr:rowOff>
    </xdr:from>
    <xdr:to>
      <xdr:col>4</xdr:col>
      <xdr:colOff>1215133</xdr:colOff>
      <xdr:row>9</xdr:row>
      <xdr:rowOff>277283</xdr:rowOff>
    </xdr:to>
    <xdr:pic>
      <xdr:nvPicPr>
        <xdr:cNvPr id="71" name="Billede 70">
          <a:extLst>
            <a:ext uri="{FF2B5EF4-FFF2-40B4-BE49-F238E27FC236}">
              <a16:creationId xmlns:a16="http://schemas.microsoft.com/office/drawing/2014/main" id="{945EE097-4758-D3D3-6FB3-969B6E981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7222"/>
        <a:stretch/>
      </xdr:blipFill>
      <xdr:spPr bwMode="auto">
        <a:xfrm>
          <a:off x="7128933" y="2590803"/>
          <a:ext cx="360000" cy="218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21</xdr:row>
      <xdr:rowOff>33866</xdr:rowOff>
    </xdr:from>
    <xdr:to>
      <xdr:col>4</xdr:col>
      <xdr:colOff>1210900</xdr:colOff>
      <xdr:row>21</xdr:row>
      <xdr:rowOff>276469</xdr:rowOff>
    </xdr:to>
    <xdr:pic>
      <xdr:nvPicPr>
        <xdr:cNvPr id="72" name="Billede 71">
          <a:extLst>
            <a:ext uri="{FF2B5EF4-FFF2-40B4-BE49-F238E27FC236}">
              <a16:creationId xmlns:a16="http://schemas.microsoft.com/office/drawing/2014/main" id="{93A6347E-E15A-D994-B070-75D53CA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66378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22</xdr:row>
      <xdr:rowOff>33865</xdr:rowOff>
    </xdr:from>
    <xdr:to>
      <xdr:col>4</xdr:col>
      <xdr:colOff>1210900</xdr:colOff>
      <xdr:row>22</xdr:row>
      <xdr:rowOff>276468</xdr:rowOff>
    </xdr:to>
    <xdr:pic>
      <xdr:nvPicPr>
        <xdr:cNvPr id="73" name="Billede 72">
          <a:extLst>
            <a:ext uri="{FF2B5EF4-FFF2-40B4-BE49-F238E27FC236}">
              <a16:creationId xmlns:a16="http://schemas.microsoft.com/office/drawing/2014/main" id="{DDC62CD7-8B27-7EB8-5D15-0050B3B2B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6951132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23</xdr:row>
      <xdr:rowOff>25399</xdr:rowOff>
    </xdr:from>
    <xdr:to>
      <xdr:col>4</xdr:col>
      <xdr:colOff>1210900</xdr:colOff>
      <xdr:row>23</xdr:row>
      <xdr:rowOff>268002</xdr:rowOff>
    </xdr:to>
    <xdr:pic>
      <xdr:nvPicPr>
        <xdr:cNvPr id="74" name="Billede 73">
          <a:extLst>
            <a:ext uri="{FF2B5EF4-FFF2-40B4-BE49-F238E27FC236}">
              <a16:creationId xmlns:a16="http://schemas.microsoft.com/office/drawing/2014/main" id="{B3523AAE-9DDA-B227-CEB2-56B892340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255932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24</xdr:row>
      <xdr:rowOff>25399</xdr:rowOff>
    </xdr:from>
    <xdr:to>
      <xdr:col>4</xdr:col>
      <xdr:colOff>1210900</xdr:colOff>
      <xdr:row>24</xdr:row>
      <xdr:rowOff>268002</xdr:rowOff>
    </xdr:to>
    <xdr:pic>
      <xdr:nvPicPr>
        <xdr:cNvPr id="75" name="Billede 74">
          <a:extLst>
            <a:ext uri="{FF2B5EF4-FFF2-40B4-BE49-F238E27FC236}">
              <a16:creationId xmlns:a16="http://schemas.microsoft.com/office/drawing/2014/main" id="{E67768D0-098C-656F-253C-4438BA0F3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569199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25</xdr:row>
      <xdr:rowOff>25399</xdr:rowOff>
    </xdr:from>
    <xdr:to>
      <xdr:col>4</xdr:col>
      <xdr:colOff>1210900</xdr:colOff>
      <xdr:row>25</xdr:row>
      <xdr:rowOff>268002</xdr:rowOff>
    </xdr:to>
    <xdr:pic>
      <xdr:nvPicPr>
        <xdr:cNvPr id="76" name="Billede 75">
          <a:extLst>
            <a:ext uri="{FF2B5EF4-FFF2-40B4-BE49-F238E27FC236}">
              <a16:creationId xmlns:a16="http://schemas.microsoft.com/office/drawing/2014/main" id="{A4EFB75D-3864-8B39-1ECF-E5CF990A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8824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26</xdr:row>
      <xdr:rowOff>33866</xdr:rowOff>
    </xdr:from>
    <xdr:to>
      <xdr:col>4</xdr:col>
      <xdr:colOff>1210900</xdr:colOff>
      <xdr:row>26</xdr:row>
      <xdr:rowOff>276469</xdr:rowOff>
    </xdr:to>
    <xdr:pic>
      <xdr:nvPicPr>
        <xdr:cNvPr id="77" name="Billede 76">
          <a:extLst>
            <a:ext uri="{FF2B5EF4-FFF2-40B4-BE49-F238E27FC236}">
              <a16:creationId xmlns:a16="http://schemas.microsoft.com/office/drawing/2014/main" id="{138F8C67-EC14-966B-DFEA-0802AB16C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8204199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27</xdr:row>
      <xdr:rowOff>33866</xdr:rowOff>
    </xdr:from>
    <xdr:to>
      <xdr:col>4</xdr:col>
      <xdr:colOff>1210900</xdr:colOff>
      <xdr:row>27</xdr:row>
      <xdr:rowOff>276469</xdr:rowOff>
    </xdr:to>
    <xdr:pic>
      <xdr:nvPicPr>
        <xdr:cNvPr id="78" name="Billede 77">
          <a:extLst>
            <a:ext uri="{FF2B5EF4-FFF2-40B4-BE49-F238E27FC236}">
              <a16:creationId xmlns:a16="http://schemas.microsoft.com/office/drawing/2014/main" id="{23092BFB-20CE-622F-753A-09096811F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85174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28</xdr:row>
      <xdr:rowOff>33866</xdr:rowOff>
    </xdr:from>
    <xdr:to>
      <xdr:col>4</xdr:col>
      <xdr:colOff>1210900</xdr:colOff>
      <xdr:row>28</xdr:row>
      <xdr:rowOff>276469</xdr:rowOff>
    </xdr:to>
    <xdr:pic>
      <xdr:nvPicPr>
        <xdr:cNvPr id="79" name="Billede 78">
          <a:extLst>
            <a:ext uri="{FF2B5EF4-FFF2-40B4-BE49-F238E27FC236}">
              <a16:creationId xmlns:a16="http://schemas.microsoft.com/office/drawing/2014/main" id="{096EC166-EB45-DF0D-1B0E-49B14CC1B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88307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29</xdr:row>
      <xdr:rowOff>25400</xdr:rowOff>
    </xdr:from>
    <xdr:to>
      <xdr:col>4</xdr:col>
      <xdr:colOff>1210900</xdr:colOff>
      <xdr:row>29</xdr:row>
      <xdr:rowOff>268003</xdr:rowOff>
    </xdr:to>
    <xdr:pic>
      <xdr:nvPicPr>
        <xdr:cNvPr id="80" name="Billede 79">
          <a:extLst>
            <a:ext uri="{FF2B5EF4-FFF2-40B4-BE49-F238E27FC236}">
              <a16:creationId xmlns:a16="http://schemas.microsoft.com/office/drawing/2014/main" id="{EC27B0EF-0481-06E6-7965-47525FC3C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91355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30</xdr:row>
      <xdr:rowOff>33866</xdr:rowOff>
    </xdr:from>
    <xdr:to>
      <xdr:col>4</xdr:col>
      <xdr:colOff>1210900</xdr:colOff>
      <xdr:row>30</xdr:row>
      <xdr:rowOff>276469</xdr:rowOff>
    </xdr:to>
    <xdr:pic>
      <xdr:nvPicPr>
        <xdr:cNvPr id="81" name="Billede 80">
          <a:extLst>
            <a:ext uri="{FF2B5EF4-FFF2-40B4-BE49-F238E27FC236}">
              <a16:creationId xmlns:a16="http://schemas.microsoft.com/office/drawing/2014/main" id="{78B2AB49-90BB-469C-ACA9-CD0FE7306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94572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31</xdr:row>
      <xdr:rowOff>33866</xdr:rowOff>
    </xdr:from>
    <xdr:to>
      <xdr:col>4</xdr:col>
      <xdr:colOff>1210900</xdr:colOff>
      <xdr:row>31</xdr:row>
      <xdr:rowOff>276469</xdr:rowOff>
    </xdr:to>
    <xdr:pic>
      <xdr:nvPicPr>
        <xdr:cNvPr id="82" name="Billede 81">
          <a:extLst>
            <a:ext uri="{FF2B5EF4-FFF2-40B4-BE49-F238E27FC236}">
              <a16:creationId xmlns:a16="http://schemas.microsoft.com/office/drawing/2014/main" id="{0C03384B-1E5C-5245-FE36-6158F702C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97705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35</xdr:row>
      <xdr:rowOff>42333</xdr:rowOff>
    </xdr:from>
    <xdr:to>
      <xdr:col>4</xdr:col>
      <xdr:colOff>1210900</xdr:colOff>
      <xdr:row>35</xdr:row>
      <xdr:rowOff>284936</xdr:rowOff>
    </xdr:to>
    <xdr:pic>
      <xdr:nvPicPr>
        <xdr:cNvPr id="83" name="Billede 82">
          <a:extLst>
            <a:ext uri="{FF2B5EF4-FFF2-40B4-BE49-F238E27FC236}">
              <a16:creationId xmlns:a16="http://schemas.microsoft.com/office/drawing/2014/main" id="{F03B9A8B-CCA9-2E1C-5318-1D691F51C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10320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36</xdr:row>
      <xdr:rowOff>33866</xdr:rowOff>
    </xdr:from>
    <xdr:to>
      <xdr:col>4</xdr:col>
      <xdr:colOff>1210900</xdr:colOff>
      <xdr:row>36</xdr:row>
      <xdr:rowOff>276469</xdr:rowOff>
    </xdr:to>
    <xdr:pic>
      <xdr:nvPicPr>
        <xdr:cNvPr id="84" name="Billede 83">
          <a:extLst>
            <a:ext uri="{FF2B5EF4-FFF2-40B4-BE49-F238E27FC236}">
              <a16:creationId xmlns:a16="http://schemas.microsoft.com/office/drawing/2014/main" id="{87735087-08EB-4767-BEAB-BDBD4D592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13368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37</xdr:row>
      <xdr:rowOff>42333</xdr:rowOff>
    </xdr:from>
    <xdr:to>
      <xdr:col>4</xdr:col>
      <xdr:colOff>1210900</xdr:colOff>
      <xdr:row>37</xdr:row>
      <xdr:rowOff>284936</xdr:rowOff>
    </xdr:to>
    <xdr:pic>
      <xdr:nvPicPr>
        <xdr:cNvPr id="85" name="Billede 84">
          <a:extLst>
            <a:ext uri="{FF2B5EF4-FFF2-40B4-BE49-F238E27FC236}">
              <a16:creationId xmlns:a16="http://schemas.microsoft.com/office/drawing/2014/main" id="{FC68037B-C540-34CC-61DA-13851A87A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1658600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38</xdr:row>
      <xdr:rowOff>16933</xdr:rowOff>
    </xdr:from>
    <xdr:to>
      <xdr:col>4</xdr:col>
      <xdr:colOff>1210900</xdr:colOff>
      <xdr:row>38</xdr:row>
      <xdr:rowOff>259536</xdr:rowOff>
    </xdr:to>
    <xdr:pic>
      <xdr:nvPicPr>
        <xdr:cNvPr id="86" name="Billede 85">
          <a:extLst>
            <a:ext uri="{FF2B5EF4-FFF2-40B4-BE49-F238E27FC236}">
              <a16:creationId xmlns:a16="http://schemas.microsoft.com/office/drawing/2014/main" id="{18EC5EA4-3A0B-BCD8-8638-3A66D8AF5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1946466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61</xdr:row>
      <xdr:rowOff>42333</xdr:rowOff>
    </xdr:from>
    <xdr:to>
      <xdr:col>4</xdr:col>
      <xdr:colOff>1210900</xdr:colOff>
      <xdr:row>61</xdr:row>
      <xdr:rowOff>284936</xdr:rowOff>
    </xdr:to>
    <xdr:pic>
      <xdr:nvPicPr>
        <xdr:cNvPr id="87" name="Billede 86">
          <a:extLst>
            <a:ext uri="{FF2B5EF4-FFF2-40B4-BE49-F238E27FC236}">
              <a16:creationId xmlns:a16="http://schemas.microsoft.com/office/drawing/2014/main" id="{1F646E1D-FF91-EF01-ECD2-065497E8F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190923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43</xdr:row>
      <xdr:rowOff>42332</xdr:rowOff>
    </xdr:from>
    <xdr:to>
      <xdr:col>4</xdr:col>
      <xdr:colOff>1210900</xdr:colOff>
      <xdr:row>43</xdr:row>
      <xdr:rowOff>284935</xdr:rowOff>
    </xdr:to>
    <xdr:pic>
      <xdr:nvPicPr>
        <xdr:cNvPr id="88" name="Billede 87">
          <a:extLst>
            <a:ext uri="{FF2B5EF4-FFF2-40B4-BE49-F238E27FC236}">
              <a16:creationId xmlns:a16="http://schemas.microsoft.com/office/drawing/2014/main" id="{BCDFF502-792F-4F75-9C3E-0A0CD6C2A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3538199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850903</xdr:colOff>
      <xdr:row>41</xdr:row>
      <xdr:rowOff>46567</xdr:rowOff>
    </xdr:from>
    <xdr:to>
      <xdr:col>4</xdr:col>
      <xdr:colOff>1210903</xdr:colOff>
      <xdr:row>41</xdr:row>
      <xdr:rowOff>265145</xdr:rowOff>
    </xdr:to>
    <xdr:pic>
      <xdr:nvPicPr>
        <xdr:cNvPr id="89" name="Billede 88">
          <a:extLst>
            <a:ext uri="{FF2B5EF4-FFF2-40B4-BE49-F238E27FC236}">
              <a16:creationId xmlns:a16="http://schemas.microsoft.com/office/drawing/2014/main" id="{8D97CDC0-9A9D-92C8-4AE1-A4BE60191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3" y="12915900"/>
          <a:ext cx="360000" cy="21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855133</xdr:colOff>
      <xdr:row>40</xdr:row>
      <xdr:rowOff>50800</xdr:rowOff>
    </xdr:from>
    <xdr:to>
      <xdr:col>4</xdr:col>
      <xdr:colOff>1215133</xdr:colOff>
      <xdr:row>40</xdr:row>
      <xdr:rowOff>291400</xdr:rowOff>
    </xdr:to>
    <xdr:pic>
      <xdr:nvPicPr>
        <xdr:cNvPr id="92" name="Billede 91">
          <a:extLst>
            <a:ext uri="{FF2B5EF4-FFF2-40B4-BE49-F238E27FC236}">
              <a16:creationId xmlns:a16="http://schemas.microsoft.com/office/drawing/2014/main" id="{A79E217D-7D0B-4A51-5B36-0F6211EEF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933" y="12606867"/>
          <a:ext cx="360000" cy="24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855132</xdr:colOff>
      <xdr:row>39</xdr:row>
      <xdr:rowOff>67733</xdr:rowOff>
    </xdr:from>
    <xdr:to>
      <xdr:col>4</xdr:col>
      <xdr:colOff>1215132</xdr:colOff>
      <xdr:row>39</xdr:row>
      <xdr:rowOff>266237</xdr:rowOff>
    </xdr:to>
    <xdr:pic>
      <xdr:nvPicPr>
        <xdr:cNvPr id="93" name="Billede 92">
          <a:extLst>
            <a:ext uri="{FF2B5EF4-FFF2-40B4-BE49-F238E27FC236}">
              <a16:creationId xmlns:a16="http://schemas.microsoft.com/office/drawing/2014/main" id="{9AAC03AF-A91F-A50B-5BB4-4784C57BC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86"/>
        <a:stretch/>
      </xdr:blipFill>
      <xdr:spPr bwMode="auto">
        <a:xfrm>
          <a:off x="7128932" y="12310533"/>
          <a:ext cx="360000" cy="198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846667</xdr:colOff>
      <xdr:row>32</xdr:row>
      <xdr:rowOff>50802</xdr:rowOff>
    </xdr:from>
    <xdr:to>
      <xdr:col>4</xdr:col>
      <xdr:colOff>1206667</xdr:colOff>
      <xdr:row>32</xdr:row>
      <xdr:rowOff>270239</xdr:rowOff>
    </xdr:to>
    <xdr:pic>
      <xdr:nvPicPr>
        <xdr:cNvPr id="94" name="Billede 93">
          <a:extLst>
            <a:ext uri="{FF2B5EF4-FFF2-40B4-BE49-F238E27FC236}">
              <a16:creationId xmlns:a16="http://schemas.microsoft.com/office/drawing/2014/main" id="{FD3B1CCC-1CCF-4EE1-84A3-EC2B13751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467" y="10100735"/>
          <a:ext cx="360000" cy="21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846667</xdr:colOff>
      <xdr:row>33</xdr:row>
      <xdr:rowOff>42335</xdr:rowOff>
    </xdr:from>
    <xdr:to>
      <xdr:col>4</xdr:col>
      <xdr:colOff>1206667</xdr:colOff>
      <xdr:row>33</xdr:row>
      <xdr:rowOff>261772</xdr:rowOff>
    </xdr:to>
    <xdr:pic>
      <xdr:nvPicPr>
        <xdr:cNvPr id="95" name="Billede 94">
          <a:extLst>
            <a:ext uri="{FF2B5EF4-FFF2-40B4-BE49-F238E27FC236}">
              <a16:creationId xmlns:a16="http://schemas.microsoft.com/office/drawing/2014/main" id="{B9CB3C72-6334-DA00-C00B-88C505F26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467" y="10405535"/>
          <a:ext cx="360000" cy="21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846667</xdr:colOff>
      <xdr:row>34</xdr:row>
      <xdr:rowOff>33868</xdr:rowOff>
    </xdr:from>
    <xdr:to>
      <xdr:col>4</xdr:col>
      <xdr:colOff>1206667</xdr:colOff>
      <xdr:row>34</xdr:row>
      <xdr:rowOff>253305</xdr:rowOff>
    </xdr:to>
    <xdr:pic>
      <xdr:nvPicPr>
        <xdr:cNvPr id="96" name="Billede 95">
          <a:extLst>
            <a:ext uri="{FF2B5EF4-FFF2-40B4-BE49-F238E27FC236}">
              <a16:creationId xmlns:a16="http://schemas.microsoft.com/office/drawing/2014/main" id="{5A4541B9-BDDA-C155-B59F-8CC5FEA7E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467" y="10710335"/>
          <a:ext cx="360000" cy="21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55</xdr:row>
      <xdr:rowOff>50800</xdr:rowOff>
    </xdr:from>
    <xdr:to>
      <xdr:col>4</xdr:col>
      <xdr:colOff>1210900</xdr:colOff>
      <xdr:row>55</xdr:row>
      <xdr:rowOff>283318</xdr:rowOff>
    </xdr:to>
    <xdr:pic>
      <xdr:nvPicPr>
        <xdr:cNvPr id="99" name="Billede 98" descr="Dannebrog">
          <a:extLst>
            <a:ext uri="{FF2B5EF4-FFF2-40B4-BE49-F238E27FC236}">
              <a16:creationId xmlns:a16="http://schemas.microsoft.com/office/drawing/2014/main" id="{2969EC7C-F6A3-42E5-B647-934B97F9C7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18" r="-599" b="9020"/>
        <a:stretch/>
      </xdr:blipFill>
      <xdr:spPr bwMode="auto">
        <a:xfrm>
          <a:off x="7137400" y="17195800"/>
          <a:ext cx="360000" cy="232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57</xdr:row>
      <xdr:rowOff>16412</xdr:rowOff>
    </xdr:from>
    <xdr:to>
      <xdr:col>2</xdr:col>
      <xdr:colOff>492761</xdr:colOff>
      <xdr:row>57</xdr:row>
      <xdr:rowOff>304800</xdr:rowOff>
    </xdr:to>
    <xdr:pic>
      <xdr:nvPicPr>
        <xdr:cNvPr id="100" name="Billede 99">
          <a:extLst>
            <a:ext uri="{FF2B5EF4-FFF2-40B4-BE49-F238E27FC236}">
              <a16:creationId xmlns:a16="http://schemas.microsoft.com/office/drawing/2014/main" id="{0C88B06A-1267-4373-9F0D-75C000F8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747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58</xdr:row>
      <xdr:rowOff>16412</xdr:rowOff>
    </xdr:from>
    <xdr:to>
      <xdr:col>2</xdr:col>
      <xdr:colOff>492761</xdr:colOff>
      <xdr:row>58</xdr:row>
      <xdr:rowOff>304800</xdr:rowOff>
    </xdr:to>
    <xdr:pic>
      <xdr:nvPicPr>
        <xdr:cNvPr id="101" name="Billede 100">
          <a:extLst>
            <a:ext uri="{FF2B5EF4-FFF2-40B4-BE49-F238E27FC236}">
              <a16:creationId xmlns:a16="http://schemas.microsoft.com/office/drawing/2014/main" id="{F78E03B7-98F5-4017-B061-0112C4EAF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779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59</xdr:row>
      <xdr:rowOff>16412</xdr:rowOff>
    </xdr:from>
    <xdr:to>
      <xdr:col>2</xdr:col>
      <xdr:colOff>492761</xdr:colOff>
      <xdr:row>59</xdr:row>
      <xdr:rowOff>304800</xdr:rowOff>
    </xdr:to>
    <xdr:pic>
      <xdr:nvPicPr>
        <xdr:cNvPr id="102" name="Billede 101">
          <a:extLst>
            <a:ext uri="{FF2B5EF4-FFF2-40B4-BE49-F238E27FC236}">
              <a16:creationId xmlns:a16="http://schemas.microsoft.com/office/drawing/2014/main" id="{6C4A3401-0F83-4D34-8BD4-605D8A632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779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60</xdr:row>
      <xdr:rowOff>16412</xdr:rowOff>
    </xdr:from>
    <xdr:to>
      <xdr:col>2</xdr:col>
      <xdr:colOff>492761</xdr:colOff>
      <xdr:row>60</xdr:row>
      <xdr:rowOff>304800</xdr:rowOff>
    </xdr:to>
    <xdr:pic>
      <xdr:nvPicPr>
        <xdr:cNvPr id="103" name="Billede 102">
          <a:extLst>
            <a:ext uri="{FF2B5EF4-FFF2-40B4-BE49-F238E27FC236}">
              <a16:creationId xmlns:a16="http://schemas.microsoft.com/office/drawing/2014/main" id="{C752B7FC-179D-4066-B002-B99D143BA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8431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61</xdr:row>
      <xdr:rowOff>16412</xdr:rowOff>
    </xdr:from>
    <xdr:to>
      <xdr:col>2</xdr:col>
      <xdr:colOff>492761</xdr:colOff>
      <xdr:row>61</xdr:row>
      <xdr:rowOff>304800</xdr:rowOff>
    </xdr:to>
    <xdr:pic>
      <xdr:nvPicPr>
        <xdr:cNvPr id="104" name="Billede 103">
          <a:extLst>
            <a:ext uri="{FF2B5EF4-FFF2-40B4-BE49-F238E27FC236}">
              <a16:creationId xmlns:a16="http://schemas.microsoft.com/office/drawing/2014/main" id="{2331624C-9DF7-4420-B521-568A038F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874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62</xdr:row>
      <xdr:rowOff>16412</xdr:rowOff>
    </xdr:from>
    <xdr:to>
      <xdr:col>2</xdr:col>
      <xdr:colOff>492761</xdr:colOff>
      <xdr:row>62</xdr:row>
      <xdr:rowOff>304800</xdr:rowOff>
    </xdr:to>
    <xdr:pic>
      <xdr:nvPicPr>
        <xdr:cNvPr id="105" name="Billede 104">
          <a:extLst>
            <a:ext uri="{FF2B5EF4-FFF2-40B4-BE49-F238E27FC236}">
              <a16:creationId xmlns:a16="http://schemas.microsoft.com/office/drawing/2014/main" id="{75E8C2EC-DBC8-4154-88C6-DDE8E7EB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906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63</xdr:row>
      <xdr:rowOff>16412</xdr:rowOff>
    </xdr:from>
    <xdr:to>
      <xdr:col>2</xdr:col>
      <xdr:colOff>492761</xdr:colOff>
      <xdr:row>63</xdr:row>
      <xdr:rowOff>304800</xdr:rowOff>
    </xdr:to>
    <xdr:pic>
      <xdr:nvPicPr>
        <xdr:cNvPr id="106" name="Billede 105">
          <a:extLst>
            <a:ext uri="{FF2B5EF4-FFF2-40B4-BE49-F238E27FC236}">
              <a16:creationId xmlns:a16="http://schemas.microsoft.com/office/drawing/2014/main" id="{0F1A5155-414A-4D34-B2E7-EAB91DDD2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906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64</xdr:row>
      <xdr:rowOff>16412</xdr:rowOff>
    </xdr:from>
    <xdr:to>
      <xdr:col>2</xdr:col>
      <xdr:colOff>492761</xdr:colOff>
      <xdr:row>64</xdr:row>
      <xdr:rowOff>304800</xdr:rowOff>
    </xdr:to>
    <xdr:pic>
      <xdr:nvPicPr>
        <xdr:cNvPr id="107" name="Billede 106">
          <a:extLst>
            <a:ext uri="{FF2B5EF4-FFF2-40B4-BE49-F238E27FC236}">
              <a16:creationId xmlns:a16="http://schemas.microsoft.com/office/drawing/2014/main" id="{67C8997D-EA84-49E6-9332-3235F351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938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62</xdr:row>
      <xdr:rowOff>42333</xdr:rowOff>
    </xdr:from>
    <xdr:to>
      <xdr:col>4</xdr:col>
      <xdr:colOff>1210900</xdr:colOff>
      <xdr:row>62</xdr:row>
      <xdr:rowOff>284936</xdr:rowOff>
    </xdr:to>
    <xdr:pic>
      <xdr:nvPicPr>
        <xdr:cNvPr id="108" name="Billede 107">
          <a:extLst>
            <a:ext uri="{FF2B5EF4-FFF2-40B4-BE49-F238E27FC236}">
              <a16:creationId xmlns:a16="http://schemas.microsoft.com/office/drawing/2014/main" id="{6D036DA1-DA64-20CC-2930-27EEC09B7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194098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63</xdr:row>
      <xdr:rowOff>42333</xdr:rowOff>
    </xdr:from>
    <xdr:to>
      <xdr:col>4</xdr:col>
      <xdr:colOff>1210900</xdr:colOff>
      <xdr:row>63</xdr:row>
      <xdr:rowOff>284936</xdr:rowOff>
    </xdr:to>
    <xdr:pic>
      <xdr:nvPicPr>
        <xdr:cNvPr id="109" name="Billede 108">
          <a:extLst>
            <a:ext uri="{FF2B5EF4-FFF2-40B4-BE49-F238E27FC236}">
              <a16:creationId xmlns:a16="http://schemas.microsoft.com/office/drawing/2014/main" id="{FE7F41AC-260A-D055-A7A8-0FB53D5CB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197273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64</xdr:row>
      <xdr:rowOff>42333</xdr:rowOff>
    </xdr:from>
    <xdr:to>
      <xdr:col>4</xdr:col>
      <xdr:colOff>1210900</xdr:colOff>
      <xdr:row>64</xdr:row>
      <xdr:rowOff>284936</xdr:rowOff>
    </xdr:to>
    <xdr:pic>
      <xdr:nvPicPr>
        <xdr:cNvPr id="110" name="Billede 109">
          <a:extLst>
            <a:ext uri="{FF2B5EF4-FFF2-40B4-BE49-F238E27FC236}">
              <a16:creationId xmlns:a16="http://schemas.microsoft.com/office/drawing/2014/main" id="{97ADC655-14BE-A31B-0117-CE6608F68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00448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65</xdr:row>
      <xdr:rowOff>16412</xdr:rowOff>
    </xdr:from>
    <xdr:to>
      <xdr:col>2</xdr:col>
      <xdr:colOff>492761</xdr:colOff>
      <xdr:row>65</xdr:row>
      <xdr:rowOff>304800</xdr:rowOff>
    </xdr:to>
    <xdr:pic>
      <xdr:nvPicPr>
        <xdr:cNvPr id="111" name="Billede 110">
          <a:extLst>
            <a:ext uri="{FF2B5EF4-FFF2-40B4-BE49-F238E27FC236}">
              <a16:creationId xmlns:a16="http://schemas.microsoft.com/office/drawing/2014/main" id="{A9F7B0DD-C3AB-49C8-8F83-F99DDA59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0018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66</xdr:row>
      <xdr:rowOff>16412</xdr:rowOff>
    </xdr:from>
    <xdr:to>
      <xdr:col>2</xdr:col>
      <xdr:colOff>492761</xdr:colOff>
      <xdr:row>66</xdr:row>
      <xdr:rowOff>304800</xdr:rowOff>
    </xdr:to>
    <xdr:pic>
      <xdr:nvPicPr>
        <xdr:cNvPr id="112" name="Billede 111">
          <a:extLst>
            <a:ext uri="{FF2B5EF4-FFF2-40B4-BE49-F238E27FC236}">
              <a16:creationId xmlns:a16="http://schemas.microsoft.com/office/drawing/2014/main" id="{2AA9CAAA-CD80-4A05-8910-1BEA78BD6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033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65</xdr:row>
      <xdr:rowOff>42333</xdr:rowOff>
    </xdr:from>
    <xdr:to>
      <xdr:col>4</xdr:col>
      <xdr:colOff>1210900</xdr:colOff>
      <xdr:row>65</xdr:row>
      <xdr:rowOff>284936</xdr:rowOff>
    </xdr:to>
    <xdr:pic>
      <xdr:nvPicPr>
        <xdr:cNvPr id="113" name="Billede 112">
          <a:extLst>
            <a:ext uri="{FF2B5EF4-FFF2-40B4-BE49-F238E27FC236}">
              <a16:creationId xmlns:a16="http://schemas.microsoft.com/office/drawing/2014/main" id="{14FEC687-90DB-404A-B914-97EBBBA6C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197273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66</xdr:row>
      <xdr:rowOff>42333</xdr:rowOff>
    </xdr:from>
    <xdr:to>
      <xdr:col>4</xdr:col>
      <xdr:colOff>1210900</xdr:colOff>
      <xdr:row>66</xdr:row>
      <xdr:rowOff>284936</xdr:rowOff>
    </xdr:to>
    <xdr:pic>
      <xdr:nvPicPr>
        <xdr:cNvPr id="114" name="Billede 113">
          <a:extLst>
            <a:ext uri="{FF2B5EF4-FFF2-40B4-BE49-F238E27FC236}">
              <a16:creationId xmlns:a16="http://schemas.microsoft.com/office/drawing/2014/main" id="{809A5441-A42C-45B9-8215-DB57A6E7F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00448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67</xdr:row>
      <xdr:rowOff>16412</xdr:rowOff>
    </xdr:from>
    <xdr:to>
      <xdr:col>2</xdr:col>
      <xdr:colOff>492761</xdr:colOff>
      <xdr:row>67</xdr:row>
      <xdr:rowOff>304800</xdr:rowOff>
    </xdr:to>
    <xdr:pic>
      <xdr:nvPicPr>
        <xdr:cNvPr id="115" name="Billede 114">
          <a:extLst>
            <a:ext uri="{FF2B5EF4-FFF2-40B4-BE49-F238E27FC236}">
              <a16:creationId xmlns:a16="http://schemas.microsoft.com/office/drawing/2014/main" id="{9AE5E8A8-B16B-4986-8FDE-9083CFF6B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033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68</xdr:row>
      <xdr:rowOff>16412</xdr:rowOff>
    </xdr:from>
    <xdr:to>
      <xdr:col>2</xdr:col>
      <xdr:colOff>492761</xdr:colOff>
      <xdr:row>68</xdr:row>
      <xdr:rowOff>304800</xdr:rowOff>
    </xdr:to>
    <xdr:pic>
      <xdr:nvPicPr>
        <xdr:cNvPr id="116" name="Billede 115">
          <a:extLst>
            <a:ext uri="{FF2B5EF4-FFF2-40B4-BE49-F238E27FC236}">
              <a16:creationId xmlns:a16="http://schemas.microsoft.com/office/drawing/2014/main" id="{214A929B-4B60-4F08-8F7C-F5A26BB4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065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67</xdr:row>
      <xdr:rowOff>42333</xdr:rowOff>
    </xdr:from>
    <xdr:to>
      <xdr:col>4</xdr:col>
      <xdr:colOff>1210900</xdr:colOff>
      <xdr:row>67</xdr:row>
      <xdr:rowOff>284936</xdr:rowOff>
    </xdr:to>
    <xdr:pic>
      <xdr:nvPicPr>
        <xdr:cNvPr id="117" name="Billede 116">
          <a:extLst>
            <a:ext uri="{FF2B5EF4-FFF2-40B4-BE49-F238E27FC236}">
              <a16:creationId xmlns:a16="http://schemas.microsoft.com/office/drawing/2014/main" id="{B844E8C2-184B-40AF-9386-D3A073EB4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03623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68</xdr:row>
      <xdr:rowOff>42333</xdr:rowOff>
    </xdr:from>
    <xdr:to>
      <xdr:col>4</xdr:col>
      <xdr:colOff>1210900</xdr:colOff>
      <xdr:row>68</xdr:row>
      <xdr:rowOff>284936</xdr:rowOff>
    </xdr:to>
    <xdr:pic>
      <xdr:nvPicPr>
        <xdr:cNvPr id="118" name="Billede 117">
          <a:extLst>
            <a:ext uri="{FF2B5EF4-FFF2-40B4-BE49-F238E27FC236}">
              <a16:creationId xmlns:a16="http://schemas.microsoft.com/office/drawing/2014/main" id="{86E31182-637A-48EE-A2CD-299762360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06798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69</xdr:row>
      <xdr:rowOff>16412</xdr:rowOff>
    </xdr:from>
    <xdr:to>
      <xdr:col>2</xdr:col>
      <xdr:colOff>492761</xdr:colOff>
      <xdr:row>69</xdr:row>
      <xdr:rowOff>304800</xdr:rowOff>
    </xdr:to>
    <xdr:pic>
      <xdr:nvPicPr>
        <xdr:cNvPr id="119" name="Billede 118">
          <a:extLst>
            <a:ext uri="{FF2B5EF4-FFF2-40B4-BE49-F238E27FC236}">
              <a16:creationId xmlns:a16="http://schemas.microsoft.com/office/drawing/2014/main" id="{ADA1232A-6B51-4EC9-9C70-C00A103D3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128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69</xdr:row>
      <xdr:rowOff>42333</xdr:rowOff>
    </xdr:from>
    <xdr:to>
      <xdr:col>4</xdr:col>
      <xdr:colOff>1210900</xdr:colOff>
      <xdr:row>69</xdr:row>
      <xdr:rowOff>284936</xdr:rowOff>
    </xdr:to>
    <xdr:pic>
      <xdr:nvPicPr>
        <xdr:cNvPr id="120" name="Billede 119">
          <a:extLst>
            <a:ext uri="{FF2B5EF4-FFF2-40B4-BE49-F238E27FC236}">
              <a16:creationId xmlns:a16="http://schemas.microsoft.com/office/drawing/2014/main" id="{7ADA1D71-BE45-43E4-94A2-1AC4EF614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13148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70</xdr:row>
      <xdr:rowOff>16412</xdr:rowOff>
    </xdr:from>
    <xdr:to>
      <xdr:col>2</xdr:col>
      <xdr:colOff>492761</xdr:colOff>
      <xdr:row>70</xdr:row>
      <xdr:rowOff>304800</xdr:rowOff>
    </xdr:to>
    <xdr:pic>
      <xdr:nvPicPr>
        <xdr:cNvPr id="121" name="Billede 120">
          <a:extLst>
            <a:ext uri="{FF2B5EF4-FFF2-40B4-BE49-F238E27FC236}">
              <a16:creationId xmlns:a16="http://schemas.microsoft.com/office/drawing/2014/main" id="{63D72040-B53C-4839-B27F-3F8E4D5C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160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70</xdr:row>
      <xdr:rowOff>42333</xdr:rowOff>
    </xdr:from>
    <xdr:to>
      <xdr:col>4</xdr:col>
      <xdr:colOff>1210900</xdr:colOff>
      <xdr:row>70</xdr:row>
      <xdr:rowOff>284936</xdr:rowOff>
    </xdr:to>
    <xdr:pic>
      <xdr:nvPicPr>
        <xdr:cNvPr id="122" name="Billede 121">
          <a:extLst>
            <a:ext uri="{FF2B5EF4-FFF2-40B4-BE49-F238E27FC236}">
              <a16:creationId xmlns:a16="http://schemas.microsoft.com/office/drawing/2014/main" id="{19BE58EA-B8B9-4EDB-879E-9284C81D4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16323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71</xdr:row>
      <xdr:rowOff>16412</xdr:rowOff>
    </xdr:from>
    <xdr:to>
      <xdr:col>2</xdr:col>
      <xdr:colOff>492761</xdr:colOff>
      <xdr:row>71</xdr:row>
      <xdr:rowOff>304800</xdr:rowOff>
    </xdr:to>
    <xdr:pic>
      <xdr:nvPicPr>
        <xdr:cNvPr id="123" name="Billede 122">
          <a:extLst>
            <a:ext uri="{FF2B5EF4-FFF2-40B4-BE49-F238E27FC236}">
              <a16:creationId xmlns:a16="http://schemas.microsoft.com/office/drawing/2014/main" id="{ACD34004-6E0D-42D2-B97A-E91ABBEB2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192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71</xdr:row>
      <xdr:rowOff>42333</xdr:rowOff>
    </xdr:from>
    <xdr:to>
      <xdr:col>4</xdr:col>
      <xdr:colOff>1210900</xdr:colOff>
      <xdr:row>71</xdr:row>
      <xdr:rowOff>284936</xdr:rowOff>
    </xdr:to>
    <xdr:pic>
      <xdr:nvPicPr>
        <xdr:cNvPr id="124" name="Billede 123">
          <a:extLst>
            <a:ext uri="{FF2B5EF4-FFF2-40B4-BE49-F238E27FC236}">
              <a16:creationId xmlns:a16="http://schemas.microsoft.com/office/drawing/2014/main" id="{E27895D5-2386-4CD9-8831-1435A5054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19498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72</xdr:row>
      <xdr:rowOff>16412</xdr:rowOff>
    </xdr:from>
    <xdr:to>
      <xdr:col>2</xdr:col>
      <xdr:colOff>492761</xdr:colOff>
      <xdr:row>72</xdr:row>
      <xdr:rowOff>304800</xdr:rowOff>
    </xdr:to>
    <xdr:pic>
      <xdr:nvPicPr>
        <xdr:cNvPr id="125" name="Billede 124">
          <a:extLst>
            <a:ext uri="{FF2B5EF4-FFF2-40B4-BE49-F238E27FC236}">
              <a16:creationId xmlns:a16="http://schemas.microsoft.com/office/drawing/2014/main" id="{4D948C58-A4ED-41AA-8BFC-39F61C7C3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2241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72</xdr:row>
      <xdr:rowOff>42333</xdr:rowOff>
    </xdr:from>
    <xdr:to>
      <xdr:col>4</xdr:col>
      <xdr:colOff>1210900</xdr:colOff>
      <xdr:row>72</xdr:row>
      <xdr:rowOff>284936</xdr:rowOff>
    </xdr:to>
    <xdr:pic>
      <xdr:nvPicPr>
        <xdr:cNvPr id="126" name="Billede 125">
          <a:extLst>
            <a:ext uri="{FF2B5EF4-FFF2-40B4-BE49-F238E27FC236}">
              <a16:creationId xmlns:a16="http://schemas.microsoft.com/office/drawing/2014/main" id="{73DBC844-253C-44E6-B8F8-AE2834609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22673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73</xdr:row>
      <xdr:rowOff>16412</xdr:rowOff>
    </xdr:from>
    <xdr:to>
      <xdr:col>2</xdr:col>
      <xdr:colOff>492761</xdr:colOff>
      <xdr:row>73</xdr:row>
      <xdr:rowOff>304800</xdr:rowOff>
    </xdr:to>
    <xdr:pic>
      <xdr:nvPicPr>
        <xdr:cNvPr id="127" name="Billede 126">
          <a:extLst>
            <a:ext uri="{FF2B5EF4-FFF2-40B4-BE49-F238E27FC236}">
              <a16:creationId xmlns:a16="http://schemas.microsoft.com/office/drawing/2014/main" id="{2FC97872-A6B4-45C8-941E-DD0997B19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255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73</xdr:row>
      <xdr:rowOff>42333</xdr:rowOff>
    </xdr:from>
    <xdr:to>
      <xdr:col>4</xdr:col>
      <xdr:colOff>1210900</xdr:colOff>
      <xdr:row>73</xdr:row>
      <xdr:rowOff>284936</xdr:rowOff>
    </xdr:to>
    <xdr:pic>
      <xdr:nvPicPr>
        <xdr:cNvPr id="128" name="Billede 127">
          <a:extLst>
            <a:ext uri="{FF2B5EF4-FFF2-40B4-BE49-F238E27FC236}">
              <a16:creationId xmlns:a16="http://schemas.microsoft.com/office/drawing/2014/main" id="{FE4060B3-8FA0-4A47-B103-5BC138DDA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25848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74</xdr:row>
      <xdr:rowOff>16412</xdr:rowOff>
    </xdr:from>
    <xdr:to>
      <xdr:col>2</xdr:col>
      <xdr:colOff>492761</xdr:colOff>
      <xdr:row>74</xdr:row>
      <xdr:rowOff>304800</xdr:rowOff>
    </xdr:to>
    <xdr:pic>
      <xdr:nvPicPr>
        <xdr:cNvPr id="129" name="Billede 128">
          <a:extLst>
            <a:ext uri="{FF2B5EF4-FFF2-40B4-BE49-F238E27FC236}">
              <a16:creationId xmlns:a16="http://schemas.microsoft.com/office/drawing/2014/main" id="{72C76052-A9F2-4578-8917-B99477A47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287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74</xdr:row>
      <xdr:rowOff>42333</xdr:rowOff>
    </xdr:from>
    <xdr:to>
      <xdr:col>4</xdr:col>
      <xdr:colOff>1210900</xdr:colOff>
      <xdr:row>74</xdr:row>
      <xdr:rowOff>284936</xdr:rowOff>
    </xdr:to>
    <xdr:pic>
      <xdr:nvPicPr>
        <xdr:cNvPr id="130" name="Billede 129">
          <a:extLst>
            <a:ext uri="{FF2B5EF4-FFF2-40B4-BE49-F238E27FC236}">
              <a16:creationId xmlns:a16="http://schemas.microsoft.com/office/drawing/2014/main" id="{7F2116A0-4D56-437A-A80A-16BED3811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22902333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75</xdr:row>
      <xdr:rowOff>16412</xdr:rowOff>
    </xdr:from>
    <xdr:to>
      <xdr:col>2</xdr:col>
      <xdr:colOff>492761</xdr:colOff>
      <xdr:row>75</xdr:row>
      <xdr:rowOff>304800</xdr:rowOff>
    </xdr:to>
    <xdr:pic>
      <xdr:nvPicPr>
        <xdr:cNvPr id="131" name="Billede 130">
          <a:extLst>
            <a:ext uri="{FF2B5EF4-FFF2-40B4-BE49-F238E27FC236}">
              <a16:creationId xmlns:a16="http://schemas.microsoft.com/office/drawing/2014/main" id="{D67E57DE-EC00-4F49-BF29-D50410745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319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76</xdr:row>
      <xdr:rowOff>16412</xdr:rowOff>
    </xdr:from>
    <xdr:to>
      <xdr:col>2</xdr:col>
      <xdr:colOff>492761</xdr:colOff>
      <xdr:row>76</xdr:row>
      <xdr:rowOff>304800</xdr:rowOff>
    </xdr:to>
    <xdr:pic>
      <xdr:nvPicPr>
        <xdr:cNvPr id="132" name="Billede 131">
          <a:extLst>
            <a:ext uri="{FF2B5EF4-FFF2-40B4-BE49-F238E27FC236}">
              <a16:creationId xmlns:a16="http://schemas.microsoft.com/office/drawing/2014/main" id="{7EEF432F-BEE5-438A-90A5-F678C925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319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77</xdr:row>
      <xdr:rowOff>16412</xdr:rowOff>
    </xdr:from>
    <xdr:to>
      <xdr:col>2</xdr:col>
      <xdr:colOff>492761</xdr:colOff>
      <xdr:row>77</xdr:row>
      <xdr:rowOff>304800</xdr:rowOff>
    </xdr:to>
    <xdr:pic>
      <xdr:nvPicPr>
        <xdr:cNvPr id="133" name="Billede 132">
          <a:extLst>
            <a:ext uri="{FF2B5EF4-FFF2-40B4-BE49-F238E27FC236}">
              <a16:creationId xmlns:a16="http://schemas.microsoft.com/office/drawing/2014/main" id="{ECB47760-6BDA-4B28-8871-A6DAC9C3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319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78</xdr:row>
      <xdr:rowOff>16412</xdr:rowOff>
    </xdr:from>
    <xdr:to>
      <xdr:col>2</xdr:col>
      <xdr:colOff>492761</xdr:colOff>
      <xdr:row>78</xdr:row>
      <xdr:rowOff>304800</xdr:rowOff>
    </xdr:to>
    <xdr:pic>
      <xdr:nvPicPr>
        <xdr:cNvPr id="134" name="Billede 133">
          <a:extLst>
            <a:ext uri="{FF2B5EF4-FFF2-40B4-BE49-F238E27FC236}">
              <a16:creationId xmlns:a16="http://schemas.microsoft.com/office/drawing/2014/main" id="{096932CD-8BE7-4F7E-B5B8-8C31697CD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414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79</xdr:row>
      <xdr:rowOff>16412</xdr:rowOff>
    </xdr:from>
    <xdr:to>
      <xdr:col>2</xdr:col>
      <xdr:colOff>492761</xdr:colOff>
      <xdr:row>79</xdr:row>
      <xdr:rowOff>304800</xdr:rowOff>
    </xdr:to>
    <xdr:pic>
      <xdr:nvPicPr>
        <xdr:cNvPr id="135" name="Billede 134">
          <a:extLst>
            <a:ext uri="{FF2B5EF4-FFF2-40B4-BE49-F238E27FC236}">
              <a16:creationId xmlns:a16="http://schemas.microsoft.com/office/drawing/2014/main" id="{8044AE90-794C-49AD-9337-CF1D70FC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244639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52</xdr:row>
      <xdr:rowOff>16412</xdr:rowOff>
    </xdr:from>
    <xdr:to>
      <xdr:col>2</xdr:col>
      <xdr:colOff>492761</xdr:colOff>
      <xdr:row>52</xdr:row>
      <xdr:rowOff>304800</xdr:rowOff>
    </xdr:to>
    <xdr:pic>
      <xdr:nvPicPr>
        <xdr:cNvPr id="91" name="Billede 90">
          <a:extLst>
            <a:ext uri="{FF2B5EF4-FFF2-40B4-BE49-F238E27FC236}">
              <a16:creationId xmlns:a16="http://schemas.microsoft.com/office/drawing/2014/main" id="{79EF0523-DC81-418E-B1B9-97965CFD2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141" y="16208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42</xdr:row>
      <xdr:rowOff>42332</xdr:rowOff>
    </xdr:from>
    <xdr:to>
      <xdr:col>4</xdr:col>
      <xdr:colOff>1210900</xdr:colOff>
      <xdr:row>42</xdr:row>
      <xdr:rowOff>284935</xdr:rowOff>
    </xdr:to>
    <xdr:pic>
      <xdr:nvPicPr>
        <xdr:cNvPr id="136" name="Billede 135">
          <a:extLst>
            <a:ext uri="{FF2B5EF4-FFF2-40B4-BE49-F238E27FC236}">
              <a16:creationId xmlns:a16="http://schemas.microsoft.com/office/drawing/2014/main" id="{8209DE31-54F5-0EC0-9CC3-5044F5E28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7400" y="13377332"/>
          <a:ext cx="360000" cy="2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6</xdr:row>
      <xdr:rowOff>16412</xdr:rowOff>
    </xdr:from>
    <xdr:to>
      <xdr:col>2</xdr:col>
      <xdr:colOff>492761</xdr:colOff>
      <xdr:row>6</xdr:row>
      <xdr:rowOff>304800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1F3FC66C-510B-4683-85DF-0FBCDD5C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7</xdr:row>
      <xdr:rowOff>16412</xdr:rowOff>
    </xdr:from>
    <xdr:to>
      <xdr:col>2</xdr:col>
      <xdr:colOff>492761</xdr:colOff>
      <xdr:row>7</xdr:row>
      <xdr:rowOff>304800</xdr:rowOff>
    </xdr:to>
    <xdr:pic>
      <xdr:nvPicPr>
        <xdr:cNvPr id="50" name="Billede 49">
          <a:extLst>
            <a:ext uri="{FF2B5EF4-FFF2-40B4-BE49-F238E27FC236}">
              <a16:creationId xmlns:a16="http://schemas.microsoft.com/office/drawing/2014/main" id="{220CB9B6-A865-4AA0-AE33-525CDD9F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8</xdr:row>
      <xdr:rowOff>16412</xdr:rowOff>
    </xdr:from>
    <xdr:to>
      <xdr:col>2</xdr:col>
      <xdr:colOff>492761</xdr:colOff>
      <xdr:row>8</xdr:row>
      <xdr:rowOff>304800</xdr:rowOff>
    </xdr:to>
    <xdr:pic>
      <xdr:nvPicPr>
        <xdr:cNvPr id="137" name="Billede 136">
          <a:extLst>
            <a:ext uri="{FF2B5EF4-FFF2-40B4-BE49-F238E27FC236}">
              <a16:creationId xmlns:a16="http://schemas.microsoft.com/office/drawing/2014/main" id="{94B85EAE-5F7B-4348-8CD3-3324E4F6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9</xdr:row>
      <xdr:rowOff>16412</xdr:rowOff>
    </xdr:from>
    <xdr:to>
      <xdr:col>2</xdr:col>
      <xdr:colOff>492761</xdr:colOff>
      <xdr:row>9</xdr:row>
      <xdr:rowOff>304800</xdr:rowOff>
    </xdr:to>
    <xdr:pic>
      <xdr:nvPicPr>
        <xdr:cNvPr id="138" name="Billede 137">
          <a:extLst>
            <a:ext uri="{FF2B5EF4-FFF2-40B4-BE49-F238E27FC236}">
              <a16:creationId xmlns:a16="http://schemas.microsoft.com/office/drawing/2014/main" id="{77641F83-7DC4-4B80-987C-4A690F1CF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10</xdr:row>
      <xdr:rowOff>16412</xdr:rowOff>
    </xdr:from>
    <xdr:to>
      <xdr:col>2</xdr:col>
      <xdr:colOff>492761</xdr:colOff>
      <xdr:row>10</xdr:row>
      <xdr:rowOff>304800</xdr:rowOff>
    </xdr:to>
    <xdr:pic>
      <xdr:nvPicPr>
        <xdr:cNvPr id="139" name="Billede 138">
          <a:extLst>
            <a:ext uri="{FF2B5EF4-FFF2-40B4-BE49-F238E27FC236}">
              <a16:creationId xmlns:a16="http://schemas.microsoft.com/office/drawing/2014/main" id="{0200D305-9232-40FA-BDBB-C5D6385E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11</xdr:row>
      <xdr:rowOff>16412</xdr:rowOff>
    </xdr:from>
    <xdr:to>
      <xdr:col>2</xdr:col>
      <xdr:colOff>492761</xdr:colOff>
      <xdr:row>11</xdr:row>
      <xdr:rowOff>304800</xdr:rowOff>
    </xdr:to>
    <xdr:pic>
      <xdr:nvPicPr>
        <xdr:cNvPr id="140" name="Billede 139">
          <a:extLst>
            <a:ext uri="{FF2B5EF4-FFF2-40B4-BE49-F238E27FC236}">
              <a16:creationId xmlns:a16="http://schemas.microsoft.com/office/drawing/2014/main" id="{0EF3AE0E-8311-4EAF-8B9D-6408F03BF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12</xdr:row>
      <xdr:rowOff>16412</xdr:rowOff>
    </xdr:from>
    <xdr:to>
      <xdr:col>2</xdr:col>
      <xdr:colOff>492761</xdr:colOff>
      <xdr:row>12</xdr:row>
      <xdr:rowOff>304800</xdr:rowOff>
    </xdr:to>
    <xdr:pic>
      <xdr:nvPicPr>
        <xdr:cNvPr id="141" name="Billede 140">
          <a:extLst>
            <a:ext uri="{FF2B5EF4-FFF2-40B4-BE49-F238E27FC236}">
              <a16:creationId xmlns:a16="http://schemas.microsoft.com/office/drawing/2014/main" id="{38CFC8C1-069B-47EC-B1FB-0406F1CC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13</xdr:row>
      <xdr:rowOff>16412</xdr:rowOff>
    </xdr:from>
    <xdr:to>
      <xdr:col>2</xdr:col>
      <xdr:colOff>492761</xdr:colOff>
      <xdr:row>13</xdr:row>
      <xdr:rowOff>304800</xdr:rowOff>
    </xdr:to>
    <xdr:pic>
      <xdr:nvPicPr>
        <xdr:cNvPr id="142" name="Billede 141">
          <a:extLst>
            <a:ext uri="{FF2B5EF4-FFF2-40B4-BE49-F238E27FC236}">
              <a16:creationId xmlns:a16="http://schemas.microsoft.com/office/drawing/2014/main" id="{EA7F962E-B68A-42B8-95CB-5BDFD800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14</xdr:row>
      <xdr:rowOff>16412</xdr:rowOff>
    </xdr:from>
    <xdr:to>
      <xdr:col>2</xdr:col>
      <xdr:colOff>492761</xdr:colOff>
      <xdr:row>14</xdr:row>
      <xdr:rowOff>304800</xdr:rowOff>
    </xdr:to>
    <xdr:pic>
      <xdr:nvPicPr>
        <xdr:cNvPr id="143" name="Billede 142">
          <a:extLst>
            <a:ext uri="{FF2B5EF4-FFF2-40B4-BE49-F238E27FC236}">
              <a16:creationId xmlns:a16="http://schemas.microsoft.com/office/drawing/2014/main" id="{91A06792-6478-4B2B-9486-353A68FF1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15</xdr:row>
      <xdr:rowOff>16412</xdr:rowOff>
    </xdr:from>
    <xdr:to>
      <xdr:col>2</xdr:col>
      <xdr:colOff>492761</xdr:colOff>
      <xdr:row>15</xdr:row>
      <xdr:rowOff>304800</xdr:rowOff>
    </xdr:to>
    <xdr:pic>
      <xdr:nvPicPr>
        <xdr:cNvPr id="144" name="Billede 143">
          <a:extLst>
            <a:ext uri="{FF2B5EF4-FFF2-40B4-BE49-F238E27FC236}">
              <a16:creationId xmlns:a16="http://schemas.microsoft.com/office/drawing/2014/main" id="{C3E44AFC-5B24-46A7-82E4-F08ACD82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16</xdr:row>
      <xdr:rowOff>16412</xdr:rowOff>
    </xdr:from>
    <xdr:to>
      <xdr:col>2</xdr:col>
      <xdr:colOff>492761</xdr:colOff>
      <xdr:row>16</xdr:row>
      <xdr:rowOff>304800</xdr:rowOff>
    </xdr:to>
    <xdr:pic>
      <xdr:nvPicPr>
        <xdr:cNvPr id="145" name="Billede 144">
          <a:extLst>
            <a:ext uri="{FF2B5EF4-FFF2-40B4-BE49-F238E27FC236}">
              <a16:creationId xmlns:a16="http://schemas.microsoft.com/office/drawing/2014/main" id="{50DAFB76-E048-4AB3-A9BE-39C93B0A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17</xdr:row>
      <xdr:rowOff>16412</xdr:rowOff>
    </xdr:from>
    <xdr:to>
      <xdr:col>2</xdr:col>
      <xdr:colOff>492761</xdr:colOff>
      <xdr:row>17</xdr:row>
      <xdr:rowOff>304800</xdr:rowOff>
    </xdr:to>
    <xdr:pic>
      <xdr:nvPicPr>
        <xdr:cNvPr id="146" name="Billede 145">
          <a:extLst>
            <a:ext uri="{FF2B5EF4-FFF2-40B4-BE49-F238E27FC236}">
              <a16:creationId xmlns:a16="http://schemas.microsoft.com/office/drawing/2014/main" id="{115C16A9-75C2-4374-8C66-B246FB7E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18</xdr:row>
      <xdr:rowOff>16412</xdr:rowOff>
    </xdr:from>
    <xdr:to>
      <xdr:col>2</xdr:col>
      <xdr:colOff>492761</xdr:colOff>
      <xdr:row>18</xdr:row>
      <xdr:rowOff>304800</xdr:rowOff>
    </xdr:to>
    <xdr:pic>
      <xdr:nvPicPr>
        <xdr:cNvPr id="147" name="Billede 146">
          <a:extLst>
            <a:ext uri="{FF2B5EF4-FFF2-40B4-BE49-F238E27FC236}">
              <a16:creationId xmlns:a16="http://schemas.microsoft.com/office/drawing/2014/main" id="{6C43D44A-E5B6-46A6-B2A9-E438E53F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2</xdr:col>
      <xdr:colOff>180341</xdr:colOff>
      <xdr:row>19</xdr:row>
      <xdr:rowOff>16412</xdr:rowOff>
    </xdr:from>
    <xdr:to>
      <xdr:col>2</xdr:col>
      <xdr:colOff>492761</xdr:colOff>
      <xdr:row>19</xdr:row>
      <xdr:rowOff>304800</xdr:rowOff>
    </xdr:to>
    <xdr:pic>
      <xdr:nvPicPr>
        <xdr:cNvPr id="148" name="Billede 147">
          <a:extLst>
            <a:ext uri="{FF2B5EF4-FFF2-40B4-BE49-F238E27FC236}">
              <a16:creationId xmlns:a16="http://schemas.microsoft.com/office/drawing/2014/main" id="{B3296859-6A8F-4ADE-872A-7DC07696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3441" y="12864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48</xdr:row>
      <xdr:rowOff>50800</xdr:rowOff>
    </xdr:from>
    <xdr:to>
      <xdr:col>4</xdr:col>
      <xdr:colOff>1210900</xdr:colOff>
      <xdr:row>48</xdr:row>
      <xdr:rowOff>288736</xdr:rowOff>
    </xdr:to>
    <xdr:pic>
      <xdr:nvPicPr>
        <xdr:cNvPr id="149" name="Billede 148">
          <a:extLst>
            <a:ext uri="{FF2B5EF4-FFF2-40B4-BE49-F238E27FC236}">
              <a16:creationId xmlns:a16="http://schemas.microsoft.com/office/drawing/2014/main" id="{EE73EFC5-7862-FE3F-C6DD-9AA14B1E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14973300"/>
          <a:ext cx="360000" cy="23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46</xdr:row>
      <xdr:rowOff>38100</xdr:rowOff>
    </xdr:from>
    <xdr:to>
      <xdr:col>4</xdr:col>
      <xdr:colOff>1210900</xdr:colOff>
      <xdr:row>46</xdr:row>
      <xdr:rowOff>276036</xdr:rowOff>
    </xdr:to>
    <xdr:pic>
      <xdr:nvPicPr>
        <xdr:cNvPr id="150" name="Billede 149">
          <a:extLst>
            <a:ext uri="{FF2B5EF4-FFF2-40B4-BE49-F238E27FC236}">
              <a16:creationId xmlns:a16="http://schemas.microsoft.com/office/drawing/2014/main" id="{23F3AA41-22C2-E93D-8E5A-CABACE72A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14325600"/>
          <a:ext cx="360000" cy="23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47</xdr:row>
      <xdr:rowOff>50800</xdr:rowOff>
    </xdr:from>
    <xdr:to>
      <xdr:col>4</xdr:col>
      <xdr:colOff>1210900</xdr:colOff>
      <xdr:row>47</xdr:row>
      <xdr:rowOff>288736</xdr:rowOff>
    </xdr:to>
    <xdr:pic>
      <xdr:nvPicPr>
        <xdr:cNvPr id="151" name="Billede 150">
          <a:extLst>
            <a:ext uri="{FF2B5EF4-FFF2-40B4-BE49-F238E27FC236}">
              <a16:creationId xmlns:a16="http://schemas.microsoft.com/office/drawing/2014/main" id="{80A0BF2E-FF31-A316-9439-A7BB3C156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14655800"/>
          <a:ext cx="360000" cy="23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180341</xdr:colOff>
      <xdr:row>80</xdr:row>
      <xdr:rowOff>16412</xdr:rowOff>
    </xdr:from>
    <xdr:to>
      <xdr:col>2</xdr:col>
      <xdr:colOff>492761</xdr:colOff>
      <xdr:row>80</xdr:row>
      <xdr:rowOff>304800</xdr:rowOff>
    </xdr:to>
    <xdr:pic>
      <xdr:nvPicPr>
        <xdr:cNvPr id="152" name="Billede 151">
          <a:extLst>
            <a:ext uri="{FF2B5EF4-FFF2-40B4-BE49-F238E27FC236}">
              <a16:creationId xmlns:a16="http://schemas.microsoft.com/office/drawing/2014/main" id="{F91CAADA-AB5B-4496-BB30-E45BAB6A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1441" y="1603912"/>
          <a:ext cx="312420" cy="288388"/>
        </a:xfrm>
        <a:prstGeom prst="rect">
          <a:avLst/>
        </a:prstGeom>
      </xdr:spPr>
    </xdr:pic>
    <xdr:clientData/>
  </xdr:twoCellAnchor>
  <xdr:twoCellAnchor>
    <xdr:from>
      <xdr:col>4</xdr:col>
      <xdr:colOff>850900</xdr:colOff>
      <xdr:row>80</xdr:row>
      <xdr:rowOff>50800</xdr:rowOff>
    </xdr:from>
    <xdr:to>
      <xdr:col>4</xdr:col>
      <xdr:colOff>1210900</xdr:colOff>
      <xdr:row>80</xdr:row>
      <xdr:rowOff>277245</xdr:rowOff>
    </xdr:to>
    <xdr:pic>
      <xdr:nvPicPr>
        <xdr:cNvPr id="153" name="Billede 152">
          <a:extLst>
            <a:ext uri="{FF2B5EF4-FFF2-40B4-BE49-F238E27FC236}">
              <a16:creationId xmlns:a16="http://schemas.microsoft.com/office/drawing/2014/main" id="{F1D9AEF8-69BD-45E8-9D98-D51377EC6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75"/>
        <a:stretch/>
      </xdr:blipFill>
      <xdr:spPr bwMode="auto">
        <a:xfrm>
          <a:off x="6245860" y="6482080"/>
          <a:ext cx="360000" cy="2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850900</xdr:colOff>
      <xdr:row>54</xdr:row>
      <xdr:rowOff>50800</xdr:rowOff>
    </xdr:from>
    <xdr:to>
      <xdr:col>4</xdr:col>
      <xdr:colOff>1210900</xdr:colOff>
      <xdr:row>54</xdr:row>
      <xdr:rowOff>270237</xdr:rowOff>
    </xdr:to>
    <xdr:pic>
      <xdr:nvPicPr>
        <xdr:cNvPr id="154" name="Billede 153">
          <a:extLst>
            <a:ext uri="{FF2B5EF4-FFF2-40B4-BE49-F238E27FC236}">
              <a16:creationId xmlns:a16="http://schemas.microsoft.com/office/drawing/2014/main" id="{D563B020-0C2D-42DA-BDF4-3A10BB404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16878300"/>
          <a:ext cx="360000" cy="21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Brugerdefineret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3E7665"/>
      </a:hlink>
      <a:folHlink>
        <a:srgbClr val="3E766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ockwool.com/dk/om-os/baeredygtighed/ansvarlig-produktion/" TargetMode="External"/><Relationship Id="rId299" Type="http://schemas.openxmlformats.org/officeDocument/2006/relationships/hyperlink" Target="https://woodfiber.dk/?gclid=CjwKCAjw-rOaBhA9EiwAUkLV4lLowj4a_-ms7uSrVgCalOoHakd70O6mPNT5cY8cNUedy9eRzXKGvBoCcQMQAvD_BwE" TargetMode="External"/><Relationship Id="rId21" Type="http://schemas.openxmlformats.org/officeDocument/2006/relationships/hyperlink" Target="http://www.vestaeco.com/Downloads,5.html" TargetMode="External"/><Relationship Id="rId63" Type="http://schemas.openxmlformats.org/officeDocument/2006/relationships/hyperlink" Target="https://www.steico.com/fileadmin/user_upload/importer/downloads/umwelt-produktdeklaration_epd/STEICO_EPD_flex_F_en.pdf" TargetMode="External"/><Relationship Id="rId159" Type="http://schemas.openxmlformats.org/officeDocument/2006/relationships/hyperlink" Target="https://www.rockwool.com/dk/produkter-og-konstruktioner/produktoversigt/udvendig-tagisolering/tf-skotrendekile/" TargetMode="External"/><Relationship Id="rId324" Type="http://schemas.openxmlformats.org/officeDocument/2006/relationships/hyperlink" Target="https://www.knaufinsulation.dk/produkter/supafil-frame" TargetMode="External"/><Relationship Id="rId366" Type="http://schemas.openxmlformats.org/officeDocument/2006/relationships/hyperlink" Target="https://tigerfiberhemp.com/" TargetMode="External"/><Relationship Id="rId170" Type="http://schemas.openxmlformats.org/officeDocument/2006/relationships/hyperlink" Target="https://www.epd-norge.no/getfile.php/1312739-1583496199/EPDer/Byggevarer/Isolasjon/NEPD-2080-940_Insulsafe%281%29.pdf" TargetMode="External"/><Relationship Id="rId226" Type="http://schemas.openxmlformats.org/officeDocument/2006/relationships/hyperlink" Target="https://www.saint-gobain.dk/produkt/isover-facadekoncept-lamel-39" TargetMode="External"/><Relationship Id="rId433" Type="http://schemas.openxmlformats.org/officeDocument/2006/relationships/hyperlink" Target="https://www.nordtex.it/wp-content/uploads/2022/02/cert_GLAPOR-certificazione-EPD-GLP-20170195-CBA1-EN-1.pdf" TargetMode="External"/><Relationship Id="rId268" Type="http://schemas.openxmlformats.org/officeDocument/2006/relationships/hyperlink" Target="https://byggeladen.dk/upload_dir/shop/hunton/Isolet-datablad-10-kg.pdf" TargetMode="External"/><Relationship Id="rId32" Type="http://schemas.openxmlformats.org/officeDocument/2006/relationships/hyperlink" Target="https://www.rockwool.com/dk/om-os/baeredygtighed/ansvarlig-produktion/" TargetMode="External"/><Relationship Id="rId74" Type="http://schemas.openxmlformats.org/officeDocument/2006/relationships/hyperlink" Target="https://p-cdn.rockwool.com/siteassets/o2-rockwool/dokumentation-og-certifikater/dokumentation/epd-miljodeklaration/nepd-3412-2025-EN-rockwool-redair-batts.pdf?f=20220325101906" TargetMode="External"/><Relationship Id="rId128" Type="http://schemas.openxmlformats.org/officeDocument/2006/relationships/hyperlink" Target="https://www.epddanmark.dk/media/gfmhgq2i/md-22017-en-appendix-a1.pdf" TargetMode="External"/><Relationship Id="rId335" Type="http://schemas.openxmlformats.org/officeDocument/2006/relationships/hyperlink" Target="https://www.steico.com/en/products/insulation/ventilated-facade-insulation-systems/closed-facade-mass-timber-wall/steicotherm-dry" TargetMode="External"/><Relationship Id="rId377" Type="http://schemas.openxmlformats.org/officeDocument/2006/relationships/hyperlink" Target="https://www.rockwool.com/dk/produkter-og-konstruktioner/produktoversigt/bygningsisolering/murbatts-34/" TargetMode="External"/><Relationship Id="rId5" Type="http://schemas.openxmlformats.org/officeDocument/2006/relationships/hyperlink" Target="https://hunton.dk/wp-content/uploads/sites/15/2021/12/nepd-nativo-trefiberisolasjon-innblast.pdf" TargetMode="External"/><Relationship Id="rId181" Type="http://schemas.openxmlformats.org/officeDocument/2006/relationships/hyperlink" Target="https://www.epd-norge.no/getfile.php/1315835-1604417684/EPDer/Byggevarer/Isolasjon/NEPD-2500-1246_ISOVER-ROBUST-Takboard---ISOVER-Fasadboard-33.pdf" TargetMode="External"/><Relationship Id="rId237" Type="http://schemas.openxmlformats.org/officeDocument/2006/relationships/hyperlink" Target="https://www.sundolitt.com/globalassets/inriver/resources/miljovaredeklaration-eps-0223.pdf" TargetMode="External"/><Relationship Id="rId402" Type="http://schemas.openxmlformats.org/officeDocument/2006/relationships/hyperlink" Target="https://ibu-epd.com/en/published-epds/" TargetMode="External"/><Relationship Id="rId279" Type="http://schemas.openxmlformats.org/officeDocument/2006/relationships/hyperlink" Target="https://6579fb99-c1c8-49d0-a76a-b46c2bfa3a7b.filesusr.com/ugd/390f48_d1b2014dd4a044cab8af24f3ff623af3.pdf" TargetMode="External"/><Relationship Id="rId43" Type="http://schemas.openxmlformats.org/officeDocument/2006/relationships/hyperlink" Target="https://www.epd-norge.no/getfile.php/1316686-1609756548/EPDer/Byggevarer/Isolasjon/NEPD-2604-1326_ISOVER-Murfilt---37.pdf" TargetMode="External"/><Relationship Id="rId139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290" Type="http://schemas.openxmlformats.org/officeDocument/2006/relationships/hyperlink" Target="http://www.vestaeco.com/Downloads,5.html" TargetMode="External"/><Relationship Id="rId304" Type="http://schemas.openxmlformats.org/officeDocument/2006/relationships/hyperlink" Target="https://www.bauder.co.uk/getmedia/27768ae1-31bb-43bc-9c18-b97a511bdeb6/Environmental-Product-Declaration-FOAMGLAS-EPD-PCE-20200300-IBB1-EN.pdf" TargetMode="External"/><Relationship Id="rId346" Type="http://schemas.openxmlformats.org/officeDocument/2006/relationships/hyperlink" Target="https://da.cellglas.com/produkter/glapor/glaporblock/" TargetMode="External"/><Relationship Id="rId388" Type="http://schemas.openxmlformats.org/officeDocument/2006/relationships/hyperlink" Target="https://www.knaufinsulation.dk/remote_product/4441" TargetMode="External"/><Relationship Id="rId85" Type="http://schemas.openxmlformats.org/officeDocument/2006/relationships/hyperlink" Target="https://www.epd-norge.no/getfile.php/1320470-1631445642/EPDer/Byggevarer/Isolasjon/NEPD-3078-1741_RE-80---EPS-Insulation-boards-from-recycled-expanded-polystyrene%281%29.pdf" TargetMode="External"/><Relationship Id="rId150" Type="http://schemas.openxmlformats.org/officeDocument/2006/relationships/hyperlink" Target="https://www.rockwool.com/dk/produkter-og-konstruktioner/produktoversigt/udvendig-tagisolering/stalunderlag-energy/" TargetMode="External"/><Relationship Id="rId192" Type="http://schemas.openxmlformats.org/officeDocument/2006/relationships/hyperlink" Target="https://www.saint-gobain.dk/produkt/isover-trinlydsplade" TargetMode="External"/><Relationship Id="rId206" Type="http://schemas.openxmlformats.org/officeDocument/2006/relationships/hyperlink" Target="https://www.epd-norge.no/getfile.php/1316728-1609758181/EPDer/Byggevarer/Isolasjon/NEPD-2611-1324_ISOVER-Formstykker---34.pdf" TargetMode="External"/><Relationship Id="rId413" Type="http://schemas.openxmlformats.org/officeDocument/2006/relationships/hyperlink" Target="https://ibu-epd.com/en/published-epds/" TargetMode="External"/><Relationship Id="rId248" Type="http://schemas.openxmlformats.org/officeDocument/2006/relationships/hyperlink" Target="https://www.hempitecture.com/products" TargetMode="External"/><Relationship Id="rId12" Type="http://schemas.openxmlformats.org/officeDocument/2006/relationships/hyperlink" Target="https://www.hempitecture.com/about-1" TargetMode="External"/><Relationship Id="rId108" Type="http://schemas.openxmlformats.org/officeDocument/2006/relationships/hyperlink" Target="https://www.rockwool.com/dk/downloads-og-tools/dokumentation-certifikater/epd/?selectedCat=dokumentation*epd%20milj%C3%B8deklaration" TargetMode="External"/><Relationship Id="rId315" Type="http://schemas.openxmlformats.org/officeDocument/2006/relationships/hyperlink" Target="https://www.rockwool.com/dk/produkter-og-konstruktioner/produktoversigt/bygningsisolering/murbatts-37/" TargetMode="External"/><Relationship Id="rId357" Type="http://schemas.openxmlformats.org/officeDocument/2006/relationships/hyperlink" Target="https://www.simonfjord.dk/trfiberisolering/homatherm-trfibermtter" TargetMode="External"/><Relationship Id="rId54" Type="http://schemas.openxmlformats.org/officeDocument/2006/relationships/hyperlink" Target="https://pim.knaufinsulation.com/files/download/s-p-01758_epd_blowing_wool_insulation_0.032_-_0.033_wmk__281_29.pdf" TargetMode="External"/><Relationship Id="rId96" Type="http://schemas.openxmlformats.org/officeDocument/2006/relationships/hyperlink" Target="https://ecococon.eu/assets/downloads/epd_ecococon_2022.pdf" TargetMode="External"/><Relationship Id="rId161" Type="http://schemas.openxmlformats.org/officeDocument/2006/relationships/hyperlink" Target="https://www.rockwool.com/dk/produkter-og-konstruktioner/produktoversigt/udvendig-tagisolering/toprock-terrace-system/" TargetMode="External"/><Relationship Id="rId217" Type="http://schemas.openxmlformats.org/officeDocument/2006/relationships/hyperlink" Target="https://www.saint-gobain.dk/produkt/isover-duo?gclid=CjwKCAjwrpOiBhBVEiwA_473dBuXwflOXzEhgZiSAWRauPpzpsdSUq935bKJQ_kmZFJNuyBwjh6rBhoCoHgQAvD_BwE" TargetMode="External"/><Relationship Id="rId399" Type="http://schemas.openxmlformats.org/officeDocument/2006/relationships/hyperlink" Target="https://ibu-epd.com/en/published-epds/" TargetMode="External"/><Relationship Id="rId259" Type="http://schemas.openxmlformats.org/officeDocument/2006/relationships/hyperlink" Target="https://web.steico.com/fileadmin/steico/content/pdf/Marketing/Danish/Produkte/STEICOzell_dk_i.pdf" TargetMode="External"/><Relationship Id="rId424" Type="http://schemas.openxmlformats.org/officeDocument/2006/relationships/hyperlink" Target="https://www.steico.com/de/produkte/daemmung/boden/waerme-und-trittschalldaemmung/steicobase" TargetMode="External"/><Relationship Id="rId23" Type="http://schemas.openxmlformats.org/officeDocument/2006/relationships/hyperlink" Target="https://nviro.dk/wp-content/uploads/2022/04/EPD-ISOCELL-ECIA.pdf" TargetMode="External"/><Relationship Id="rId119" Type="http://schemas.openxmlformats.org/officeDocument/2006/relationships/hyperlink" Target="https://www.rockwool.com/dk/om-os/baeredygtighed/ansvarlig-produktion/" TargetMode="External"/><Relationship Id="rId270" Type="http://schemas.openxmlformats.org/officeDocument/2006/relationships/hyperlink" Target="https://woodfibre.dk/download/download-materiale/" TargetMode="External"/><Relationship Id="rId326" Type="http://schemas.openxmlformats.org/officeDocument/2006/relationships/hyperlink" Target="https://www.knaufinsulation.dk/produkter/supafil-frame" TargetMode="External"/><Relationship Id="rId65" Type="http://schemas.openxmlformats.org/officeDocument/2006/relationships/hyperlink" Target="https://www.steico.com/fileadmin/user_upload/importer/downloads/umwelt-produktdeklaration_epd/STEICO_EPD_flex_F_en.pdf" TargetMode="External"/><Relationship Id="rId130" Type="http://schemas.openxmlformats.org/officeDocument/2006/relationships/hyperlink" Target="https://www.glapor.de/en/unternehmen/das-unternehmen-glapor/" TargetMode="External"/><Relationship Id="rId368" Type="http://schemas.openxmlformats.org/officeDocument/2006/relationships/hyperlink" Target="https://www.rockwool.com/dk/produkter-og-konstruktioner/produktoversigt/bygningsisolering/flexibatts-34/" TargetMode="External"/><Relationship Id="rId172" Type="http://schemas.openxmlformats.org/officeDocument/2006/relationships/hyperlink" Target="https://www.epd-norge.no/getfile.php/1312419-1581595530/EPDer/Byggevarer/Isolasjon/NEPD-2018-891_ISOVER-Robust-TP-over-90-mm.pdf" TargetMode="External"/><Relationship Id="rId228" Type="http://schemas.openxmlformats.org/officeDocument/2006/relationships/hyperlink" Target="https://www.epd-norge.no/getfile.php/1319598-1627893998/EPDer/Byggevarer/Isolasjon/NEPD-2966-1656_ISOVER-Facadekoncept-Lamel--Online---.pdf" TargetMode="External"/><Relationship Id="rId435" Type="http://schemas.openxmlformats.org/officeDocument/2006/relationships/printerSettings" Target="../printerSettings/printerSettings2.bin"/><Relationship Id="rId281" Type="http://schemas.openxmlformats.org/officeDocument/2006/relationships/hyperlink" Target="http://www.vestaeco.com/Downloads,5.html" TargetMode="External"/><Relationship Id="rId337" Type="http://schemas.openxmlformats.org/officeDocument/2006/relationships/hyperlink" Target="https://www.rockwool.com/dk/produkter-og-konstruktioner/systemer/rockzero/" TargetMode="External"/><Relationship Id="rId34" Type="http://schemas.openxmlformats.org/officeDocument/2006/relationships/hyperlink" Target="https://www.rockwool.com/dk/om-os/baeredygtighed/ansvarlig-produktion/" TargetMode="External"/><Relationship Id="rId76" Type="http://schemas.openxmlformats.org/officeDocument/2006/relationships/hyperlink" Target="https://www.rockwool.com/dk/raadgivning-og-inspiration/baeredygtigt-byggeri/epd/?gclid=Cj0KCQiA0oagBhDHARIsAI-BbgdkYVTSafK8xR-Zxto-YDPlqBXpP5CgzmEbg4MhZpk-niEordudAF4aAj3oEALw_wcB" TargetMode="External"/><Relationship Id="rId141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379" Type="http://schemas.openxmlformats.org/officeDocument/2006/relationships/hyperlink" Target="https://www.saint-gobain.dk/produkt/isover-duo?gclid=CjwKCAjwl6OiBhA2EiwAuUwWZRa1okLboAOGVH2G7foNnct2tCAAm2mwOs98pfQN1yKZvHjkhVflnxoC1xEQAvD_BwE" TargetMode="External"/><Relationship Id="rId7" Type="http://schemas.openxmlformats.org/officeDocument/2006/relationships/hyperlink" Target="https://www.epddanmark.dk/media/2q4hx5my/md-22019-en.pdf" TargetMode="External"/><Relationship Id="rId183" Type="http://schemas.openxmlformats.org/officeDocument/2006/relationships/hyperlink" Target="https://www.isover.se/produkter/isover-robust-takboard" TargetMode="External"/><Relationship Id="rId239" Type="http://schemas.openxmlformats.org/officeDocument/2006/relationships/hyperlink" Target="https://www.sundolitt.com/da/soeg/?keyword=eps+climate" TargetMode="External"/><Relationship Id="rId390" Type="http://schemas.openxmlformats.org/officeDocument/2006/relationships/hyperlink" Target="https://ibu-epd.com/en/published-epds/" TargetMode="External"/><Relationship Id="rId404" Type="http://schemas.openxmlformats.org/officeDocument/2006/relationships/hyperlink" Target="https://ibu-epd.com/en/published-epds/" TargetMode="External"/><Relationship Id="rId250" Type="http://schemas.openxmlformats.org/officeDocument/2006/relationships/hyperlink" Target="https://www.hempitecture.com/products" TargetMode="External"/><Relationship Id="rId292" Type="http://schemas.openxmlformats.org/officeDocument/2006/relationships/hyperlink" Target="http://www.vestaeco.com/Downloads,5.html" TargetMode="External"/><Relationship Id="rId306" Type="http://schemas.openxmlformats.org/officeDocument/2006/relationships/hyperlink" Target="https://havelockwool.com/" TargetMode="External"/><Relationship Id="rId45" Type="http://schemas.openxmlformats.org/officeDocument/2006/relationships/hyperlink" Target="https://www.epd-norge.no/getfile.php/1312401-1581594215/EPDer/Byggevarer/Isolasjon/NEPD-2015-891_-ISOVER-Facadekoncept-Plade-37--.pdf" TargetMode="External"/><Relationship Id="rId87" Type="http://schemas.openxmlformats.org/officeDocument/2006/relationships/hyperlink" Target="https://www.epd-norge.no/getfile.php/1321426-1636134064/EPDer/Byggevarer/Isolasjon/1848_P80-EPD-Insulation-boards_dk.pdf" TargetMode="External"/><Relationship Id="rId110" Type="http://schemas.openxmlformats.org/officeDocument/2006/relationships/hyperlink" Target="https://www.rockwool.com/dk/downloads-og-tools/dokumentation-certifikater/epd/?selectedCat=dokumentation*epd%20milj%C3%B8deklaration" TargetMode="External"/><Relationship Id="rId348" Type="http://schemas.openxmlformats.org/officeDocument/2006/relationships/hyperlink" Target="https://da.cellglas.com/produkter/glapor/glaporblock/" TargetMode="External"/><Relationship Id="rId152" Type="http://schemas.openxmlformats.org/officeDocument/2006/relationships/hyperlink" Target="https://www.rockwool.com/dk/produkter-og-konstruktioner/produktoversigt/udvendig-tagisolering/underlag-energy/" TargetMode="External"/><Relationship Id="rId194" Type="http://schemas.openxmlformats.org/officeDocument/2006/relationships/hyperlink" Target="https://www.epd-norge.no/getfile.php/1312407-1581594934/EPDer/Byggevarer/Isolasjon/NEPD-2016-891_-ISOVER-Facadekoncept-Plade-38.pdf" TargetMode="External"/><Relationship Id="rId208" Type="http://schemas.openxmlformats.org/officeDocument/2006/relationships/hyperlink" Target="https://www.saint-gobain.dk/produkt/isover-murfilt-30" TargetMode="External"/><Relationship Id="rId415" Type="http://schemas.openxmlformats.org/officeDocument/2006/relationships/hyperlink" Target="https://www.steico.com/en/solutions/flooring-solutions/steicofloor-the-installation-system-for-solid-floorboards" TargetMode="External"/><Relationship Id="rId261" Type="http://schemas.openxmlformats.org/officeDocument/2006/relationships/hyperlink" Target="https://web.steico.com/fileadmin/steico/content/pdf/Marketing/Danish/Produkte/STEICOzell_dk_i.pdf" TargetMode="External"/><Relationship Id="rId14" Type="http://schemas.openxmlformats.org/officeDocument/2006/relationships/hyperlink" Target="https://hunton.dk/wp-content/uploads/sites/15/2021/12/nepd-nativo-trefiberisolasjon-plate.pdf" TargetMode="External"/><Relationship Id="rId56" Type="http://schemas.openxmlformats.org/officeDocument/2006/relationships/hyperlink" Target="https://pim.knaufinsulation.com/files/download/s-p-01757_epd_blowing_wool_insulation_0.034_-_0.036_wmk__282_29.pdf" TargetMode="External"/><Relationship Id="rId317" Type="http://schemas.openxmlformats.org/officeDocument/2006/relationships/hyperlink" Target="https://www.saint-gobain.dk/produkt/isover-formstykke-37" TargetMode="External"/><Relationship Id="rId359" Type="http://schemas.openxmlformats.org/officeDocument/2006/relationships/hyperlink" Target="https://www.simonfjord.dk/trfiberisolering/homatherm-trfibermtter" TargetMode="External"/><Relationship Id="rId98" Type="http://schemas.openxmlformats.org/officeDocument/2006/relationships/hyperlink" Target="https://tigerfiberhemp.com/" TargetMode="External"/><Relationship Id="rId121" Type="http://schemas.openxmlformats.org/officeDocument/2006/relationships/hyperlink" Target="https://app.2050-materials.com/product/results?search=steico" TargetMode="External"/><Relationship Id="rId163" Type="http://schemas.openxmlformats.org/officeDocument/2006/relationships/hyperlink" Target="https://www.rockwool.com/syssiteassets/o2-rockwool/dokumentation-og-certifikater/brochurer/produktkatalog/facadeisolering-produktkatalog-rockwool.pdf" TargetMode="External"/><Relationship Id="rId219" Type="http://schemas.openxmlformats.org/officeDocument/2006/relationships/hyperlink" Target="https://www.epd-norge.no/getfile.php/1316704-1609757126/EPDer/Byggevarer/Isolasjon/NEPD-2607-1326_ISOVER-Ruller---37.pdf" TargetMode="External"/><Relationship Id="rId370" Type="http://schemas.openxmlformats.org/officeDocument/2006/relationships/hyperlink" Target="https://www.rockwool.com/dk/produkter-og-konstruktioner/produktoversigt/bygningsisolering/flexibatts-32/" TargetMode="External"/><Relationship Id="rId426" Type="http://schemas.openxmlformats.org/officeDocument/2006/relationships/hyperlink" Target="https://www.steico.com/en/products/insulation/insulation-systems-for-roofs/sarking-and-sheathing-boards/steicoduo-dry" TargetMode="External"/><Relationship Id="rId230" Type="http://schemas.openxmlformats.org/officeDocument/2006/relationships/hyperlink" Target="https://www.epd-norge.no/getfile.php/1316692-1609756751/EPDer/Byggevarer/Isolasjon/NEPD-2605-1326_ISOVER-Robust-Lamel.pdf" TargetMode="External"/><Relationship Id="rId25" Type="http://schemas.openxmlformats.org/officeDocument/2006/relationships/hyperlink" Target="https://api.environdec.com/api/v1/EPDLibrary/Files/b1030640-bd7d-46f0-9bce-b4ce6335b672/Data" TargetMode="External"/><Relationship Id="rId67" Type="http://schemas.openxmlformats.org/officeDocument/2006/relationships/hyperlink" Target="https://web.steico.com/fileadmin/steico/content/pdf/Certificates_-_Documents/English__multiple_markets_/STEICO_Wood_fibre_insulation_boards_manufactured_in_a_dry_process.pdf" TargetMode="External"/><Relationship Id="rId272" Type="http://schemas.openxmlformats.org/officeDocument/2006/relationships/hyperlink" Target="https://woodfibre.dk/download/download-materiale/" TargetMode="External"/><Relationship Id="rId328" Type="http://schemas.openxmlformats.org/officeDocument/2006/relationships/hyperlink" Target="https://bewi.com/products/eps-isolering?lang=da" TargetMode="External"/><Relationship Id="rId132" Type="http://schemas.openxmlformats.org/officeDocument/2006/relationships/hyperlink" Target="https://vartdalplast.no/no/bygg/produkter/neopor" TargetMode="External"/><Relationship Id="rId174" Type="http://schemas.openxmlformats.org/officeDocument/2006/relationships/hyperlink" Target="https://www.saint-gobain.dk/produkt/isover-robust-tp" TargetMode="External"/><Relationship Id="rId381" Type="http://schemas.openxmlformats.org/officeDocument/2006/relationships/hyperlink" Target="https://www.rockwool.com/dk/produkter-og-konstruktioner/produktoversigt/udvendig-tagisolering/kondensplade/" TargetMode="External"/><Relationship Id="rId241" Type="http://schemas.openxmlformats.org/officeDocument/2006/relationships/hyperlink" Target="https://www.amorimcorkinsulation.com/en/products/" TargetMode="External"/><Relationship Id="rId437" Type="http://schemas.openxmlformats.org/officeDocument/2006/relationships/vmlDrawing" Target="../drawings/vmlDrawing1.vml"/><Relationship Id="rId36" Type="http://schemas.openxmlformats.org/officeDocument/2006/relationships/hyperlink" Target="https://www.rockwool.com/dk/downloads-og-tools/dokumentation-certifikater/epd/?selectedCat=dokumentation*epd%20milj%C3%B8deklaration" TargetMode="External"/><Relationship Id="rId283" Type="http://schemas.openxmlformats.org/officeDocument/2006/relationships/hyperlink" Target="http://www.vestaeco.com/Downloads,5.html" TargetMode="External"/><Relationship Id="rId339" Type="http://schemas.openxmlformats.org/officeDocument/2006/relationships/hyperlink" Target="https://www.paroc.dk/produkter/bygningsloesninger/universal-bygningsisolering/paroc-extra" TargetMode="External"/><Relationship Id="rId78" Type="http://schemas.openxmlformats.org/officeDocument/2006/relationships/hyperlink" Target="https://www.epd-norge.no/getfile.php/1316482-1607426296/EPDer/Byggevarer/Isolasjon/NEPD-2582-1308_PAROC-NATURA-Stone-Wool-Thermal-Insulation--Lana-.pdf" TargetMode="External"/><Relationship Id="rId101" Type="http://schemas.openxmlformats.org/officeDocument/2006/relationships/hyperlink" Target="https://www.rockwool.com/dk/om-os/baeredygtighed/ansvarlig-produktion/" TargetMode="External"/><Relationship Id="rId143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185" Type="http://schemas.openxmlformats.org/officeDocument/2006/relationships/hyperlink" Target="https://www.epd-norge.no/getfile.php/1321780-1639041833/EPDer/Byggevarer/Isolasjon/NEPD-3257-1898_ISOVER-Granulat.pdf" TargetMode="External"/><Relationship Id="rId350" Type="http://schemas.openxmlformats.org/officeDocument/2006/relationships/hyperlink" Target="https://da.cellglas.com/produkter/glapor/glaporblock/" TargetMode="External"/><Relationship Id="rId406" Type="http://schemas.openxmlformats.org/officeDocument/2006/relationships/hyperlink" Target="https://ibu-epd.com/en/published-epds/" TargetMode="External"/><Relationship Id="rId9" Type="http://schemas.openxmlformats.org/officeDocument/2006/relationships/hyperlink" Target="https://app.2050-materials.com/product/results?search=steico" TargetMode="External"/><Relationship Id="rId210" Type="http://schemas.openxmlformats.org/officeDocument/2006/relationships/hyperlink" Target="https://www.saint-gobain.dk/produkt/isover-murfilt-34" TargetMode="External"/><Relationship Id="rId392" Type="http://schemas.openxmlformats.org/officeDocument/2006/relationships/hyperlink" Target="https://ibu-epd.com/en/published-epds/" TargetMode="External"/><Relationship Id="rId252" Type="http://schemas.openxmlformats.org/officeDocument/2006/relationships/hyperlink" Target="https://hunton.dk/dokumentation/" TargetMode="External"/><Relationship Id="rId294" Type="http://schemas.openxmlformats.org/officeDocument/2006/relationships/hyperlink" Target="https://www.vonhanf.de/hanf-produkte/" TargetMode="External"/><Relationship Id="rId308" Type="http://schemas.openxmlformats.org/officeDocument/2006/relationships/hyperlink" Target="https://www.rockwool.com/dk/produkter-og-konstruktioner/produktoversigt/bygningsisolering/flexibatts-37/" TargetMode="External"/><Relationship Id="rId47" Type="http://schemas.openxmlformats.org/officeDocument/2006/relationships/hyperlink" Target="https://pim.knaufinsulation.com/files/download/s-p-01756_epd_blowing_wool_insulation_0.037_-_0.042_wmk_.pdf" TargetMode="External"/><Relationship Id="rId89" Type="http://schemas.openxmlformats.org/officeDocument/2006/relationships/hyperlink" Target="https://www.epd-norge.no/getfile.php/1318304-1619001736/EPDer/Byggevarer/Isolasjon/NEPD-2794-1494_Jackopor-80--EPS-Insulation-Boards%281%29.pdf" TargetMode="External"/><Relationship Id="rId112" Type="http://schemas.openxmlformats.org/officeDocument/2006/relationships/hyperlink" Target="https://www.rockwool.com/dk/downloads-og-tools/dokumentation-certifikater/epd/?selectedCat=dokumentation*epd%20milj%C3%B8deklaration" TargetMode="External"/><Relationship Id="rId154" Type="http://schemas.openxmlformats.org/officeDocument/2006/relationships/hyperlink" Target="https://www.rockwool.com/dk/produkter-og-konstruktioner/produktoversigt/udvendig-tagisolering/hardrock-energy/" TargetMode="External"/><Relationship Id="rId361" Type="http://schemas.openxmlformats.org/officeDocument/2006/relationships/hyperlink" Target="https://www.simonfjord.dk/trfiberisolering/homatherm-trfibermtter" TargetMode="External"/><Relationship Id="rId196" Type="http://schemas.openxmlformats.org/officeDocument/2006/relationships/hyperlink" Target="https://www.epd-norge.no/getfile.php/1316698-1609756935/EPDer/Byggevarer/Isolasjon/NEPD-2606-1326_ISOVER-Ruller---34.pdf" TargetMode="External"/><Relationship Id="rId417" Type="http://schemas.openxmlformats.org/officeDocument/2006/relationships/hyperlink" Target="https://www.steico.com/en/products/insulation/floor/thermal-and-impact-sound-insulation/steicotherm-sd" TargetMode="External"/><Relationship Id="rId16" Type="http://schemas.openxmlformats.org/officeDocument/2006/relationships/hyperlink" Target="https://www.epddanmark.dk/media/2q4hx5my/md-22019-en.pdf" TargetMode="External"/><Relationship Id="rId221" Type="http://schemas.openxmlformats.org/officeDocument/2006/relationships/hyperlink" Target="https://www.epd-norge.no/getfile.php/1319580-1627043952/EPDer/Byggevarer/Isolasjon/NEPD-2965-1656_ISOVER-Duo.pdf" TargetMode="External"/><Relationship Id="rId263" Type="http://schemas.openxmlformats.org/officeDocument/2006/relationships/hyperlink" Target="https://www.isohemp.com/en/technical-documentation" TargetMode="External"/><Relationship Id="rId319" Type="http://schemas.openxmlformats.org/officeDocument/2006/relationships/hyperlink" Target="https://www.saint-gobain.dk/produkt/isover-facadekoncept-plade-37" TargetMode="External"/><Relationship Id="rId58" Type="http://schemas.openxmlformats.org/officeDocument/2006/relationships/hyperlink" Target="https://pim.knaufinsulation.com/files/download/s-p-01751_epd_glass_mineral_wool_insulation_0.036___0.039_wmk_5e53ed08a0d4c.pdf" TargetMode="External"/><Relationship Id="rId123" Type="http://schemas.openxmlformats.org/officeDocument/2006/relationships/hyperlink" Target="https://web.steico.com/fileadmin/steico/content/pdf/Certificates_-_Documents/English__multiple_markets_/STEICOzell_wood_fibre_air-injected_insulation.pdf" TargetMode="External"/><Relationship Id="rId330" Type="http://schemas.openxmlformats.org/officeDocument/2006/relationships/hyperlink" Target="https://bewi.com/products/eps-isolering?lang=da" TargetMode="External"/><Relationship Id="rId165" Type="http://schemas.openxmlformats.org/officeDocument/2006/relationships/hyperlink" Target="https://www.epd-norge.no/getfile.php/1325118-1679403438/EPDer/Byggevarer/Isolasjon/NEPD-3654-2600_Norlite-Perlite--fire-proof-thermal-insulation.pdf" TargetMode="External"/><Relationship Id="rId372" Type="http://schemas.openxmlformats.org/officeDocument/2006/relationships/hyperlink" Target="https://www.rockwool.com/dk/produkter-og-konstruktioner/produktoversigt/bygningsisolering/murbatts-32/" TargetMode="External"/><Relationship Id="rId428" Type="http://schemas.openxmlformats.org/officeDocument/2006/relationships/hyperlink" Target="https://www.steico.com/fileadmin/user_upload/Dansk_Media/Products/Isolering_med_traefibre/STEICOuniversal_dk.pdf" TargetMode="External"/><Relationship Id="rId232" Type="http://schemas.openxmlformats.org/officeDocument/2006/relationships/hyperlink" Target="https://www.epd-norge.no/getfile.php/1326730-1667907945/EPDer/Byggevarer/Isolasjon/NEPD-3872-2822_SUNDOLITT---EPS-Climate.pdf" TargetMode="External"/><Relationship Id="rId274" Type="http://schemas.openxmlformats.org/officeDocument/2006/relationships/hyperlink" Target="https://www.dropbox.com/sh/5k5ggnlylv5wtrw/AAChybzEoF0NwpV0PcsgCeEza/English?dl=0&amp;subfolder_nav_tracking=1" TargetMode="External"/><Relationship Id="rId27" Type="http://schemas.openxmlformats.org/officeDocument/2006/relationships/hyperlink" Target="https://www.bauder.co.uk/getmedia/27768ae1-31bb-43bc-9c18-b97a511bdeb6/Environmental-Product-Declaration-FOAMGLAS-EPD-PCE-20200300-IBB1-EN.pdf" TargetMode="External"/><Relationship Id="rId69" Type="http://schemas.openxmlformats.org/officeDocument/2006/relationships/hyperlink" Target="https://hunton.dk/wp-content/uploads/sites/15/2021/07/EPD_Hunton-Silencio_v01-21_NO_SE_DK.pdf" TargetMode="External"/><Relationship Id="rId134" Type="http://schemas.openxmlformats.org/officeDocument/2006/relationships/hyperlink" Target="https://vartdalplast.no/Userfiles/Upload/images/Modules/Products/Attachments/59_NEPD-3208-1849_Neopor-N80-EPS-Insulation-Board-_1.pdf" TargetMode="External"/><Relationship Id="rId80" Type="http://schemas.openxmlformats.org/officeDocument/2006/relationships/hyperlink" Target="https://www.epd-norge.no/getfile.php/1317721-1615541937/EPDer/Byggevarer/Isolasjon/NEPD-2392-1128_PAROC-Stone-Wool-Thermal-Insulation--eXtra-_no.pdf" TargetMode="External"/><Relationship Id="rId176" Type="http://schemas.openxmlformats.org/officeDocument/2006/relationships/hyperlink" Target="https://www.epd-norge.no/getfile.php/1312727-1583493409/EPDer/Byggevarer/Isolasjon/NEPD-2017-891_ISOVER-Robust-TP-under-90m%281%29.pdf" TargetMode="External"/><Relationship Id="rId341" Type="http://schemas.openxmlformats.org/officeDocument/2006/relationships/hyperlink" Target="https://www.kingspan.com/dk/da/produkter/isoleringsplader/vaeg-isoleringsplader/kooltherm-k12/" TargetMode="External"/><Relationship Id="rId383" Type="http://schemas.openxmlformats.org/officeDocument/2006/relationships/hyperlink" Target="https://www.rockwool.com/dk/produkter-og-konstruktioner/produktoversigt/udvendig-tagisolering/lydunderlag/" TargetMode="External"/><Relationship Id="rId201" Type="http://schemas.openxmlformats.org/officeDocument/2006/relationships/hyperlink" Target="https://www.saint-gobain.dk/produkt/isover-formstykke-30" TargetMode="External"/><Relationship Id="rId243" Type="http://schemas.openxmlformats.org/officeDocument/2006/relationships/hyperlink" Target="https://www.amorimcorkinsulation.com/en/products/" TargetMode="External"/><Relationship Id="rId285" Type="http://schemas.openxmlformats.org/officeDocument/2006/relationships/hyperlink" Target="http://www.vestaeco.com/Downloads,5.html" TargetMode="External"/><Relationship Id="rId38" Type="http://schemas.openxmlformats.org/officeDocument/2006/relationships/hyperlink" Target="https://www.rockwool.com/syssiteassets/o2-rockwool/dokumentasjon-og-sertifikater/dokumentasjon/epd-miljodeklarasjon/epdnordicsgranulate-nordics_v3_21_03.pdf" TargetMode="External"/><Relationship Id="rId103" Type="http://schemas.openxmlformats.org/officeDocument/2006/relationships/hyperlink" Target="https://www.rockwool.com/dk/om-os/baeredygtighed/ansvarlig-produktion/" TargetMode="External"/><Relationship Id="rId310" Type="http://schemas.openxmlformats.org/officeDocument/2006/relationships/hyperlink" Target="https://www.rockwool.com/dk/produkter-og-konstruktioner/produktoversigt/udvendig-tagisolering/toprock-lamel/" TargetMode="External"/><Relationship Id="rId91" Type="http://schemas.openxmlformats.org/officeDocument/2006/relationships/hyperlink" Target="https://www.epd-norge.no/getfile.php/1318310-1661172945/EPDer/Byggevarer/Isolasjon/NEPD-2795-1495_Sundolitt-EPS-S80--EPS-insulation-board.pdf" TargetMode="External"/><Relationship Id="rId145" Type="http://schemas.openxmlformats.org/officeDocument/2006/relationships/hyperlink" Target="https://www.epd-norge.no/getfile.php/1328434-1672752900/EPDer/Byggevarer/Isolasjon/NEPD-4118-3335_ROCKWOOL--Facade-insulation-for-the-Nordic-market.pdf" TargetMode="External"/><Relationship Id="rId187" Type="http://schemas.openxmlformats.org/officeDocument/2006/relationships/hyperlink" Target="https://www.saint-gobain.dk/produkt/isover-granulat" TargetMode="External"/><Relationship Id="rId352" Type="http://schemas.openxmlformats.org/officeDocument/2006/relationships/hyperlink" Target="https://da.cellglas.com/produkter/glapor/glaporblock/" TargetMode="External"/><Relationship Id="rId394" Type="http://schemas.openxmlformats.org/officeDocument/2006/relationships/hyperlink" Target="https://ibu-epd.com/en/published-epds/" TargetMode="External"/><Relationship Id="rId408" Type="http://schemas.openxmlformats.org/officeDocument/2006/relationships/hyperlink" Target="https://ibu-epd.com/en/published-epds/" TargetMode="External"/><Relationship Id="rId212" Type="http://schemas.openxmlformats.org/officeDocument/2006/relationships/hyperlink" Target="https://www.epd-norge.no/getfile.php/1316743-1609758641/EPDer/Byggevarer/Isolasjon/NEPD-2613-1324_ISOVER-Murfilt---30.pdf" TargetMode="External"/><Relationship Id="rId254" Type="http://schemas.openxmlformats.org/officeDocument/2006/relationships/hyperlink" Target="https://hunton.dk/dokumentation/" TargetMode="External"/><Relationship Id="rId49" Type="http://schemas.openxmlformats.org/officeDocument/2006/relationships/hyperlink" Target="https://pim.knaufinsulation.com/files/download/s-p-01751_epd_glass_mineral_wool_insulation_0.036___0.039_wmk_5e53ed08a0d4c.pdf" TargetMode="External"/><Relationship Id="rId114" Type="http://schemas.openxmlformats.org/officeDocument/2006/relationships/hyperlink" Target="https://p-cdn.rockwool.com/siteassets/o2-rockwool/dokumentation-og-certifikater/dokumentation/epd-miljodeklaration/nepd-3381-2002-en-rockwool-let-bygningsisolering.pdf" TargetMode="External"/><Relationship Id="rId296" Type="http://schemas.openxmlformats.org/officeDocument/2006/relationships/hyperlink" Target="https://www.epddanmark.dk/media/qv3ety33/md-22017-en.pdf" TargetMode="External"/><Relationship Id="rId60" Type="http://schemas.openxmlformats.org/officeDocument/2006/relationships/hyperlink" Target="https://www.epd-norge.no/getfile.php/1314996-1600936118/EPDer/Byggevarer/Isolasjon/NEPD-2390-1113_Jackofoam-300-34mm.pdf" TargetMode="External"/><Relationship Id="rId81" Type="http://schemas.openxmlformats.org/officeDocument/2006/relationships/hyperlink" Target="https://www.google.com/search?q=kooltherm+k20+epd&amp;rlz=1C1GCEA_enDK962DK965&amp;sxsrf=AJOqlzWfCtTiSMSk29RkBmSvopBvby8OiQ%3A1678701293774&amp;ei=7fIOZN7aLs2Vxc8ProSh4As&amp;ved=0ahUKEwiehbLS0dj9AhXNSvEDHS5CCLwQ4dUDCA8&amp;uact=5&amp;oq=kooltherm+k20+epd&amp;gs_lcp=Cgxnd3Mtd2l6LXNlcnAQAzIECCMQJzoKCAAQRxDWBBCwAzoFCAAQogRKBAhBGABQkTtY5kRg0EdoA3AAeACAAWOIAacBkgEBMpgBAKABAcgBCMABAQ&amp;sclient=gws-wiz-serp" TargetMode="External"/><Relationship Id="rId135" Type="http://schemas.openxmlformats.org/officeDocument/2006/relationships/hyperlink" Target="https://www.rockwool.com/dk/downloads-og-tools/dokumentation-certifikater/epd/" TargetMode="External"/><Relationship Id="rId156" Type="http://schemas.openxmlformats.org/officeDocument/2006/relationships/hyperlink" Target="https://www.rockwool.com/dk/produkter-og-konstruktioner/produktoversigt/udvendig-tagisolering/hardkile/" TargetMode="External"/><Relationship Id="rId177" Type="http://schemas.openxmlformats.org/officeDocument/2006/relationships/hyperlink" Target="https://www.saint-gobain.dk/produkt/isover-robust-tp" TargetMode="External"/><Relationship Id="rId198" Type="http://schemas.openxmlformats.org/officeDocument/2006/relationships/hyperlink" Target="https://www.saint-gobain.dk/produkt/isover-rulle-34" TargetMode="External"/><Relationship Id="rId321" Type="http://schemas.openxmlformats.org/officeDocument/2006/relationships/hyperlink" Target="https://www.knaufinsulation.dk/produkter/ecobatt-formstykker-l37" TargetMode="External"/><Relationship Id="rId342" Type="http://schemas.openxmlformats.org/officeDocument/2006/relationships/hyperlink" Target="https://da.cellglas.com/produkter/glapor/glaporblock/" TargetMode="External"/><Relationship Id="rId363" Type="http://schemas.openxmlformats.org/officeDocument/2006/relationships/hyperlink" Target="https://www.simonfjord.dk/trfiberisolering/homatherm-trfibermtter" TargetMode="External"/><Relationship Id="rId384" Type="http://schemas.openxmlformats.org/officeDocument/2006/relationships/hyperlink" Target="https://www.rockwool.com/dk/produkter-og-konstruktioner/produktoversigt/udvendig-tagisolering/tf-plade/" TargetMode="External"/><Relationship Id="rId419" Type="http://schemas.openxmlformats.org/officeDocument/2006/relationships/hyperlink" Target="https://web.steico.com/fileadmin/steico/content/pdf/Marketing/Danish/Produkte/STEICOisorel_dk_i.pdf" TargetMode="External"/><Relationship Id="rId202" Type="http://schemas.openxmlformats.org/officeDocument/2006/relationships/hyperlink" Target="https://www.epd-norge.no/getfile.php/1316722-1609757664/EPDer/Byggevarer/Isolasjon/NEPD-2610-1324_ISOVER-Formstykker---32.pdf" TargetMode="External"/><Relationship Id="rId223" Type="http://schemas.openxmlformats.org/officeDocument/2006/relationships/hyperlink" Target="https://www.epd-norge.no/getfile.php/1319592-1627044335/EPDer/Byggevarer/Isolasjon/NEPD-2967-1656_ISOVER-Facadekoncept-Lamel--Offline-.pdf" TargetMode="External"/><Relationship Id="rId244" Type="http://schemas.openxmlformats.org/officeDocument/2006/relationships/hyperlink" Target="https://www.amorimcorkinsulation.com/en/products/" TargetMode="External"/><Relationship Id="rId430" Type="http://schemas.openxmlformats.org/officeDocument/2006/relationships/hyperlink" Target="https://da.cellglas.com/produkter/glapor/glaporblock/" TargetMode="External"/><Relationship Id="rId18" Type="http://schemas.openxmlformats.org/officeDocument/2006/relationships/hyperlink" Target="https://gramitherm.eu/wp-content/uploads/2021/09/FDES-GRAMITHERM%C2%AE-100-Revision-INIES-Pour-inscription-31.08.2021.pdf" TargetMode="External"/><Relationship Id="rId39" Type="http://schemas.openxmlformats.org/officeDocument/2006/relationships/hyperlink" Target="https://p-cdn.rockwool.com/siteassets/o2-rockwool/dokumentation-og-certifikater/dokumentation/epd-miljodeklaration/nepd-3381-2002-en-rockwool-let-bygningsisolering.pdf" TargetMode="External"/><Relationship Id="rId265" Type="http://schemas.openxmlformats.org/officeDocument/2006/relationships/hyperlink" Target="https://nviro.dk/produkter/isocell/" TargetMode="External"/><Relationship Id="rId286" Type="http://schemas.openxmlformats.org/officeDocument/2006/relationships/hyperlink" Target="http://www.vestaeco.com/Downloads,5.html" TargetMode="External"/><Relationship Id="rId50" Type="http://schemas.openxmlformats.org/officeDocument/2006/relationships/hyperlink" Target="https://pim.knaufinsulation.com/files/download/s-p-01751_epd_glass_mineral_wool_insulation_0.036___0.039_wmk_5e53ed08a0d4c.pdf" TargetMode="External"/><Relationship Id="rId104" Type="http://schemas.openxmlformats.org/officeDocument/2006/relationships/hyperlink" Target="https://www.rockwool.com/dk/downloads-og-tools/dokumentation-certifikater/epd/?selectedCat=dokumentation*epd%20milj%C3%B8deklaration" TargetMode="External"/><Relationship Id="rId125" Type="http://schemas.openxmlformats.org/officeDocument/2006/relationships/hyperlink" Target="https://epd-online.com/PublishedEpd/Detail/12879" TargetMode="External"/><Relationship Id="rId146" Type="http://schemas.openxmlformats.org/officeDocument/2006/relationships/hyperlink" Target="https://www.epd-norge.no/getfile.php/1328434-1672752900/EPDer/Byggevarer/Isolasjon/NEPD-4118-3335_ROCKWOOL--Facade-insulation-for-the-Nordic-market.pdf" TargetMode="External"/><Relationship Id="rId167" Type="http://schemas.openxmlformats.org/officeDocument/2006/relationships/hyperlink" Target="https://nordiskperlite.dk/" TargetMode="External"/><Relationship Id="rId188" Type="http://schemas.openxmlformats.org/officeDocument/2006/relationships/hyperlink" Target="https://www.saint-gobain.dk/produkt/isover-granulat" TargetMode="External"/><Relationship Id="rId311" Type="http://schemas.openxmlformats.org/officeDocument/2006/relationships/hyperlink" Target="https://www.rockwool.com/dk/produkter-og-konstruktioner/produktoversigt/bygningsisolering/a-batts/" TargetMode="External"/><Relationship Id="rId332" Type="http://schemas.openxmlformats.org/officeDocument/2006/relationships/hyperlink" Target="https://www.jackon.dk/assets/FileUploads/Ydeevnedeklaration-DoP-Jackofoam-300-DK-2022-03.pdf" TargetMode="External"/><Relationship Id="rId353" Type="http://schemas.openxmlformats.org/officeDocument/2006/relationships/hyperlink" Target="https://www.glapor.de/en/" TargetMode="External"/><Relationship Id="rId374" Type="http://schemas.openxmlformats.org/officeDocument/2006/relationships/hyperlink" Target="https://www.simonfjord.dk/trfiberisolering/homatherm-trfibermtter" TargetMode="External"/><Relationship Id="rId395" Type="http://schemas.openxmlformats.org/officeDocument/2006/relationships/hyperlink" Target="https://ibu-epd.com/en/published-epds/" TargetMode="External"/><Relationship Id="rId409" Type="http://schemas.openxmlformats.org/officeDocument/2006/relationships/hyperlink" Target="https://ibu-epd.com/en/published-epds/" TargetMode="External"/><Relationship Id="rId71" Type="http://schemas.openxmlformats.org/officeDocument/2006/relationships/hyperlink" Target="https://hunton.dk/wp-content/uploads/sites/15/2021/07/EPD_Hunton-Silencio_v01-21_NO_SE_DK.pdf" TargetMode="External"/><Relationship Id="rId92" Type="http://schemas.openxmlformats.org/officeDocument/2006/relationships/hyperlink" Target="https://www.epd-norge.no/getfile.php/1318310-1661172945/EPDer/Byggevarer/Isolasjon/NEPD-2795-1495_Sundolitt-EPS-S80--EPS-insulation-board.pdf" TargetMode="External"/><Relationship Id="rId213" Type="http://schemas.openxmlformats.org/officeDocument/2006/relationships/hyperlink" Target="https://www.epd-norge.no/getfile.php/1316674-1609756104/EPDer/Byggevarer/Isolasjon/NEPD-2602-1326_ISOVER-Murfilt---32%281%29.pdf" TargetMode="External"/><Relationship Id="rId234" Type="http://schemas.openxmlformats.org/officeDocument/2006/relationships/hyperlink" Target="https://www.sundolitt.com/da/soeg/?keyword=eps+climate" TargetMode="External"/><Relationship Id="rId420" Type="http://schemas.openxmlformats.org/officeDocument/2006/relationships/hyperlink" Target="https://www.steico.com/fileadmin/user_upload/importer/downloads/4028b6097384810e017496e8a94062e9/STEICOfloor_en_i.pdf" TargetMode="External"/><Relationship Id="rId2" Type="http://schemas.openxmlformats.org/officeDocument/2006/relationships/hyperlink" Target="http://www.vestaeco.com/Downloads,5.html" TargetMode="External"/><Relationship Id="rId29" Type="http://schemas.openxmlformats.org/officeDocument/2006/relationships/hyperlink" Target="https://hml-prod.imgix.net/Havelock_Wool__Batt_Loose_Fill_Insulation_EPD_JUN20.pdf" TargetMode="External"/><Relationship Id="rId255" Type="http://schemas.openxmlformats.org/officeDocument/2006/relationships/hyperlink" Target="https://www.bygmax.dk/amfile/file/download/file/20013/product/138569/" TargetMode="External"/><Relationship Id="rId276" Type="http://schemas.openxmlformats.org/officeDocument/2006/relationships/hyperlink" Target="https://www.dropbox.com/sh/5k5ggnlylv5wtrw/AAChybzEoF0NwpV0PcsgCeEza/English?dl=0&amp;subfolder_nav_tracking=1" TargetMode="External"/><Relationship Id="rId297" Type="http://schemas.openxmlformats.org/officeDocument/2006/relationships/hyperlink" Target="https://woodfiber.dk/?gclid=CjwKCAjw-rOaBhA9EiwAUkLV4lLowj4a_-ms7uSrVgCalOoHakd70O6mPNT5cY8cNUedy9eRzXKGvBoCcQMQAvD_BwE" TargetMode="External"/><Relationship Id="rId40" Type="http://schemas.openxmlformats.org/officeDocument/2006/relationships/hyperlink" Target="https://www.epd-norge.no/getfile.php/1316734-1609758373/EPDer/Byggevarer/Isolasjon/NEPD-2612-1324_ISOVER-Formstykker---37.pdf" TargetMode="External"/><Relationship Id="rId115" Type="http://schemas.openxmlformats.org/officeDocument/2006/relationships/hyperlink" Target="https://www.rockwool.com/dk/om-os/baeredygtighed/ansvarlig-produktion/" TargetMode="External"/><Relationship Id="rId136" Type="http://schemas.openxmlformats.org/officeDocument/2006/relationships/hyperlink" Target="https://www.rockwool.com/dk/produkter-og-konstruktioner/produktoversigt/udvendig-tagisolering/hardkile/" TargetMode="External"/><Relationship Id="rId157" Type="http://schemas.openxmlformats.org/officeDocument/2006/relationships/hyperlink" Target="https://www.rockwool.com/dk/produkter-og-konstruktioner/produktoversigt/udvendig-tagisolering/kasserendekile/" TargetMode="External"/><Relationship Id="rId178" Type="http://schemas.openxmlformats.org/officeDocument/2006/relationships/hyperlink" Target="https://www.epd-norge.no/getfile.php/1319586-1627893841/EPDer/Byggevarer/Isolasjon/NEPD-2968-1656_ISOVER-Robust-TFP.pdf" TargetMode="External"/><Relationship Id="rId301" Type="http://schemas.openxmlformats.org/officeDocument/2006/relationships/hyperlink" Target="https://ecococon.eu/dk/" TargetMode="External"/><Relationship Id="rId322" Type="http://schemas.openxmlformats.org/officeDocument/2006/relationships/hyperlink" Target="https://www.knaufinsulation.dk/produkter/ecobatt-mur-isolering-l37" TargetMode="External"/><Relationship Id="rId343" Type="http://schemas.openxmlformats.org/officeDocument/2006/relationships/hyperlink" Target="https://www.glapor.de/en/" TargetMode="External"/><Relationship Id="rId364" Type="http://schemas.openxmlformats.org/officeDocument/2006/relationships/hyperlink" Target="http://www.homatherm-danmark.dk/" TargetMode="External"/><Relationship Id="rId61" Type="http://schemas.openxmlformats.org/officeDocument/2006/relationships/hyperlink" Target="https://www.epd-norge.no/getfile.php/1314996-1600936118/EPDer/Byggevarer/Isolasjon/NEPD-2390-1113_Jackofoam-300-34mm.pdf" TargetMode="External"/><Relationship Id="rId82" Type="http://schemas.openxmlformats.org/officeDocument/2006/relationships/hyperlink" Target="https://www.google.com/search?q=kooltherm+k12+epd&amp;rlz=1C1GCEA_enDK962DK965&amp;sxsrf=AJOqlzWp9rtZUD74njN3CrYNtzFfdziqMA%3A1678701559183&amp;ei=9_MOZJLXCqqFxc8P5JuFgA4&amp;ved=0ahUKEwjSrvnQ0tj9AhWqQvEDHeRNAeAQ4dUDCA8&amp;uact=5&amp;oq=kooltherm+k12+epd&amp;gs_lcp=Cgxnd3Mtd2l6LXNlcnAQAzIECCMQJzIGCAAQBRAeOgoIABBHENYEELADOgUIABCiBDoGCAAQBxAeOggIABAIEAcQHjoICAAQBRAHEB5KBAhBGABQ8gVY2gxgoxFoAXABeACAAaQBiAHcApIBAzMuMZgBAKABAcgBCMABAQ&amp;sclient=gws-wiz-serp" TargetMode="External"/><Relationship Id="rId199" Type="http://schemas.openxmlformats.org/officeDocument/2006/relationships/hyperlink" Target="https://www.epd-norge.no/getfile.php/1316716-1609757478/EPDer/Byggevarer/Isolasjon/NEPD-2609-1324_ISOVER-Formstykker---30.pdf" TargetMode="External"/><Relationship Id="rId203" Type="http://schemas.openxmlformats.org/officeDocument/2006/relationships/hyperlink" Target="https://www.epd-norge.no/getfile.php/1316722-1609757664/EPDer/Byggevarer/Isolasjon/NEPD-2610-1324_ISOVER-Formstykker---32.pdf" TargetMode="External"/><Relationship Id="rId385" Type="http://schemas.openxmlformats.org/officeDocument/2006/relationships/hyperlink" Target="https://www.rockwool.com/dk/produkter-og-konstruktioner/produktoversigt/udvendig-tagisolering/tf-plade/" TargetMode="External"/><Relationship Id="rId19" Type="http://schemas.openxmlformats.org/officeDocument/2006/relationships/hyperlink" Target="https://havnens-h.dk/wp-content/uploads/2021/05/EPD-Korkisolering-expanded-insolation-cork-board.pdf" TargetMode="External"/><Relationship Id="rId224" Type="http://schemas.openxmlformats.org/officeDocument/2006/relationships/hyperlink" Target="https://www.epd-norge.no/getfile.php/1319592-1627044335/EPDer/Byggevarer/Isolasjon/NEPD-2967-1656_ISOVER-Facadekoncept-Lamel--Offline-.pdf" TargetMode="External"/><Relationship Id="rId245" Type="http://schemas.openxmlformats.org/officeDocument/2006/relationships/hyperlink" Target="https://havnens-h.dk/materialer/plantefiber/" TargetMode="External"/><Relationship Id="rId266" Type="http://schemas.openxmlformats.org/officeDocument/2006/relationships/hyperlink" Target="https://nviro.dk/wp-content/uploads/2021/11/Isocell-Datablad.pdf" TargetMode="External"/><Relationship Id="rId287" Type="http://schemas.openxmlformats.org/officeDocument/2006/relationships/hyperlink" Target="http://www.vestaeco.com/Downloads,5.html" TargetMode="External"/><Relationship Id="rId410" Type="http://schemas.openxmlformats.org/officeDocument/2006/relationships/hyperlink" Target="https://ibu-epd.com/en/published-epds/" TargetMode="External"/><Relationship Id="rId431" Type="http://schemas.openxmlformats.org/officeDocument/2006/relationships/hyperlink" Target="https://www.glapor.de/en/" TargetMode="External"/><Relationship Id="rId30" Type="http://schemas.openxmlformats.org/officeDocument/2006/relationships/hyperlink" Target="https://www.rockwool.com/dk/om-os/baeredygtighed/ansvarlig-produktion/" TargetMode="External"/><Relationship Id="rId105" Type="http://schemas.openxmlformats.org/officeDocument/2006/relationships/hyperlink" Target="https://www.rockwool.com/dk/om-os/baeredygtighed/ansvarlig-produktion/" TargetMode="External"/><Relationship Id="rId126" Type="http://schemas.openxmlformats.org/officeDocument/2006/relationships/hyperlink" Target="https://www.epddanmark.dk/media/2q4hx5my/md-22019-en.pdf" TargetMode="External"/><Relationship Id="rId147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168" Type="http://schemas.openxmlformats.org/officeDocument/2006/relationships/hyperlink" Target="https://www.saint-gobain.dk/produkt/isover-insulsafer" TargetMode="External"/><Relationship Id="rId312" Type="http://schemas.openxmlformats.org/officeDocument/2006/relationships/hyperlink" Target="https://www.rockwool.com/dk/produkter-og-konstruktioner/produktoversigt/bygningsisolering/a-batts/" TargetMode="External"/><Relationship Id="rId333" Type="http://schemas.openxmlformats.org/officeDocument/2006/relationships/hyperlink" Target="https://www.sundolitt.com/da/sundolitt/denmark/anlag-og-let-fyld/xps-isolering/" TargetMode="External"/><Relationship Id="rId354" Type="http://schemas.openxmlformats.org/officeDocument/2006/relationships/hyperlink" Target="https://da.cellglas.com/produkter/glapor/glaporblock/" TargetMode="External"/><Relationship Id="rId51" Type="http://schemas.openxmlformats.org/officeDocument/2006/relationships/hyperlink" Target="https://www.epd-norge.no/getfile.php/1316710-1609757326/EPDer/Byggevarer/Isolasjon/NEPD-2608-1324_ISOVER-Flex.pdf" TargetMode="External"/><Relationship Id="rId72" Type="http://schemas.openxmlformats.org/officeDocument/2006/relationships/hyperlink" Target="https://hunton.dk/wp-content/uploads/sites/15/2021/07/EPD_Hunton-Silencio_v01-21_NO_SE_DK.pdf" TargetMode="External"/><Relationship Id="rId93" Type="http://schemas.openxmlformats.org/officeDocument/2006/relationships/hyperlink" Target="https://cellglas.com/wp-content/uploads/GLAPOR-cellular-glass-EPD.pdf" TargetMode="External"/><Relationship Id="rId189" Type="http://schemas.openxmlformats.org/officeDocument/2006/relationships/hyperlink" Target="https://www.saint-gobain.dk/produkt/isover-insulsafer" TargetMode="External"/><Relationship Id="rId375" Type="http://schemas.openxmlformats.org/officeDocument/2006/relationships/hyperlink" Target="http://www.homatherm-danmark.dk/" TargetMode="External"/><Relationship Id="rId396" Type="http://schemas.openxmlformats.org/officeDocument/2006/relationships/hyperlink" Target="https://ibu-epd.com/en/published-epds/" TargetMode="External"/><Relationship Id="rId3" Type="http://schemas.openxmlformats.org/officeDocument/2006/relationships/hyperlink" Target="http://www.vestaeco.com/Downloads,5.html" TargetMode="External"/><Relationship Id="rId214" Type="http://schemas.openxmlformats.org/officeDocument/2006/relationships/hyperlink" Target="https://www.epd-norge.no/getfile.php/1316674-1609756104/EPDer/Byggevarer/Isolasjon/NEPD-2602-1326_ISOVER-Murfilt---32%281%29.pdf" TargetMode="External"/><Relationship Id="rId235" Type="http://schemas.openxmlformats.org/officeDocument/2006/relationships/hyperlink" Target="https://www.sundolitt.com/globalassets/inriver/resources/miljovaredeklaration-eps-0223.pdf" TargetMode="External"/><Relationship Id="rId256" Type="http://schemas.openxmlformats.org/officeDocument/2006/relationships/hyperlink" Target="https://web.steico.com/dk/" TargetMode="External"/><Relationship Id="rId277" Type="http://schemas.openxmlformats.org/officeDocument/2006/relationships/hyperlink" Target="https://www.thermofloc.com/en/cellulose-based-insulation/blow-in-insulation" TargetMode="External"/><Relationship Id="rId298" Type="http://schemas.openxmlformats.org/officeDocument/2006/relationships/hyperlink" Target="https://www.epddanmark.dk/media/qv3ety33/md-22017-en.pdf" TargetMode="External"/><Relationship Id="rId400" Type="http://schemas.openxmlformats.org/officeDocument/2006/relationships/hyperlink" Target="https://ibu-epd.com/en/published-epds/" TargetMode="External"/><Relationship Id="rId421" Type="http://schemas.openxmlformats.org/officeDocument/2006/relationships/hyperlink" Target="https://www.steico.com/en/products/etics/steico-etics-timber/steicoprotect" TargetMode="External"/><Relationship Id="rId116" Type="http://schemas.openxmlformats.org/officeDocument/2006/relationships/hyperlink" Target="https://p-cdn.rockwool.com/siteassets/o2-rockwool/dokumentation-og-certifikater/dokumentation/epd-miljodeklaration/nepd-3381-2002-en-rockwool-let-bygningsisolering.pdf" TargetMode="External"/><Relationship Id="rId137" Type="http://schemas.openxmlformats.org/officeDocument/2006/relationships/hyperlink" Target="https://www.rockwool.com/dk/downloads-og-tools/dokumentation-certifikater/epd/" TargetMode="External"/><Relationship Id="rId158" Type="http://schemas.openxmlformats.org/officeDocument/2006/relationships/hyperlink" Target="https://www.rockwool.com/dk/produkter-og-konstruktioner/produktoversigt/udvendig-tagisolering/toprock-lamel/" TargetMode="External"/><Relationship Id="rId302" Type="http://schemas.openxmlformats.org/officeDocument/2006/relationships/hyperlink" Target="https://hemboo.dk/" TargetMode="External"/><Relationship Id="rId323" Type="http://schemas.openxmlformats.org/officeDocument/2006/relationships/hyperlink" Target="https://www.knaufinsulation.dk/produkter/ecoblanket-ruller-l37" TargetMode="External"/><Relationship Id="rId344" Type="http://schemas.openxmlformats.org/officeDocument/2006/relationships/hyperlink" Target="https://da.cellglas.com/produkter/glapor/glaporblock/" TargetMode="External"/><Relationship Id="rId20" Type="http://schemas.openxmlformats.org/officeDocument/2006/relationships/hyperlink" Target="http://www.vestaeco.com/Downloads,5.html" TargetMode="External"/><Relationship Id="rId41" Type="http://schemas.openxmlformats.org/officeDocument/2006/relationships/hyperlink" Target="https://www.epd-norge.no/getfile.php/1316734-1609758373/EPDer/Byggevarer/Isolasjon/NEPD-2612-1324_ISOVER-Formstykker---37.pdf" TargetMode="External"/><Relationship Id="rId62" Type="http://schemas.openxmlformats.org/officeDocument/2006/relationships/hyperlink" Target="https://www.sundolitt.com/globalassets/inriver/resources/epd-xps-english-0822.pdf" TargetMode="External"/><Relationship Id="rId83" Type="http://schemas.openxmlformats.org/officeDocument/2006/relationships/hyperlink" Target="https://www.epd-norge.no/getfile.php/1321420-1636133764/EPDer/Byggevarer/Isolasjon/1848_G80-EPS-Insulation-boards_dk_1.pdf" TargetMode="External"/><Relationship Id="rId179" Type="http://schemas.openxmlformats.org/officeDocument/2006/relationships/hyperlink" Target="https://www.epd-norge.no/getfile.php/1319586-1627893841/EPDer/Byggevarer/Isolasjon/NEPD-2968-1656_ISOVER-Robust-TFP.pdf" TargetMode="External"/><Relationship Id="rId365" Type="http://schemas.openxmlformats.org/officeDocument/2006/relationships/hyperlink" Target="https://www.simonfjord.dk/trfiberisolering/homatherm-trfibermtter" TargetMode="External"/><Relationship Id="rId386" Type="http://schemas.openxmlformats.org/officeDocument/2006/relationships/hyperlink" Target="https://www.rockwool.com/dk/produkter-og-konstruktioner/tagisolering/fladt-tag/toprock-ctf-tag-med-fald/" TargetMode="External"/><Relationship Id="rId190" Type="http://schemas.openxmlformats.org/officeDocument/2006/relationships/hyperlink" Target="https://www.epd-norge.no/getfile.php/1312425-1581595787/EPDer/Byggevarer/Isolasjon/NEPD-2019-892_ISOVER-Trinlydsplade-25-mm--.pdf" TargetMode="External"/><Relationship Id="rId204" Type="http://schemas.openxmlformats.org/officeDocument/2006/relationships/hyperlink" Target="https://www.saint-gobain.dk/produkt/isover-formstykke-32" TargetMode="External"/><Relationship Id="rId225" Type="http://schemas.openxmlformats.org/officeDocument/2006/relationships/hyperlink" Target="https://www.saint-gobain.dk/produkt/isover-facadekoncept-lamel-39" TargetMode="External"/><Relationship Id="rId246" Type="http://schemas.openxmlformats.org/officeDocument/2006/relationships/hyperlink" Target="https://gramitherm.eu/products/?lang=en" TargetMode="External"/><Relationship Id="rId267" Type="http://schemas.openxmlformats.org/officeDocument/2006/relationships/hyperlink" Target="https://nviro.dk/produkter/isocell/" TargetMode="External"/><Relationship Id="rId288" Type="http://schemas.openxmlformats.org/officeDocument/2006/relationships/hyperlink" Target="http://www.vestaeco.com/Downloads,5.html" TargetMode="External"/><Relationship Id="rId411" Type="http://schemas.openxmlformats.org/officeDocument/2006/relationships/hyperlink" Target="https://ibu-epd.com/en/published-epds/" TargetMode="External"/><Relationship Id="rId432" Type="http://schemas.openxmlformats.org/officeDocument/2006/relationships/hyperlink" Target="https://www.nordtex.it/wp-content/uploads/2022/02/cert_GLAPOR-certificazione-EPD-GLP-20170195-CBA1-EN-1.pdf" TargetMode="External"/><Relationship Id="rId106" Type="http://schemas.openxmlformats.org/officeDocument/2006/relationships/hyperlink" Target="https://p-cdn.rockwool.com/siteassets/o2-rockwool/dokumentation-og-certifikater/dokumentation/epd-miljodeklaration/nepd-3381-2002-en-rockwool-let-bygningsisolering.pdf" TargetMode="External"/><Relationship Id="rId127" Type="http://schemas.openxmlformats.org/officeDocument/2006/relationships/hyperlink" Target="https://www.epddanmark.dk/media/2q4hx5my/md-22019-en.pdf" TargetMode="External"/><Relationship Id="rId313" Type="http://schemas.openxmlformats.org/officeDocument/2006/relationships/hyperlink" Target="https://www.rockwool.com/no/produkter-og-konstruksjoner/produkter/byggisolasjon/granulat-pro-1/" TargetMode="External"/><Relationship Id="rId10" Type="http://schemas.openxmlformats.org/officeDocument/2006/relationships/hyperlink" Target="https://app.2050-materials.com/product/results?search=steico" TargetMode="External"/><Relationship Id="rId31" Type="http://schemas.openxmlformats.org/officeDocument/2006/relationships/hyperlink" Target="https://www.rockwool.com/dk/om-os/baeredygtighed/ansvarlig-produktion/" TargetMode="External"/><Relationship Id="rId52" Type="http://schemas.openxmlformats.org/officeDocument/2006/relationships/hyperlink" Target="https://pim.knaufinsulation.com/files/download/s-p-01751_epd_glass_mineral_wool_insulation_0.036___0.039_wmk_5e53ed08a0d4c.pdf" TargetMode="External"/><Relationship Id="rId73" Type="http://schemas.openxmlformats.org/officeDocument/2006/relationships/hyperlink" Target="https://p-cdn.rockwool.com/siteassets/o2-rockwool/dokumentation-og-certifikater/dokumentation/epd-miljodeklaration/nepd-3412-2025-EN-rockwool-redair-batts.pdf?f=20220325101906" TargetMode="External"/><Relationship Id="rId94" Type="http://schemas.openxmlformats.org/officeDocument/2006/relationships/hyperlink" Target="https://www.glapor.de/en/unternehmen/das-unternehmen-glapor/" TargetMode="External"/><Relationship Id="rId148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169" Type="http://schemas.openxmlformats.org/officeDocument/2006/relationships/hyperlink" Target="https://www.epd-norge.no/getfile.php/1312739-1583496199/EPDer/Byggevarer/Isolasjon/NEPD-2080-940_Insulsafe%281%29.pdf" TargetMode="External"/><Relationship Id="rId334" Type="http://schemas.openxmlformats.org/officeDocument/2006/relationships/hyperlink" Target="http://steico.dk/" TargetMode="External"/><Relationship Id="rId355" Type="http://schemas.openxmlformats.org/officeDocument/2006/relationships/hyperlink" Target="https://www.glapor.de/en/" TargetMode="External"/><Relationship Id="rId376" Type="http://schemas.openxmlformats.org/officeDocument/2006/relationships/hyperlink" Target="https://www.simonfjord.dk/trfiberisolering/homatherm-trfibermtter" TargetMode="External"/><Relationship Id="rId397" Type="http://schemas.openxmlformats.org/officeDocument/2006/relationships/hyperlink" Target="https://ibu-epd.com/en/published-epds/" TargetMode="External"/><Relationship Id="rId4" Type="http://schemas.openxmlformats.org/officeDocument/2006/relationships/hyperlink" Target="https://www.isohemp.com/sites/default/files/fichiers/b-epd_21-0078-001-00-00-fr_isohemp_pal36_signed.pdf" TargetMode="External"/><Relationship Id="rId180" Type="http://schemas.openxmlformats.org/officeDocument/2006/relationships/hyperlink" Target="https://www.saint-gobain.dk/produkt/isover-robust-tfp" TargetMode="External"/><Relationship Id="rId215" Type="http://schemas.openxmlformats.org/officeDocument/2006/relationships/hyperlink" Target="https://www.epd-norge.no/getfile.php/1316680-1609756361/EPDer/Byggevarer/Isolasjon/NEPD-2603-1326_ISOVER-Murfilt---34.pdf" TargetMode="External"/><Relationship Id="rId236" Type="http://schemas.openxmlformats.org/officeDocument/2006/relationships/hyperlink" Target="https://www.sundolitt.com/globalassets/inriver/resources/miljovaredeklaration-eps-0223.pdf" TargetMode="External"/><Relationship Id="rId257" Type="http://schemas.openxmlformats.org/officeDocument/2006/relationships/hyperlink" Target="https://www.bygmax.dk/amfile/file/download/file/20013/product/138569/" TargetMode="External"/><Relationship Id="rId278" Type="http://schemas.openxmlformats.org/officeDocument/2006/relationships/hyperlink" Target="https://6579fb99-c1c8-49d0-a76a-b46c2bfa3a7b.filesusr.com/ugd/390f48_d1b2014dd4a044cab8af24f3ff623af3.pdf" TargetMode="External"/><Relationship Id="rId401" Type="http://schemas.openxmlformats.org/officeDocument/2006/relationships/hyperlink" Target="https://ibu-epd.com/en/published-epds/" TargetMode="External"/><Relationship Id="rId422" Type="http://schemas.openxmlformats.org/officeDocument/2006/relationships/hyperlink" Target="vhttps://www.steico.com/en/solutions/new-construction/roof-construction" TargetMode="External"/><Relationship Id="rId303" Type="http://schemas.openxmlformats.org/officeDocument/2006/relationships/hyperlink" Target="https://www.google.com/search?gs_ssp=eJzj4tFP1zcsNE3Ky6ioTDJgtFI1qDAxM0kysTBOTDFLMjcyM06yMqhISjUzN0szMzZONkyzsDQ29-LPTszJSVVIgpCV6QDLHhSt&amp;q=kalle+balle+byg&amp;rlz=1C1GCEA_enDK962DK965&amp;oq=kalle&amp;aqs=chrome.1.69i57j46i175i199i512l2j0i10i433i512j0i10i131i433i512j46i512l2j0i512j46i175i199i512.4488j0j1&amp;sourceid=chrome&amp;ie=UTF-8" TargetMode="External"/><Relationship Id="rId42" Type="http://schemas.openxmlformats.org/officeDocument/2006/relationships/hyperlink" Target="https://www.epd-norge.no/getfile.php/1316686-1609756548/EPDer/Byggevarer/Isolasjon/NEPD-2604-1326_ISOVER-Murfilt---37.pdf" TargetMode="External"/><Relationship Id="rId84" Type="http://schemas.openxmlformats.org/officeDocument/2006/relationships/hyperlink" Target="https://www.epd-norge.no/getfile.php/1321420-1636133764/EPDer/Byggevarer/Isolasjon/1848_G80-EPS-Insulation-boards_dk_1.pdf" TargetMode="External"/><Relationship Id="rId138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345" Type="http://schemas.openxmlformats.org/officeDocument/2006/relationships/hyperlink" Target="https://www.glapor.de/en/" TargetMode="External"/><Relationship Id="rId387" Type="http://schemas.openxmlformats.org/officeDocument/2006/relationships/hyperlink" Target="https://www.rockwool.com/dk/produkter-og-konstruktioner/produktoversigt/udvendig-tagisolering/toprock-lamel/" TargetMode="External"/><Relationship Id="rId191" Type="http://schemas.openxmlformats.org/officeDocument/2006/relationships/hyperlink" Target="https://www.epd-norge.no/getfile.php/1312425-1581595787/EPDer/Byggevarer/Isolasjon/NEPD-2019-892_ISOVER-Trinlydsplade-25-mm--.pdf" TargetMode="External"/><Relationship Id="rId205" Type="http://schemas.openxmlformats.org/officeDocument/2006/relationships/hyperlink" Target="https://www.epd-norge.no/getfile.php/1316728-1609758181/EPDer/Byggevarer/Isolasjon/NEPD-2611-1324_ISOVER-Formstykker---34.pdf" TargetMode="External"/><Relationship Id="rId247" Type="http://schemas.openxmlformats.org/officeDocument/2006/relationships/hyperlink" Target="https://havnens-h.dk/materialer/ler-med-hamp/" TargetMode="External"/><Relationship Id="rId412" Type="http://schemas.openxmlformats.org/officeDocument/2006/relationships/hyperlink" Target="https://ibu-epd.com/en/published-epds/" TargetMode="External"/><Relationship Id="rId107" Type="http://schemas.openxmlformats.org/officeDocument/2006/relationships/hyperlink" Target="https://www.rockwool.com/dk/om-os/baeredygtighed/ansvarlig-produktion/" TargetMode="External"/><Relationship Id="rId289" Type="http://schemas.openxmlformats.org/officeDocument/2006/relationships/hyperlink" Target="http://www.vestaeco.com/Downloads,5.html" TargetMode="External"/><Relationship Id="rId11" Type="http://schemas.openxmlformats.org/officeDocument/2006/relationships/hyperlink" Target="https://app.2050-materials.com/product/results?company=431" TargetMode="External"/><Relationship Id="rId53" Type="http://schemas.openxmlformats.org/officeDocument/2006/relationships/hyperlink" Target="https://pim.knaufinsulation.com/files/download/s-p-01751_epd_glass_mineral_wool_insulation_0.036___0.039_wmk_5e53ed08a0d4c.pdf" TargetMode="External"/><Relationship Id="rId149" Type="http://schemas.openxmlformats.org/officeDocument/2006/relationships/hyperlink" Target="https://www.epd-norge.no/getfile.php/1328434-1672752900/EPDer/Byggevarer/Isolasjon/NEPD-4118-3335_ROCKWOOL--Facade-insulation-for-the-Nordic-market.pdf" TargetMode="External"/><Relationship Id="rId314" Type="http://schemas.openxmlformats.org/officeDocument/2006/relationships/hyperlink" Target="https://www.rockwool.com/dk/produkter-og-konstruktioner/produktoversigt/bygningsisolering/murbatts-37/" TargetMode="External"/><Relationship Id="rId356" Type="http://schemas.openxmlformats.org/officeDocument/2006/relationships/hyperlink" Target="http://www.homatherm-danmark.dk/" TargetMode="External"/><Relationship Id="rId398" Type="http://schemas.openxmlformats.org/officeDocument/2006/relationships/hyperlink" Target="https://ibu-epd.com/en/published-epds/" TargetMode="External"/><Relationship Id="rId95" Type="http://schemas.openxmlformats.org/officeDocument/2006/relationships/hyperlink" Target="https://www.glapor.de/en/unternehmen/das-unternehmen-glapor/" TargetMode="External"/><Relationship Id="rId160" Type="http://schemas.openxmlformats.org/officeDocument/2006/relationships/hyperlink" Target="https://www.rockwool.com/dk/produkter-og-konstruktioner/produktoversigt/udvendig-tagisolering/toprock-terrrace-lamel/" TargetMode="External"/><Relationship Id="rId216" Type="http://schemas.openxmlformats.org/officeDocument/2006/relationships/hyperlink" Target="https://www.epd-norge.no/getfile.php/1316680-1609756361/EPDer/Byggevarer/Isolasjon/NEPD-2603-1326_ISOVER-Murfilt---34.pdf" TargetMode="External"/><Relationship Id="rId423" Type="http://schemas.openxmlformats.org/officeDocument/2006/relationships/hyperlink" Target="https://www.steico.com/fileadmin/user_upload/importer/downloads/4028b6097384810e0174960f8d140710/STEICOspecial-dry_en_i.pdf" TargetMode="External"/><Relationship Id="rId258" Type="http://schemas.openxmlformats.org/officeDocument/2006/relationships/hyperlink" Target="https://web.steico.com/dk/" TargetMode="External"/><Relationship Id="rId22" Type="http://schemas.openxmlformats.org/officeDocument/2006/relationships/hyperlink" Target="https://www.isohemp.com/sites/default/files/fichiers/b-epd_21-0078-001-00-00-fr_isohemp_pal36_signed.pdf" TargetMode="External"/><Relationship Id="rId64" Type="http://schemas.openxmlformats.org/officeDocument/2006/relationships/hyperlink" Target="https://www.sundolitt.com/globalassets/inriver/resources/epd-xps-english-0822.pdf" TargetMode="External"/><Relationship Id="rId118" Type="http://schemas.openxmlformats.org/officeDocument/2006/relationships/hyperlink" Target="https://p-cdn.rockwool.com/siteassets/o2-rockwool/dokumentation-og-certifikater/dokumentation/epd-miljodeklaration/nepd-3381-2002-en-rockwool-let-bygningsisolering.pdf" TargetMode="External"/><Relationship Id="rId325" Type="http://schemas.openxmlformats.org/officeDocument/2006/relationships/hyperlink" Target="https://www.knaufinsulation.dk/produkter/supafil-frame" TargetMode="External"/><Relationship Id="rId367" Type="http://schemas.openxmlformats.org/officeDocument/2006/relationships/hyperlink" Target="https://www.rockwool.com/dk/produkter-og-konstruktioner/produktoversigt/bygningsisolering/flexibatts-34/" TargetMode="External"/><Relationship Id="rId171" Type="http://schemas.openxmlformats.org/officeDocument/2006/relationships/hyperlink" Target="https://www.epd-norge.no/getfile.php/1312739-1583496199/EPDer/Byggevarer/Isolasjon/NEPD-2080-940_Insulsafe%281%29.pdf" TargetMode="External"/><Relationship Id="rId227" Type="http://schemas.openxmlformats.org/officeDocument/2006/relationships/hyperlink" Target="https://www.epd-norge.no/getfile.php/1319598-1627893998/EPDer/Byggevarer/Isolasjon/NEPD-2966-1656_ISOVER-Facadekoncept-Lamel--Online---.pdf" TargetMode="External"/><Relationship Id="rId269" Type="http://schemas.openxmlformats.org/officeDocument/2006/relationships/hyperlink" Target="https://nviro.dk/" TargetMode="External"/><Relationship Id="rId434" Type="http://schemas.openxmlformats.org/officeDocument/2006/relationships/hyperlink" Target="https://www.nordtex.it/wp-content/uploads/2022/02/cert_GLAPOR-certificazione-EPD-GLP-20170195-CBA1-EN-1.pdf" TargetMode="External"/><Relationship Id="rId33" Type="http://schemas.openxmlformats.org/officeDocument/2006/relationships/hyperlink" Target="https://www.rockwool.com/dk/om-os/baeredygtighed/ansvarlig-produktion/" TargetMode="External"/><Relationship Id="rId129" Type="http://schemas.openxmlformats.org/officeDocument/2006/relationships/hyperlink" Target="https://www.epddanmark.dk/media/qv3ety33/md-22017-en.pdf" TargetMode="External"/><Relationship Id="rId280" Type="http://schemas.openxmlformats.org/officeDocument/2006/relationships/hyperlink" Target="https://6579fb99-c1c8-49d0-a76a-b46c2bfa3a7b.filesusr.com/ugd/390f48_d1b2014dd4a044cab8af24f3ff623af3.pdf" TargetMode="External"/><Relationship Id="rId336" Type="http://schemas.openxmlformats.org/officeDocument/2006/relationships/hyperlink" Target="https://www.rockwool.com/dk/produkter-og-konstruktioner/systemer/redair/" TargetMode="External"/><Relationship Id="rId75" Type="http://schemas.openxmlformats.org/officeDocument/2006/relationships/hyperlink" Target="Udgivet/Downloads/rockzero-u-vaerdi-010-2022.pdf" TargetMode="External"/><Relationship Id="rId140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182" Type="http://schemas.openxmlformats.org/officeDocument/2006/relationships/hyperlink" Target="https://www.epd-norge.no/getfile.php/1315835-1604417684/EPDer/Byggevarer/Isolasjon/NEPD-2500-1246_ISOVER-ROBUST-Takboard---ISOVER-Fasadboard-33.pdf" TargetMode="External"/><Relationship Id="rId378" Type="http://schemas.openxmlformats.org/officeDocument/2006/relationships/hyperlink" Target="https://www.rockwool.com/dk/produkter-og-konstruktioner/produktoversigt/bygningsisolering/murbatts-34/" TargetMode="External"/><Relationship Id="rId403" Type="http://schemas.openxmlformats.org/officeDocument/2006/relationships/hyperlink" Target="https://ibu-epd.com/en/published-epds/" TargetMode="External"/><Relationship Id="rId6" Type="http://schemas.openxmlformats.org/officeDocument/2006/relationships/hyperlink" Target="https://hunton.dk/wp-content/uploads/sites/15/2021/12/nepd-nativo-trefiberisolasjon-plate.pdf" TargetMode="External"/><Relationship Id="rId238" Type="http://schemas.openxmlformats.org/officeDocument/2006/relationships/hyperlink" Target="https://www.sundolitt.com/globalassets/inriver/resources/miljovaredeklaration-eps-0223.pdf" TargetMode="External"/><Relationship Id="rId291" Type="http://schemas.openxmlformats.org/officeDocument/2006/relationships/hyperlink" Target="http://www.vestaeco.com/Downloads,5.html" TargetMode="External"/><Relationship Id="rId305" Type="http://schemas.openxmlformats.org/officeDocument/2006/relationships/hyperlink" Target="https://www.foamglas.com/da-dk" TargetMode="External"/><Relationship Id="rId347" Type="http://schemas.openxmlformats.org/officeDocument/2006/relationships/hyperlink" Target="https://www.glapor.de/en/" TargetMode="External"/><Relationship Id="rId44" Type="http://schemas.openxmlformats.org/officeDocument/2006/relationships/hyperlink" Target="https://www.epd-norge.no/getfile.php/1312401-1581594215/EPDer/Byggevarer/Isolasjon/NEPD-2015-891_-ISOVER-Facadekoncept-Plade-37--.pdf" TargetMode="External"/><Relationship Id="rId86" Type="http://schemas.openxmlformats.org/officeDocument/2006/relationships/hyperlink" Target="https://www.epd-norge.no/getfile.php/1320470-1631445642/EPDer/Byggevarer/Isolasjon/NEPD-3078-1741_RE-80---EPS-Insulation-boards-from-recycled-expanded-polystyrene%281%29.pdf" TargetMode="External"/><Relationship Id="rId151" Type="http://schemas.openxmlformats.org/officeDocument/2006/relationships/hyperlink" Target="https://www.rockwool.com/dk/produkter-og-konstruktioner/produktoversigt/udvendig-tagisolering/stalunderlag-energy/" TargetMode="External"/><Relationship Id="rId389" Type="http://schemas.openxmlformats.org/officeDocument/2006/relationships/hyperlink" Target="https://ibu-epd.com/en/published-epds/" TargetMode="External"/><Relationship Id="rId193" Type="http://schemas.openxmlformats.org/officeDocument/2006/relationships/hyperlink" Target="https://www.epd-norge.no/getfile.php/1312407-1581594934/EPDer/Byggevarer/Isolasjon/NEPD-2016-891_-ISOVER-Facadekoncept-Plade-38.pdf" TargetMode="External"/><Relationship Id="rId207" Type="http://schemas.openxmlformats.org/officeDocument/2006/relationships/hyperlink" Target="https://www.saint-gobain.dk/produkt/isover-formstykke-34" TargetMode="External"/><Relationship Id="rId249" Type="http://schemas.openxmlformats.org/officeDocument/2006/relationships/hyperlink" Target="https://www.hempitecture.com/products" TargetMode="External"/><Relationship Id="rId414" Type="http://schemas.openxmlformats.org/officeDocument/2006/relationships/hyperlink" Target="https://ibu-epd.com/en/published-epds/" TargetMode="External"/><Relationship Id="rId13" Type="http://schemas.openxmlformats.org/officeDocument/2006/relationships/hyperlink" Target="https://www.hempitecture.com/about-1" TargetMode="External"/><Relationship Id="rId109" Type="http://schemas.openxmlformats.org/officeDocument/2006/relationships/hyperlink" Target="https://www.rockwool.com/dk/om-os/baeredygtighed/ansvarlig-produktion/" TargetMode="External"/><Relationship Id="rId260" Type="http://schemas.openxmlformats.org/officeDocument/2006/relationships/hyperlink" Target="https://web.steico.com/dk/" TargetMode="External"/><Relationship Id="rId316" Type="http://schemas.openxmlformats.org/officeDocument/2006/relationships/hyperlink" Target="https://www.rockwool.com/dk/produkter-og-konstruktioner/produktoversigt/bygningsisolering/rockorbit-batts/" TargetMode="External"/><Relationship Id="rId55" Type="http://schemas.openxmlformats.org/officeDocument/2006/relationships/hyperlink" Target="https://pim.knaufinsulation.com/files/download/s-p-01756_epd_blowing_wool_insulation_0.037_-_0.042_wmk_.pdf" TargetMode="External"/><Relationship Id="rId97" Type="http://schemas.openxmlformats.org/officeDocument/2006/relationships/hyperlink" Target="https://ecococon.eu/assets/downloads/epd_ecococon_2022.pdf" TargetMode="External"/><Relationship Id="rId120" Type="http://schemas.openxmlformats.org/officeDocument/2006/relationships/hyperlink" Target="https://p-cdn.rockwool.com/siteassets/o2-rockwool/dokumentation-og-certifikater/dokumentation/epd-miljodeklaration/nepd-3381-2002-en-rockwool-let-bygningsisolering.pdf" TargetMode="External"/><Relationship Id="rId358" Type="http://schemas.openxmlformats.org/officeDocument/2006/relationships/hyperlink" Target="http://www.homatherm-danmark.dk/" TargetMode="External"/><Relationship Id="rId162" Type="http://schemas.openxmlformats.org/officeDocument/2006/relationships/hyperlink" Target="https://www.rockwool.com/dk/produkter-og-konstruktioner/produktoversigt/udvendig-tagisolering/toprock-terrace-system/" TargetMode="External"/><Relationship Id="rId218" Type="http://schemas.openxmlformats.org/officeDocument/2006/relationships/hyperlink" Target="https://www.epd-norge.no/getfile.php/1316704-1609757126/EPDer/Byggevarer/Isolasjon/NEPD-2607-1326_ISOVER-Ruller---37.pdf" TargetMode="External"/><Relationship Id="rId425" Type="http://schemas.openxmlformats.org/officeDocument/2006/relationships/hyperlink" Target="https://web.steico.com/fileadmin/steico/content/pdf/Marketing/International/Product_information/underfloor/STEICOunderfloor_int_i.pdf" TargetMode="External"/><Relationship Id="rId271" Type="http://schemas.openxmlformats.org/officeDocument/2006/relationships/hyperlink" Target="https://woodfibre.dk/download/download-materiale/" TargetMode="External"/><Relationship Id="rId24" Type="http://schemas.openxmlformats.org/officeDocument/2006/relationships/hyperlink" Target="https://epd-online.com/PublishedEpd/Detail/12879" TargetMode="External"/><Relationship Id="rId66" Type="http://schemas.openxmlformats.org/officeDocument/2006/relationships/hyperlink" Target="https://web.steico.com/fileadmin/steico/content/pdf/Certificates_-_Documents/English__multiple_markets_/STEICOzell_wood_fibre_air-injected_insulation.pdf" TargetMode="External"/><Relationship Id="rId131" Type="http://schemas.openxmlformats.org/officeDocument/2006/relationships/hyperlink" Target="https://www.glapor.de/en/unternehmen/das-unternehmen-glapor/" TargetMode="External"/><Relationship Id="rId327" Type="http://schemas.openxmlformats.org/officeDocument/2006/relationships/hyperlink" Target="https://www.sundolitt.com/da/sundolitt/denmark/tag/eps-isolering/s80-a00202dc/" TargetMode="External"/><Relationship Id="rId369" Type="http://schemas.openxmlformats.org/officeDocument/2006/relationships/hyperlink" Target="https://www.rockwool.com/dk/produkter-og-konstruktioner/produktoversigt/bygningsisolering/flexibatts-32/" TargetMode="External"/><Relationship Id="rId173" Type="http://schemas.openxmlformats.org/officeDocument/2006/relationships/hyperlink" Target="https://www.epd-norge.no/getfile.php/1312419-1581595530/EPDer/Byggevarer/Isolasjon/NEPD-2018-891_ISOVER-Robust-TP-over-90-mm.pdf" TargetMode="External"/><Relationship Id="rId229" Type="http://schemas.openxmlformats.org/officeDocument/2006/relationships/hyperlink" Target="https://www.saint-gobain.dk/produkt/isover-robust-lamel" TargetMode="External"/><Relationship Id="rId380" Type="http://schemas.openxmlformats.org/officeDocument/2006/relationships/hyperlink" Target="https://www.rockwool.com/dk/produkter-og-konstruktioner/produktoversigt/udvendig-tagisolering/tf-plade/" TargetMode="External"/><Relationship Id="rId436" Type="http://schemas.openxmlformats.org/officeDocument/2006/relationships/drawing" Target="../drawings/drawing2.xml"/><Relationship Id="rId240" Type="http://schemas.openxmlformats.org/officeDocument/2006/relationships/hyperlink" Target="https://www.sundolitt.com/da/soeg/?keyword=eps" TargetMode="External"/><Relationship Id="rId35" Type="http://schemas.openxmlformats.org/officeDocument/2006/relationships/hyperlink" Target="https://www.rockwool.com/dk/om-os/baeredygtighed/ansvarlig-produktion/" TargetMode="External"/><Relationship Id="rId77" Type="http://schemas.openxmlformats.org/officeDocument/2006/relationships/hyperlink" Target="https://www.epd-norge.no/getfile.php/1316482-1607426296/EPDer/Byggevarer/Isolasjon/NEPD-2582-1308_PAROC-NATURA-Stone-Wool-Thermal-Insulation--Lana-.pdf" TargetMode="External"/><Relationship Id="rId100" Type="http://schemas.openxmlformats.org/officeDocument/2006/relationships/hyperlink" Target="https://www.rockwool.com/dk/downloads-og-tools/dokumentation-certifikater/epd/?selectedCat=dokumentation*epd%20milj%C3%B8deklaration" TargetMode="External"/><Relationship Id="rId282" Type="http://schemas.openxmlformats.org/officeDocument/2006/relationships/hyperlink" Target="http://www.vestaeco.com/Downloads,5.html" TargetMode="External"/><Relationship Id="rId338" Type="http://schemas.openxmlformats.org/officeDocument/2006/relationships/hyperlink" Target="https://www.paroc.com/products/building-insulations/bi-general-insulations/paroc-natura-lana" TargetMode="External"/><Relationship Id="rId8" Type="http://schemas.openxmlformats.org/officeDocument/2006/relationships/hyperlink" Target="https://www.epddanmark.dk/media/gfmhgq2i/md-22017-en-appendix-a1.pdf" TargetMode="External"/><Relationship Id="rId142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184" Type="http://schemas.openxmlformats.org/officeDocument/2006/relationships/hyperlink" Target="https://www.epd-norge.no/getfile.php/1321780-1639041833/EPDer/Byggevarer/Isolasjon/NEPD-3257-1898_ISOVER-Granulat.pdf" TargetMode="External"/><Relationship Id="rId391" Type="http://schemas.openxmlformats.org/officeDocument/2006/relationships/hyperlink" Target="https://ibu-epd.com/en/published-epds/" TargetMode="External"/><Relationship Id="rId405" Type="http://schemas.openxmlformats.org/officeDocument/2006/relationships/hyperlink" Target="https://ibu-epd.com/en/published-epds/" TargetMode="External"/><Relationship Id="rId251" Type="http://schemas.openxmlformats.org/officeDocument/2006/relationships/hyperlink" Target="https://hunton.dk/dokumentation/" TargetMode="External"/><Relationship Id="rId46" Type="http://schemas.openxmlformats.org/officeDocument/2006/relationships/hyperlink" Target="https://www.epd-norge.no/getfile.php/1316710-1609757326/EPDer/Byggevarer/Isolasjon/NEPD-2608-1324_ISOVER-Flex.pdf" TargetMode="External"/><Relationship Id="rId293" Type="http://schemas.openxmlformats.org/officeDocument/2006/relationships/hyperlink" Target="http://www.vestaeco.com/Downloads,5.html" TargetMode="External"/><Relationship Id="rId307" Type="http://schemas.openxmlformats.org/officeDocument/2006/relationships/hyperlink" Target="https://havelockwool.com/" TargetMode="External"/><Relationship Id="rId349" Type="http://schemas.openxmlformats.org/officeDocument/2006/relationships/hyperlink" Target="https://www.glapor.de/en/" TargetMode="External"/><Relationship Id="rId88" Type="http://schemas.openxmlformats.org/officeDocument/2006/relationships/hyperlink" Target="https://www.epd-norge.no/getfile.php/1321426-1636134064/EPDer/Byggevarer/Isolasjon/1848_P80-EPD-Insulation-boards_dk.pdf" TargetMode="External"/><Relationship Id="rId111" Type="http://schemas.openxmlformats.org/officeDocument/2006/relationships/hyperlink" Target="https://www.rockwool.com/dk/om-os/baeredygtighed/ansvarlig-produktion/" TargetMode="External"/><Relationship Id="rId153" Type="http://schemas.openxmlformats.org/officeDocument/2006/relationships/hyperlink" Target="https://www.rockwool.com/dk/produkter-og-konstruktioner/produktoversigt/udvendig-tagisolering/hardrock-energy/" TargetMode="External"/><Relationship Id="rId195" Type="http://schemas.openxmlformats.org/officeDocument/2006/relationships/hyperlink" Target="https://www.saint-gobain.dk/produkt/isover-facadekoncept-plade-38" TargetMode="External"/><Relationship Id="rId209" Type="http://schemas.openxmlformats.org/officeDocument/2006/relationships/hyperlink" Target="https://www.saint-gobain.dk/produkt/isover-murfilt-32" TargetMode="External"/><Relationship Id="rId360" Type="http://schemas.openxmlformats.org/officeDocument/2006/relationships/hyperlink" Target="http://www.homatherm-danmark.dk/" TargetMode="External"/><Relationship Id="rId416" Type="http://schemas.openxmlformats.org/officeDocument/2006/relationships/hyperlink" Target="https://www.steico.com/en/products/etics/steicointernal-render-board-for-internal-insulation/steicointernal" TargetMode="External"/><Relationship Id="rId220" Type="http://schemas.openxmlformats.org/officeDocument/2006/relationships/hyperlink" Target="https://www.saint-gobain.dk/produkt/isover-rulle-37" TargetMode="External"/><Relationship Id="rId15" Type="http://schemas.openxmlformats.org/officeDocument/2006/relationships/hyperlink" Target="https://hunton.dk/wp-content/uploads/sites/15/2021/12/nepd-nativo-trefiberisolasjon-innblast.pdf" TargetMode="External"/><Relationship Id="rId57" Type="http://schemas.openxmlformats.org/officeDocument/2006/relationships/hyperlink" Target="https://pim.knaufinsulation.com/files/download/s-p-01757_epd_blowing_wool_insulation_0.034_-_0.036_wmk__282_29.pdf" TargetMode="External"/><Relationship Id="rId262" Type="http://schemas.openxmlformats.org/officeDocument/2006/relationships/hyperlink" Target="https://web.steico.com/dk/" TargetMode="External"/><Relationship Id="rId318" Type="http://schemas.openxmlformats.org/officeDocument/2006/relationships/hyperlink" Target="https://www.saint-gobain.dk/produkt/isover-murfilt-37" TargetMode="External"/><Relationship Id="rId99" Type="http://schemas.openxmlformats.org/officeDocument/2006/relationships/hyperlink" Target="https://www.rockwool.com/dk/om-os/baeredygtighed/ansvarlig-produktion/" TargetMode="External"/><Relationship Id="rId122" Type="http://schemas.openxmlformats.org/officeDocument/2006/relationships/hyperlink" Target="https://app.2050-materials.com/product/results?search=steico" TargetMode="External"/><Relationship Id="rId164" Type="http://schemas.openxmlformats.org/officeDocument/2006/relationships/hyperlink" Target="https://www.rockwool.com/syssiteassets/o2-rockwool/dokumentation-og-certifikater/brochurer/produktkatalog/facadeisolering-produktkatalog-rockwool.pdf" TargetMode="External"/><Relationship Id="rId371" Type="http://schemas.openxmlformats.org/officeDocument/2006/relationships/hyperlink" Target="https://www.rockwool.com/dk/produkter-og-konstruktioner/produktoversigt/bygningsisolering/murbatts-32/" TargetMode="External"/><Relationship Id="rId427" Type="http://schemas.openxmlformats.org/officeDocument/2006/relationships/hyperlink" Target="https://www.steico.com/en/products/etics/steico-etics-timber/steicoprotect" TargetMode="External"/><Relationship Id="rId26" Type="http://schemas.openxmlformats.org/officeDocument/2006/relationships/hyperlink" Target="https://havnens-h.dk/wp-content/uploads/2021/05/EPD-Korkisolering-expanded-insolation-cork-board.pdf" TargetMode="External"/><Relationship Id="rId231" Type="http://schemas.openxmlformats.org/officeDocument/2006/relationships/hyperlink" Target="https://www.epd-norge.no/getfile.php/1316692-1609756751/EPDer/Byggevarer/Isolasjon/NEPD-2605-1326_ISOVER-Robust-Lamel.pdf" TargetMode="External"/><Relationship Id="rId273" Type="http://schemas.openxmlformats.org/officeDocument/2006/relationships/hyperlink" Target="https://woodfibre.dk/download/download-materiale/" TargetMode="External"/><Relationship Id="rId329" Type="http://schemas.openxmlformats.org/officeDocument/2006/relationships/hyperlink" Target="https://bewi.com/products/eps-isolering?lang=da" TargetMode="External"/><Relationship Id="rId68" Type="http://schemas.openxmlformats.org/officeDocument/2006/relationships/hyperlink" Target="https://web.steico.com/fileadmin/steico/content/pdf/Certificates_-_Documents/English__multiple_markets_/STEICO_Wood_fibre_insulation_boards_manufactured_in_a_dry_process.pdf" TargetMode="External"/><Relationship Id="rId133" Type="http://schemas.openxmlformats.org/officeDocument/2006/relationships/hyperlink" Target="https://vartdalplast.no/Userfiles/Upload/images/Modules/Products/Attachments/59_NEPD-3208-1849_Neopor-N80-EPS-Insulation-Board-_1.pdf" TargetMode="External"/><Relationship Id="rId175" Type="http://schemas.openxmlformats.org/officeDocument/2006/relationships/hyperlink" Target="https://www.epd-norge.no/getfile.php/1312727-1583493409/EPDer/Byggevarer/Isolasjon/NEPD-2017-891_ISOVER-Robust-TP-under-90m%281%29.pdf" TargetMode="External"/><Relationship Id="rId340" Type="http://schemas.openxmlformats.org/officeDocument/2006/relationships/hyperlink" Target="https://www.kingspan.com/dk/da/produkter/isoleringsplader/vaeg-isoleringsplader/kooltherm-k20/" TargetMode="External"/><Relationship Id="rId200" Type="http://schemas.openxmlformats.org/officeDocument/2006/relationships/hyperlink" Target="https://www.epd-norge.no/getfile.php/1316716-1609757478/EPDer/Byggevarer/Isolasjon/NEPD-2609-1324_ISOVER-Formstykker---30.pdf" TargetMode="External"/><Relationship Id="rId382" Type="http://schemas.openxmlformats.org/officeDocument/2006/relationships/hyperlink" Target="https://www.rockwool.com/dk/produkter-og-konstruktioner/produktoversigt/udvendig-tagisolering/murkroneplade-tw1/" TargetMode="External"/><Relationship Id="rId438" Type="http://schemas.openxmlformats.org/officeDocument/2006/relationships/comments" Target="../comments1.xml"/><Relationship Id="rId242" Type="http://schemas.openxmlformats.org/officeDocument/2006/relationships/hyperlink" Target="https://www.amorimcorkinsulation.com/en/products/" TargetMode="External"/><Relationship Id="rId284" Type="http://schemas.openxmlformats.org/officeDocument/2006/relationships/hyperlink" Target="http://www.vestaeco.com/Downloads,5.html" TargetMode="External"/><Relationship Id="rId37" Type="http://schemas.openxmlformats.org/officeDocument/2006/relationships/hyperlink" Target="https://www.rockwool.com/dk/downloads-og-tools/dokumentation-certifikater/epd/?selectedCat=dokumentation*epd%20milj%C3%B8deklaration" TargetMode="External"/><Relationship Id="rId79" Type="http://schemas.openxmlformats.org/officeDocument/2006/relationships/hyperlink" Target="https://www.epd-norge.no/getfile.php/1317721-1615541937/EPDer/Byggevarer/Isolasjon/NEPD-2392-1128_PAROC-Stone-Wool-Thermal-Insulation--eXtra-_no.pdf" TargetMode="External"/><Relationship Id="rId102" Type="http://schemas.openxmlformats.org/officeDocument/2006/relationships/hyperlink" Target="https://www.rockwool.com/dk/downloads-og-tools/dokumentation-certifikater/epd/?selectedCat=dokumentation*epd%20milj%C3%B8deklaration" TargetMode="External"/><Relationship Id="rId144" Type="http://schemas.openxmlformats.org/officeDocument/2006/relationships/hyperlink" Target="https://www.epd-norge.no/getfile.php/1328452-1672753246/EPDer/Byggevarer/Isolasjon/NEPD-4120-3334_ROCKWOOL--Flat-roof-insulation-for-the-Nordic-market%281%29.pdf" TargetMode="External"/><Relationship Id="rId90" Type="http://schemas.openxmlformats.org/officeDocument/2006/relationships/hyperlink" Target="https://www.epd-norge.no/getfile.php/1318304-1619001736/EPDer/Byggevarer/Isolasjon/NEPD-2794-1494_Jackopor-80--EPS-Insulation-Boards%281%29.pdf" TargetMode="External"/><Relationship Id="rId186" Type="http://schemas.openxmlformats.org/officeDocument/2006/relationships/hyperlink" Target="https://www.epd-norge.no/getfile.php/1321780-1639041833/EPDer/Byggevarer/Isolasjon/NEPD-3257-1898_ISOVER-Granulat.pdf" TargetMode="External"/><Relationship Id="rId351" Type="http://schemas.openxmlformats.org/officeDocument/2006/relationships/hyperlink" Target="https://www.glapor.de/en/" TargetMode="External"/><Relationship Id="rId393" Type="http://schemas.openxmlformats.org/officeDocument/2006/relationships/hyperlink" Target="https://ibu-epd.com/en/published-epds/" TargetMode="External"/><Relationship Id="rId407" Type="http://schemas.openxmlformats.org/officeDocument/2006/relationships/hyperlink" Target="https://ibu-epd.com/en/published-epds/" TargetMode="External"/><Relationship Id="rId211" Type="http://schemas.openxmlformats.org/officeDocument/2006/relationships/hyperlink" Target="https://www.epd-norge.no/getfile.php/1316743-1609758641/EPDer/Byggevarer/Isolasjon/NEPD-2613-1324_ISOVER-Murfilt---30.pdf" TargetMode="External"/><Relationship Id="rId253" Type="http://schemas.openxmlformats.org/officeDocument/2006/relationships/hyperlink" Target="https://hunton.dk/dokumentation/" TargetMode="External"/><Relationship Id="rId295" Type="http://schemas.openxmlformats.org/officeDocument/2006/relationships/hyperlink" Target="https://woodfiber.dk/?gclid=CjwKCAjw-rOaBhA9EiwAUkLV4lLowj4a_-ms7uSrVgCalOoHakd70O6mPNT5cY8cNUedy9eRzXKGvBoCcQMQAvD_BwE" TargetMode="External"/><Relationship Id="rId309" Type="http://schemas.openxmlformats.org/officeDocument/2006/relationships/hyperlink" Target="https://www.rockwool.com/dk/produkter-og-konstruktioner/produktoversigt/bygningsisolering/flexibatts-37/" TargetMode="External"/><Relationship Id="rId48" Type="http://schemas.openxmlformats.org/officeDocument/2006/relationships/hyperlink" Target="https://pim.knaufinsulation.com/files/download/s-p-01758_epd_blowing_wool_insulation_0.032_-_0.033_wmk__281_29.pdf" TargetMode="External"/><Relationship Id="rId113" Type="http://schemas.openxmlformats.org/officeDocument/2006/relationships/hyperlink" Target="https://www.rockwool.com/dk/om-os/baeredygtighed/ansvarlig-produktion/" TargetMode="External"/><Relationship Id="rId320" Type="http://schemas.openxmlformats.org/officeDocument/2006/relationships/hyperlink" Target="https://www.saint-gobain.dk/produkt/isover-flex" TargetMode="External"/><Relationship Id="rId155" Type="http://schemas.openxmlformats.org/officeDocument/2006/relationships/hyperlink" Target="https://www.rockwool.com/dk/produkter-og-konstruktioner/produktoversigt/udvendig-tagisolering/hardkile/" TargetMode="External"/><Relationship Id="rId197" Type="http://schemas.openxmlformats.org/officeDocument/2006/relationships/hyperlink" Target="https://www.epd-norge.no/getfile.php/1316698-1609756935/EPDer/Byggevarer/Isolasjon/NEPD-2606-1326_ISOVER-Ruller---34.pdf" TargetMode="External"/><Relationship Id="rId362" Type="http://schemas.openxmlformats.org/officeDocument/2006/relationships/hyperlink" Target="http://www.homatherm-danmark.dk/" TargetMode="External"/><Relationship Id="rId418" Type="http://schemas.openxmlformats.org/officeDocument/2006/relationships/hyperlink" Target="https://www.steico.com/en/products/insulation/ventilated-facade-insulation-systems/closed-facade-mass-timber-wall/steicotherm-dry" TargetMode="External"/><Relationship Id="rId222" Type="http://schemas.openxmlformats.org/officeDocument/2006/relationships/hyperlink" Target="https://www.epd-norge.no/getfile.php/1319580-1627043952/EPDer/Byggevarer/Isolasjon/NEPD-2965-1656_ISOVER-Duo.pdf" TargetMode="External"/><Relationship Id="rId264" Type="http://schemas.openxmlformats.org/officeDocument/2006/relationships/hyperlink" Target="https://nviro.dk/wp-content/uploads/2021/11/Isocell-Datablad.pdf" TargetMode="External"/><Relationship Id="rId17" Type="http://schemas.openxmlformats.org/officeDocument/2006/relationships/hyperlink" Target="https://www.epddanmark.dk/media/qv3ety33/md-22017-en.pdf" TargetMode="External"/><Relationship Id="rId59" Type="http://schemas.openxmlformats.org/officeDocument/2006/relationships/hyperlink" Target="https://pim.knaufinsulation.com/files/download/s-p-01751_epd_glass_mineral_wool_insulation_0.036___0.039_wmk_5e53ed08a0d4c.pdf" TargetMode="External"/><Relationship Id="rId124" Type="http://schemas.openxmlformats.org/officeDocument/2006/relationships/hyperlink" Target="https://nviro.dk/wp-content/uploads/2022/04/EPD-ISOCELL-ECIA.pdf" TargetMode="External"/><Relationship Id="rId70" Type="http://schemas.openxmlformats.org/officeDocument/2006/relationships/hyperlink" Target="https://hunton.dk/wp-content/uploads/sites/15/2021/07/EPD_Hunton-Silencio_v01-21_NO_SE_DK.pdf" TargetMode="External"/><Relationship Id="rId166" Type="http://schemas.openxmlformats.org/officeDocument/2006/relationships/hyperlink" Target="https://www.epd-norge.no/getfile.php/1325118-1679403438/EPDer/Byggevarer/Isolasjon/NEPD-3654-2600_Norlite-Perlite--fire-proof-thermal-insulation.pdf" TargetMode="External"/><Relationship Id="rId331" Type="http://schemas.openxmlformats.org/officeDocument/2006/relationships/hyperlink" Target="https://www.jackon.dk/produkter/jackon-eps/jackopor-eps/jackopor-plader/" TargetMode="External"/><Relationship Id="rId373" Type="http://schemas.openxmlformats.org/officeDocument/2006/relationships/hyperlink" Target="http://www.homatherm-danmark.dk/" TargetMode="External"/><Relationship Id="rId429" Type="http://schemas.openxmlformats.org/officeDocument/2006/relationships/hyperlink" Target="https://www.nordtex.it/wp-content/uploads/2022/02/cert_GLAPOR-certificazione-EPD-GLP-20170195-CBA1-EN-1.pdf" TargetMode="External"/><Relationship Id="rId1" Type="http://schemas.openxmlformats.org/officeDocument/2006/relationships/hyperlink" Target="https://gramitherm.eu/wp-content/uploads/2021/09/FDES-GRAMITHERM%C2%AE-100-Revision-INIES-Pour-inscription-31.08.2021.pdf" TargetMode="External"/><Relationship Id="rId233" Type="http://schemas.openxmlformats.org/officeDocument/2006/relationships/hyperlink" Target="https://www.epd-norge.no/getfile.php/1326730-1667907945/EPDer/Byggevarer/Isolasjon/NEPD-3872-2822_SUNDOLITT---EPS-Climate.pdf" TargetMode="External"/><Relationship Id="rId28" Type="http://schemas.openxmlformats.org/officeDocument/2006/relationships/hyperlink" Target="https://hml-prod.imgix.net/Havelock_Wool__Batt_Loose_Fill_Insulation_EPD_JUN20.pdf" TargetMode="External"/><Relationship Id="rId275" Type="http://schemas.openxmlformats.org/officeDocument/2006/relationships/hyperlink" Target="https://www.thermofloc.com/en/cellulose-based-insulation/blow-in-insulation" TargetMode="External"/><Relationship Id="rId300" Type="http://schemas.openxmlformats.org/officeDocument/2006/relationships/hyperlink" Target="https://woodfiber.dk/?gclid=CjwKCAjw-rOaBhA9EiwAUkLV4lLowj4a_-ms7uSrVgCalOoHakd70O6mPNT5cY8cNUedy9eRzXKGvBoCcQMQAvD_BwE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komproment.dk/wp-content/uploads/2022/06/komproment_vidar_epd.pdf" TargetMode="External"/><Relationship Id="rId21" Type="http://schemas.openxmlformats.org/officeDocument/2006/relationships/hyperlink" Target="https://www.moso-bamboo.com/wp-content/uploads/20170315_EPD_INT_Moso_X-treme_EN.pdf" TargetMode="External"/><Relationship Id="rId63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159" Type="http://schemas.openxmlformats.org/officeDocument/2006/relationships/hyperlink" Target="https://www.froeslev.dk/da/vores-trae/" TargetMode="External"/><Relationship Id="rId170" Type="http://schemas.openxmlformats.org/officeDocument/2006/relationships/hyperlink" Target="https://www.epddanmark.dk/media/w22b4scn/md-21048-en.pdf" TargetMode="External"/><Relationship Id="rId226" Type="http://schemas.openxmlformats.org/officeDocument/2006/relationships/hyperlink" Target="https://www.epddanmark.dk/media/eb2lcudf/md-21055-en.pdf" TargetMode="External"/><Relationship Id="rId268" Type="http://schemas.openxmlformats.org/officeDocument/2006/relationships/hyperlink" Target="https://www.epddanmark.dk/media/2oohm0yx/md-21059-en.pdf" TargetMode="External"/><Relationship Id="rId32" Type="http://schemas.openxmlformats.org/officeDocument/2006/relationships/hyperlink" Target="https://www.cembrit.dk/facade/autentiske/cembrit-patina-original" TargetMode="External"/><Relationship Id="rId74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128" Type="http://schemas.openxmlformats.org/officeDocument/2006/relationships/hyperlink" Target="https://komproment.dk/wp-content/uploads/2022/06/komproment_epd_tegltagsten.pdf" TargetMode="External"/><Relationship Id="rId5" Type="http://schemas.openxmlformats.org/officeDocument/2006/relationships/hyperlink" Target="https://www.epddanmark.dk/media/i3cgftcp/md-20032-en-fr%C3%B8slev-tr%C3%A6.pdf" TargetMode="External"/><Relationship Id="rId181" Type="http://schemas.openxmlformats.org/officeDocument/2006/relationships/hyperlink" Target="https://www.matzen-tegl.dk/" TargetMode="External"/><Relationship Id="rId237" Type="http://schemas.openxmlformats.org/officeDocument/2006/relationships/hyperlink" Target="https://www.epddanmark.dk/media/mwrjv1ow/md-21014-en-hammersh%C3%B8j-teglv%C3%A6rk.pdf" TargetMode="External"/><Relationship Id="rId279" Type="http://schemas.openxmlformats.org/officeDocument/2006/relationships/hyperlink" Target="https://www.epddanmark.dk/media/y1jiaucx/md-20034-en-rheinzink-danmark-rheinzink-gmbh-co-kg.pdf" TargetMode="External"/><Relationship Id="rId43" Type="http://schemas.openxmlformats.org/officeDocument/2006/relationships/hyperlink" Target="https://www.epddanmark.dk/media/sytplr4f/md-22122-en.pdf" TargetMode="External"/><Relationship Id="rId139" Type="http://schemas.openxmlformats.org/officeDocument/2006/relationships/hyperlink" Target="https://komproment.dk/type/viking-k13-verona/" TargetMode="External"/><Relationship Id="rId290" Type="http://schemas.openxmlformats.org/officeDocument/2006/relationships/comments" Target="../comments2.xml"/><Relationship Id="rId85" Type="http://schemas.openxmlformats.org/officeDocument/2006/relationships/hyperlink" Target="https://www.plannja.com/docs/default-source/documents-se/milj%C3%B6varudeklaration-eng/rts-epd_49-20_rc_colour_coated_en-1.pdf?sfvrsn=8637393797368970000" TargetMode="External"/><Relationship Id="rId150" Type="http://schemas.openxmlformats.org/officeDocument/2006/relationships/hyperlink" Target="https://www.epddanmark.dk/media/1olbekwn/md-23014-en-rev-01-1.pdf" TargetMode="External"/><Relationship Id="rId192" Type="http://schemas.openxmlformats.org/officeDocument/2006/relationships/hyperlink" Target="https://www.matzen-tegl.dk/" TargetMode="External"/><Relationship Id="rId206" Type="http://schemas.openxmlformats.org/officeDocument/2006/relationships/hyperlink" Target="https://www.epddanmark.dk/media/sjynx1tb/md-21015-en-hammersh%C3%B8j-teglv%C3%A6rk.pdf" TargetMode="External"/><Relationship Id="rId248" Type="http://schemas.openxmlformats.org/officeDocument/2006/relationships/hyperlink" Target="https://www.epddanmark.dk/media/ik0krcbh/md-21028-en.pdf" TargetMode="External"/><Relationship Id="rId269" Type="http://schemas.openxmlformats.org/officeDocument/2006/relationships/hyperlink" Target="https://www.epddanmark.dk/media/jtafvb2l/md-22026-en.pdf" TargetMode="External"/><Relationship Id="rId12" Type="http://schemas.openxmlformats.org/officeDocument/2006/relationships/hyperlink" Target="https://api.environdec.com/api/v1/EPDLibrary/Files/b6db59b6-723d-48f1-81da-08d941d5f1c9/Data" TargetMode="External"/><Relationship Id="rId33" Type="http://schemas.openxmlformats.org/officeDocument/2006/relationships/hyperlink" Target="https://www.cembrit.dk/facade/farvebestandig/cembrit-transparent" TargetMode="External"/><Relationship Id="rId108" Type="http://schemas.openxmlformats.org/officeDocument/2006/relationships/hyperlink" Target="https://komproment.dk/wp-content/uploads/2022/06/komproment_epd_nordic.pdf" TargetMode="External"/><Relationship Id="rId129" Type="http://schemas.openxmlformats.org/officeDocument/2006/relationships/hyperlink" Target="https://komproment.dk/type/linea/" TargetMode="External"/><Relationship Id="rId280" Type="http://schemas.openxmlformats.org/officeDocument/2006/relationships/hyperlink" Target="https://biomason.com/biolith" TargetMode="External"/><Relationship Id="rId54" Type="http://schemas.openxmlformats.org/officeDocument/2006/relationships/hyperlink" Target="https://www.epddanmark.dk/media/c3xjwxti/md-23018-en.pdf" TargetMode="External"/><Relationship Id="rId75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96" Type="http://schemas.openxmlformats.org/officeDocument/2006/relationships/hyperlink" Target="https://komproment.dk/wp-content/uploads/2022/06/komproment_epd_earth.pdf" TargetMode="External"/><Relationship Id="rId140" Type="http://schemas.openxmlformats.org/officeDocument/2006/relationships/hyperlink" Target="https://komproment.dk/wp-content/uploads/2022/06/komproment_epd_tegltagsten.pdf" TargetMode="External"/><Relationship Id="rId161" Type="http://schemas.openxmlformats.org/officeDocument/2006/relationships/hyperlink" Target="https://www.froeslev.dk/da/vores-trae/froeslev-malet-trae/" TargetMode="External"/><Relationship Id="rId182" Type="http://schemas.openxmlformats.org/officeDocument/2006/relationships/hyperlink" Target="https://www.matzen-tegl.dk/" TargetMode="External"/><Relationship Id="rId217" Type="http://schemas.openxmlformats.org/officeDocument/2006/relationships/hyperlink" Target="https://www.epddanmark.dk/media/kz4j2bh3/md-21054-en.pdf" TargetMode="External"/><Relationship Id="rId6" Type="http://schemas.openxmlformats.org/officeDocument/2006/relationships/hyperlink" Target="https://www.froeslev.dk/da/vores-trae/Froeslev-Embla-ThermoWood/" TargetMode="External"/><Relationship Id="rId238" Type="http://schemas.openxmlformats.org/officeDocument/2006/relationships/hyperlink" Target="https://www.randerstegl.dk/" TargetMode="External"/><Relationship Id="rId259" Type="http://schemas.openxmlformats.org/officeDocument/2006/relationships/hyperlink" Target="https://www.epddanmark.dk/media/j3mhfz33/md-21058-en.pdf" TargetMode="External"/><Relationship Id="rId23" Type="http://schemas.openxmlformats.org/officeDocument/2006/relationships/hyperlink" Target="https://kebony.com/wp-content/uploads/2023/01/NEPD-3513-2106_Kebony-Character-Scots-Pine-Cladding.pdf" TargetMode="External"/><Relationship Id="rId119" Type="http://schemas.openxmlformats.org/officeDocument/2006/relationships/hyperlink" Target="https://komproment.dk/type/zappa/" TargetMode="External"/><Relationship Id="rId270" Type="http://schemas.openxmlformats.org/officeDocument/2006/relationships/hyperlink" Target="https://www.egernsund.com/" TargetMode="External"/><Relationship Id="rId44" Type="http://schemas.openxmlformats.org/officeDocument/2006/relationships/hyperlink" Target="https://www.epddanmark.dk/media/bgbhluba/md-22057-en.pdf" TargetMode="External"/><Relationship Id="rId65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86" Type="http://schemas.openxmlformats.org/officeDocument/2006/relationships/hyperlink" Target="https://www.dassogroup.com/" TargetMode="External"/><Relationship Id="rId130" Type="http://schemas.openxmlformats.org/officeDocument/2006/relationships/hyperlink" Target="https://komproment.dk/wp-content/uploads/2022/06/komproment_epd_tegltagsten.pdf" TargetMode="External"/><Relationship Id="rId151" Type="http://schemas.openxmlformats.org/officeDocument/2006/relationships/hyperlink" Target="https://www.froeslev.dk/da/vores-trae/" TargetMode="External"/><Relationship Id="rId172" Type="http://schemas.openxmlformats.org/officeDocument/2006/relationships/hyperlink" Target="https://www.strojertegl.dk/" TargetMode="External"/><Relationship Id="rId193" Type="http://schemas.openxmlformats.org/officeDocument/2006/relationships/hyperlink" Target="https://www.epddanmark.dk/media/zvtbwcor/md-21011-en-graasten-teglv%C3%A6rk.pdf" TargetMode="External"/><Relationship Id="rId207" Type="http://schemas.openxmlformats.org/officeDocument/2006/relationships/hyperlink" Target="https://www.epddanmark.dk/media/4lflbnnl/md-18015-en-hammersh%C3%B8j-teglv%C3%A6rk.pdf" TargetMode="External"/><Relationship Id="rId228" Type="http://schemas.openxmlformats.org/officeDocument/2006/relationships/hyperlink" Target="https://www.randerstegl.dk/" TargetMode="External"/><Relationship Id="rId249" Type="http://schemas.openxmlformats.org/officeDocument/2006/relationships/hyperlink" Target="https://www.egernsund.com/" TargetMode="External"/><Relationship Id="rId13" Type="http://schemas.openxmlformats.org/officeDocument/2006/relationships/hyperlink" Target="https://www.epd-norge.no/getfile.php/1310855-1562935118/EPDer/Byggevarer/Heltreprodukter/NEPD-1829-781_Termotre-av-gran-og-furu.pdf" TargetMode="External"/><Relationship Id="rId109" Type="http://schemas.openxmlformats.org/officeDocument/2006/relationships/hyperlink" Target="https://komproment.dk/wp-content/uploads/2022/06/komproment_epd_nordic.pdf" TargetMode="External"/><Relationship Id="rId260" Type="http://schemas.openxmlformats.org/officeDocument/2006/relationships/hyperlink" Target="https://www.egernsund.com/" TargetMode="External"/><Relationship Id="rId281" Type="http://schemas.openxmlformats.org/officeDocument/2006/relationships/hyperlink" Target="https://www.rheinzink.dk/produkter/materialet-rheinzink/prepatina/" TargetMode="External"/><Relationship Id="rId34" Type="http://schemas.openxmlformats.org/officeDocument/2006/relationships/hyperlink" Target="https://www.cembrit.dk/download/CHDK/environmental-product-declaration/epd-cembrit-transparent" TargetMode="External"/><Relationship Id="rId55" Type="http://schemas.openxmlformats.org/officeDocument/2006/relationships/hyperlink" Target="https://www.epddanmark.dk/media/c3xjwxti/md-23018-en.pdf" TargetMode="External"/><Relationship Id="rId76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97" Type="http://schemas.openxmlformats.org/officeDocument/2006/relationships/hyperlink" Target="https://komproment.dk/produkt/arena-earth/nordic_red/" TargetMode="External"/><Relationship Id="rId120" Type="http://schemas.openxmlformats.org/officeDocument/2006/relationships/hyperlink" Target="https://komproment.dk/type/concrete-cover/" TargetMode="External"/><Relationship Id="rId141" Type="http://schemas.openxmlformats.org/officeDocument/2006/relationships/hyperlink" Target="https://komproment.dk/wp-content/uploads/2022/06/komproment_epd_tegltagsten.pdf" TargetMode="External"/><Relationship Id="rId7" Type="http://schemas.openxmlformats.org/officeDocument/2006/relationships/hyperlink" Target="https://www.froeslev.dk/da/vores-trae/Froeslev-Embla-ThermoWood/" TargetMode="External"/><Relationship Id="rId162" Type="http://schemas.openxmlformats.org/officeDocument/2006/relationships/hyperlink" Target="https://www.froeslev.dk/da/vores-trae/froeslev-trykimpraegneret/" TargetMode="External"/><Relationship Id="rId183" Type="http://schemas.openxmlformats.org/officeDocument/2006/relationships/hyperlink" Target="https://www.matzen-tegl.dk/" TargetMode="External"/><Relationship Id="rId218" Type="http://schemas.openxmlformats.org/officeDocument/2006/relationships/hyperlink" Target="https://www.randerstegl.dk/" TargetMode="External"/><Relationship Id="rId239" Type="http://schemas.openxmlformats.org/officeDocument/2006/relationships/hyperlink" Target="https://www.randerstegl.dk/" TargetMode="External"/><Relationship Id="rId250" Type="http://schemas.openxmlformats.org/officeDocument/2006/relationships/hyperlink" Target="https://www.epddanmark.dk/media/agqproo1/md-22024-en.pdf" TargetMode="External"/><Relationship Id="rId271" Type="http://schemas.openxmlformats.org/officeDocument/2006/relationships/hyperlink" Target="https://www.epddanmark.dk/media/2wxpz2t2/md-22003-en.pdf" TargetMode="External"/><Relationship Id="rId24" Type="http://schemas.openxmlformats.org/officeDocument/2006/relationships/hyperlink" Target="https://kebony.com/technology/technical-data/" TargetMode="External"/><Relationship Id="rId45" Type="http://schemas.openxmlformats.org/officeDocument/2006/relationships/hyperlink" Target="https://www.epddanmark.dk/media/bgbhluba/md-22057-en.pdf" TargetMode="External"/><Relationship Id="rId66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87" Type="http://schemas.openxmlformats.org/officeDocument/2006/relationships/hyperlink" Target="https://www.dassogroup.com/" TargetMode="External"/><Relationship Id="rId110" Type="http://schemas.openxmlformats.org/officeDocument/2006/relationships/hyperlink" Target="https://komproment.dk/wp-content/uploads/2022/06/komproment_epd_nordic.pdf" TargetMode="External"/><Relationship Id="rId131" Type="http://schemas.openxmlformats.org/officeDocument/2006/relationships/hyperlink" Target="https://komproment.dk/wp-content/uploads/2022/06/komproment_epd_tegltagsten.pdf" TargetMode="External"/><Relationship Id="rId152" Type="http://schemas.openxmlformats.org/officeDocument/2006/relationships/hyperlink" Target="https://www.epddanmark.dk/media/xbcgxy4u/md-22136-no.pdf" TargetMode="External"/><Relationship Id="rId173" Type="http://schemas.openxmlformats.org/officeDocument/2006/relationships/hyperlink" Target="https://www.epddanmark.dk/media/m5pnowqv/md-21050-en.pdf" TargetMode="External"/><Relationship Id="rId194" Type="http://schemas.openxmlformats.org/officeDocument/2006/relationships/hyperlink" Target="https://www.epddanmark.dk/media/zvtbwcor/md-21011-en-graasten-teglv%C3%A6rk.pdf" TargetMode="External"/><Relationship Id="rId208" Type="http://schemas.openxmlformats.org/officeDocument/2006/relationships/hyperlink" Target="https://www.randerstegl.dk/" TargetMode="External"/><Relationship Id="rId229" Type="http://schemas.openxmlformats.org/officeDocument/2006/relationships/hyperlink" Target="https://www.epddanmark.dk/media/wdmdukt4/md-21003-en_vind%C3%B8-teglv%C3%A6rk.pdf" TargetMode="External"/><Relationship Id="rId240" Type="http://schemas.openxmlformats.org/officeDocument/2006/relationships/hyperlink" Target="https://www.epddanmark.dk/media/0gcbnenp/md-21041-en.pdf" TargetMode="External"/><Relationship Id="rId261" Type="http://schemas.openxmlformats.org/officeDocument/2006/relationships/hyperlink" Target="https://www.epddanmark.dk/media/wlnlexvn/md-22025-en.pdf" TargetMode="External"/><Relationship Id="rId14" Type="http://schemas.openxmlformats.org/officeDocument/2006/relationships/hyperlink" Target="https://www.epd-norge.no/getfile.php/1310855-1562935118/EPDer/Byggevarer/Heltreprodukter/NEPD-1829-781_Termotre-av-gran-og-furu.pdf" TargetMode="External"/><Relationship Id="rId35" Type="http://schemas.openxmlformats.org/officeDocument/2006/relationships/hyperlink" Target="https://www.cembrit.dk/download/CHDK/environmental-product-declaration/epd-cembrit-transparent" TargetMode="External"/><Relationship Id="rId56" Type="http://schemas.openxmlformats.org/officeDocument/2006/relationships/hyperlink" Target="https://www.epddanmark.dk/media/c3xjwxti/md-23018-en.pdf" TargetMode="External"/><Relationship Id="rId77" Type="http://schemas.openxmlformats.org/officeDocument/2006/relationships/hyperlink" Target="https://www.plannja.com/dk/produkter/tag-og-facade" TargetMode="External"/><Relationship Id="rId100" Type="http://schemas.openxmlformats.org/officeDocument/2006/relationships/hyperlink" Target="https://komproment.dk/wp-content/uploads/2022/06/komproment_epd_nordic.pdf" TargetMode="External"/><Relationship Id="rId282" Type="http://schemas.openxmlformats.org/officeDocument/2006/relationships/hyperlink" Target="https://www.rheinzink.dk/produkter/materialet-rheinzink/classic/" TargetMode="External"/><Relationship Id="rId8" Type="http://schemas.openxmlformats.org/officeDocument/2006/relationships/hyperlink" Target="https://www.burntwood.dk/data/" TargetMode="External"/><Relationship Id="rId98" Type="http://schemas.openxmlformats.org/officeDocument/2006/relationships/hyperlink" Target="https://komproment.dk/wp-content/uploads/2022/06/komproment_epd_earth.pdf" TargetMode="External"/><Relationship Id="rId121" Type="http://schemas.openxmlformats.org/officeDocument/2006/relationships/hyperlink" Target="https://komproment.dk/wp-content/uploads/2022/06/komproment_epd_tegltagsten.pdf" TargetMode="External"/><Relationship Id="rId142" Type="http://schemas.openxmlformats.org/officeDocument/2006/relationships/hyperlink" Target="https://komproment.dk/type/viking-k15/" TargetMode="External"/><Relationship Id="rId163" Type="http://schemas.openxmlformats.org/officeDocument/2006/relationships/hyperlink" Target="https://www.froeslev.dk/da/vores-trae/froeslev-trykimpraegneret/" TargetMode="External"/><Relationship Id="rId184" Type="http://schemas.openxmlformats.org/officeDocument/2006/relationships/hyperlink" Target="https://www.epddanmark.dk/media/yh3o2h4g/md-21012-en-carl-matzen-teglv%C3%A6rk.pdf" TargetMode="External"/><Relationship Id="rId219" Type="http://schemas.openxmlformats.org/officeDocument/2006/relationships/hyperlink" Target="https://www.epddanmark.dk/media/pnnhvpkl/md-20030-en-vind%C3%B8-teglv%C3%A6rk.pdf" TargetMode="External"/><Relationship Id="rId230" Type="http://schemas.openxmlformats.org/officeDocument/2006/relationships/hyperlink" Target="https://www.epddanmark.dk/media/pjilfxch/md-21039-en.pdf" TargetMode="External"/><Relationship Id="rId251" Type="http://schemas.openxmlformats.org/officeDocument/2006/relationships/hyperlink" Target="https://www.egernsund.com/" TargetMode="External"/><Relationship Id="rId25" Type="http://schemas.openxmlformats.org/officeDocument/2006/relationships/hyperlink" Target="https://www.linkedin.com/posts/stig-hessellund-9625734_follow-the-algae-brick-road-to-plant-based-activity-6977145404614184961-JKXe?utm_source=share&amp;utm_medium=member_desktop" TargetMode="External"/><Relationship Id="rId46" Type="http://schemas.openxmlformats.org/officeDocument/2006/relationships/hyperlink" Target="http://www.vestaeco.com/Downloads,5.html" TargetMode="External"/><Relationship Id="rId67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272" Type="http://schemas.openxmlformats.org/officeDocument/2006/relationships/hyperlink" Target="https://www.egernsund.com/" TargetMode="External"/><Relationship Id="rId88" Type="http://schemas.openxmlformats.org/officeDocument/2006/relationships/hyperlink" Target="https://www.cembrit.dk/facade/cembrit-boelgeplader-pa-facaden" TargetMode="External"/><Relationship Id="rId111" Type="http://schemas.openxmlformats.org/officeDocument/2006/relationships/hyperlink" Target="https://komproment.dk/wp-content/uploads/2022/06/komproment_epd_nordic.pdf" TargetMode="External"/><Relationship Id="rId132" Type="http://schemas.openxmlformats.org/officeDocument/2006/relationships/hyperlink" Target="https://komproment.dk/type/nordfals-10/" TargetMode="External"/><Relationship Id="rId153" Type="http://schemas.openxmlformats.org/officeDocument/2006/relationships/hyperlink" Target="https://www.froeslev.dk/da/vores-trae/" TargetMode="External"/><Relationship Id="rId174" Type="http://schemas.openxmlformats.org/officeDocument/2006/relationships/hyperlink" Target="https://www.epddanmark.dk/media/0ecn0jxn/md-21046-en.pdf" TargetMode="External"/><Relationship Id="rId195" Type="http://schemas.openxmlformats.org/officeDocument/2006/relationships/hyperlink" Target="https://www.petersen-tegl.dk/" TargetMode="External"/><Relationship Id="rId209" Type="http://schemas.openxmlformats.org/officeDocument/2006/relationships/hyperlink" Target="https://www.epddanmark.dk/media/4lflbnnl/md-18015-en-hammersh%C3%B8j-teglv%C3%A6rk.pdf" TargetMode="External"/><Relationship Id="rId220" Type="http://schemas.openxmlformats.org/officeDocument/2006/relationships/hyperlink" Target="https://www.randerstegl.dk/" TargetMode="External"/><Relationship Id="rId241" Type="http://schemas.openxmlformats.org/officeDocument/2006/relationships/hyperlink" Target="https://www.epddanmark.dk/media/vrylzkzx/md-21053-en.pdf" TargetMode="External"/><Relationship Id="rId15" Type="http://schemas.openxmlformats.org/officeDocument/2006/relationships/hyperlink" Target="https://www.epd-norge.no/getfile.php/1310855-1562935118/EPDer/Byggevarer/Heltreprodukter/NEPD-1829-781_Termotre-av-gran-og-furu.pdf" TargetMode="External"/><Relationship Id="rId36" Type="http://schemas.openxmlformats.org/officeDocument/2006/relationships/hyperlink" Target="https://www.cembrit.dk/download/CHDK/environmental-product-declaration/epd-fibre-cement-corrugated-sheets" TargetMode="External"/><Relationship Id="rId57" Type="http://schemas.openxmlformats.org/officeDocument/2006/relationships/hyperlink" Target="https://organowood.com/wp-content/uploads/2019/02/OrganoWood-Panelvirke_DK.pdf" TargetMode="External"/><Relationship Id="rId262" Type="http://schemas.openxmlformats.org/officeDocument/2006/relationships/hyperlink" Target="https://www.epddanmark.dk/media/rhxmwxqk/md-21030-en.pdf" TargetMode="External"/><Relationship Id="rId283" Type="http://schemas.openxmlformats.org/officeDocument/2006/relationships/hyperlink" Target="https://www.rias.dk/byggeri/produkter/byg/termo-620/634" TargetMode="External"/><Relationship Id="rId78" Type="http://schemas.openxmlformats.org/officeDocument/2006/relationships/hyperlink" Target="https://www.plannja.com/dk/produkter/tag-og-facade" TargetMode="External"/><Relationship Id="rId99" Type="http://schemas.openxmlformats.org/officeDocument/2006/relationships/hyperlink" Target="https://komproment.dk/produkt/arena-earth/nordic_red/" TargetMode="External"/><Relationship Id="rId101" Type="http://schemas.openxmlformats.org/officeDocument/2006/relationships/hyperlink" Target="https://komproment.dk/wp-content/uploads/2022/06/komproment_epd_nordic.pdf" TargetMode="External"/><Relationship Id="rId122" Type="http://schemas.openxmlformats.org/officeDocument/2006/relationships/hyperlink" Target="https://komproment.dk/wp-content/uploads/2022/06/komproment_epd_tegltagsten.pdf" TargetMode="External"/><Relationship Id="rId143" Type="http://schemas.openxmlformats.org/officeDocument/2006/relationships/hyperlink" Target="https://komproment.dk/wp-content/uploads/2022/06/komproment_epd_tegltagsten.pdf" TargetMode="External"/><Relationship Id="rId164" Type="http://schemas.openxmlformats.org/officeDocument/2006/relationships/hyperlink" Target="https://de.kebony.com/wp-content/uploads/2022/03/NEPD-407-287-EN_Kebony-Clear-Radiata-.pdf" TargetMode="External"/><Relationship Id="rId185" Type="http://schemas.openxmlformats.org/officeDocument/2006/relationships/hyperlink" Target="https://www.epddanmark.dk/media/yh3o2h4g/md-21012-en-carl-matzen-teglv%C3%A6rk.pdf" TargetMode="External"/><Relationship Id="rId9" Type="http://schemas.openxmlformats.org/officeDocument/2006/relationships/hyperlink" Target="https://www.burntwood.dk/data/" TargetMode="External"/><Relationship Id="rId210" Type="http://schemas.openxmlformats.org/officeDocument/2006/relationships/hyperlink" Target="https://www.randerstegl.dk/" TargetMode="External"/><Relationship Id="rId26" Type="http://schemas.openxmlformats.org/officeDocument/2006/relationships/hyperlink" Target="https://time.com/6192603/algae-plant-buildings-carbon/" TargetMode="External"/><Relationship Id="rId231" Type="http://schemas.openxmlformats.org/officeDocument/2006/relationships/hyperlink" Target="https://www.randerstegl.dk/" TargetMode="External"/><Relationship Id="rId252" Type="http://schemas.openxmlformats.org/officeDocument/2006/relationships/hyperlink" Target="https://www.epddanmark.dk/media/hhfh4mi5/md-21029-en_21-09-21.pdf" TargetMode="External"/><Relationship Id="rId273" Type="http://schemas.openxmlformats.org/officeDocument/2006/relationships/hyperlink" Target="https://www.epddanmark.dk/media/2wxpz2t2/md-22003-en.pdf" TargetMode="External"/><Relationship Id="rId47" Type="http://schemas.openxmlformats.org/officeDocument/2006/relationships/hyperlink" Target="https://www.burntwood.dk/data/" TargetMode="External"/><Relationship Id="rId68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89" Type="http://schemas.openxmlformats.org/officeDocument/2006/relationships/hyperlink" Target="https://www.fermacell.dk/dk" TargetMode="External"/><Relationship Id="rId112" Type="http://schemas.openxmlformats.org/officeDocument/2006/relationships/hyperlink" Target="https://komproment.dk/wp-content/uploads/2022/06/komproment_epd_nordic.pdf" TargetMode="External"/><Relationship Id="rId133" Type="http://schemas.openxmlformats.org/officeDocument/2006/relationships/hyperlink" Target="https://komproment.dk/wp-content/uploads/2022/06/komproment_epd_tegltagsten.pdf" TargetMode="External"/><Relationship Id="rId154" Type="http://schemas.openxmlformats.org/officeDocument/2006/relationships/hyperlink" Target="https://www.epddanmark.dk/media/mbqbitiw/md-22134-no.pdf" TargetMode="External"/><Relationship Id="rId175" Type="http://schemas.openxmlformats.org/officeDocument/2006/relationships/hyperlink" Target="https://www.epddanmark.dk/media/zyip531m/md-21047-en.pdf" TargetMode="External"/><Relationship Id="rId196" Type="http://schemas.openxmlformats.org/officeDocument/2006/relationships/hyperlink" Target="https://www.petersen-tegl.dk/" TargetMode="External"/><Relationship Id="rId200" Type="http://schemas.openxmlformats.org/officeDocument/2006/relationships/hyperlink" Target="https://www.randerstegl.dk/" TargetMode="External"/><Relationship Id="rId16" Type="http://schemas.openxmlformats.org/officeDocument/2006/relationships/hyperlink" Target="https://www.epddanmark.dk/media/n15kzzqf/md-20033-en-fr%C3%B8slev-tr%C3%A6.pdf" TargetMode="External"/><Relationship Id="rId221" Type="http://schemas.openxmlformats.org/officeDocument/2006/relationships/hyperlink" Target="https://www.epddanmark.dk/media/pmfd2c4f/md-21002-en_vind%C3%B8-teglv%C3%A6rk.pdf" TargetMode="External"/><Relationship Id="rId242" Type="http://schemas.openxmlformats.org/officeDocument/2006/relationships/hyperlink" Target="https://www.epddanmark.dk/media/g2rhi0fs/md-21040-en.pdf" TargetMode="External"/><Relationship Id="rId263" Type="http://schemas.openxmlformats.org/officeDocument/2006/relationships/hyperlink" Target="https://www.egernsund.com/" TargetMode="External"/><Relationship Id="rId284" Type="http://schemas.openxmlformats.org/officeDocument/2006/relationships/hyperlink" Target="https://api.environdec.com/api/v1/EPDLibrary/Files/b6db59b6-723d-48f1-81da-08d941d5f1c9/Data" TargetMode="External"/><Relationship Id="rId37" Type="http://schemas.openxmlformats.org/officeDocument/2006/relationships/hyperlink" Target="https://www.cembrit.dk/download/CHDK/environmental-product-declaration/epd-fibre-cement-corrugated-sheets" TargetMode="External"/><Relationship Id="rId58" Type="http://schemas.openxmlformats.org/officeDocument/2006/relationships/hyperlink" Target="https://organowood.com/da/dokumenter/" TargetMode="External"/><Relationship Id="rId79" Type="http://schemas.openxmlformats.org/officeDocument/2006/relationships/hyperlink" Target="https://www.plannja.com/docs/default-source/documents-se/milj%C3%B6varudeklaration-eng/rts-epd_49-20_rc_colour_coated_en-1.pdf?sfvrsn=8637393797368970000" TargetMode="External"/><Relationship Id="rId102" Type="http://schemas.openxmlformats.org/officeDocument/2006/relationships/hyperlink" Target="https://komproment.dk/type/colosseum-nordic/" TargetMode="External"/><Relationship Id="rId123" Type="http://schemas.openxmlformats.org/officeDocument/2006/relationships/hyperlink" Target="https://komproment.dk/type/danfals-12/" TargetMode="External"/><Relationship Id="rId144" Type="http://schemas.openxmlformats.org/officeDocument/2006/relationships/hyperlink" Target="https://komproment.dk/wp-content/uploads/2022/06/komproment_epd_tegltagsten.pdf" TargetMode="External"/><Relationship Id="rId90" Type="http://schemas.openxmlformats.org/officeDocument/2006/relationships/hyperlink" Target="https://www.fermacell.dk/dk" TargetMode="External"/><Relationship Id="rId165" Type="http://schemas.openxmlformats.org/officeDocument/2006/relationships/hyperlink" Target="https://de.kebony.com/wp-content/uploads/2022/03/NEPD-407-287-EN_Kebony-Clear-Radiata-.pdf" TargetMode="External"/><Relationship Id="rId186" Type="http://schemas.openxmlformats.org/officeDocument/2006/relationships/hyperlink" Target="https://www.epddanmark.dk/media/kjwm1t5r/md-20043-en-graasten-teglv%C3%A6rk.pdf" TargetMode="External"/><Relationship Id="rId211" Type="http://schemas.openxmlformats.org/officeDocument/2006/relationships/hyperlink" Target="https://www.epddanmark.dk/media/qbjnmqtb/md-21016-en-hammersh%C3%B8j-teglv%C3%A6rk.pdf" TargetMode="External"/><Relationship Id="rId232" Type="http://schemas.openxmlformats.org/officeDocument/2006/relationships/hyperlink" Target="https://www.epddanmark.dk/media/xmpf53gq/md-21051-en.pdf" TargetMode="External"/><Relationship Id="rId253" Type="http://schemas.openxmlformats.org/officeDocument/2006/relationships/hyperlink" Target="https://www.egernsund.com/" TargetMode="External"/><Relationship Id="rId274" Type="http://schemas.openxmlformats.org/officeDocument/2006/relationships/hyperlink" Target="https://www.egernsund.com/" TargetMode="External"/><Relationship Id="rId27" Type="http://schemas.openxmlformats.org/officeDocument/2006/relationships/hyperlink" Target="https://www.snohetta.com/projects/558-biocrete-a-carbon-negative-concrete" TargetMode="External"/><Relationship Id="rId48" Type="http://schemas.openxmlformats.org/officeDocument/2006/relationships/hyperlink" Target="https://www.epddanmark.dk/media/bgbhluba/md-22057-en.pdf" TargetMode="External"/><Relationship Id="rId69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113" Type="http://schemas.openxmlformats.org/officeDocument/2006/relationships/hyperlink" Target="https://komproment.dk/type/pantheon-nordic/" TargetMode="External"/><Relationship Id="rId134" Type="http://schemas.openxmlformats.org/officeDocument/2006/relationships/hyperlink" Target="https://komproment.dk/wp-content/uploads/2022/06/komproment_epd_tegltagsten.pdf" TargetMode="External"/><Relationship Id="rId80" Type="http://schemas.openxmlformats.org/officeDocument/2006/relationships/hyperlink" Target="https://www.plannja.com/docs/default-source/documents-se/milj%C3%B6varudeklaration-eng/rts-epd_49-20_rc_colour_coated_en-1.pdf?sfvrsn=8637393797368970000" TargetMode="External"/><Relationship Id="rId155" Type="http://schemas.openxmlformats.org/officeDocument/2006/relationships/hyperlink" Target="https://www.froeslev.dk/da/vores-trae/" TargetMode="External"/><Relationship Id="rId176" Type="http://schemas.openxmlformats.org/officeDocument/2006/relationships/hyperlink" Target="https://www.epddanmark.dk/media/d2kag2p4/md-21049-en.pdf" TargetMode="External"/><Relationship Id="rId197" Type="http://schemas.openxmlformats.org/officeDocument/2006/relationships/hyperlink" Target="https://www.epddanmark.dk/media/jpzjdcaf/md-19006-en_rev1.pdf" TargetMode="External"/><Relationship Id="rId201" Type="http://schemas.openxmlformats.org/officeDocument/2006/relationships/hyperlink" Target="https://www.epddanmark.dk/media/vmtp3un1/md-17002-en_rev1-hammersh%C3%B8j-teglv%C3%A6rk.pdf" TargetMode="External"/><Relationship Id="rId222" Type="http://schemas.openxmlformats.org/officeDocument/2006/relationships/hyperlink" Target="https://www.randerstegl.dk/" TargetMode="External"/><Relationship Id="rId243" Type="http://schemas.openxmlformats.org/officeDocument/2006/relationships/hyperlink" Target="https://www.randerstegl.dk/" TargetMode="External"/><Relationship Id="rId264" Type="http://schemas.openxmlformats.org/officeDocument/2006/relationships/hyperlink" Target="https://www.epddanmark.dk/media/ieph3xmp/md-21063-en.pdf" TargetMode="External"/><Relationship Id="rId285" Type="http://schemas.openxmlformats.org/officeDocument/2006/relationships/hyperlink" Target="https://api.environdec.com/api/v1/EPDLibrary/Files/b6db59b6-723d-48f1-81da-08d941d5f1c9/Data" TargetMode="External"/><Relationship Id="rId17" Type="http://schemas.openxmlformats.org/officeDocument/2006/relationships/hyperlink" Target="https://www.epddanmark.dk/media/i3cgftcp/md-20032-en-fr%C3%B8slev-tr%C3%A6.pdf" TargetMode="External"/><Relationship Id="rId38" Type="http://schemas.openxmlformats.org/officeDocument/2006/relationships/hyperlink" Target="https://www.epddanmark.dk/media/bgbhluba/md-22057-en.pdf" TargetMode="External"/><Relationship Id="rId59" Type="http://schemas.openxmlformats.org/officeDocument/2006/relationships/hyperlink" Target="https://dk.kebony.com/technology/technical-data/" TargetMode="External"/><Relationship Id="rId103" Type="http://schemas.openxmlformats.org/officeDocument/2006/relationships/hyperlink" Target="https://komproment.dk/wp-content/uploads/2022/06/komproment_epd_nordic.pdf" TargetMode="External"/><Relationship Id="rId124" Type="http://schemas.openxmlformats.org/officeDocument/2006/relationships/hyperlink" Target="https://komproment.dk/wp-content/uploads/2022/06/komproment_epd_tegltagsten.pdf" TargetMode="External"/><Relationship Id="rId70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91" Type="http://schemas.openxmlformats.org/officeDocument/2006/relationships/hyperlink" Target="https://www.fermacell.dk/dk" TargetMode="External"/><Relationship Id="rId145" Type="http://schemas.openxmlformats.org/officeDocument/2006/relationships/hyperlink" Target="https://komproment.dk/type/viking-oeko-k9/" TargetMode="External"/><Relationship Id="rId166" Type="http://schemas.openxmlformats.org/officeDocument/2006/relationships/hyperlink" Target="https://www.epddanmark.dk/media/1a0bhxw1/md-23007-en.pdf" TargetMode="External"/><Relationship Id="rId187" Type="http://schemas.openxmlformats.org/officeDocument/2006/relationships/hyperlink" Target="https://www.epddanmark.dk/media/kjwm1t5r/md-20043-en-graasten-teglv%C3%A6rk.pdf" TargetMode="External"/><Relationship Id="rId1" Type="http://schemas.openxmlformats.org/officeDocument/2006/relationships/hyperlink" Target="https://www.amorimcorkinsulation.com/en/products/" TargetMode="External"/><Relationship Id="rId212" Type="http://schemas.openxmlformats.org/officeDocument/2006/relationships/hyperlink" Target="https://www.epddanmark.dk/media/qbjnmqtb/md-21016-en-hammersh%C3%B8j-teglv%C3%A6rk.pdf" TargetMode="External"/><Relationship Id="rId233" Type="http://schemas.openxmlformats.org/officeDocument/2006/relationships/hyperlink" Target="https://www.epddanmark.dk/media/cdjjkjtr/md-14003-en_rev1-hammersh%C3%B8j-teglv%C3%A6rk.pdf" TargetMode="External"/><Relationship Id="rId254" Type="http://schemas.openxmlformats.org/officeDocument/2006/relationships/hyperlink" Target="https://www.egernsund.com/" TargetMode="External"/><Relationship Id="rId28" Type="http://schemas.openxmlformats.org/officeDocument/2006/relationships/hyperlink" Target="https://www.colorado.edu/today/2022/06/23/cities-future-may-be-built-algae-grown-limestone" TargetMode="External"/><Relationship Id="rId49" Type="http://schemas.openxmlformats.org/officeDocument/2006/relationships/hyperlink" Target="https://www.epddanmark.dk/media/sytplr4f/md-22122-en.pdf" TargetMode="External"/><Relationship Id="rId114" Type="http://schemas.openxmlformats.org/officeDocument/2006/relationships/hyperlink" Target="https://komproment.dk/type/pantheon-nordic/" TargetMode="External"/><Relationship Id="rId275" Type="http://schemas.openxmlformats.org/officeDocument/2006/relationships/hyperlink" Target="https://www.epddanmark.dk/media/1raprm1d/md-21027-en.pdf" TargetMode="External"/><Relationship Id="rId60" Type="http://schemas.openxmlformats.org/officeDocument/2006/relationships/hyperlink" Target="https://dk.kebony.com/technology/technical-data/" TargetMode="External"/><Relationship Id="rId81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135" Type="http://schemas.openxmlformats.org/officeDocument/2006/relationships/hyperlink" Target="https://komproment.dk/type/planfals-11/" TargetMode="External"/><Relationship Id="rId156" Type="http://schemas.openxmlformats.org/officeDocument/2006/relationships/hyperlink" Target="https://www.froeslev.dk/da/vores-trae/" TargetMode="External"/><Relationship Id="rId177" Type="http://schemas.openxmlformats.org/officeDocument/2006/relationships/hyperlink" Target="https://www.epddanmark.dk/media/rbuhoczk/md-21045-en.pdf" TargetMode="External"/><Relationship Id="rId198" Type="http://schemas.openxmlformats.org/officeDocument/2006/relationships/hyperlink" Target="https://www.epddanmark.dk/media/jpzjdcaf/md-19006-en_rev1.pdf" TargetMode="External"/><Relationship Id="rId202" Type="http://schemas.openxmlformats.org/officeDocument/2006/relationships/hyperlink" Target="https://www.randerstegl.dk/" TargetMode="External"/><Relationship Id="rId223" Type="http://schemas.openxmlformats.org/officeDocument/2006/relationships/hyperlink" Target="https://www.epddanmark.dk/media/ahgln20f/md-21043-en.pdf" TargetMode="External"/><Relationship Id="rId244" Type="http://schemas.openxmlformats.org/officeDocument/2006/relationships/hyperlink" Target="https://www.epddanmark.dk/media/xsgji3vz/md-21052-en.pdf" TargetMode="External"/><Relationship Id="rId18" Type="http://schemas.openxmlformats.org/officeDocument/2006/relationships/hyperlink" Target="https://biomason.com/wp-content/uploads/2022/04/29-oct-21_biomason-press-release_ibf.pdf" TargetMode="External"/><Relationship Id="rId39" Type="http://schemas.openxmlformats.org/officeDocument/2006/relationships/hyperlink" Target="https://www.epddanmark.dk/media/bgbhluba/md-22057-en.pdf" TargetMode="External"/><Relationship Id="rId265" Type="http://schemas.openxmlformats.org/officeDocument/2006/relationships/hyperlink" Target="https://www.egernsund.com/" TargetMode="External"/><Relationship Id="rId286" Type="http://schemas.openxmlformats.org/officeDocument/2006/relationships/hyperlink" Target="https://api.environdec.com/api/v1/EPDLibrary/Files/b6db59b6-723d-48f1-81da-08d941d5f1c9/Data" TargetMode="External"/><Relationship Id="rId50" Type="http://schemas.openxmlformats.org/officeDocument/2006/relationships/hyperlink" Target="https://kebony.com/wp-content/uploads/2023/01/NEPD-3515-2106_Kebony-Character-Scots-Pine-Roofing.pdf" TargetMode="External"/><Relationship Id="rId104" Type="http://schemas.openxmlformats.org/officeDocument/2006/relationships/hyperlink" Target="https://komproment.dk/wp-content/uploads/2022/06/komproment_epd_nordic.pdf" TargetMode="External"/><Relationship Id="rId125" Type="http://schemas.openxmlformats.org/officeDocument/2006/relationships/hyperlink" Target="https://komproment.dk/wp-content/uploads/2022/06/komproment_epd_tegltagsten.pdf" TargetMode="External"/><Relationship Id="rId146" Type="http://schemas.openxmlformats.org/officeDocument/2006/relationships/hyperlink" Target="https://komproment.dk/produkt/naturskifer-til-tag/traditionel-skifer/" TargetMode="External"/><Relationship Id="rId167" Type="http://schemas.openxmlformats.org/officeDocument/2006/relationships/hyperlink" Target="https://genbrugssten.dk/?gclid=CjwKCAjw3POhBhBQEiwAqTCuBi5nrTiwg8lKh7_Oys1tvnjAJRLYyMvTe4j8ZnaV8jWW4r-k-S7aLhoCFyUQAvD_BwE" TargetMode="External"/><Relationship Id="rId188" Type="http://schemas.openxmlformats.org/officeDocument/2006/relationships/hyperlink" Target="https://www.matzen-tegl.dk/" TargetMode="External"/><Relationship Id="rId71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92" Type="http://schemas.openxmlformats.org/officeDocument/2006/relationships/hyperlink" Target="https://komproment.dk/wp-content/uploads/2022/06/komproment_epd_earth.pdf" TargetMode="External"/><Relationship Id="rId213" Type="http://schemas.openxmlformats.org/officeDocument/2006/relationships/hyperlink" Target="https://www.randerstegl.dk/" TargetMode="External"/><Relationship Id="rId234" Type="http://schemas.openxmlformats.org/officeDocument/2006/relationships/hyperlink" Target="https://www.epddanmark.dk/media/cdjjkjtr/md-14003-en_rev1-hammersh%C3%B8j-teglv%C3%A6rk.pdf" TargetMode="External"/><Relationship Id="rId2" Type="http://schemas.openxmlformats.org/officeDocument/2006/relationships/hyperlink" Target="https://www.conluto.de/produkt/schwere-lehmsteine/" TargetMode="External"/><Relationship Id="rId29" Type="http://schemas.openxmlformats.org/officeDocument/2006/relationships/hyperlink" Target="https://www.cembrit.dk/download/CHDK/environmental-product-declaration/epd-fibre-cement-facade-rain-screen-claddings" TargetMode="External"/><Relationship Id="rId255" Type="http://schemas.openxmlformats.org/officeDocument/2006/relationships/hyperlink" Target="https://www.epddanmark.dk/media/b4ufdjqj/md-21062-en.pdf" TargetMode="External"/><Relationship Id="rId276" Type="http://schemas.openxmlformats.org/officeDocument/2006/relationships/hyperlink" Target="https://www.egernsund.com/" TargetMode="External"/><Relationship Id="rId40" Type="http://schemas.openxmlformats.org/officeDocument/2006/relationships/hyperlink" Target="http://www.vestaeco.com/Downloads,5.html" TargetMode="External"/><Relationship Id="rId115" Type="http://schemas.openxmlformats.org/officeDocument/2006/relationships/hyperlink" Target="https://komproment.dk/type/colosseum-nordic/" TargetMode="External"/><Relationship Id="rId136" Type="http://schemas.openxmlformats.org/officeDocument/2006/relationships/hyperlink" Target="https://komproment.dk/type/thormod/" TargetMode="External"/><Relationship Id="rId157" Type="http://schemas.openxmlformats.org/officeDocument/2006/relationships/hyperlink" Target="https://www.epddanmark.dk/media/eruax4av/md-22135-no.pdf" TargetMode="External"/><Relationship Id="rId178" Type="http://schemas.openxmlformats.org/officeDocument/2006/relationships/hyperlink" Target="https://www.epddanmark.dk/media/3ygixaz5/md-20044-en-carl-matzen-teglv%C3%A6rk.pdf" TargetMode="External"/><Relationship Id="rId61" Type="http://schemas.openxmlformats.org/officeDocument/2006/relationships/hyperlink" Target="https://dk.kebony.com/technology/technical-data/" TargetMode="External"/><Relationship Id="rId82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199" Type="http://schemas.openxmlformats.org/officeDocument/2006/relationships/hyperlink" Target="https://www.epddanmark.dk/media/vmtp3un1/md-17002-en_rev1-hammersh%C3%B8j-teglv%C3%A6rk.pdf" TargetMode="External"/><Relationship Id="rId203" Type="http://schemas.openxmlformats.org/officeDocument/2006/relationships/hyperlink" Target="https://www.randerstegl.dk/" TargetMode="External"/><Relationship Id="rId19" Type="http://schemas.openxmlformats.org/officeDocument/2006/relationships/hyperlink" Target="https://app.2050-materials.com/product/details_designer/moso-international-b-v-bamboo-x-treme-r-decking/" TargetMode="External"/><Relationship Id="rId224" Type="http://schemas.openxmlformats.org/officeDocument/2006/relationships/hyperlink" Target="https://www.randerstegl.dk/" TargetMode="External"/><Relationship Id="rId245" Type="http://schemas.openxmlformats.org/officeDocument/2006/relationships/hyperlink" Target="https://www.epddanmark.dk/media/eoabwo3d/md-20029-en-vind%C3%B8-teglv%C3%A6rk.pdf" TargetMode="External"/><Relationship Id="rId266" Type="http://schemas.openxmlformats.org/officeDocument/2006/relationships/hyperlink" Target="https://www.epddanmark.dk/media/2oohm0yx/md-21059-en.pdf" TargetMode="External"/><Relationship Id="rId287" Type="http://schemas.openxmlformats.org/officeDocument/2006/relationships/printerSettings" Target="../printerSettings/printerSettings3.bin"/><Relationship Id="rId30" Type="http://schemas.openxmlformats.org/officeDocument/2006/relationships/hyperlink" Target="https://www.cembrit.dk/download/CHDK/environmental-product-declaration/epd-fibre-cement-facade-rain-screen-claddings" TargetMode="External"/><Relationship Id="rId105" Type="http://schemas.openxmlformats.org/officeDocument/2006/relationships/hyperlink" Target="https://komproment.dk/wp-content/uploads/2022/06/komproment_epd_nordic.pdf" TargetMode="External"/><Relationship Id="rId126" Type="http://schemas.openxmlformats.org/officeDocument/2006/relationships/hyperlink" Target="https://komproment.dk/type/gigant/" TargetMode="External"/><Relationship Id="rId147" Type="http://schemas.openxmlformats.org/officeDocument/2006/relationships/hyperlink" Target="https://komproment.dk/produkt/naturskifer-til-tag/koncept-roof/" TargetMode="External"/><Relationship Id="rId168" Type="http://schemas.openxmlformats.org/officeDocument/2006/relationships/hyperlink" Target="http://gamlemursten.dk/?gclid=CjwKCAjw3POhBhBQEiwAqTCuBrY41Qi4Yltqg8JqHLYXvIHDG_JlSzVLppmJowVo1gOJOc132_O4jxoC26YQAvD_BwE" TargetMode="External"/><Relationship Id="rId51" Type="http://schemas.openxmlformats.org/officeDocument/2006/relationships/hyperlink" Target="https://kebony.com/wp-content/uploads/2023/01/NEPD-3515-2106_Kebony-Character-Scots-Pine-Roofing.pdf" TargetMode="External"/><Relationship Id="rId72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93" Type="http://schemas.openxmlformats.org/officeDocument/2006/relationships/hyperlink" Target="https://komproment.dk/produkt/arena-earth/nordic_red/" TargetMode="External"/><Relationship Id="rId189" Type="http://schemas.openxmlformats.org/officeDocument/2006/relationships/hyperlink" Target="https://www.epddanmark.dk/media/kjwm1t5r/md-20043-en-graasten-teglv%C3%A6rk.pdf" TargetMode="External"/><Relationship Id="rId3" Type="http://schemas.openxmlformats.org/officeDocument/2006/relationships/hyperlink" Target="https://www.conluto.de/produkt/leichtlehmsteine/" TargetMode="External"/><Relationship Id="rId214" Type="http://schemas.openxmlformats.org/officeDocument/2006/relationships/hyperlink" Target="https://www.randerstegl.dk/" TargetMode="External"/><Relationship Id="rId235" Type="http://schemas.openxmlformats.org/officeDocument/2006/relationships/hyperlink" Target="https://www.randerstegl.dk/" TargetMode="External"/><Relationship Id="rId256" Type="http://schemas.openxmlformats.org/officeDocument/2006/relationships/hyperlink" Target="https://www.epddanmark.dk/media/2qvkbcik/md-22004-en.pdf" TargetMode="External"/><Relationship Id="rId277" Type="http://schemas.openxmlformats.org/officeDocument/2006/relationships/hyperlink" Target="https://www.rias.dk/byggeri/downloads/epd" TargetMode="External"/><Relationship Id="rId116" Type="http://schemas.openxmlformats.org/officeDocument/2006/relationships/hyperlink" Target="https://komproment.dk/wp-content/uploads/2022/06/komproment_vidar_epd.pdf" TargetMode="External"/><Relationship Id="rId137" Type="http://schemas.openxmlformats.org/officeDocument/2006/relationships/hyperlink" Target="https://komproment.dk/wp-content/uploads/2022/06/komproment_epd_tegltagsten.pdf" TargetMode="External"/><Relationship Id="rId158" Type="http://schemas.openxmlformats.org/officeDocument/2006/relationships/hyperlink" Target="https://www.epddanmark.dk/media/ihlhqib3/md-22137-no.pdf" TargetMode="External"/><Relationship Id="rId20" Type="http://schemas.openxmlformats.org/officeDocument/2006/relationships/hyperlink" Target="https://www.moso-bamboo.com/product/bamboo-x-treme-decking/" TargetMode="External"/><Relationship Id="rId41" Type="http://schemas.openxmlformats.org/officeDocument/2006/relationships/hyperlink" Target="https://www.burntwood.dk/data/" TargetMode="External"/><Relationship Id="rId62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83" Type="http://schemas.openxmlformats.org/officeDocument/2006/relationships/hyperlink" Target="https://www.plannja.com/docs/default-source/documents-se/milj%C3%B6varudeklaration-eng/rts-epd_49-20_rc_colour_coated_en-1.pdf?sfvrsn=8637393797368970000" TargetMode="External"/><Relationship Id="rId179" Type="http://schemas.openxmlformats.org/officeDocument/2006/relationships/hyperlink" Target="https://www.epddanmark.dk/media/3ygixaz5/md-20044-en-carl-matzen-teglv%C3%A6rk.pdf" TargetMode="External"/><Relationship Id="rId190" Type="http://schemas.openxmlformats.org/officeDocument/2006/relationships/hyperlink" Target="https://www.matzen-tegl.dk/" TargetMode="External"/><Relationship Id="rId204" Type="http://schemas.openxmlformats.org/officeDocument/2006/relationships/hyperlink" Target="https://www.randerstegl.dk/" TargetMode="External"/><Relationship Id="rId225" Type="http://schemas.openxmlformats.org/officeDocument/2006/relationships/hyperlink" Target="https://www.randerstegl.dk/" TargetMode="External"/><Relationship Id="rId246" Type="http://schemas.openxmlformats.org/officeDocument/2006/relationships/hyperlink" Target="https://www.randerstegl.dk/" TargetMode="External"/><Relationship Id="rId267" Type="http://schemas.openxmlformats.org/officeDocument/2006/relationships/hyperlink" Target="https://www.egernsund.com/" TargetMode="External"/><Relationship Id="rId288" Type="http://schemas.openxmlformats.org/officeDocument/2006/relationships/drawing" Target="../drawings/drawing3.xml"/><Relationship Id="rId106" Type="http://schemas.openxmlformats.org/officeDocument/2006/relationships/hyperlink" Target="https://komproment.dk/wp-content/uploads/2022/06/komproment_epd_nordic.pdf" TargetMode="External"/><Relationship Id="rId127" Type="http://schemas.openxmlformats.org/officeDocument/2006/relationships/hyperlink" Target="https://komproment.dk/wp-content/uploads/2022/06/komproment_epd_tegltagsten.pdf" TargetMode="External"/><Relationship Id="rId10" Type="http://schemas.openxmlformats.org/officeDocument/2006/relationships/hyperlink" Target="https://www.moelven.com/globalassets/moelven-danmark/thermowood/ydelseserklaring-tw-2018.pdf" TargetMode="External"/><Relationship Id="rId31" Type="http://schemas.openxmlformats.org/officeDocument/2006/relationships/hyperlink" Target="https://www.cembrit.dk/download/CHDK/english-DoP/029-dop-cembrit-patina-original" TargetMode="External"/><Relationship Id="rId52" Type="http://schemas.openxmlformats.org/officeDocument/2006/relationships/hyperlink" Target="https://kebony.com/technology/technical-data/" TargetMode="External"/><Relationship Id="rId73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94" Type="http://schemas.openxmlformats.org/officeDocument/2006/relationships/hyperlink" Target="https://komproment.dk/wp-content/uploads/2022/06/komproment_epd_earth.pdf" TargetMode="External"/><Relationship Id="rId148" Type="http://schemas.openxmlformats.org/officeDocument/2006/relationships/hyperlink" Target="https://komproment.dk/type/vingefals/" TargetMode="External"/><Relationship Id="rId169" Type="http://schemas.openxmlformats.org/officeDocument/2006/relationships/hyperlink" Target="https://www.epddanmark.dk/media/ft5iom00/md-16007-en-gamle-mursten.pdf" TargetMode="External"/><Relationship Id="rId4" Type="http://schemas.openxmlformats.org/officeDocument/2006/relationships/hyperlink" Target="https://www.epddanmark.dk/media/n15kzzqf/md-20033-en-fr%C3%B8slev-tr%C3%A6.pdf" TargetMode="External"/><Relationship Id="rId180" Type="http://schemas.openxmlformats.org/officeDocument/2006/relationships/hyperlink" Target="https://www.matzen-tegl.dk/" TargetMode="External"/><Relationship Id="rId215" Type="http://schemas.openxmlformats.org/officeDocument/2006/relationships/hyperlink" Target="https://www.epddanmark.dk/media/ru5cpnry/md-21042-en.pdf" TargetMode="External"/><Relationship Id="rId236" Type="http://schemas.openxmlformats.org/officeDocument/2006/relationships/hyperlink" Target="https://www.epddanmark.dk/media/mwrjv1ow/md-21014-en-hammersh%C3%B8j-teglv%C3%A6rk.pdf" TargetMode="External"/><Relationship Id="rId257" Type="http://schemas.openxmlformats.org/officeDocument/2006/relationships/hyperlink" Target="https://www.egernsund.com/" TargetMode="External"/><Relationship Id="rId278" Type="http://schemas.openxmlformats.org/officeDocument/2006/relationships/hyperlink" Target="https://www.epddanmark.dk/media/zq2hqwps/md-20035-en-rheinzink-danmark-rheinzink-gmbh-co-kg.pdf" TargetMode="External"/><Relationship Id="rId42" Type="http://schemas.openxmlformats.org/officeDocument/2006/relationships/hyperlink" Target="https://www.epddanmark.dk/media/bgbhluba/md-22057-en.pdf" TargetMode="External"/><Relationship Id="rId84" Type="http://schemas.openxmlformats.org/officeDocument/2006/relationships/hyperlink" Target="https://www.plannja.com/docs/default-source/documents-se/milj%C3%B6varudeklaration-eng/rts-epd_49-20_rc_colour_coated_en-1.pdf?sfvrsn=8637393797368970000" TargetMode="External"/><Relationship Id="rId138" Type="http://schemas.openxmlformats.org/officeDocument/2006/relationships/hyperlink" Target="https://komproment.dk/wp-content/uploads/2022/06/komproment_epd_tegltagsten.pdf" TargetMode="External"/><Relationship Id="rId191" Type="http://schemas.openxmlformats.org/officeDocument/2006/relationships/hyperlink" Target="https://www.matzen-tegl.dk/" TargetMode="External"/><Relationship Id="rId205" Type="http://schemas.openxmlformats.org/officeDocument/2006/relationships/hyperlink" Target="https://www.epddanmark.dk/media/sjynx1tb/md-21015-en-hammersh%C3%B8j-teglv%C3%A6rk.pdf" TargetMode="External"/><Relationship Id="rId247" Type="http://schemas.openxmlformats.org/officeDocument/2006/relationships/hyperlink" Target="https://www.epddanmark.dk/media/ddtftbhc/md-21001-en_vind%C3%B8-teglv%C3%A6rk.pdf" TargetMode="External"/><Relationship Id="rId107" Type="http://schemas.openxmlformats.org/officeDocument/2006/relationships/hyperlink" Target="https://komproment.dk/wp-content/uploads/2022/06/komproment_epd_nordic.pdf" TargetMode="External"/><Relationship Id="rId289" Type="http://schemas.openxmlformats.org/officeDocument/2006/relationships/vmlDrawing" Target="../drawings/vmlDrawing2.vml"/><Relationship Id="rId11" Type="http://schemas.openxmlformats.org/officeDocument/2006/relationships/hyperlink" Target="https://www.moelven.com/globalassets/moelven-danmark/thermowood/moelven_ydelseserklaringerdk_thermowood-19-48mm_brand.pdf" TargetMode="External"/><Relationship Id="rId53" Type="http://schemas.openxmlformats.org/officeDocument/2006/relationships/hyperlink" Target="https://www.accoya.com/app/uploads/2022/06/20220509_EPD_EN-15804-A2__Accoya_Cladding.pdf" TargetMode="External"/><Relationship Id="rId149" Type="http://schemas.openxmlformats.org/officeDocument/2006/relationships/hyperlink" Target="https://komproment.dk/type/dobbelt-d/" TargetMode="External"/><Relationship Id="rId95" Type="http://schemas.openxmlformats.org/officeDocument/2006/relationships/hyperlink" Target="https://komproment.dk/produkt/arena-earth/nordic_red/" TargetMode="External"/><Relationship Id="rId160" Type="http://schemas.openxmlformats.org/officeDocument/2006/relationships/hyperlink" Target="https://www.froeslev.dk/da/vores-trae/Froeslev-Flamewood-Shou-Sugi-Ban/" TargetMode="External"/><Relationship Id="rId216" Type="http://schemas.openxmlformats.org/officeDocument/2006/relationships/hyperlink" Target="https://www.randerstegl.dk/" TargetMode="External"/><Relationship Id="rId258" Type="http://schemas.openxmlformats.org/officeDocument/2006/relationships/hyperlink" Target="https://www.egernsund.com/" TargetMode="External"/><Relationship Id="rId22" Type="http://schemas.openxmlformats.org/officeDocument/2006/relationships/hyperlink" Target="https://kebony.com/wp-content/uploads/2023/01/NEPD-3513-2106_Kebony-Character-Scots-Pine-Cladding.pdf" TargetMode="External"/><Relationship Id="rId64" Type="http://schemas.openxmlformats.org/officeDocument/2006/relationships/hyperlink" Target="https://www.plannja.com/docs/default-source/plannja-dk-documents/dk-tag-og-montage/dk-plannja-tag-og-facade-2022-2.pdf?sfvrsn=15638027977204130000" TargetMode="External"/><Relationship Id="rId118" Type="http://schemas.openxmlformats.org/officeDocument/2006/relationships/hyperlink" Target="https://komproment.dk/type/vidar-teglspaan/" TargetMode="External"/><Relationship Id="rId171" Type="http://schemas.openxmlformats.org/officeDocument/2006/relationships/hyperlink" Target="https://www.strojertegl.dk/" TargetMode="External"/><Relationship Id="rId227" Type="http://schemas.openxmlformats.org/officeDocument/2006/relationships/hyperlink" Target="https://www.epddanmark.dk/media/cachyvuo/md-20031-en-vind%C3%B8-teglv%C3%A6rk.pdf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aint-gobain.dk/produktoversigt?f%5B0%5D=sgdk_brand_product_listing%3A3916&amp;gclid=Cj0KCQiAx6ugBhCcARIsAGNmMbh9biY861WRyUDgEx69i9C-nsDN9zefplkIodp0boas2SpH9E79iL4aAmLFEALw_wcB" TargetMode="External"/><Relationship Id="rId21" Type="http://schemas.openxmlformats.org/officeDocument/2006/relationships/hyperlink" Target="https://www.epd-norge.no/getfile.php/137033-1643469986/EPDer/Byggevarer/Bygningsplater/NEPD-1248-401_Hunton-Undertak---.pdf" TargetMode="External"/><Relationship Id="rId42" Type="http://schemas.openxmlformats.org/officeDocument/2006/relationships/hyperlink" Target="https://fibo.no/content/uploads/2020/05/EPD-Fibo-Veggpanel-Kitchen-Board.pdf" TargetMode="External"/><Relationship Id="rId63" Type="http://schemas.openxmlformats.org/officeDocument/2006/relationships/hyperlink" Target="https://www.epd-norge.no/getfile.php/1322857-1646218832/EPDer/Byggevarer/Bygningsplater/NEPD-3364-1995_Gyproc-Normal-----Standard-Plasterboard----.pdf" TargetMode="External"/><Relationship Id="rId84" Type="http://schemas.openxmlformats.org/officeDocument/2006/relationships/hyperlink" Target="https://www.knauf.dk/produkter/lette-byggesystemer/byggeplader/indvendige-byggeplader/solid-wet-board/" TargetMode="External"/><Relationship Id="rId138" Type="http://schemas.openxmlformats.org/officeDocument/2006/relationships/hyperlink" Target="https://rindom.dk/produkter/miljoevenlige-vaegpaneler/huntonit-loft.aspx" TargetMode="External"/><Relationship Id="rId159" Type="http://schemas.openxmlformats.org/officeDocument/2006/relationships/hyperlink" Target="https://ibu-epd.com/en/published-epds/" TargetMode="External"/><Relationship Id="rId170" Type="http://schemas.openxmlformats.org/officeDocument/2006/relationships/hyperlink" Target="https://www.epd-norge.no/getfile.php/1312068-1578650752/EPDer/Byggevarer/Bygningsplater/NEPD-2001-885_Forestia-Sponplater-Standard.pdf" TargetMode="External"/><Relationship Id="rId191" Type="http://schemas.openxmlformats.org/officeDocument/2006/relationships/hyperlink" Target="https://ibu-epd.com/en/published-epds/" TargetMode="External"/><Relationship Id="rId205" Type="http://schemas.openxmlformats.org/officeDocument/2006/relationships/hyperlink" Target="https://www.tibnor.dk/" TargetMode="External"/><Relationship Id="rId226" Type="http://schemas.openxmlformats.org/officeDocument/2006/relationships/hyperlink" Target="https://web.steico.com/fileadmin/steico/content/pdf/Marketing/Danish/Produkte/STEICOisorel_dk_i.pdf" TargetMode="External"/><Relationship Id="rId107" Type="http://schemas.openxmlformats.org/officeDocument/2006/relationships/hyperlink" Target="http://www.traefiberdanmark.dk/" TargetMode="External"/><Relationship Id="rId11" Type="http://schemas.openxmlformats.org/officeDocument/2006/relationships/hyperlink" Target="https://hunton.dk/dokumentation/" TargetMode="External"/><Relationship Id="rId32" Type="http://schemas.openxmlformats.org/officeDocument/2006/relationships/hyperlink" Target="https://hunton.dk/wp-content/uploads/sites/15/2021/07/EPD_Hunton-Silencio_v01-21_NO_SE_DK.pdf" TargetMode="External"/><Relationship Id="rId53" Type="http://schemas.openxmlformats.org/officeDocument/2006/relationships/hyperlink" Target="http://www.vestaeco.com/Downloads,5.html" TargetMode="External"/><Relationship Id="rId74" Type="http://schemas.openxmlformats.org/officeDocument/2006/relationships/hyperlink" Target="https://www.epddanmark.dk/media/hlpjuptq/md-21088-en.pdf" TargetMode="External"/><Relationship Id="rId128" Type="http://schemas.openxmlformats.org/officeDocument/2006/relationships/hyperlink" Target="https://www.fermacell.dk/dk" TargetMode="External"/><Relationship Id="rId149" Type="http://schemas.openxmlformats.org/officeDocument/2006/relationships/hyperlink" Target="https://www.cembrit.dk/facade/cembrit-boelgeplader-pa-facaden" TargetMode="External"/><Relationship Id="rId5" Type="http://schemas.openxmlformats.org/officeDocument/2006/relationships/hyperlink" Target="https://www.sould.dk/material-menu" TargetMode="External"/><Relationship Id="rId95" Type="http://schemas.openxmlformats.org/officeDocument/2006/relationships/hyperlink" Target="https://tricoya.com/downloads/" TargetMode="External"/><Relationship Id="rId160" Type="http://schemas.openxmlformats.org/officeDocument/2006/relationships/hyperlink" Target="https://ibu-epd.com/en/published-epds/" TargetMode="External"/><Relationship Id="rId181" Type="http://schemas.openxmlformats.org/officeDocument/2006/relationships/hyperlink" Target="https://www.epd-norge.no/getfile.php/1312080-1578651151/EPDer/Byggevarer/Bygningsplater/NEPD-2003-885_Forestia-Sponplater-Ekstra_en.pdf" TargetMode="External"/><Relationship Id="rId216" Type="http://schemas.openxmlformats.org/officeDocument/2006/relationships/hyperlink" Target="https://www.sonaearauco.com/" TargetMode="External"/><Relationship Id="rId237" Type="http://schemas.openxmlformats.org/officeDocument/2006/relationships/drawing" Target="../drawings/drawing4.xml"/><Relationship Id="rId22" Type="http://schemas.openxmlformats.org/officeDocument/2006/relationships/hyperlink" Target="https://6579fb99-c1c8-49d0-a76a-b46c2bfa3a7b.filesusr.com/ugd/390f48_d1b2014dd4a044cab8af24f3ff623af3.pdf" TargetMode="External"/><Relationship Id="rId43" Type="http://schemas.openxmlformats.org/officeDocument/2006/relationships/hyperlink" Target="https://fibo.no/teknisk-dokumentasjon/" TargetMode="External"/><Relationship Id="rId64" Type="http://schemas.openxmlformats.org/officeDocument/2006/relationships/hyperlink" Target="https://www.epd-norge.no/getfile.php/1322857-1646218832/EPDer/Byggevarer/Bygningsplater/NEPD-3364-1995_Gyproc-Normal-----Standard-Plasterboard----.pdf" TargetMode="External"/><Relationship Id="rId118" Type="http://schemas.openxmlformats.org/officeDocument/2006/relationships/hyperlink" Target="https://www.saint-gobain.dk/produktoversigt?f%5B0%5D=sgdk_brand_product_listing%3A3916&amp;gclid=Cj0KCQiAx6ugBhCcARIsAGNmMbh9biY861WRyUDgEx69i9C-nsDN9zefplkIodp0boas2SpH9E79iL4aAmLFEALw_wcB" TargetMode="External"/><Relationship Id="rId139" Type="http://schemas.openxmlformats.org/officeDocument/2006/relationships/hyperlink" Target="https://www.epddanmark.dk/media/cvrp5cne/md-23083-en.pdf" TargetMode="External"/><Relationship Id="rId85" Type="http://schemas.openxmlformats.org/officeDocument/2006/relationships/hyperlink" Target="https://www.epddanmark.dk/media/pstojx55/md-21092-en.pdf" TargetMode="External"/><Relationship Id="rId150" Type="http://schemas.openxmlformats.org/officeDocument/2006/relationships/hyperlink" Target="https://www.epd-norge.no/getfile.php/1312068-1578650752/EPDer/Byggevarer/Bygningsplater/NEPD-2001-885_Forestia-Sponplater-Standard.pdf" TargetMode="External"/><Relationship Id="rId171" Type="http://schemas.openxmlformats.org/officeDocument/2006/relationships/hyperlink" Target="https://www.epd-norge.no/getfile.php/1316011-1604944439/EPDer/Byggevarer/St%C3%A5lkonstruksjoner/NEPD-2520-1267_Varmvalsede-stalplater.pdf" TargetMode="External"/><Relationship Id="rId192" Type="http://schemas.openxmlformats.org/officeDocument/2006/relationships/hyperlink" Target="https://ibu-epd.com/en/published-epds/" TargetMode="External"/><Relationship Id="rId206" Type="http://schemas.openxmlformats.org/officeDocument/2006/relationships/hyperlink" Target="https://www.tibnor.dk/St%C3%A5l/Plade/Vejrbestandige-plader/SSAB-Weathering-355-S355J2WP/p/407003004878?vc=000000000000347440" TargetMode="External"/><Relationship Id="rId227" Type="http://schemas.openxmlformats.org/officeDocument/2006/relationships/hyperlink" Target="https://www.steico.com/fileadmin/user_upload/importer/downloads/4028b6097384810e017496e8a94062e9/STEICOfloor_en_i.pdf" TargetMode="External"/><Relationship Id="rId12" Type="http://schemas.openxmlformats.org/officeDocument/2006/relationships/hyperlink" Target="https://hunton.dk/dokumentation/" TargetMode="External"/><Relationship Id="rId33" Type="http://schemas.openxmlformats.org/officeDocument/2006/relationships/hyperlink" Target="https://hunton.dk/wp-content/uploads/sites/15/2021/07/EPD_Hunton-Silencio_v01-21_NO_SE_DK.pdf" TargetMode="External"/><Relationship Id="rId108" Type="http://schemas.openxmlformats.org/officeDocument/2006/relationships/hyperlink" Target="http://www.traefiberdanmark.dk/" TargetMode="External"/><Relationship Id="rId129" Type="http://schemas.openxmlformats.org/officeDocument/2006/relationships/hyperlink" Target="https://www.fermacell.dk/dk" TargetMode="External"/><Relationship Id="rId54" Type="http://schemas.openxmlformats.org/officeDocument/2006/relationships/hyperlink" Target="https://www.plantdmaterials.com/" TargetMode="External"/><Relationship Id="rId75" Type="http://schemas.openxmlformats.org/officeDocument/2006/relationships/hyperlink" Target="https://www.knauf.dk/produkter/lette-byggesystemer/byggeplader/indvendige-byggeplader/light-board/" TargetMode="External"/><Relationship Id="rId96" Type="http://schemas.openxmlformats.org/officeDocument/2006/relationships/hyperlink" Target="https://tricoya.com/downloads/" TargetMode="External"/><Relationship Id="rId140" Type="http://schemas.openxmlformats.org/officeDocument/2006/relationships/hyperlink" Target="https://www.cembrit.dk/download/CHDK/environmental-product-declaration/epd-fibre-cement-facade-rain-screen-claddings" TargetMode="External"/><Relationship Id="rId161" Type="http://schemas.openxmlformats.org/officeDocument/2006/relationships/hyperlink" Target="https://ibu-epd.com/en/published-epds/" TargetMode="External"/><Relationship Id="rId182" Type="http://schemas.openxmlformats.org/officeDocument/2006/relationships/hyperlink" Target="https://www.epd-norge.no/getfile.php/1312506-1582627007/EPDer/Byggevarer/Bygningsplater/928_Forestia-Sponplater-Elite_en.pdf" TargetMode="External"/><Relationship Id="rId217" Type="http://schemas.openxmlformats.org/officeDocument/2006/relationships/hyperlink" Target="https://www.sonaearauco.com/" TargetMode="External"/><Relationship Id="rId6" Type="http://schemas.openxmlformats.org/officeDocument/2006/relationships/hyperlink" Target="https://www.sould.dk/material-menu" TargetMode="External"/><Relationship Id="rId238" Type="http://schemas.openxmlformats.org/officeDocument/2006/relationships/vmlDrawing" Target="../drawings/vmlDrawing3.vml"/><Relationship Id="rId23" Type="http://schemas.openxmlformats.org/officeDocument/2006/relationships/hyperlink" Target="https://www.troldtekt.dk/Produktsortiment/?gclid=CjwKCAjw4c-ZBhAEEiwAZ105RbhJTkewinMlNJalXkTNRn_oHTbAu8AmusYpTRMFikKMFoQjNmYmFxoC0kQQAvD_BwE" TargetMode="External"/><Relationship Id="rId119" Type="http://schemas.openxmlformats.org/officeDocument/2006/relationships/hyperlink" Target="https://woodfiber.dk/?gclid=CjwKCAjw3POhBhBQEiwAqTCuBr1KXDXlTuY75DBmBbeMA4m-clwS2XjXCSiVggBRtvt_Jbr6NSNmPxoCvJ8QAvD_BwE" TargetMode="External"/><Relationship Id="rId44" Type="http://schemas.openxmlformats.org/officeDocument/2006/relationships/hyperlink" Target="https://www.cembrit.dk/download/CHDK/environmental-product-declaration/epd-fibre-cement-build-indoor" TargetMode="External"/><Relationship Id="rId65" Type="http://schemas.openxmlformats.org/officeDocument/2006/relationships/hyperlink" Target="https://www.epd-norge.no/getfile.php/139576-1542205957/EPDer/Byggevarer/Bygningsplater/NEPD-1666-665_Gyproc-Webertherm-500_1.pdf" TargetMode="External"/><Relationship Id="rId86" Type="http://schemas.openxmlformats.org/officeDocument/2006/relationships/hyperlink" Target="https://www.epddanmark.dk/media/pstojx55/md-21092-en.pdf" TargetMode="External"/><Relationship Id="rId130" Type="http://schemas.openxmlformats.org/officeDocument/2006/relationships/hyperlink" Target="https://www.epddanmark.dk/media/0lxilqgs/md-23088-en.pdf" TargetMode="External"/><Relationship Id="rId151" Type="http://schemas.openxmlformats.org/officeDocument/2006/relationships/hyperlink" Target="https://www.epd-norge.no/getfile.php/1317105-1612960360/EPDer/Byggevarer/St%C3%A5lkonstruksjoner/NEPD-2659-1365_KALDVALSEDE-PLATER-OG-COIL.pdf" TargetMode="External"/><Relationship Id="rId172" Type="http://schemas.openxmlformats.org/officeDocument/2006/relationships/hyperlink" Target="https://www.epd-norge.no/getfile.php/1316029-1604945329/EPDer/Byggevarer/St%C3%A5lkonstruksjoner/NEPD-2523-1266_Rustfrie-og-syrefaste-Varmvalsedeplater-og-Coils.pdf" TargetMode="External"/><Relationship Id="rId193" Type="http://schemas.openxmlformats.org/officeDocument/2006/relationships/hyperlink" Target="https://ibu-epd.com/en/published-epds/" TargetMode="External"/><Relationship Id="rId207" Type="http://schemas.openxmlformats.org/officeDocument/2006/relationships/hyperlink" Target="https://www.tibnor.dk/" TargetMode="External"/><Relationship Id="rId228" Type="http://schemas.openxmlformats.org/officeDocument/2006/relationships/hyperlink" Target="https://www.steico.com/en/products/etics/steico-etics-timber/steicoprotect" TargetMode="External"/><Relationship Id="rId13" Type="http://schemas.openxmlformats.org/officeDocument/2006/relationships/hyperlink" Target="https://hunton.dk/dokumentation/" TargetMode="External"/><Relationship Id="rId109" Type="http://schemas.openxmlformats.org/officeDocument/2006/relationships/hyperlink" Target="https://www.vonhanf.de/" TargetMode="External"/><Relationship Id="rId34" Type="http://schemas.openxmlformats.org/officeDocument/2006/relationships/hyperlink" Target="https://www.epd-norge.no/getfile.php/137033-1643469986/EPDer/Byggevarer/Bygningsplater/NEPD-1248-401_Hunton-Undertak---.pdf" TargetMode="External"/><Relationship Id="rId55" Type="http://schemas.openxmlformats.org/officeDocument/2006/relationships/hyperlink" Target="https://www.epd-norge.no/getfile.php/1322881-1646219416/EPDer/Byggevarer/Bygningsplater/NEPD-3368-1995_Gyproc-Vindtett-----Sheathing-Board.pdf" TargetMode="External"/><Relationship Id="rId76" Type="http://schemas.openxmlformats.org/officeDocument/2006/relationships/hyperlink" Target="https://www.epddanmark.dk/media/vypf2ymo/md-21090-en.pdf" TargetMode="External"/><Relationship Id="rId97" Type="http://schemas.openxmlformats.org/officeDocument/2006/relationships/hyperlink" Target="https://tricoya.com/downloads/" TargetMode="External"/><Relationship Id="rId120" Type="http://schemas.openxmlformats.org/officeDocument/2006/relationships/hyperlink" Target="https://www.epddanmark.dk/media/gvgnxzo3/md-22138-en.pdf" TargetMode="External"/><Relationship Id="rId141" Type="http://schemas.openxmlformats.org/officeDocument/2006/relationships/hyperlink" Target="https://www.cembrit.dk/download/CHDK/environmental-product-declaration/epd-fibre-cement-facade-rain-screen-claddings" TargetMode="External"/><Relationship Id="rId7" Type="http://schemas.openxmlformats.org/officeDocument/2006/relationships/hyperlink" Target="https://naturpladen.dk/" TargetMode="External"/><Relationship Id="rId162" Type="http://schemas.openxmlformats.org/officeDocument/2006/relationships/hyperlink" Target="https://ibu-epd.com/en/published-epds/" TargetMode="External"/><Relationship Id="rId183" Type="http://schemas.openxmlformats.org/officeDocument/2006/relationships/hyperlink" Target="https://ibu-epd.com/en/published-epds/" TargetMode="External"/><Relationship Id="rId218" Type="http://schemas.openxmlformats.org/officeDocument/2006/relationships/hyperlink" Target="https://www.sonaearauco.com/" TargetMode="External"/><Relationship Id="rId239" Type="http://schemas.openxmlformats.org/officeDocument/2006/relationships/comments" Target="../comments3.xml"/><Relationship Id="rId24" Type="http://schemas.openxmlformats.org/officeDocument/2006/relationships/hyperlink" Target="https://www.epddanmark.dk/media/a23pmop2/md-21038-en.pdf" TargetMode="External"/><Relationship Id="rId45" Type="http://schemas.openxmlformats.org/officeDocument/2006/relationships/hyperlink" Target="https://www.cembrit.dk/download/CHDK/environmental-product-declaration/epd-fibre-cement-build-indoor" TargetMode="External"/><Relationship Id="rId66" Type="http://schemas.openxmlformats.org/officeDocument/2006/relationships/hyperlink" Target="https://www.epd-norge.no/getfile.php/139576-1542205957/EPDer/Byggevarer/Bygningsplater/NEPD-1666-665_Gyproc-Webertherm-500_1.pdf" TargetMode="External"/><Relationship Id="rId87" Type="http://schemas.openxmlformats.org/officeDocument/2006/relationships/hyperlink" Target="https://www.knauf.dk/produkter/lette-byggesystemer/byggeplader/indvendige-byggeplader/ultra-board/" TargetMode="External"/><Relationship Id="rId110" Type="http://schemas.openxmlformats.org/officeDocument/2006/relationships/hyperlink" Target="https://www.vonhanf.de/" TargetMode="External"/><Relationship Id="rId131" Type="http://schemas.openxmlformats.org/officeDocument/2006/relationships/hyperlink" Target="https://www.epddanmark.dk/media/0lxilqgs/md-23088-en.pdf" TargetMode="External"/><Relationship Id="rId152" Type="http://schemas.openxmlformats.org/officeDocument/2006/relationships/hyperlink" Target="https://www.epd-norge.no/getfile.php/1317129-1612527828/EPDer/Byggevarer/St%C3%A5lkonstruksjoner/NEPD-2665-1367_VARMVALSEDE-PLATER---Grovplater--.pdf" TargetMode="External"/><Relationship Id="rId173" Type="http://schemas.openxmlformats.org/officeDocument/2006/relationships/hyperlink" Target="https://www.epd-norge.no/getfile.php/1316035-1604945524/EPDer/Byggevarer/St%C3%A5lkonstruksjoner/NEPD-2524-1264_Kaldvalsede-plater-og-coils-i-rustfritt-stal.pdf" TargetMode="External"/><Relationship Id="rId194" Type="http://schemas.openxmlformats.org/officeDocument/2006/relationships/hyperlink" Target="https://ibu-epd.com/en/published-epds/" TargetMode="External"/><Relationship Id="rId208" Type="http://schemas.openxmlformats.org/officeDocument/2006/relationships/hyperlink" Target="https://www.tibnor.dk/St%C3%A5l/Plade/Slidplader/Grovplader-Hardox-450/p/501007005173?vc=000000000000303215" TargetMode="External"/><Relationship Id="rId229" Type="http://schemas.openxmlformats.org/officeDocument/2006/relationships/hyperlink" Target="vhttps://www.steico.com/en/solutions/new-construction/roof-construction" TargetMode="External"/><Relationship Id="rId14" Type="http://schemas.openxmlformats.org/officeDocument/2006/relationships/hyperlink" Target="https://hunton.dk/dokumentation/" TargetMode="External"/><Relationship Id="rId35" Type="http://schemas.openxmlformats.org/officeDocument/2006/relationships/hyperlink" Target="https://www.epd-norge.no/getfile.php/1318269-1618925888/EPDer/Byggevarer/Bygningsplater/NEPD-2791-1490_Hunton-Silencio---Underlay.pdf" TargetMode="External"/><Relationship Id="rId56" Type="http://schemas.openxmlformats.org/officeDocument/2006/relationships/hyperlink" Target="https://www.epd-norge.no/getfile.php/1322881-1646219416/EPDer/Byggevarer/Bygningsplater/NEPD-3368-1995_Gyproc-Vindtett-----Sheathing-Board.pdf" TargetMode="External"/><Relationship Id="rId77" Type="http://schemas.openxmlformats.org/officeDocument/2006/relationships/hyperlink" Target="https://www.epddanmark.dk/media/vypf2ymo/md-21090-en.pdf" TargetMode="External"/><Relationship Id="rId100" Type="http://schemas.openxmlformats.org/officeDocument/2006/relationships/hyperlink" Target="https://www.ekopanely.com/ekopanely-boards" TargetMode="External"/><Relationship Id="rId8" Type="http://schemas.openxmlformats.org/officeDocument/2006/relationships/hyperlink" Target="https://www.epddanmark.dk/media/4occu5i1/md-21034-en_rev1.pdf" TargetMode="External"/><Relationship Id="rId98" Type="http://schemas.openxmlformats.org/officeDocument/2006/relationships/hyperlink" Target="https://www.ekopanely.com/ekopanely-boards" TargetMode="External"/><Relationship Id="rId121" Type="http://schemas.openxmlformats.org/officeDocument/2006/relationships/hyperlink" Target="https://www.fermacell.dk/dk/produkter/fermacell-fibergips" TargetMode="External"/><Relationship Id="rId142" Type="http://schemas.openxmlformats.org/officeDocument/2006/relationships/hyperlink" Target="https://www.cembrit.dk/download/CHDK/english-DoP/029-dop-cembrit-patina-original" TargetMode="External"/><Relationship Id="rId163" Type="http://schemas.openxmlformats.org/officeDocument/2006/relationships/hyperlink" Target="https://ibu-epd.com/en/published-epds/" TargetMode="External"/><Relationship Id="rId184" Type="http://schemas.openxmlformats.org/officeDocument/2006/relationships/hyperlink" Target="https://ibu-epd.com/en/published-epds/" TargetMode="External"/><Relationship Id="rId219" Type="http://schemas.openxmlformats.org/officeDocument/2006/relationships/hyperlink" Target="https://www.sonaearauco.com/" TargetMode="External"/><Relationship Id="rId230" Type="http://schemas.openxmlformats.org/officeDocument/2006/relationships/hyperlink" Target="https://www.steico.com/fileadmin/user_upload/importer/downloads/4028b6097384810e0174960f8d140710/STEICOspecial-dry_en_i.pdf" TargetMode="External"/><Relationship Id="rId25" Type="http://schemas.openxmlformats.org/officeDocument/2006/relationships/hyperlink" Target="https://www.epddanmark.dk/media/txherpxw/md-21022-en-kronospan.pdf" TargetMode="External"/><Relationship Id="rId46" Type="http://schemas.openxmlformats.org/officeDocument/2006/relationships/hyperlink" Target="https://www.cembrit.dk/download/CHDK/environmental-product-declaration/epd-fibre-cement-build-indoor" TargetMode="External"/><Relationship Id="rId67" Type="http://schemas.openxmlformats.org/officeDocument/2006/relationships/hyperlink" Target="https://www.epddanmark.dk/media/22slwbxm/md-21087-en.pdf" TargetMode="External"/><Relationship Id="rId88" Type="http://schemas.openxmlformats.org/officeDocument/2006/relationships/hyperlink" Target="https://tricoya.com/wp-content/uploads/2020/10/Tricoya_Australia_Brochure-min.pdf" TargetMode="External"/><Relationship Id="rId111" Type="http://schemas.openxmlformats.org/officeDocument/2006/relationships/hyperlink" Target="https://www.vonhanf.de/" TargetMode="External"/><Relationship Id="rId132" Type="http://schemas.openxmlformats.org/officeDocument/2006/relationships/hyperlink" Target="https://www.knauf.dk/produkter/lette-byggesystemer/byggeplader/indvendige-byggeplader/classic-1-board-renew/" TargetMode="External"/><Relationship Id="rId153" Type="http://schemas.openxmlformats.org/officeDocument/2006/relationships/hyperlink" Target="https://www.epd-norge.no/getfile.php/1328650-1673606844/EPDer/Byggevarer/Bygningsplater/NEPD-4133-3358_Arbor-malte-sponplater-for-vegg-og-tak.pdf" TargetMode="External"/><Relationship Id="rId174" Type="http://schemas.openxmlformats.org/officeDocument/2006/relationships/hyperlink" Target="https://www.epd-norge.no/getfile.php/1316467-1607335869/EPDer/Byggevarer/St%C3%A5lkonstruksjoner/NEPD-2583-1311_Kaldvalsede-plater-og-coil.pdf" TargetMode="External"/><Relationship Id="rId195" Type="http://schemas.openxmlformats.org/officeDocument/2006/relationships/hyperlink" Target="https://ibu-epd.com/en/published-epds/" TargetMode="External"/><Relationship Id="rId209" Type="http://schemas.openxmlformats.org/officeDocument/2006/relationships/hyperlink" Target="http://webshop.fredricsons.com/CONTENT/TRYGG/DEFAULTBRANCH/PRODUCTIMAGES/ArborTakskiva_TekniskInfo.pdf" TargetMode="External"/><Relationship Id="rId190" Type="http://schemas.openxmlformats.org/officeDocument/2006/relationships/hyperlink" Target="https://ibu-epd.com/en/published-epds/" TargetMode="External"/><Relationship Id="rId204" Type="http://schemas.openxmlformats.org/officeDocument/2006/relationships/hyperlink" Target="https://forestia.com/" TargetMode="External"/><Relationship Id="rId220" Type="http://schemas.openxmlformats.org/officeDocument/2006/relationships/hyperlink" Target="https://www.sonaearauco.com/" TargetMode="External"/><Relationship Id="rId225" Type="http://schemas.openxmlformats.org/officeDocument/2006/relationships/hyperlink" Target="https://www.steico.com/en/products/insulation/ventilated-facade-insulation-systems/closed-facade-mass-timber-wall/steicotherm-dry" TargetMode="External"/><Relationship Id="rId15" Type="http://schemas.openxmlformats.org/officeDocument/2006/relationships/hyperlink" Target="https://hunton.dk/wp-content/uploads/sites/15/2021/07/EPD_Hunton-Silencio_v01-21_NO_SE_DK.pdf" TargetMode="External"/><Relationship Id="rId36" Type="http://schemas.openxmlformats.org/officeDocument/2006/relationships/hyperlink" Target="https://www.proff.dk/firma/naturpladen-aps/ebberup/producenter/0PFISVI016D/" TargetMode="External"/><Relationship Id="rId57" Type="http://schemas.openxmlformats.org/officeDocument/2006/relationships/hyperlink" Target="https://www.epd-norge.no/getfile.php/1322875-1646219275/EPDer/Byggevarer/Bygningsplater/NEPD-3367-1995_Gyproc-ErgoLite-----Lightweight-Plasterboard.pdf" TargetMode="External"/><Relationship Id="rId106" Type="http://schemas.openxmlformats.org/officeDocument/2006/relationships/hyperlink" Target="http://lehmbaustoffe-schleusner.de/produkte/lehmbauplatten/" TargetMode="External"/><Relationship Id="rId127" Type="http://schemas.openxmlformats.org/officeDocument/2006/relationships/hyperlink" Target="https://www.epddanmark.dk/media/c3xjwxti/md-23018-en.pdf" TargetMode="External"/><Relationship Id="rId10" Type="http://schemas.openxmlformats.org/officeDocument/2006/relationships/hyperlink" Target="https://hunton.dk/dokumentation/" TargetMode="External"/><Relationship Id="rId31" Type="http://schemas.openxmlformats.org/officeDocument/2006/relationships/hyperlink" Target="https://www.epd-norge.no/getfile.php/137029-1643469854/EPDer/Byggevarer/Bygningsplater/NEPD-1247-400_Hunton-Vindtett---.pdf" TargetMode="External"/><Relationship Id="rId52" Type="http://schemas.openxmlformats.org/officeDocument/2006/relationships/hyperlink" Target="http://www.vestaeco.com/Downloads,5.html" TargetMode="External"/><Relationship Id="rId73" Type="http://schemas.openxmlformats.org/officeDocument/2006/relationships/hyperlink" Target="https://www.epddanmark.dk/media/hlpjuptq/md-21088-en.pdf" TargetMode="External"/><Relationship Id="rId78" Type="http://schemas.openxmlformats.org/officeDocument/2006/relationships/hyperlink" Target="https://www.knauf.dk/produkter/lette-byggesystemer/byggeplader/indvendige-byggeplader/secura-board/" TargetMode="External"/><Relationship Id="rId94" Type="http://schemas.openxmlformats.org/officeDocument/2006/relationships/hyperlink" Target="https://tricoya.com/downloads/" TargetMode="External"/><Relationship Id="rId99" Type="http://schemas.openxmlformats.org/officeDocument/2006/relationships/hyperlink" Target="https://www.ekopanely.com/about-us" TargetMode="External"/><Relationship Id="rId101" Type="http://schemas.openxmlformats.org/officeDocument/2006/relationships/hyperlink" Target="https://www.ekopanely.com/about-us" TargetMode="External"/><Relationship Id="rId122" Type="http://schemas.openxmlformats.org/officeDocument/2006/relationships/hyperlink" Target="https://www.epddanmark.dk/media/1jhnpqho/md-22141-en.pdf" TargetMode="External"/><Relationship Id="rId143" Type="http://schemas.openxmlformats.org/officeDocument/2006/relationships/hyperlink" Target="https://www.cembrit.dk/facade/autentiske/cembrit-patina-original" TargetMode="External"/><Relationship Id="rId148" Type="http://schemas.openxmlformats.org/officeDocument/2006/relationships/hyperlink" Target="https://www.cembrit.dk/download/CHDK/environmental-product-declaration/epd-fibre-cement-corrugated-sheets" TargetMode="External"/><Relationship Id="rId164" Type="http://schemas.openxmlformats.org/officeDocument/2006/relationships/hyperlink" Target="https://ibu-epd.com/en/published-epds/" TargetMode="External"/><Relationship Id="rId169" Type="http://schemas.openxmlformats.org/officeDocument/2006/relationships/hyperlink" Target="https://ibu-epd.com/en/published-epds/" TargetMode="External"/><Relationship Id="rId185" Type="http://schemas.openxmlformats.org/officeDocument/2006/relationships/hyperlink" Target="https://ibu-epd.com/en/published-epds/" TargetMode="External"/><Relationship Id="rId4" Type="http://schemas.openxmlformats.org/officeDocument/2006/relationships/hyperlink" Target="https://www.sould.dk/material-menu" TargetMode="External"/><Relationship Id="rId9" Type="http://schemas.openxmlformats.org/officeDocument/2006/relationships/hyperlink" Target="https://www.epddanmark.dk/media/4occu5i1/md-21034-en_rev1.pdf" TargetMode="External"/><Relationship Id="rId180" Type="http://schemas.openxmlformats.org/officeDocument/2006/relationships/hyperlink" Target="https://www.epd-norge.no/getfile.php/1328644-1673606750/EPDer/Byggevarer/Bygningsplater/NEPD-4132-3358_Arbor-sponplater-gulv--vegg-og-tak---Fuktbestandig.pdf" TargetMode="External"/><Relationship Id="rId210" Type="http://schemas.openxmlformats.org/officeDocument/2006/relationships/hyperlink" Target="https://arbor.no/wp-content/uploads/2020/12/Ytelseserklaering-005-Vegg-spon-ubehandlet.pdf" TargetMode="External"/><Relationship Id="rId215" Type="http://schemas.openxmlformats.org/officeDocument/2006/relationships/hyperlink" Target="https://forestia.com/" TargetMode="External"/><Relationship Id="rId236" Type="http://schemas.openxmlformats.org/officeDocument/2006/relationships/printerSettings" Target="../printerSettings/printerSettings4.bin"/><Relationship Id="rId26" Type="http://schemas.openxmlformats.org/officeDocument/2006/relationships/hyperlink" Target="https://kronospan-dk.dk/" TargetMode="External"/><Relationship Id="rId231" Type="http://schemas.openxmlformats.org/officeDocument/2006/relationships/hyperlink" Target="https://www.steico.com/de/produkte/daemmung/boden/waerme-und-trittschalldaemmung/steicobase" TargetMode="External"/><Relationship Id="rId47" Type="http://schemas.openxmlformats.org/officeDocument/2006/relationships/hyperlink" Target="https://www.cembrit.dk/download/CHDK/environmental-product-declaration/epd-fibre-cement-build-indoor" TargetMode="External"/><Relationship Id="rId68" Type="http://schemas.openxmlformats.org/officeDocument/2006/relationships/hyperlink" Target="https://www.epddanmark.dk/media/22slwbxm/md-21087-en.pdf" TargetMode="External"/><Relationship Id="rId89" Type="http://schemas.openxmlformats.org/officeDocument/2006/relationships/hyperlink" Target="https://tricoya.com/downloads/" TargetMode="External"/><Relationship Id="rId112" Type="http://schemas.openxmlformats.org/officeDocument/2006/relationships/hyperlink" Target="https://woodfiber.dk/?gclid=CjwKCAjw-rOaBhA9EiwAUkLV4lLowj4a_-ms7uSrVgCalOoHakd70O6mPNT5cY8cNUedy9eRzXKGvBoCcQMQAvD_BwE" TargetMode="External"/><Relationship Id="rId133" Type="http://schemas.openxmlformats.org/officeDocument/2006/relationships/hyperlink" Target="https://www.epddanmark.dk/media/eqsedqsv/md-21023-en-kronospan.pdf" TargetMode="External"/><Relationship Id="rId154" Type="http://schemas.openxmlformats.org/officeDocument/2006/relationships/hyperlink" Target="https://www.epd-norge.no/getfile.php/1328644-1673606750/EPDer/Byggevarer/Bygningsplater/NEPD-4132-3358_Arbor-sponplater-gulv--vegg-og-tak---Fuktbestandig.pdf" TargetMode="External"/><Relationship Id="rId175" Type="http://schemas.openxmlformats.org/officeDocument/2006/relationships/hyperlink" Target="https://www.epd-norge.no/getfile.php/1316473-1607336140/EPDer/Byggevarer/St%C3%A5lkonstruksjoner/NEPD-2584-1310_Varmgalvaniserte-stalplater-og-coil.pdf" TargetMode="External"/><Relationship Id="rId196" Type="http://schemas.openxmlformats.org/officeDocument/2006/relationships/hyperlink" Target="https://ibu-epd.com/en/published-epds/" TargetMode="External"/><Relationship Id="rId200" Type="http://schemas.openxmlformats.org/officeDocument/2006/relationships/hyperlink" Target="https://ibu-epd.com/en/published-epds/" TargetMode="External"/><Relationship Id="rId16" Type="http://schemas.openxmlformats.org/officeDocument/2006/relationships/hyperlink" Target="https://hunton.dk/wp-content/uploads/sites/15/2021/07/EPD_Hunton-Silencio_v01-21_NO_SE_DK.pdf" TargetMode="External"/><Relationship Id="rId221" Type="http://schemas.openxmlformats.org/officeDocument/2006/relationships/hyperlink" Target="https://www.sonaearauco.com/" TargetMode="External"/><Relationship Id="rId37" Type="http://schemas.openxmlformats.org/officeDocument/2006/relationships/hyperlink" Target="https://www.epddanmark.dk/media/4occu5i1/md-21034-en_rev1.pdf" TargetMode="External"/><Relationship Id="rId58" Type="http://schemas.openxmlformats.org/officeDocument/2006/relationships/hyperlink" Target="https://www.epd-norge.no/getfile.php/1322875-1646219275/EPDer/Byggevarer/Bygningsplater/NEPD-3367-1995_Gyproc-ErgoLite-----Lightweight-Plasterboard.pdf" TargetMode="External"/><Relationship Id="rId79" Type="http://schemas.openxmlformats.org/officeDocument/2006/relationships/hyperlink" Target="https://www.epddanmark.dk/media/loejcobi/md-21093-en.pdf" TargetMode="External"/><Relationship Id="rId102" Type="http://schemas.openxmlformats.org/officeDocument/2006/relationships/hyperlink" Target="https://www.conluto.de/" TargetMode="External"/><Relationship Id="rId123" Type="http://schemas.openxmlformats.org/officeDocument/2006/relationships/hyperlink" Target="https://www.fermacell.dk/dk/produkter/fermacell-fibergips/gulvelement" TargetMode="External"/><Relationship Id="rId144" Type="http://schemas.openxmlformats.org/officeDocument/2006/relationships/hyperlink" Target="https://www.cembrit.dk/facade/farvebestandig/cembrit-transparent" TargetMode="External"/><Relationship Id="rId90" Type="http://schemas.openxmlformats.org/officeDocument/2006/relationships/hyperlink" Target="https://tricoya.com/wp-content/uploads/2020/10/Tricoya_Australia_Brochure-min.pdf" TargetMode="External"/><Relationship Id="rId165" Type="http://schemas.openxmlformats.org/officeDocument/2006/relationships/hyperlink" Target="https://ibu-epd.com/en/published-epds/" TargetMode="External"/><Relationship Id="rId186" Type="http://schemas.openxmlformats.org/officeDocument/2006/relationships/hyperlink" Target="https://ibu-epd.com/en/published-epds/" TargetMode="External"/><Relationship Id="rId211" Type="http://schemas.openxmlformats.org/officeDocument/2006/relationships/hyperlink" Target="https://arbor.no/wp-content/uploads/2020/12/Ytelseserklaering-007-Vegg-spon-malt.pdf" TargetMode="External"/><Relationship Id="rId232" Type="http://schemas.openxmlformats.org/officeDocument/2006/relationships/hyperlink" Target="https://web.steico.com/fileadmin/steico/content/pdf/Marketing/International/Product_information/underfloor/STEICOunderfloor_int_i.pdf" TargetMode="External"/><Relationship Id="rId27" Type="http://schemas.openxmlformats.org/officeDocument/2006/relationships/hyperlink" Target="https://www.epddanmark.dk/media/4occu5i1/md-21034-en_rev1.pdf" TargetMode="External"/><Relationship Id="rId48" Type="http://schemas.openxmlformats.org/officeDocument/2006/relationships/hyperlink" Target="https://www.cembrit.dk/download/CHDK/environmental-product-declaration/epd-fibre-cement-build-indoor" TargetMode="External"/><Relationship Id="rId69" Type="http://schemas.openxmlformats.org/officeDocument/2006/relationships/hyperlink" Target="https://www.knauf.dk/search/?query=classic%20board" TargetMode="External"/><Relationship Id="rId113" Type="http://schemas.openxmlformats.org/officeDocument/2006/relationships/hyperlink" Target="https://woodfiber.dk/?gclid=CjwKCAjw-rOaBhA9EiwAUkLV4lLowj4a_-ms7uSrVgCalOoHakd70O6mPNT5cY8cNUedy9eRzXKGvBoCcQMQAvD_BwE" TargetMode="External"/><Relationship Id="rId134" Type="http://schemas.openxmlformats.org/officeDocument/2006/relationships/hyperlink" Target="https://www.epddanmark.dk/media/txherpxw/md-21022-en-kronospan.pdf" TargetMode="External"/><Relationship Id="rId80" Type="http://schemas.openxmlformats.org/officeDocument/2006/relationships/hyperlink" Target="https://www.epddanmark.dk/media/loejcobi/md-21093-en.pdf" TargetMode="External"/><Relationship Id="rId155" Type="http://schemas.openxmlformats.org/officeDocument/2006/relationships/hyperlink" Target="https://www.epd-norge.no/getfile.php/1312080-1578651151/EPDer/Byggevarer/Bygningsplater/NEPD-2003-885_Forestia-Sponplater-Ekstra_en.pdf" TargetMode="External"/><Relationship Id="rId176" Type="http://schemas.openxmlformats.org/officeDocument/2006/relationships/hyperlink" Target="https://www.epd-norge.no/getfile.php/1327629-1670233323/EPDer/Byggevarer/St%C3%A5lkonstruksjoner/NEPD-3966-2799_Miljometall-plater.pdf" TargetMode="External"/><Relationship Id="rId197" Type="http://schemas.openxmlformats.org/officeDocument/2006/relationships/hyperlink" Target="https://ibu-epd.com/en/published-epds/" TargetMode="External"/><Relationship Id="rId201" Type="http://schemas.openxmlformats.org/officeDocument/2006/relationships/hyperlink" Target="https://ibu-epd.com/en/published-epds/" TargetMode="External"/><Relationship Id="rId222" Type="http://schemas.openxmlformats.org/officeDocument/2006/relationships/hyperlink" Target="https://www.steico.com/en/solutions/flooring-solutions/steicofloor-the-installation-system-for-solid-floorboards" TargetMode="External"/><Relationship Id="rId17" Type="http://schemas.openxmlformats.org/officeDocument/2006/relationships/hyperlink" Target="https://www.epd-norge.no/getfile.php/137029-1643469854/EPDer/Byggevarer/Bygningsplater/NEPD-1247-400_Hunton-Vindtett---.pdf" TargetMode="External"/><Relationship Id="rId38" Type="http://schemas.openxmlformats.org/officeDocument/2006/relationships/hyperlink" Target="https://www.epddanmark.dk/media/4occu5i1/md-21034-en_rev1.pdf" TargetMode="External"/><Relationship Id="rId59" Type="http://schemas.openxmlformats.org/officeDocument/2006/relationships/hyperlink" Target="https://www.epd-norge.no/getfile.php/1322869-1646219146/EPDer/Byggevarer/Bygningsplater/NEPD-3366-1995_Gyproc-Robust-----Hard-Plasterboard.pdf" TargetMode="External"/><Relationship Id="rId103" Type="http://schemas.openxmlformats.org/officeDocument/2006/relationships/hyperlink" Target="https://www.pfleiderer.com/it-en/products/raw-wood-based-panels/detail/livingboard-p5" TargetMode="External"/><Relationship Id="rId124" Type="http://schemas.openxmlformats.org/officeDocument/2006/relationships/hyperlink" Target="https://www.epddanmark.dk/media/c3xjwxti/md-23018-en.pdf" TargetMode="External"/><Relationship Id="rId70" Type="http://schemas.openxmlformats.org/officeDocument/2006/relationships/hyperlink" Target="https://www.epddanmark.dk/media/yr2ow3du/md-21091-en.pdf" TargetMode="External"/><Relationship Id="rId91" Type="http://schemas.openxmlformats.org/officeDocument/2006/relationships/hyperlink" Target="https://tricoya.com/wp-content/uploads/2020/10/Tricoya_Australia_Brochure-min.pdf" TargetMode="External"/><Relationship Id="rId145" Type="http://schemas.openxmlformats.org/officeDocument/2006/relationships/hyperlink" Target="https://www.cembrit.dk/download/CHDK/environmental-product-declaration/epd-cembrit-transparent" TargetMode="External"/><Relationship Id="rId166" Type="http://schemas.openxmlformats.org/officeDocument/2006/relationships/hyperlink" Target="https://ibu-epd.com/en/published-epds/" TargetMode="External"/><Relationship Id="rId187" Type="http://schemas.openxmlformats.org/officeDocument/2006/relationships/hyperlink" Target="https://ibu-epd.com/en/published-epds/" TargetMode="External"/><Relationship Id="rId1" Type="http://schemas.openxmlformats.org/officeDocument/2006/relationships/hyperlink" Target="https://www.amorimcorkinsulation.com/en/products/" TargetMode="External"/><Relationship Id="rId212" Type="http://schemas.openxmlformats.org/officeDocument/2006/relationships/hyperlink" Target="https://forestia.com/media/3136/dop-yt-02-wall-panels-standard-p2-and-ekstra-p3.pdf" TargetMode="External"/><Relationship Id="rId233" Type="http://schemas.openxmlformats.org/officeDocument/2006/relationships/hyperlink" Target="https://www.steico.com/en/products/insulation/insulation-systems-for-roofs/sarking-and-sheathing-boards/steicoduo-dry" TargetMode="External"/><Relationship Id="rId28" Type="http://schemas.openxmlformats.org/officeDocument/2006/relationships/hyperlink" Target="https://www.epddanmark.dk/media/txherpxw/md-21022-en-kronospan.pdf" TargetMode="External"/><Relationship Id="rId49" Type="http://schemas.openxmlformats.org/officeDocument/2006/relationships/hyperlink" Target="https://www.cembrit.dk/download/CHDK/environmental-product-declaration/epd-fibre-cement-build-indoor" TargetMode="External"/><Relationship Id="rId114" Type="http://schemas.openxmlformats.org/officeDocument/2006/relationships/hyperlink" Target="https://woodfiber.dk/?gclid=CjwKCAjw-rOaBhA9EiwAUkLV4lLowj4a_-ms7uSrVgCalOoHakd70O6mPNT5cY8cNUedy9eRzXKGvBoCcQMQAvD_BwE" TargetMode="External"/><Relationship Id="rId60" Type="http://schemas.openxmlformats.org/officeDocument/2006/relationships/hyperlink" Target="https://www.epd-norge.no/getfile.php/1322869-1646219146/EPDer/Byggevarer/Bygningsplater/NEPD-3366-1995_Gyproc-Robust-----Hard-Plasterboard.pdf" TargetMode="External"/><Relationship Id="rId81" Type="http://schemas.openxmlformats.org/officeDocument/2006/relationships/hyperlink" Target="https://www.knauf.dk/produkter/lette-byggesystemer/byggeplader/indvendige-byggeplader/solid-board/" TargetMode="External"/><Relationship Id="rId135" Type="http://schemas.openxmlformats.org/officeDocument/2006/relationships/hyperlink" Target="https://kronospan-dk.dk/" TargetMode="External"/><Relationship Id="rId156" Type="http://schemas.openxmlformats.org/officeDocument/2006/relationships/hyperlink" Target="https://www.epd-norge.no/getfile.php/1312506-1582627007/EPDer/Byggevarer/Bygningsplater/928_Forestia-Sponplater-Elite_en.pdf" TargetMode="External"/><Relationship Id="rId177" Type="http://schemas.openxmlformats.org/officeDocument/2006/relationships/hyperlink" Target="Udgivet/2023.05.09/NEPD-2659-1365-NO" TargetMode="External"/><Relationship Id="rId198" Type="http://schemas.openxmlformats.org/officeDocument/2006/relationships/hyperlink" Target="https://ibu-epd.com/en/published-epds/" TargetMode="External"/><Relationship Id="rId202" Type="http://schemas.openxmlformats.org/officeDocument/2006/relationships/hyperlink" Target="https://www.norskstaal.no/" TargetMode="External"/><Relationship Id="rId223" Type="http://schemas.openxmlformats.org/officeDocument/2006/relationships/hyperlink" Target="https://www.steico.com/en/products/etics/steicointernal-render-board-for-internal-insulation/steicointernal" TargetMode="External"/><Relationship Id="rId18" Type="http://schemas.openxmlformats.org/officeDocument/2006/relationships/hyperlink" Target="https://www.epd-norge.no/getfile.php/137029-1643469854/EPDer/Byggevarer/Bygningsplater/NEPD-1247-400_Hunton-Vindtett---.pdf" TargetMode="External"/><Relationship Id="rId39" Type="http://schemas.openxmlformats.org/officeDocument/2006/relationships/hyperlink" Target="https://www.epddanmark.dk/media/4occu5i1/md-21034-en_rev1.pdf" TargetMode="External"/><Relationship Id="rId50" Type="http://schemas.openxmlformats.org/officeDocument/2006/relationships/hyperlink" Target="https://www.cembrit.dk/byggeplader" TargetMode="External"/><Relationship Id="rId104" Type="http://schemas.openxmlformats.org/officeDocument/2006/relationships/hyperlink" Target="http://lehmbaustoffe-schleusner.de/produkte/lehmbauplatten/" TargetMode="External"/><Relationship Id="rId125" Type="http://schemas.openxmlformats.org/officeDocument/2006/relationships/hyperlink" Target="https://www.fermacell.dk/dk" TargetMode="External"/><Relationship Id="rId146" Type="http://schemas.openxmlformats.org/officeDocument/2006/relationships/hyperlink" Target="https://www.cembrit.dk/download/CHDK/environmental-product-declaration/epd-cembrit-transparent" TargetMode="External"/><Relationship Id="rId167" Type="http://schemas.openxmlformats.org/officeDocument/2006/relationships/hyperlink" Target="https://ibu-epd.com/en/published-epds/" TargetMode="External"/><Relationship Id="rId188" Type="http://schemas.openxmlformats.org/officeDocument/2006/relationships/hyperlink" Target="https://ibu-epd.com/en/published-epds/" TargetMode="External"/><Relationship Id="rId71" Type="http://schemas.openxmlformats.org/officeDocument/2006/relationships/hyperlink" Target="https://www.epddanmark.dk/media/yr2ow3du/md-21091-en.pdf" TargetMode="External"/><Relationship Id="rId92" Type="http://schemas.openxmlformats.org/officeDocument/2006/relationships/hyperlink" Target="https://tricoya.com/wp-content/uploads/2020/10/Tricoya_Australia_Brochure-min.pdf" TargetMode="External"/><Relationship Id="rId213" Type="http://schemas.openxmlformats.org/officeDocument/2006/relationships/hyperlink" Target="https://forestia.com/" TargetMode="External"/><Relationship Id="rId234" Type="http://schemas.openxmlformats.org/officeDocument/2006/relationships/hyperlink" Target="https://www.steico.com/en/products/etics/steico-etics-timber/steicoprotect" TargetMode="External"/><Relationship Id="rId2" Type="http://schemas.openxmlformats.org/officeDocument/2006/relationships/hyperlink" Target="https://www.amorimcorkinsulation.com/en/products/" TargetMode="External"/><Relationship Id="rId29" Type="http://schemas.openxmlformats.org/officeDocument/2006/relationships/hyperlink" Target="https://www.epddanmark.dk/media/a23pmop2/md-21038-en.pdf" TargetMode="External"/><Relationship Id="rId40" Type="http://schemas.openxmlformats.org/officeDocument/2006/relationships/hyperlink" Target="https://www.pfleiderer.com/nordics-en/company/about-pfleiderer" TargetMode="External"/><Relationship Id="rId115" Type="http://schemas.openxmlformats.org/officeDocument/2006/relationships/hyperlink" Target="https://woodfiber.dk/?gclid=CjwKCAjw-rOaBhA9EiwAUkLV4lLowj4a_-ms7uSrVgCalOoHakd70O6mPNT5cY8cNUedy9eRzXKGvBoCcQMQAvD_BwE" TargetMode="External"/><Relationship Id="rId136" Type="http://schemas.openxmlformats.org/officeDocument/2006/relationships/hyperlink" Target="https://www.epddanmark.dk/media/k20atkbu/md-20006-en-tr%C3%A6information.pdf" TargetMode="External"/><Relationship Id="rId157" Type="http://schemas.openxmlformats.org/officeDocument/2006/relationships/hyperlink" Target="https://ibu-epd.com/en/published-epds/" TargetMode="External"/><Relationship Id="rId178" Type="http://schemas.openxmlformats.org/officeDocument/2006/relationships/hyperlink" Target="https://www.epd-norge.no/getfile.php/1317129-1612527828/EPDer/Byggevarer/St%C3%A5lkonstruksjoner/NEPD-2665-1367_VARMVALSEDE-PLATER---Grovplater--.pdf" TargetMode="External"/><Relationship Id="rId61" Type="http://schemas.openxmlformats.org/officeDocument/2006/relationships/hyperlink" Target="https://www.epd-norge.no/getfile.php/1322863-1646219019/EPDer/Byggevarer/Bygningsplater/NEPD-3365-1995_Gyproc-Protect-F-----Fire-Board.pdf" TargetMode="External"/><Relationship Id="rId82" Type="http://schemas.openxmlformats.org/officeDocument/2006/relationships/hyperlink" Target="https://www.epddanmark.dk/media/kg4iyusu/md-21089-en.pdf" TargetMode="External"/><Relationship Id="rId199" Type="http://schemas.openxmlformats.org/officeDocument/2006/relationships/hyperlink" Target="https://ibu-epd.com/en/published-epds/" TargetMode="External"/><Relationship Id="rId203" Type="http://schemas.openxmlformats.org/officeDocument/2006/relationships/hyperlink" Target="https://www.norskstaal.no/" TargetMode="External"/><Relationship Id="rId19" Type="http://schemas.openxmlformats.org/officeDocument/2006/relationships/hyperlink" Target="https://www.epd-norge.no/getfile.php/1318269-1618925888/EPDer/Byggevarer/Bygningsplater/NEPD-2791-1490_Hunton-Silencio---Underlay.pdf" TargetMode="External"/><Relationship Id="rId224" Type="http://schemas.openxmlformats.org/officeDocument/2006/relationships/hyperlink" Target="https://www.steico.com/en/products/insulation/floor/thermal-and-impact-sound-insulation/steicotherm-sd" TargetMode="External"/><Relationship Id="rId30" Type="http://schemas.openxmlformats.org/officeDocument/2006/relationships/hyperlink" Target="https://www.epd-norge.no/getfile.php/137029-1643469854/EPDer/Byggevarer/Bygningsplater/NEPD-1247-400_Hunton-Vindtett---.pdf" TargetMode="External"/><Relationship Id="rId105" Type="http://schemas.openxmlformats.org/officeDocument/2006/relationships/hyperlink" Target="http://lehmbaustoffe-schleusner.de/produkte/lehmbauplatten/" TargetMode="External"/><Relationship Id="rId126" Type="http://schemas.openxmlformats.org/officeDocument/2006/relationships/hyperlink" Target="https://www.epddanmark.dk/media/c3xjwxti/md-23018-en.pdf" TargetMode="External"/><Relationship Id="rId147" Type="http://schemas.openxmlformats.org/officeDocument/2006/relationships/hyperlink" Target="https://www.cembrit.dk/download/CHDK/environmental-product-declaration/epd-fibre-cement-corrugated-sheets" TargetMode="External"/><Relationship Id="rId168" Type="http://schemas.openxmlformats.org/officeDocument/2006/relationships/hyperlink" Target="https://ibu-epd.com/en/published-epds/" TargetMode="External"/><Relationship Id="rId51" Type="http://schemas.openxmlformats.org/officeDocument/2006/relationships/hyperlink" Target="https://www.cembrit.dk/byggeplader" TargetMode="External"/><Relationship Id="rId72" Type="http://schemas.openxmlformats.org/officeDocument/2006/relationships/hyperlink" Target="https://www.knauf.dk/produkter/lette-byggesystemer/byggeplader/udvendige-byggeplader/clima-board/" TargetMode="External"/><Relationship Id="rId93" Type="http://schemas.openxmlformats.org/officeDocument/2006/relationships/hyperlink" Target="https://tricoya.com/wp-content/uploads/2020/10/Tricoya_Australia_Brochure-min.pdf" TargetMode="External"/><Relationship Id="rId189" Type="http://schemas.openxmlformats.org/officeDocument/2006/relationships/hyperlink" Target="https://ibu-epd.com/en/published-epds/" TargetMode="External"/><Relationship Id="rId3" Type="http://schemas.openxmlformats.org/officeDocument/2006/relationships/hyperlink" Target="http://www.vestaeco.com/Downloads,5.html" TargetMode="External"/><Relationship Id="rId214" Type="http://schemas.openxmlformats.org/officeDocument/2006/relationships/hyperlink" Target="https://forestia.com/media/4908/dop-yt-18-12mm-forestia-elitex-p5-versjon-2.pdf" TargetMode="External"/><Relationship Id="rId235" Type="http://schemas.openxmlformats.org/officeDocument/2006/relationships/hyperlink" Target="https://www.steico.com/fileadmin/user_upload/Dansk_Media/Products/Isolering_med_traefibre/STEICOuniversal_dk.pdf" TargetMode="External"/><Relationship Id="rId116" Type="http://schemas.openxmlformats.org/officeDocument/2006/relationships/hyperlink" Target="https://rindom.dk/produkter/miljoevenlige-vaegpaneler/huntonit-loft.aspx" TargetMode="External"/><Relationship Id="rId137" Type="http://schemas.openxmlformats.org/officeDocument/2006/relationships/hyperlink" Target="https://www.epddanmark.dk/media/k20atkbu/md-20006-en-tr%C3%A6information.pdf" TargetMode="External"/><Relationship Id="rId158" Type="http://schemas.openxmlformats.org/officeDocument/2006/relationships/hyperlink" Target="https://ibu-epd.com/en/published-epds/" TargetMode="External"/><Relationship Id="rId20" Type="http://schemas.openxmlformats.org/officeDocument/2006/relationships/hyperlink" Target="https://hunton.dk/dokumentation/" TargetMode="External"/><Relationship Id="rId41" Type="http://schemas.openxmlformats.org/officeDocument/2006/relationships/hyperlink" Target="http://www.vestaeco.com/Downloads,5.html" TargetMode="External"/><Relationship Id="rId62" Type="http://schemas.openxmlformats.org/officeDocument/2006/relationships/hyperlink" Target="https://www.epd-norge.no/getfile.php/1322863-1646219019/EPDer/Byggevarer/Bygningsplater/NEPD-3365-1995_Gyproc-Protect-F-----Fire-Board.pdf" TargetMode="External"/><Relationship Id="rId83" Type="http://schemas.openxmlformats.org/officeDocument/2006/relationships/hyperlink" Target="https://www.epddanmark.dk/media/kg4iyusu/md-21089-en.pdf" TargetMode="External"/><Relationship Id="rId179" Type="http://schemas.openxmlformats.org/officeDocument/2006/relationships/hyperlink" Target="https://www.epd-norge.no/getfile.php/1328650-1673606844/EPDer/Byggevarer/Bygningsplater/NEPD-4133-3358_Arbor-malte-sponplater-for-vegg-og-tak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biomason.com/wp-content/uploads/2022/04/29-oct-21_biomason-press-release_ibf.pdf" TargetMode="External"/><Relationship Id="rId13" Type="http://schemas.openxmlformats.org/officeDocument/2006/relationships/hyperlink" Target="https://www.diasen.com/en/history/" TargetMode="External"/><Relationship Id="rId18" Type="http://schemas.openxmlformats.org/officeDocument/2006/relationships/hyperlink" Target="https://www.diasen.com/en/history/" TargetMode="External"/><Relationship Id="rId26" Type="http://schemas.openxmlformats.org/officeDocument/2006/relationships/vmlDrawing" Target="../drawings/vmlDrawing4.vml"/><Relationship Id="rId3" Type="http://schemas.openxmlformats.org/officeDocument/2006/relationships/hyperlink" Target="https://www.conluto.de/produkt/lehm-unterputz-trocken/" TargetMode="External"/><Relationship Id="rId21" Type="http://schemas.openxmlformats.org/officeDocument/2006/relationships/hyperlink" Target="https://www.diasen.com/en/" TargetMode="External"/><Relationship Id="rId7" Type="http://schemas.openxmlformats.org/officeDocument/2006/relationships/hyperlink" Target="https://nybyg.kalk.dk/om-os/" TargetMode="External"/><Relationship Id="rId12" Type="http://schemas.openxmlformats.org/officeDocument/2006/relationships/hyperlink" Target="https://www.diasen.com/en/history/" TargetMode="External"/><Relationship Id="rId17" Type="http://schemas.openxmlformats.org/officeDocument/2006/relationships/hyperlink" Target="https://app.2050-materials.com/media/certificates/EPD-Eng-Diathonite_xZAd5ZS.pdf" TargetMode="External"/><Relationship Id="rId25" Type="http://schemas.openxmlformats.org/officeDocument/2006/relationships/drawing" Target="../drawings/drawing5.xml"/><Relationship Id="rId2" Type="http://schemas.openxmlformats.org/officeDocument/2006/relationships/hyperlink" Target="https://www.conluto.de/produkt/lehmfarbe-lehmstreichputz-edelweiss/" TargetMode="External"/><Relationship Id="rId16" Type="http://schemas.openxmlformats.org/officeDocument/2006/relationships/hyperlink" Target="https://www.linkedin.com/posts/stig-hessellund-9625734_follow-the-algae-brick-road-to-plant-based-activity-6977145404614184961-JKXe?utm_source=share&amp;utm_medium=member_desktop" TargetMode="External"/><Relationship Id="rId20" Type="http://schemas.openxmlformats.org/officeDocument/2006/relationships/hyperlink" Target="https://biomason.com/biolith" TargetMode="External"/><Relationship Id="rId1" Type="http://schemas.openxmlformats.org/officeDocument/2006/relationships/hyperlink" Target="https://www.conluto.de/produkt/lehm-flaechenspachtel-farbig-edelweiss/" TargetMode="External"/><Relationship Id="rId6" Type="http://schemas.openxmlformats.org/officeDocument/2006/relationships/hyperlink" Target="https://nybyg.kalk.dk/om-os/" TargetMode="External"/><Relationship Id="rId11" Type="http://schemas.openxmlformats.org/officeDocument/2006/relationships/hyperlink" Target="https://www.diasen.com/en/history/" TargetMode="External"/><Relationship Id="rId24" Type="http://schemas.openxmlformats.org/officeDocument/2006/relationships/printerSettings" Target="../printerSettings/printerSettings5.bin"/><Relationship Id="rId5" Type="http://schemas.openxmlformats.org/officeDocument/2006/relationships/hyperlink" Target="https://www.fairpaint.dk/shop/maling/lermaling/volvox-espressivo-lermaling" TargetMode="External"/><Relationship Id="rId15" Type="http://schemas.openxmlformats.org/officeDocument/2006/relationships/hyperlink" Target="https://time.com/6192603/algae-plant-buildings-carbon/" TargetMode="External"/><Relationship Id="rId23" Type="http://schemas.openxmlformats.org/officeDocument/2006/relationships/hyperlink" Target="https://renovering.kalk.dk/download/" TargetMode="External"/><Relationship Id="rId10" Type="http://schemas.openxmlformats.org/officeDocument/2006/relationships/hyperlink" Target="https://www.diasen.com/en/history/" TargetMode="External"/><Relationship Id="rId19" Type="http://schemas.openxmlformats.org/officeDocument/2006/relationships/hyperlink" Target="https://www.diasen.com/en/" TargetMode="External"/><Relationship Id="rId4" Type="http://schemas.openxmlformats.org/officeDocument/2006/relationships/hyperlink" Target="https://renmaling.dk/" TargetMode="External"/><Relationship Id="rId9" Type="http://schemas.openxmlformats.org/officeDocument/2006/relationships/hyperlink" Target="https://app.2050-materials.com/media/certificates/EPD-Eng-Diathonite_xZAd5ZS.pdf" TargetMode="External"/><Relationship Id="rId14" Type="http://schemas.openxmlformats.org/officeDocument/2006/relationships/hyperlink" Target="https://www.snohetta.com/projects/558-biocrete-a-carbon-negative-concrete" TargetMode="External"/><Relationship Id="rId22" Type="http://schemas.openxmlformats.org/officeDocument/2006/relationships/hyperlink" Target="https://www.diasen.com/en/" TargetMode="External"/><Relationship Id="rId27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epddanmark.dk/media/r0lnmlje/md-22045-en.pdf" TargetMode="External"/><Relationship Id="rId21" Type="http://schemas.openxmlformats.org/officeDocument/2006/relationships/hyperlink" Target="https://www.amorimwise.com/products/cork/inspire-700/fashionable-cement-2" TargetMode="External"/><Relationship Id="rId42" Type="http://schemas.openxmlformats.org/officeDocument/2006/relationships/hyperlink" Target="https://www.dassogroup.com/" TargetMode="External"/><Relationship Id="rId63" Type="http://schemas.openxmlformats.org/officeDocument/2006/relationships/hyperlink" Target="https://www.sould.dk/material-menu" TargetMode="External"/><Relationship Id="rId84" Type="http://schemas.openxmlformats.org/officeDocument/2006/relationships/hyperlink" Target="https://www.epddanmark.dk/media/j2yjo2vv/md-21096-en_rev1.pdf" TargetMode="External"/><Relationship Id="rId16" Type="http://schemas.openxmlformats.org/officeDocument/2006/relationships/hyperlink" Target="https://www.kahrs.com/globalassets/kahrs/brochures-and-documents/global/epd-kahrs-engineered-wood-floors-sweden-en" TargetMode="External"/><Relationship Id="rId107" Type="http://schemas.openxmlformats.org/officeDocument/2006/relationships/hyperlink" Target="https://www.epddanmark.dk/media/q5lpyhnp/md-21036-en_rev1.pdf" TargetMode="External"/><Relationship Id="rId11" Type="http://schemas.openxmlformats.org/officeDocument/2006/relationships/hyperlink" Target="https://time.com/6192603/algae-plant-buildings-carbon/" TargetMode="External"/><Relationship Id="rId32" Type="http://schemas.openxmlformats.org/officeDocument/2006/relationships/hyperlink" Target="https://dk.kebony.com/wp-content/uploads/2023/01/NEPD-3659-2604_Kebony-Clear-Radiata-Decking.pdf" TargetMode="External"/><Relationship Id="rId37" Type="http://schemas.openxmlformats.org/officeDocument/2006/relationships/hyperlink" Target="https://dk.kebony.com/wp-content/uploads/2023/01/NEPD-3514-2106_Kebony-Character-Scots-Pine-Decking.pdf" TargetMode="External"/><Relationship Id="rId53" Type="http://schemas.openxmlformats.org/officeDocument/2006/relationships/hyperlink" Target="https://www.epddanmark.dk/media/hvnpqh0c/md-22072-en.pdf" TargetMode="External"/><Relationship Id="rId58" Type="http://schemas.openxmlformats.org/officeDocument/2006/relationships/hyperlink" Target="https://www.epddanmark.dk/media/4occu5i1/md-21034-en_rev1.pdf" TargetMode="External"/><Relationship Id="rId74" Type="http://schemas.openxmlformats.org/officeDocument/2006/relationships/hyperlink" Target="https://www.horningfloor.dk/produkter/" TargetMode="External"/><Relationship Id="rId79" Type="http://schemas.openxmlformats.org/officeDocument/2006/relationships/hyperlink" Target="https://www.knauf.dk/produkter/akustiklosninger/nedhaengte-systemlofter/danotile/" TargetMode="External"/><Relationship Id="rId102" Type="http://schemas.openxmlformats.org/officeDocument/2006/relationships/hyperlink" Target="https://www.troldtekt.dk/Produktsortiment/?gclid=CjwKCAjw4c-ZBhAEEiwAZ105RbhJTkewinMlNJalXkTNRn_oHTbAu8AmusYpTRMFikKMFoQjNmYmFxoC0kQQAvD_BwE" TargetMode="External"/><Relationship Id="rId123" Type="http://schemas.openxmlformats.org/officeDocument/2006/relationships/hyperlink" Target="https://www.epddanmark.dk/media/vwvdi3b4/md-23090-en.pdf" TargetMode="External"/><Relationship Id="rId128" Type="http://schemas.openxmlformats.org/officeDocument/2006/relationships/hyperlink" Target="https://api.environdec.com/api/v1/EPDLibrary/Files/bf84621f-817d-4f2f-89e4-b8a0192b88d8/Data" TargetMode="External"/><Relationship Id="rId5" Type="http://schemas.openxmlformats.org/officeDocument/2006/relationships/hyperlink" Target="https://www.holseogwibroe.dk/Files/Images/HolseWibroe/PDF/2-EPD%20of%20dassoXTR%20and%20dassoCTECH.pdf" TargetMode="External"/><Relationship Id="rId90" Type="http://schemas.openxmlformats.org/officeDocument/2006/relationships/hyperlink" Target="https://www.knauf.dk/produkter/akustiklosninger/nedhaengte-systemlofter/markant/" TargetMode="External"/><Relationship Id="rId95" Type="http://schemas.openxmlformats.org/officeDocument/2006/relationships/hyperlink" Target="https://www.knauf.dk/produkter/akustiklosninger/nedhaengte-systemlofter/belgravia/" TargetMode="External"/><Relationship Id="rId22" Type="http://schemas.openxmlformats.org/officeDocument/2006/relationships/hyperlink" Target="https://www.amorimwise.com/products/cork/inspire-700/shell-jasmim-13" TargetMode="External"/><Relationship Id="rId27" Type="http://schemas.openxmlformats.org/officeDocument/2006/relationships/hyperlink" Target="https://organowood.com/da/dokumenter/" TargetMode="External"/><Relationship Id="rId43" Type="http://schemas.openxmlformats.org/officeDocument/2006/relationships/hyperlink" Target="http://www.vestaeco.com/Downloads,5.html" TargetMode="External"/><Relationship Id="rId48" Type="http://schemas.openxmlformats.org/officeDocument/2006/relationships/hyperlink" Target="https://www.epddanmark.dk/media/hvnpqh0c/md-22072-en.pdf" TargetMode="External"/><Relationship Id="rId64" Type="http://schemas.openxmlformats.org/officeDocument/2006/relationships/hyperlink" Target="https://www.sould.dk/material-menu" TargetMode="External"/><Relationship Id="rId69" Type="http://schemas.openxmlformats.org/officeDocument/2006/relationships/hyperlink" Target="https://www.horningfloor.dk/produkter/whalebone/" TargetMode="External"/><Relationship Id="rId113" Type="http://schemas.openxmlformats.org/officeDocument/2006/relationships/hyperlink" Target="https://www.troldtekt.dk/Produktsortiment/?gclid=CjwKCAjw4c-ZBhAEEiwAZ105RbhJTkewinMlNJalXkTNRn_oHTbAu8AmusYpTRMFikKMFoQjNmYmFxoC0kQQAvD_BwE" TargetMode="External"/><Relationship Id="rId118" Type="http://schemas.openxmlformats.org/officeDocument/2006/relationships/hyperlink" Target="https://www.epddanmark.dk/media/wzzb0i0u/md-23089-en.pdf" TargetMode="External"/><Relationship Id="rId134" Type="http://schemas.openxmlformats.org/officeDocument/2006/relationships/comments" Target="../comments5.xml"/><Relationship Id="rId80" Type="http://schemas.openxmlformats.org/officeDocument/2006/relationships/hyperlink" Target="https://www.epddanmark.dk/media/zzhfw0wo/md-21098-en.pdf" TargetMode="External"/><Relationship Id="rId85" Type="http://schemas.openxmlformats.org/officeDocument/2006/relationships/hyperlink" Target="https://www.epddanmark.dk/media/j2yjo2vv/md-21096-en_rev1.pdf" TargetMode="External"/><Relationship Id="rId12" Type="http://schemas.openxmlformats.org/officeDocument/2006/relationships/hyperlink" Target="https://www.snohetta.com/projects/558-biocrete-a-carbon-negative-concrete" TargetMode="External"/><Relationship Id="rId17" Type="http://schemas.openxmlformats.org/officeDocument/2006/relationships/hyperlink" Target="https://norto.dk/produkter/norto-floor-up-erhverv/" TargetMode="External"/><Relationship Id="rId33" Type="http://schemas.openxmlformats.org/officeDocument/2006/relationships/hyperlink" Target="https://dk.kebony.com/wp-content/uploads/2023/01/NEPD-3659-2604_Kebony-Clear-Radiata-Decking.pdf" TargetMode="External"/><Relationship Id="rId38" Type="http://schemas.openxmlformats.org/officeDocument/2006/relationships/hyperlink" Target="https://kebony.com/technology/technical-data/" TargetMode="External"/><Relationship Id="rId59" Type="http://schemas.openxmlformats.org/officeDocument/2006/relationships/hyperlink" Target="https://www.epddanmark.dk/media/4occu5i1/md-21034-en_rev1.pdf" TargetMode="External"/><Relationship Id="rId103" Type="http://schemas.openxmlformats.org/officeDocument/2006/relationships/hyperlink" Target="https://www.epddanmark.dk/media/5nsg3jpk/md-21037-en.pdf" TargetMode="External"/><Relationship Id="rId108" Type="http://schemas.openxmlformats.org/officeDocument/2006/relationships/hyperlink" Target="https://www.troldtekt.dk/Produktsortiment/?gclid=CjwKCAjw4c-ZBhAEEiwAZ105RbhJTkewinMlNJalXkTNRn_oHTbAu8AmusYpTRMFikKMFoQjNmYmFxoC0kQQAvD_BwE" TargetMode="External"/><Relationship Id="rId124" Type="http://schemas.openxmlformats.org/officeDocument/2006/relationships/hyperlink" Target="https://api.environdec.com/api/v1/EPDLibrary/Files/1a1996ee-aaf0-4941-a384-bd7d33c3062f/Data" TargetMode="External"/><Relationship Id="rId129" Type="http://schemas.openxmlformats.org/officeDocument/2006/relationships/hyperlink" Target="https://api.environdec.com/api/v1/EPDLibrary/Files/ab7a0672-011b-4b13-a171-4766c56a9ba4/Data" TargetMode="External"/><Relationship Id="rId54" Type="http://schemas.openxmlformats.org/officeDocument/2006/relationships/hyperlink" Target="https://fibo.no/content/uploads/2020/05/EPD-Fibo-Veggpanel-Kitchen-Board.pdf" TargetMode="External"/><Relationship Id="rId70" Type="http://schemas.openxmlformats.org/officeDocument/2006/relationships/hyperlink" Target="https://www.horningfloor.dk/produkter/solid-line/" TargetMode="External"/><Relationship Id="rId75" Type="http://schemas.openxmlformats.org/officeDocument/2006/relationships/hyperlink" Target="https://www.epddanmark.dk/media/52xnv4ag/md-21094-en.pdf" TargetMode="External"/><Relationship Id="rId91" Type="http://schemas.openxmlformats.org/officeDocument/2006/relationships/hyperlink" Target="https://www.knauf.dk/produkter/akustiklosninger/nedhaengte-systemlofter/contur/" TargetMode="External"/><Relationship Id="rId96" Type="http://schemas.openxmlformats.org/officeDocument/2006/relationships/hyperlink" Target="https://www.epd-norge.no/getfile.php/1328650-1673606844/EPDer/Byggevarer/Bygningsplater/NEPD-4133-3358_Arbor-malte-sponplater-for-vegg-og-tak.pdf" TargetMode="External"/><Relationship Id="rId1" Type="http://schemas.openxmlformats.org/officeDocument/2006/relationships/hyperlink" Target="http://www.vestaeco.com/Downloads,5.html" TargetMode="External"/><Relationship Id="rId6" Type="http://schemas.openxmlformats.org/officeDocument/2006/relationships/hyperlink" Target="https://biomason.com/wp-content/uploads/2022/04/29-oct-21_biomason-press-release_ibf.pdf" TargetMode="External"/><Relationship Id="rId23" Type="http://schemas.openxmlformats.org/officeDocument/2006/relationships/hyperlink" Target="https://www.amorimwise.com/products/cork/pure-floor-wall/personality-tea-80" TargetMode="External"/><Relationship Id="rId28" Type="http://schemas.openxmlformats.org/officeDocument/2006/relationships/hyperlink" Target="https://organowood.com/wp-content/uploads/2019/02/OrganoWood-Trallvirke-Basic_DK.pdf" TargetMode="External"/><Relationship Id="rId49" Type="http://schemas.openxmlformats.org/officeDocument/2006/relationships/hyperlink" Target="https://www.epddanmark.dk/media/hvnpqh0c/md-22072-en.pdf" TargetMode="External"/><Relationship Id="rId114" Type="http://schemas.openxmlformats.org/officeDocument/2006/relationships/hyperlink" Target="https://www.troldtekt.dk/Produktsortiment/?gclid=CjwKCAjw4c-ZBhAEEiwAZ105RbhJTkewinMlNJalXkTNRn_oHTbAu8AmusYpTRMFikKMFoQjNmYmFxoC0kQQAvD_BwE" TargetMode="External"/><Relationship Id="rId119" Type="http://schemas.openxmlformats.org/officeDocument/2006/relationships/hyperlink" Target="https://www.epddanmark.dk/media/wzzb0i0u/md-23089-en.pdf" TargetMode="External"/><Relationship Id="rId44" Type="http://schemas.openxmlformats.org/officeDocument/2006/relationships/hyperlink" Target="https://www.dassogroup.com/" TargetMode="External"/><Relationship Id="rId60" Type="http://schemas.openxmlformats.org/officeDocument/2006/relationships/hyperlink" Target="https://www.epddanmark.dk/media/4occu5i1/md-21034-en_rev1.pdf" TargetMode="External"/><Relationship Id="rId65" Type="http://schemas.openxmlformats.org/officeDocument/2006/relationships/hyperlink" Target="https://www.saint-gobain.dk/produktoversigt?f%5B0%5D=sgdk_brand_product_listing%3A3916&amp;gclid=Cj0KCQiAx6ugBhCcARIsAGNmMbh9biY861WRyUDgEx69i9C-nsDN9zefplkIodp0boas2SpH9E79iL4aAmLFEALw_wcB" TargetMode="External"/><Relationship Id="rId81" Type="http://schemas.openxmlformats.org/officeDocument/2006/relationships/hyperlink" Target="https://www.epddanmark.dk/media/zzhfw0wo/md-21098-en.pdf" TargetMode="External"/><Relationship Id="rId86" Type="http://schemas.openxmlformats.org/officeDocument/2006/relationships/hyperlink" Target="https://www.knauf.dk/produkter/akustiklosninger/nedhaengte-systemlofter/plaza/" TargetMode="External"/><Relationship Id="rId130" Type="http://schemas.openxmlformats.org/officeDocument/2006/relationships/hyperlink" Target="https://api.environdec.com/api/v1/EPDLibrary/Files/ab7a0672-011b-4b13-a171-4766c56a9ba4/Data" TargetMode="External"/><Relationship Id="rId13" Type="http://schemas.openxmlformats.org/officeDocument/2006/relationships/hyperlink" Target="https://www.kahrs.com/globalassets/kahrs/brochures-and-documents/global/epd-kahrs-engineered-wood-floors-sweden-en" TargetMode="External"/><Relationship Id="rId18" Type="http://schemas.openxmlformats.org/officeDocument/2006/relationships/hyperlink" Target="https://norto.dk/wp-content/uploads/2020/10/Produktblad-A4-NORTO-FloorUP.pdf" TargetMode="External"/><Relationship Id="rId39" Type="http://schemas.openxmlformats.org/officeDocument/2006/relationships/hyperlink" Target="https://dk.kebony.com/technology/technical-data/" TargetMode="External"/><Relationship Id="rId109" Type="http://schemas.openxmlformats.org/officeDocument/2006/relationships/hyperlink" Target="https://www.troldtekt.dk/Produktsortiment/?gclid=CjwKCAjw4c-ZBhAEEiwAZ105RbhJTkewinMlNJalXkTNRn_oHTbAu8AmusYpTRMFikKMFoQjNmYmFxoC0kQQAvD_BwE" TargetMode="External"/><Relationship Id="rId34" Type="http://schemas.openxmlformats.org/officeDocument/2006/relationships/hyperlink" Target="https://kebony.com/technology/technical-data/" TargetMode="External"/><Relationship Id="rId50" Type="http://schemas.openxmlformats.org/officeDocument/2006/relationships/hyperlink" Target="https://www.epddanmark.dk/media/hvnpqh0c/md-22072-en.pdf" TargetMode="External"/><Relationship Id="rId55" Type="http://schemas.openxmlformats.org/officeDocument/2006/relationships/hyperlink" Target="https://fibo.no/teknisk-dokumentasjon/" TargetMode="External"/><Relationship Id="rId76" Type="http://schemas.openxmlformats.org/officeDocument/2006/relationships/hyperlink" Target="https://www.epddanmark.dk/media/52xnv4ag/md-21094-en.pdf" TargetMode="External"/><Relationship Id="rId97" Type="http://schemas.openxmlformats.org/officeDocument/2006/relationships/hyperlink" Target="https://www.epd-norge.no/getfile.php/1328650-1673606844/EPDer/Byggevarer/Bygningsplater/NEPD-4133-3358_Arbor-malte-sponplater-for-vegg-og-tak.pdf" TargetMode="External"/><Relationship Id="rId104" Type="http://schemas.openxmlformats.org/officeDocument/2006/relationships/hyperlink" Target="https://www.epddanmark.dk/media/5nsg3jpk/md-21037-en.pdf" TargetMode="External"/><Relationship Id="rId120" Type="http://schemas.openxmlformats.org/officeDocument/2006/relationships/hyperlink" Target="https://www.knauf.dk/produkter/akustiklosninger/fritspaendende-lofter/corridor-400/" TargetMode="External"/><Relationship Id="rId125" Type="http://schemas.openxmlformats.org/officeDocument/2006/relationships/hyperlink" Target="https://www.saint-gobain.dk/search?keys=gyptone%20big" TargetMode="External"/><Relationship Id="rId7" Type="http://schemas.openxmlformats.org/officeDocument/2006/relationships/hyperlink" Target="https://app.2050-materials.com/product/details_designer/moso-international-b-v-bamboo-x-treme-r-decking/" TargetMode="External"/><Relationship Id="rId71" Type="http://schemas.openxmlformats.org/officeDocument/2006/relationships/hyperlink" Target="https://www.horningfloor.dk/produkter/mosaikparket/" TargetMode="External"/><Relationship Id="rId92" Type="http://schemas.openxmlformats.org/officeDocument/2006/relationships/hyperlink" Target="https://www.epddanmark.dk/media/ybzhweql/md-21095-en.pdf" TargetMode="External"/><Relationship Id="rId2" Type="http://schemas.openxmlformats.org/officeDocument/2006/relationships/hyperlink" Target="https://www.holseogwibroe.dk/Files/Images/HolseWibroe/PDF/2-EPD%20of%20dassoXTR%20and%20dassoCTECH.pdf" TargetMode="External"/><Relationship Id="rId29" Type="http://schemas.openxmlformats.org/officeDocument/2006/relationships/hyperlink" Target="https://organowood.com/wp-content/uploads/2019/02/OrganoWood-Trallvirke-Select_DK.pdf" TargetMode="External"/><Relationship Id="rId24" Type="http://schemas.openxmlformats.org/officeDocument/2006/relationships/hyperlink" Target="https://organowood.com/da/dokumenter/" TargetMode="External"/><Relationship Id="rId40" Type="http://schemas.openxmlformats.org/officeDocument/2006/relationships/hyperlink" Target="https://biomason.com/biolith" TargetMode="External"/><Relationship Id="rId45" Type="http://schemas.openxmlformats.org/officeDocument/2006/relationships/hyperlink" Target="https://www.epddanmark.dk/media/hvnpqh0c/md-22072-en.pdf" TargetMode="External"/><Relationship Id="rId66" Type="http://schemas.openxmlformats.org/officeDocument/2006/relationships/hyperlink" Target="https://www.knauf.dk/produkter/akustiklosninger/faste-lofter-vaegge/designpanel/" TargetMode="External"/><Relationship Id="rId87" Type="http://schemas.openxmlformats.org/officeDocument/2006/relationships/hyperlink" Target="https://www.knauf.dk/produkter/akustiklosninger/nedhaengte-systemlofter/belgravia/" TargetMode="External"/><Relationship Id="rId110" Type="http://schemas.openxmlformats.org/officeDocument/2006/relationships/hyperlink" Target="https://www.epddanmark.dk/media/dw3likdu/md-21035-en_rev1.pdf" TargetMode="External"/><Relationship Id="rId115" Type="http://schemas.openxmlformats.org/officeDocument/2006/relationships/hyperlink" Target="https://www.epddanmark.dk/media/goga4ksf/md-22046-en.pdf" TargetMode="External"/><Relationship Id="rId131" Type="http://schemas.openxmlformats.org/officeDocument/2006/relationships/printerSettings" Target="../printerSettings/printerSettings6.bin"/><Relationship Id="rId61" Type="http://schemas.openxmlformats.org/officeDocument/2006/relationships/hyperlink" Target="https://www.epddanmark.dk/media/4occu5i1/md-21034-en_rev1.pdf" TargetMode="External"/><Relationship Id="rId82" Type="http://schemas.openxmlformats.org/officeDocument/2006/relationships/hyperlink" Target="https://www.knauf.dk/produkter/akustiklosninger/nedhaengte-systemlofter/markant/" TargetMode="External"/><Relationship Id="rId19" Type="http://schemas.openxmlformats.org/officeDocument/2006/relationships/hyperlink" Target="https://norto.dk/om-norto/" TargetMode="External"/><Relationship Id="rId14" Type="http://schemas.openxmlformats.org/officeDocument/2006/relationships/hyperlink" Target="https://www.kahrs.com/da-dk/om-os/vores-miljocertificeringer/" TargetMode="External"/><Relationship Id="rId30" Type="http://schemas.openxmlformats.org/officeDocument/2006/relationships/hyperlink" Target="https://organowood.com/wp-content/uploads/2019/02/OrganoWood-Trallvirke-Select-Plus_DK.pdf" TargetMode="External"/><Relationship Id="rId35" Type="http://schemas.openxmlformats.org/officeDocument/2006/relationships/hyperlink" Target="https://dk.kebony.com/technology/technical-data/" TargetMode="External"/><Relationship Id="rId56" Type="http://schemas.openxmlformats.org/officeDocument/2006/relationships/hyperlink" Target="https://www.epddanmark.dk/media/4occu5i1/md-21034-en_rev1.pdf" TargetMode="External"/><Relationship Id="rId77" Type="http://schemas.openxmlformats.org/officeDocument/2006/relationships/hyperlink" Target="https://www.epddanmark.dk/media/0bwohaks/md-21099-en.pdf" TargetMode="External"/><Relationship Id="rId100" Type="http://schemas.openxmlformats.org/officeDocument/2006/relationships/hyperlink" Target="https://www.epddanmark.dk/media/a23pmop2/md-21038-en.pdf" TargetMode="External"/><Relationship Id="rId105" Type="http://schemas.openxmlformats.org/officeDocument/2006/relationships/hyperlink" Target="https://www.troldtekt.dk/Produktsortiment/?gclid=CjwKCAjw4c-ZBhAEEiwAZ105RbhJTkewinMlNJalXkTNRn_oHTbAu8AmusYpTRMFikKMFoQjNmYmFxoC0kQQAvD_BwE" TargetMode="External"/><Relationship Id="rId126" Type="http://schemas.openxmlformats.org/officeDocument/2006/relationships/hyperlink" Target="https://api.environdec.com/api/v1/EPDLibrary/Files/1a1996ee-aaf0-4941-a384-bd7d33c3062f/Data" TargetMode="External"/><Relationship Id="rId8" Type="http://schemas.openxmlformats.org/officeDocument/2006/relationships/hyperlink" Target="https://www.moso-bamboo.com/product/bamboo-x-treme-decking/" TargetMode="External"/><Relationship Id="rId51" Type="http://schemas.openxmlformats.org/officeDocument/2006/relationships/hyperlink" Target="https://www.epddanmark.dk/media/hvnpqh0c/md-22072-en.pdf" TargetMode="External"/><Relationship Id="rId72" Type="http://schemas.openxmlformats.org/officeDocument/2006/relationships/hyperlink" Target="https://www.horningfloor.dk/produkter/" TargetMode="External"/><Relationship Id="rId93" Type="http://schemas.openxmlformats.org/officeDocument/2006/relationships/hyperlink" Target="https://www.epddanmark.dk/media/ybzhweql/md-21095-en.pdf" TargetMode="External"/><Relationship Id="rId98" Type="http://schemas.openxmlformats.org/officeDocument/2006/relationships/hyperlink" Target="http://webshop.fredricsons.com/CONTENT/TRYGG/DEFAULTBRANCH/PRODUCTIMAGES/ArborTakskiva_TekniskInfo.pdf" TargetMode="External"/><Relationship Id="rId121" Type="http://schemas.openxmlformats.org/officeDocument/2006/relationships/hyperlink" Target="https://www.knauf.dk/produkter/akustiklosninger/fritspaendende-lofter/corridor-400/" TargetMode="External"/><Relationship Id="rId3" Type="http://schemas.openxmlformats.org/officeDocument/2006/relationships/hyperlink" Target="https://www.holseogwibroe.dk/Files/Images/HolseWibroe/PDF/2-EPD%20of%20dassoXTR%20and%20dassoCTECH.pdf" TargetMode="External"/><Relationship Id="rId25" Type="http://schemas.openxmlformats.org/officeDocument/2006/relationships/hyperlink" Target="https://organowood.com/da/dokumenter/" TargetMode="External"/><Relationship Id="rId46" Type="http://schemas.openxmlformats.org/officeDocument/2006/relationships/hyperlink" Target="https://www.epddanmark.dk/media/hvnpqh0c/md-22072-en.pdf" TargetMode="External"/><Relationship Id="rId67" Type="http://schemas.openxmlformats.org/officeDocument/2006/relationships/hyperlink" Target="https://www.knauf.dk/produkter/akustiklosninger/faste-lofter-vaegge/tectopanel/" TargetMode="External"/><Relationship Id="rId116" Type="http://schemas.openxmlformats.org/officeDocument/2006/relationships/hyperlink" Target="https://www.epddanmark.dk/media/r0lnmlje/md-22045-en.pdf" TargetMode="External"/><Relationship Id="rId20" Type="http://schemas.openxmlformats.org/officeDocument/2006/relationships/hyperlink" Target="https://www.amorimwise.com/products/cork/inspire-700/traces-tea-19" TargetMode="External"/><Relationship Id="rId41" Type="http://schemas.openxmlformats.org/officeDocument/2006/relationships/hyperlink" Target="https://www.dassogroup.com/" TargetMode="External"/><Relationship Id="rId62" Type="http://schemas.openxmlformats.org/officeDocument/2006/relationships/hyperlink" Target="https://www.sould.dk/material-menu" TargetMode="External"/><Relationship Id="rId83" Type="http://schemas.openxmlformats.org/officeDocument/2006/relationships/hyperlink" Target="https://www.knauf.dk/produkter/akustiklosninger/nedhaengte-systemlofter/contur/" TargetMode="External"/><Relationship Id="rId88" Type="http://schemas.openxmlformats.org/officeDocument/2006/relationships/hyperlink" Target="https://www.epddanmark.dk/media/tcig0jec/md-21097-en.pdf" TargetMode="External"/><Relationship Id="rId111" Type="http://schemas.openxmlformats.org/officeDocument/2006/relationships/hyperlink" Target="https://www.epddanmark.dk/media/dw3likdu/md-21035-en_rev1.pdf" TargetMode="External"/><Relationship Id="rId132" Type="http://schemas.openxmlformats.org/officeDocument/2006/relationships/drawing" Target="../drawings/drawing6.xml"/><Relationship Id="rId15" Type="http://schemas.openxmlformats.org/officeDocument/2006/relationships/hyperlink" Target="https://api.environdec.com/api/v1/EPDLibrary/Files/707a6640-fb28-41c1-81a0-08d941d5f1c9/Data" TargetMode="External"/><Relationship Id="rId36" Type="http://schemas.openxmlformats.org/officeDocument/2006/relationships/hyperlink" Target="https://dk.kebony.com/wp-content/uploads/2023/01/NEPD-3514-2106_Kebony-Character-Scots-Pine-Decking.pdf" TargetMode="External"/><Relationship Id="rId57" Type="http://schemas.openxmlformats.org/officeDocument/2006/relationships/hyperlink" Target="https://www.epddanmark.dk/media/4occu5i1/md-21034-en_rev1.pdf" TargetMode="External"/><Relationship Id="rId106" Type="http://schemas.openxmlformats.org/officeDocument/2006/relationships/hyperlink" Target="https://www.epddanmark.dk/media/q5lpyhnp/md-21036-en_rev1.pdf" TargetMode="External"/><Relationship Id="rId127" Type="http://schemas.openxmlformats.org/officeDocument/2006/relationships/hyperlink" Target="https://api.environdec.com/api/v1/EPDLibrary/Files/bf84621f-817d-4f2f-89e4-b8a0192b88d8/Data" TargetMode="External"/><Relationship Id="rId10" Type="http://schemas.openxmlformats.org/officeDocument/2006/relationships/hyperlink" Target="https://www.linkedin.com/posts/stig-hessellund-9625734_follow-the-algae-brick-road-to-plant-based-activity-6977145404614184961-JKXe?utm_source=share&amp;utm_medium=member_desktop" TargetMode="External"/><Relationship Id="rId31" Type="http://schemas.openxmlformats.org/officeDocument/2006/relationships/hyperlink" Target="https://organowood.com/wp-content/uploads/2019/02/OrganoWood-Trallvirke-Magnum_DK.pdf" TargetMode="External"/><Relationship Id="rId52" Type="http://schemas.openxmlformats.org/officeDocument/2006/relationships/hyperlink" Target="https://www.epddanmark.dk/media/hvnpqh0c/md-22072-en.pdf" TargetMode="External"/><Relationship Id="rId73" Type="http://schemas.openxmlformats.org/officeDocument/2006/relationships/hyperlink" Target="https://www.horningfloor.dk/produkter/" TargetMode="External"/><Relationship Id="rId78" Type="http://schemas.openxmlformats.org/officeDocument/2006/relationships/hyperlink" Target="https://www.epddanmark.dk/media/0bwohaks/md-21099-en.pdf" TargetMode="External"/><Relationship Id="rId94" Type="http://schemas.openxmlformats.org/officeDocument/2006/relationships/hyperlink" Target="https://www.knauf.dk/produkter/akustiklosninger/nedhaengte-systemlofter/plaza/" TargetMode="External"/><Relationship Id="rId99" Type="http://schemas.openxmlformats.org/officeDocument/2006/relationships/hyperlink" Target="https://arbor.no/wp-content/uploads/2020/12/Ytelseserklaering-007-Vegg-spon-malt.pdf" TargetMode="External"/><Relationship Id="rId101" Type="http://schemas.openxmlformats.org/officeDocument/2006/relationships/hyperlink" Target="https://www.epddanmark.dk/media/a23pmop2/md-21038-en.pdf" TargetMode="External"/><Relationship Id="rId122" Type="http://schemas.openxmlformats.org/officeDocument/2006/relationships/hyperlink" Target="https://www.epddanmark.dk/media/vwvdi3b4/md-23090-en.pdf" TargetMode="External"/><Relationship Id="rId4" Type="http://schemas.openxmlformats.org/officeDocument/2006/relationships/hyperlink" Target="https://www.holseogwibroe.dk/Files/Images/HolseWibroe/PDF/2-EPD%20of%20dassoXTR%20and%20dassoCTECH.pdf" TargetMode="External"/><Relationship Id="rId9" Type="http://schemas.openxmlformats.org/officeDocument/2006/relationships/hyperlink" Target="https://www.moso-bamboo.com/wp-content/uploads/20170315_EPD_INT_Moso_X-treme_EN.pdf" TargetMode="External"/><Relationship Id="rId26" Type="http://schemas.openxmlformats.org/officeDocument/2006/relationships/hyperlink" Target="https://organowood.com/da/dokumenter/" TargetMode="External"/><Relationship Id="rId47" Type="http://schemas.openxmlformats.org/officeDocument/2006/relationships/hyperlink" Target="https://www.epddanmark.dk/media/hvnpqh0c/md-22072-en.pdf" TargetMode="External"/><Relationship Id="rId68" Type="http://schemas.openxmlformats.org/officeDocument/2006/relationships/hyperlink" Target="https://www.horningfloor.dk/produkter/chevron-2/" TargetMode="External"/><Relationship Id="rId89" Type="http://schemas.openxmlformats.org/officeDocument/2006/relationships/hyperlink" Target="https://www.epddanmark.dk/media/tcig0jec/md-21097-en.pdf" TargetMode="External"/><Relationship Id="rId112" Type="http://schemas.openxmlformats.org/officeDocument/2006/relationships/hyperlink" Target="https://www.epddanmark.dk/media/goga4ksf/md-22046-en.pdf" TargetMode="External"/><Relationship Id="rId133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21" Type="http://schemas.openxmlformats.org/officeDocument/2006/relationships/hyperlink" Target="https://www.epddanmark.dk/media/aoddqt2m/md-22087-da.pdf" TargetMode="External"/><Relationship Id="rId42" Type="http://schemas.openxmlformats.org/officeDocument/2006/relationships/hyperlink" Target="https://www.unilite.dk/" TargetMode="External"/><Relationship Id="rId63" Type="http://schemas.openxmlformats.org/officeDocument/2006/relationships/hyperlink" Target="https://www.epddanmark.dk/media/2yueuleh/md-23063-da.pdf" TargetMode="External"/><Relationship Id="rId84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8" Type="http://schemas.openxmlformats.org/officeDocument/2006/relationships/hyperlink" Target="https://www.epddanmark.dk/media/i0apwkur/md-23079-en.pdf" TargetMode="External"/><Relationship Id="rId159" Type="http://schemas.openxmlformats.org/officeDocument/2006/relationships/hyperlink" Target="https://www.epddanmark.dk/media/xbub0sl3/md-22127-da.pdf" TargetMode="External"/><Relationship Id="rId170" Type="http://schemas.openxmlformats.org/officeDocument/2006/relationships/hyperlink" Target="https://www.epddanmark.dk/media/4pnfnax3/md-22039-da.pdf" TargetMode="External"/><Relationship Id="rId191" Type="http://schemas.openxmlformats.org/officeDocument/2006/relationships/hyperlink" Target="https://energivinduer.dk/wp-content/uploads/sites/3/510-15.3_010323.pdf" TargetMode="External"/><Relationship Id="rId107" Type="http://schemas.openxmlformats.org/officeDocument/2006/relationships/hyperlink" Target="https://www.velux.dk/?gclid=Cj0KCQjwtsCgBhDEARIsAE7RYh1dXkiyy4g4NDy6fVlj8U9zkKSIpYtafQQsLzpopPrww6w2tGaEx_waAh-BEALw_wcB" TargetMode="External"/><Relationship Id="rId11" Type="http://schemas.openxmlformats.org/officeDocument/2006/relationships/hyperlink" Target="https://www.kpk-vinduer.dk/?gclid=Cj0KCQjwk7ugBhDIARIsAGuvgPYrHCa2e_Gc6FXPybpQjqRijQULtHgDmpmO0URhaM4NxF2KcmwpdSQaAvj5EALw_wcB" TargetMode="External"/><Relationship Id="rId32" Type="http://schemas.openxmlformats.org/officeDocument/2006/relationships/hyperlink" Target="https://www.epddanmark.dk/media/i5ejpvul/md-23081-en.pdf" TargetMode="External"/><Relationship Id="rId53" Type="http://schemas.openxmlformats.org/officeDocument/2006/relationships/hyperlink" Target="https://www.epddanmark.dk/media/xgmpknxt/md-23065-da.pdf" TargetMode="External"/><Relationship Id="rId74" Type="http://schemas.openxmlformats.org/officeDocument/2006/relationships/hyperlink" Target="https://www.specifiedby.com/velux-commercial/velux-modular-rooflight-monolight/bre-velux-modular-skylight-double-glazing-configuration_65fa8b8a.pdf" TargetMode="External"/><Relationship Id="rId128" Type="http://schemas.openxmlformats.org/officeDocument/2006/relationships/hyperlink" Target="https://www.epddanmark.dk/media/2sqhahgt/md-23066-da.pdf" TargetMode="External"/><Relationship Id="rId149" Type="http://schemas.openxmlformats.org/officeDocument/2006/relationships/hyperlink" Target="https://ventisol.dk/" TargetMode="External"/><Relationship Id="rId5" Type="http://schemas.openxmlformats.org/officeDocument/2006/relationships/hyperlink" Target="https://www.epddanmark.dk/media/up5iekjv/md-18004-en_rev1-hshansen.pdf" TargetMode="External"/><Relationship Id="rId95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60" Type="http://schemas.openxmlformats.org/officeDocument/2006/relationships/hyperlink" Target="https://www.epddanmark.dk/media/xbub0sl3/md-22127-da.pdf" TargetMode="External"/><Relationship Id="rId181" Type="http://schemas.openxmlformats.org/officeDocument/2006/relationships/hyperlink" Target="https://energivinduer.dk/wp-content/uploads/sites/3/506-2.6_010323.pdf" TargetMode="External"/><Relationship Id="rId22" Type="http://schemas.openxmlformats.org/officeDocument/2006/relationships/hyperlink" Target="https://www.outline.dk/" TargetMode="External"/><Relationship Id="rId43" Type="http://schemas.openxmlformats.org/officeDocument/2006/relationships/hyperlink" Target="https://www.unilite.dk/" TargetMode="External"/><Relationship Id="rId64" Type="http://schemas.openxmlformats.org/officeDocument/2006/relationships/hyperlink" Target="https://www.epddanmark.dk/media/2yueuleh/md-23063-da.pdf" TargetMode="External"/><Relationship Id="rId118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9" Type="http://schemas.openxmlformats.org/officeDocument/2006/relationships/hyperlink" Target="https://velfac.dk/?utm_term=velfac&amp;utm_campaign=1.+NY+-+Brand&amp;utm_source=adwords&amp;utm_medium=ppc&amp;hsa_tgt=aud-484148865544:kwd-2696933612&amp;hsa_grp=11123879080&amp;hsa_src=g&amp;hsa_net=adwords&amp;hsa_mt=e&amp;hsa_ver=3&amp;hsa_ad=616905822231&amp;hsa_acc=8847174056&amp;hsa_kw=velfac&amp;hsa_cam=153187000&amp;gclid=Cj0KCQjwtsCgBhDEARIsAE7RYh245E5tHRETRrhPjXvp71-z3hSS2vUtbOu0fmpIV5N6IPa7xDgrSNoaAqJJEALw_wcB" TargetMode="External"/><Relationship Id="rId85" Type="http://schemas.openxmlformats.org/officeDocument/2006/relationships/hyperlink" Target="https://www.velux.dk/?gclid=Cj0KCQjwtsCgBhDEARIsAE7RYh1dXkiyy4g4NDy6fVlj8U9zkKSIpYtafQQsLzpopPrww6w2tGaEx_waAh-BEALw_wcB" TargetMode="External"/><Relationship Id="rId150" Type="http://schemas.openxmlformats.org/officeDocument/2006/relationships/hyperlink" Target="https://www.epddanmark.dk/media/xbub0sl3/md-22127-da.pdf" TargetMode="External"/><Relationship Id="rId171" Type="http://schemas.openxmlformats.org/officeDocument/2006/relationships/hyperlink" Target="https://www.vinduesindustrien.dk/professionel" TargetMode="External"/><Relationship Id="rId192" Type="http://schemas.openxmlformats.org/officeDocument/2006/relationships/hyperlink" Target="https://www.epddanmark.dk/media/hmqpg4r4/md-23080-en.pdf" TargetMode="External"/><Relationship Id="rId12" Type="http://schemas.openxmlformats.org/officeDocument/2006/relationships/hyperlink" Target="https://www.kpk-vinduer.dk/?gclid=Cj0KCQjwk7ugBhDIARIsAGuvgPYrHCa2e_Gc6FXPybpQjqRijQULtHgDmpmO0URhaM4NxF2KcmwpdSQaAvj5EALw_wcB" TargetMode="External"/><Relationship Id="rId33" Type="http://schemas.openxmlformats.org/officeDocument/2006/relationships/hyperlink" Target="https://www.epddanmark.dk/media/i5ejpvul/md-23081-en.pdf" TargetMode="External"/><Relationship Id="rId108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29" Type="http://schemas.openxmlformats.org/officeDocument/2006/relationships/hyperlink" Target="https://www.unilite.dk/" TargetMode="External"/><Relationship Id="rId54" Type="http://schemas.openxmlformats.org/officeDocument/2006/relationships/hyperlink" Target="https://www.epddanmark.dk/media/2yueuleh/md-23063-da.pdf" TargetMode="External"/><Relationship Id="rId75" Type="http://schemas.openxmlformats.org/officeDocument/2006/relationships/hyperlink" Target="https://www.specifiedby.com/velux-commercial/velux-modular-rooflight-monolight/bre-velux-modular-skylight-double-glazing-configuration_65fa8b8a.pdf" TargetMode="External"/><Relationship Id="rId96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40" Type="http://schemas.openxmlformats.org/officeDocument/2006/relationships/hyperlink" Target="https://www.epddanmark.dk/media/hmqpg4r4/md-23080-en.pdf" TargetMode="External"/><Relationship Id="rId161" Type="http://schemas.openxmlformats.org/officeDocument/2006/relationships/hyperlink" Target="https://www.epddanmark.dk/media/xbub0sl3/md-22127-da.pdf" TargetMode="External"/><Relationship Id="rId182" Type="http://schemas.openxmlformats.org/officeDocument/2006/relationships/hyperlink" Target="https://energivinduer.dk/wp-content/uploads/sites/3/506-11.3_010323.pdf" TargetMode="External"/><Relationship Id="rId6" Type="http://schemas.openxmlformats.org/officeDocument/2006/relationships/hyperlink" Target="https://hshansen.com/da" TargetMode="External"/><Relationship Id="rId23" Type="http://schemas.openxmlformats.org/officeDocument/2006/relationships/hyperlink" Target="https://www.outline.dk/" TargetMode="External"/><Relationship Id="rId119" Type="http://schemas.openxmlformats.org/officeDocument/2006/relationships/hyperlink" Target="https://www.epddanmark.dk/media/2sqhahgt/md-23066-da.pdf" TargetMode="External"/><Relationship Id="rId44" Type="http://schemas.openxmlformats.org/officeDocument/2006/relationships/hyperlink" Target="https://www.epddanmark.dk/media/xgmpknxt/md-23065-da.pdf" TargetMode="External"/><Relationship Id="rId65" Type="http://schemas.openxmlformats.org/officeDocument/2006/relationships/hyperlink" Target="https://www.epddanmark.dk/media/2yueuleh/md-23063-da.pdf" TargetMode="External"/><Relationship Id="rId86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0" Type="http://schemas.openxmlformats.org/officeDocument/2006/relationships/hyperlink" Target="https://www.unilite.dk/" TargetMode="External"/><Relationship Id="rId151" Type="http://schemas.openxmlformats.org/officeDocument/2006/relationships/hyperlink" Target="https://www.epddanmark.dk/media/xbub0sl3/md-22127-da.pdf" TargetMode="External"/><Relationship Id="rId172" Type="http://schemas.openxmlformats.org/officeDocument/2006/relationships/hyperlink" Target="https://www.vinduesindustrien.dk/professionel" TargetMode="External"/><Relationship Id="rId193" Type="http://schemas.openxmlformats.org/officeDocument/2006/relationships/hyperlink" Target="https://www.epddanmark.dk/media/hmqpg4r4/md-23080-en.pdf" TargetMode="External"/><Relationship Id="rId13" Type="http://schemas.openxmlformats.org/officeDocument/2006/relationships/hyperlink" Target="https://www.epddanmark.dk/media/aoddqt2m/md-22087-da.pdf" TargetMode="External"/><Relationship Id="rId109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34" Type="http://schemas.openxmlformats.org/officeDocument/2006/relationships/hyperlink" Target="https://www.epddanmark.dk/media/i5ejpvul/md-23081-en.pdf" TargetMode="External"/><Relationship Id="rId55" Type="http://schemas.openxmlformats.org/officeDocument/2006/relationships/hyperlink" Target="https://www.unilite.dk/" TargetMode="External"/><Relationship Id="rId76" Type="http://schemas.openxmlformats.org/officeDocument/2006/relationships/hyperlink" Target="https://www.velux.dk/?gclid=Cj0KCQjwtsCgBhDEARIsAE7RYh1dXkiyy4g4NDy6fVlj8U9zkKSIpYtafQQsLzpopPrww6w2tGaEx_waAh-BEALw_wcB" TargetMode="External"/><Relationship Id="rId97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20" Type="http://schemas.openxmlformats.org/officeDocument/2006/relationships/hyperlink" Target="https://www.epddanmark.dk/media/2sqhahgt/md-23066-da.pdf" TargetMode="External"/><Relationship Id="rId141" Type="http://schemas.openxmlformats.org/officeDocument/2006/relationships/hyperlink" Target="https://www.epddanmark.dk/media/hmqpg4r4/md-23080-en.pdf" TargetMode="External"/><Relationship Id="rId7" Type="http://schemas.openxmlformats.org/officeDocument/2006/relationships/hyperlink" Target="https://www.epddanmark.dk/media/fualwv1r/md-22086-da.pdf" TargetMode="External"/><Relationship Id="rId71" Type="http://schemas.openxmlformats.org/officeDocument/2006/relationships/hyperlink" Target="https://www.unilite.dk/" TargetMode="External"/><Relationship Id="rId92" Type="http://schemas.openxmlformats.org/officeDocument/2006/relationships/hyperlink" Target="https://www.velux.dk/?gclid=Cj0KCQjwtsCgBhDEARIsAE7RYh1dXkiyy4g4NDy6fVlj8U9zkKSIpYtafQQsLzpopPrww6w2tGaEx_waAh-BEALw_wcB" TargetMode="External"/><Relationship Id="rId162" Type="http://schemas.openxmlformats.org/officeDocument/2006/relationships/hyperlink" Target="https://ventisol.dk/" TargetMode="External"/><Relationship Id="rId183" Type="http://schemas.openxmlformats.org/officeDocument/2006/relationships/hyperlink" Target="https://energivinduer.dk/wp-content/uploads/sites/3/506-4.6_010323.pdf" TargetMode="External"/><Relationship Id="rId2" Type="http://schemas.openxmlformats.org/officeDocument/2006/relationships/hyperlink" Target="https://www.epddanmark.dk/media/kgwej0mt/md-18003-en-hshansen.pdf" TargetMode="External"/><Relationship Id="rId29" Type="http://schemas.openxmlformats.org/officeDocument/2006/relationships/hyperlink" Target="https://www.outrup.dk/" TargetMode="External"/><Relationship Id="rId24" Type="http://schemas.openxmlformats.org/officeDocument/2006/relationships/hyperlink" Target="https://www.epddanmark.dk/media/qnunp0ss/md-22088-da.pdf" TargetMode="External"/><Relationship Id="rId40" Type="http://schemas.openxmlformats.org/officeDocument/2006/relationships/hyperlink" Target="https://www.epddanmark.dk/media/hhictrpq/md-23064-da.pdf" TargetMode="External"/><Relationship Id="rId45" Type="http://schemas.openxmlformats.org/officeDocument/2006/relationships/hyperlink" Target="https://www.epddanmark.dk/media/xgmpknxt/md-23065-da.pdf" TargetMode="External"/><Relationship Id="rId66" Type="http://schemas.openxmlformats.org/officeDocument/2006/relationships/hyperlink" Target="https://www.epddanmark.dk/media/2yueuleh/md-23063-da.pdf" TargetMode="External"/><Relationship Id="rId87" Type="http://schemas.openxmlformats.org/officeDocument/2006/relationships/hyperlink" Target="https://media1.heinze.de/m8/6/62176e6f-833c-4f68-9081-14673e952d50/62176e6f-833c-4f68-9081-14673e952d50.pdf" TargetMode="External"/><Relationship Id="rId110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15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1" Type="http://schemas.openxmlformats.org/officeDocument/2006/relationships/hyperlink" Target="https://www.unilite.dk/" TargetMode="External"/><Relationship Id="rId136" Type="http://schemas.openxmlformats.org/officeDocument/2006/relationships/hyperlink" Target="https://www.unilite.dk/" TargetMode="External"/><Relationship Id="rId157" Type="http://schemas.openxmlformats.org/officeDocument/2006/relationships/hyperlink" Target="https://www.epddanmark.dk/media/xbub0sl3/md-22127-da.pdf" TargetMode="External"/><Relationship Id="rId178" Type="http://schemas.openxmlformats.org/officeDocument/2006/relationships/hyperlink" Target="https://energivinduer.dk/wp-content/uploads/sites/3/503-14.1_010323.pdf" TargetMode="External"/><Relationship Id="rId61" Type="http://schemas.openxmlformats.org/officeDocument/2006/relationships/hyperlink" Target="https://www.epddanmark.dk/media/2yueuleh/md-23063-da.pdf" TargetMode="External"/><Relationship Id="rId82" Type="http://schemas.openxmlformats.org/officeDocument/2006/relationships/hyperlink" Target="https://www.velux.dk/?gclid=Cj0KCQjwtsCgBhDEARIsAE7RYh1dXkiyy4g4NDy6fVlj8U9zkKSIpYtafQQsLzpopPrww6w2tGaEx_waAh-BEALw_wcB" TargetMode="External"/><Relationship Id="rId152" Type="http://schemas.openxmlformats.org/officeDocument/2006/relationships/hyperlink" Target="https://www.epddanmark.dk/media/xbub0sl3/md-22127-da.pdf" TargetMode="External"/><Relationship Id="rId173" Type="http://schemas.openxmlformats.org/officeDocument/2006/relationships/hyperlink" Target="https://www.epddanmark.dk/media/qnunp0ss/md-22088-da.pdf" TargetMode="External"/><Relationship Id="rId194" Type="http://schemas.openxmlformats.org/officeDocument/2006/relationships/hyperlink" Target="https://velfac.dk/?utm_term=velfac&amp;utm_campaign=1.+NY+-+Brand&amp;utm_source=adwords&amp;utm_medium=ppc&amp;hsa_tgt=aud-484148865544:kwd-2696933612&amp;hsa_grp=11123879080&amp;hsa_src=g&amp;hsa_net=adwords&amp;hsa_mt=e&amp;hsa_ver=3&amp;hsa_ad=616905822231&amp;hsa_acc=8847174056&amp;hsa_kw=velfac&amp;hsa_cam=153187000&amp;gclid=Cj0KCQjwtsCgBhDEARIsAE7RYh245E5tHRETRrhPjXvp71-z3hSS2vUtbOu0fmpIV5N6IPa7xDgrSNoaAqJJEALw_wcB" TargetMode="External"/><Relationship Id="rId199" Type="http://schemas.openxmlformats.org/officeDocument/2006/relationships/vmlDrawing" Target="../drawings/vmlDrawing6.vml"/><Relationship Id="rId19" Type="http://schemas.openxmlformats.org/officeDocument/2006/relationships/hyperlink" Target="https://www.epddanmark.dk/media/aoddqt2m/md-22087-da.pdf" TargetMode="External"/><Relationship Id="rId14" Type="http://schemas.openxmlformats.org/officeDocument/2006/relationships/hyperlink" Target="https://www.epddanmark.dk/media/aoddqt2m/md-22087-da.pdf" TargetMode="External"/><Relationship Id="rId30" Type="http://schemas.openxmlformats.org/officeDocument/2006/relationships/hyperlink" Target="https://www.outrup.dk/" TargetMode="External"/><Relationship Id="rId35" Type="http://schemas.openxmlformats.org/officeDocument/2006/relationships/hyperlink" Target="https://www.rationel.dk/" TargetMode="External"/><Relationship Id="rId56" Type="http://schemas.openxmlformats.org/officeDocument/2006/relationships/hyperlink" Target="https://www.epddanmark.dk/media/2yueuleh/md-23063-da.pdf" TargetMode="External"/><Relationship Id="rId77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00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05" Type="http://schemas.openxmlformats.org/officeDocument/2006/relationships/hyperlink" Target="https://www.velux.dk/?gclid=Cj0KCQjwtsCgBhDEARIsAE7RYh1dXkiyy4g4NDy6fVlj8U9zkKSIpYtafQQsLzpopPrww6w2tGaEx_waAh-BEALw_wcB" TargetMode="External"/><Relationship Id="rId126" Type="http://schemas.openxmlformats.org/officeDocument/2006/relationships/hyperlink" Target="https://www.epddanmark.dk/media/2sqhahgt/md-23066-da.pdf" TargetMode="External"/><Relationship Id="rId147" Type="http://schemas.openxmlformats.org/officeDocument/2006/relationships/hyperlink" Target="https://www.epddanmark.dk/media/knpeulf2/md-22126-da.pdf" TargetMode="External"/><Relationship Id="rId168" Type="http://schemas.openxmlformats.org/officeDocument/2006/relationships/hyperlink" Target="https://www.epddanmark.dk/media/m2bfi4ei/md-22040-da.pdf" TargetMode="External"/><Relationship Id="rId8" Type="http://schemas.openxmlformats.org/officeDocument/2006/relationships/hyperlink" Target="https://www.epddanmark.dk/media/fualwv1r/md-22086-da.pdf" TargetMode="External"/><Relationship Id="rId51" Type="http://schemas.openxmlformats.org/officeDocument/2006/relationships/hyperlink" Target="https://www.epddanmark.dk/media/xgmpknxt/md-23065-da.pdf" TargetMode="External"/><Relationship Id="rId72" Type="http://schemas.openxmlformats.org/officeDocument/2006/relationships/hyperlink" Target="https://www.unilite.dk/Files/images/pdf/datablade_ovenlys/Unilite-PC-Ovenlys-V2-2020.pdf" TargetMode="External"/><Relationship Id="rId93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98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21" Type="http://schemas.openxmlformats.org/officeDocument/2006/relationships/hyperlink" Target="https://www.epddanmark.dk/media/2sqhahgt/md-23066-da.pdf" TargetMode="External"/><Relationship Id="rId142" Type="http://schemas.openxmlformats.org/officeDocument/2006/relationships/hyperlink" Target="https://velfac.dk/?utm_term=velfac&amp;utm_campaign=1.+NY+-+Brand&amp;utm_source=adwords&amp;utm_medium=ppc&amp;hsa_tgt=aud-484148865544:kwd-2696933612&amp;hsa_grp=11123879080&amp;hsa_src=g&amp;hsa_net=adwords&amp;hsa_mt=e&amp;hsa_ver=3&amp;hsa_ad=616905822231&amp;hsa_acc=8847174056&amp;hsa_kw=velfac&amp;hsa_cam=153187000&amp;gclid=Cj0KCQjwtsCgBhDEARIsAE7RYh245E5tHRETRrhPjXvp71-z3hSS2vUtbOu0fmpIV5N6IPa7xDgrSNoaAqJJEALw_wcB" TargetMode="External"/><Relationship Id="rId163" Type="http://schemas.openxmlformats.org/officeDocument/2006/relationships/hyperlink" Target="https://ventisol.dk/" TargetMode="External"/><Relationship Id="rId184" Type="http://schemas.openxmlformats.org/officeDocument/2006/relationships/hyperlink" Target="https://energivinduer.dk/wp-content/uploads/sites/3/506-12.2_010323.pdf" TargetMode="External"/><Relationship Id="rId189" Type="http://schemas.openxmlformats.org/officeDocument/2006/relationships/hyperlink" Target="https://energivinduer.dk/wp-content/uploads/sites/3/511-2.7_010323.pdf" TargetMode="External"/><Relationship Id="rId3" Type="http://schemas.openxmlformats.org/officeDocument/2006/relationships/hyperlink" Target="https://hshansen.com/da" TargetMode="External"/><Relationship Id="rId25" Type="http://schemas.openxmlformats.org/officeDocument/2006/relationships/hyperlink" Target="https://www.epddanmark.dk/media/qnunp0ss/md-22088-da.pdf" TargetMode="External"/><Relationship Id="rId46" Type="http://schemas.openxmlformats.org/officeDocument/2006/relationships/hyperlink" Target="https://www.epddanmark.dk/media/xgmpknxt/md-23065-da.pdf" TargetMode="External"/><Relationship Id="rId67" Type="http://schemas.openxmlformats.org/officeDocument/2006/relationships/hyperlink" Target="https://www.epddanmark.dk/media/2yueuleh/md-23063-da.pdf" TargetMode="External"/><Relationship Id="rId116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7" Type="http://schemas.openxmlformats.org/officeDocument/2006/relationships/hyperlink" Target="https://www.epddanmark.dk/media/i0apwkur/md-23079-en.pdf" TargetMode="External"/><Relationship Id="rId158" Type="http://schemas.openxmlformats.org/officeDocument/2006/relationships/hyperlink" Target="https://www.epddanmark.dk/media/xbub0sl3/md-22127-da.pdf" TargetMode="External"/><Relationship Id="rId20" Type="http://schemas.openxmlformats.org/officeDocument/2006/relationships/hyperlink" Target="https://www.epddanmark.dk/media/aoddqt2m/md-22087-da.pdf" TargetMode="External"/><Relationship Id="rId41" Type="http://schemas.openxmlformats.org/officeDocument/2006/relationships/hyperlink" Target="https://www.epddanmark.dk/media/hhictrpq/md-23064-da.pdf" TargetMode="External"/><Relationship Id="rId62" Type="http://schemas.openxmlformats.org/officeDocument/2006/relationships/hyperlink" Target="https://www.epddanmark.dk/media/2yueuleh/md-23063-da.pdf" TargetMode="External"/><Relationship Id="rId83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88" Type="http://schemas.openxmlformats.org/officeDocument/2006/relationships/hyperlink" Target="https://media1.heinze.de/m8/6/62176e6f-833c-4f68-9081-14673e952d50/62176e6f-833c-4f68-9081-14673e952d50.pdf" TargetMode="External"/><Relationship Id="rId111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2" Type="http://schemas.openxmlformats.org/officeDocument/2006/relationships/hyperlink" Target="https://www.unilite.dk/" TargetMode="External"/><Relationship Id="rId153" Type="http://schemas.openxmlformats.org/officeDocument/2006/relationships/hyperlink" Target="https://www.epddanmark.dk/media/xbub0sl3/md-22127-da.pdf" TargetMode="External"/><Relationship Id="rId174" Type="http://schemas.openxmlformats.org/officeDocument/2006/relationships/hyperlink" Target="https://www.epddanmark.dk/media/aoddqt2m/md-22087-da.pdf" TargetMode="External"/><Relationship Id="rId179" Type="http://schemas.openxmlformats.org/officeDocument/2006/relationships/hyperlink" Target="https://energivinduer.dk/wp-content/uploads/sites/3/503-15.2_010323.pdf" TargetMode="External"/><Relationship Id="rId195" Type="http://schemas.openxmlformats.org/officeDocument/2006/relationships/hyperlink" Target="https://energivinduer.dk/wp-content/uploads/sites/3/510-3.5_010323.pdf" TargetMode="External"/><Relationship Id="rId190" Type="http://schemas.openxmlformats.org/officeDocument/2006/relationships/hyperlink" Target="https://energivinduer.dk/wp-content/uploads/sites/3/511-16.2_010323.pdf" TargetMode="External"/><Relationship Id="rId15" Type="http://schemas.openxmlformats.org/officeDocument/2006/relationships/hyperlink" Target="https://www.epddanmark.dk/media/fualwv1r/md-22086-da.pdf" TargetMode="External"/><Relationship Id="rId36" Type="http://schemas.openxmlformats.org/officeDocument/2006/relationships/hyperlink" Target="https://www.rationel.dk/" TargetMode="External"/><Relationship Id="rId57" Type="http://schemas.openxmlformats.org/officeDocument/2006/relationships/hyperlink" Target="https://www.epddanmark.dk/media/2yueuleh/md-23063-da.pdf" TargetMode="External"/><Relationship Id="rId106" Type="http://schemas.openxmlformats.org/officeDocument/2006/relationships/hyperlink" Target="https://www.velux.dk/?gclid=Cj0KCQjwtsCgBhDEARIsAE7RYh1dXkiyy4g4NDy6fVlj8U9zkKSIpYtafQQsLzpopPrww6w2tGaEx_waAh-BEALw_wcB" TargetMode="External"/><Relationship Id="rId127" Type="http://schemas.openxmlformats.org/officeDocument/2006/relationships/hyperlink" Target="https://www.epddanmark.dk/media/2sqhahgt/md-23066-da.pdf" TargetMode="External"/><Relationship Id="rId10" Type="http://schemas.openxmlformats.org/officeDocument/2006/relationships/hyperlink" Target="https://www.epddanmark.dk/media/fualwv1r/md-22086-da.pdf" TargetMode="External"/><Relationship Id="rId31" Type="http://schemas.openxmlformats.org/officeDocument/2006/relationships/hyperlink" Target="https://www.epddanmark.dk/media/i5ejpvul/md-23081-en.pdf" TargetMode="External"/><Relationship Id="rId52" Type="http://schemas.openxmlformats.org/officeDocument/2006/relationships/hyperlink" Target="https://www.epddanmark.dk/media/xgmpknxt/md-23065-da.pdf" TargetMode="External"/><Relationship Id="rId73" Type="http://schemas.openxmlformats.org/officeDocument/2006/relationships/hyperlink" Target="https://www.unilite.dk/Files/images/pdf/datablade_ovenlys/Unilite-PC-Ovenlys-V2-2020.pdf" TargetMode="External"/><Relationship Id="rId78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94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99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01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22" Type="http://schemas.openxmlformats.org/officeDocument/2006/relationships/hyperlink" Target="https://www.epddanmark.dk/media/2sqhahgt/md-23066-da.pdf" TargetMode="External"/><Relationship Id="rId143" Type="http://schemas.openxmlformats.org/officeDocument/2006/relationships/hyperlink" Target="https://www.epddanmark.dk/media/knpeulf2/md-22126-da.pdf" TargetMode="External"/><Relationship Id="rId148" Type="http://schemas.openxmlformats.org/officeDocument/2006/relationships/hyperlink" Target="https://ventisol.dk/" TargetMode="External"/><Relationship Id="rId164" Type="http://schemas.openxmlformats.org/officeDocument/2006/relationships/hyperlink" Target="https://ventisol.dk/" TargetMode="External"/><Relationship Id="rId169" Type="http://schemas.openxmlformats.org/officeDocument/2006/relationships/hyperlink" Target="https://www.epddanmark.dk/media/m2bfi4ei/md-22040-da.pdf" TargetMode="External"/><Relationship Id="rId185" Type="http://schemas.openxmlformats.org/officeDocument/2006/relationships/hyperlink" Target="https://energivinduer.dk/wp-content/uploads/sites/3/509-11_210323.pdf" TargetMode="External"/><Relationship Id="rId4" Type="http://schemas.openxmlformats.org/officeDocument/2006/relationships/hyperlink" Target="https://www.epddanmark.dk/media/up5iekjv/md-18004-en_rev1-hshansen.pdf" TargetMode="External"/><Relationship Id="rId9" Type="http://schemas.openxmlformats.org/officeDocument/2006/relationships/hyperlink" Target="https://www.epddanmark.dk/media/fualwv1r/md-22086-da.pdf" TargetMode="External"/><Relationship Id="rId180" Type="http://schemas.openxmlformats.org/officeDocument/2006/relationships/hyperlink" Target="https://energivinduer.dk/wp-content/uploads/sites/3/503-13.1_010323.pdf" TargetMode="External"/><Relationship Id="rId26" Type="http://schemas.openxmlformats.org/officeDocument/2006/relationships/hyperlink" Target="https://www.epddanmark.dk/media/qnunp0ss/md-22088-da.pdf" TargetMode="External"/><Relationship Id="rId47" Type="http://schemas.openxmlformats.org/officeDocument/2006/relationships/hyperlink" Target="https://www.epddanmark.dk/media/xgmpknxt/md-23065-da.pdf" TargetMode="External"/><Relationship Id="rId68" Type="http://schemas.openxmlformats.org/officeDocument/2006/relationships/hyperlink" Target="https://www.epddanmark.dk/media/2yueuleh/md-23063-da.pdf" TargetMode="External"/><Relationship Id="rId89" Type="http://schemas.openxmlformats.org/officeDocument/2006/relationships/hyperlink" Target="https://www.velux.dk/?gclid=Cj0KCQjwtsCgBhDEARIsAE7RYh1dXkiyy4g4NDy6fVlj8U9zkKSIpYtafQQsLzpopPrww6w2tGaEx_waAh-BEALw_wcB" TargetMode="External"/><Relationship Id="rId112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3" Type="http://schemas.openxmlformats.org/officeDocument/2006/relationships/hyperlink" Target="https://www.unilite.dk/" TargetMode="External"/><Relationship Id="rId154" Type="http://schemas.openxmlformats.org/officeDocument/2006/relationships/hyperlink" Target="https://www.epddanmark.dk/media/xbub0sl3/md-22127-da.pdf" TargetMode="External"/><Relationship Id="rId175" Type="http://schemas.openxmlformats.org/officeDocument/2006/relationships/hyperlink" Target="https://www.epddanmark.dk/media/hhictrpq/md-23064-da.pdf" TargetMode="External"/><Relationship Id="rId196" Type="http://schemas.openxmlformats.org/officeDocument/2006/relationships/hyperlink" Target="https://energivinduer.dk/wp-content/uploads/sites/3/510-14.4_010323.pdf" TargetMode="External"/><Relationship Id="rId200" Type="http://schemas.openxmlformats.org/officeDocument/2006/relationships/comments" Target="../comments6.xml"/><Relationship Id="rId16" Type="http://schemas.openxmlformats.org/officeDocument/2006/relationships/hyperlink" Target="https://www.epddanmark.dk/media/fualwv1r/md-22086-da.pdf" TargetMode="External"/><Relationship Id="rId37" Type="http://schemas.openxmlformats.org/officeDocument/2006/relationships/hyperlink" Target="https://www.epddanmark.dk/media/hhictrpq/md-23064-da.pdf" TargetMode="External"/><Relationship Id="rId58" Type="http://schemas.openxmlformats.org/officeDocument/2006/relationships/hyperlink" Target="https://www.epddanmark.dk/media/2yueuleh/md-23063-da.pdf" TargetMode="External"/><Relationship Id="rId79" Type="http://schemas.openxmlformats.org/officeDocument/2006/relationships/hyperlink" Target="https://www.velux.dk/?gclid=Cj0KCQjwtsCgBhDEARIsAE7RYh1dXkiyy4g4NDy6fVlj8U9zkKSIpYtafQQsLzpopPrww6w2tGaEx_waAh-BEALw_wcB" TargetMode="External"/><Relationship Id="rId102" Type="http://schemas.openxmlformats.org/officeDocument/2006/relationships/hyperlink" Target="https://www.velux.dk/?gclid=Cj0KCQjwtsCgBhDEARIsAE7RYh1dXkiyy4g4NDy6fVlj8U9zkKSIpYtafQQsLzpopPrww6w2tGaEx_waAh-BEALw_wcB" TargetMode="External"/><Relationship Id="rId123" Type="http://schemas.openxmlformats.org/officeDocument/2006/relationships/hyperlink" Target="https://www.epddanmark.dk/media/2sqhahgt/md-23066-da.pdf" TargetMode="External"/><Relationship Id="rId144" Type="http://schemas.openxmlformats.org/officeDocument/2006/relationships/hyperlink" Target="https://www.epddanmark.dk/media/knpeulf2/md-22126-da.pdf" TargetMode="External"/><Relationship Id="rId90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65" Type="http://schemas.openxmlformats.org/officeDocument/2006/relationships/hyperlink" Target="https://www.epddanmark.dk/media/msth4oem/md-22042-da.pdf" TargetMode="External"/><Relationship Id="rId186" Type="http://schemas.openxmlformats.org/officeDocument/2006/relationships/hyperlink" Target="https://energivinduer.dk/wp-content/uploads/sites/3/509-3.4_260422.pdf" TargetMode="External"/><Relationship Id="rId27" Type="http://schemas.openxmlformats.org/officeDocument/2006/relationships/hyperlink" Target="https://www.epddanmark.dk/media/qnunp0ss/md-22088-da.pdf" TargetMode="External"/><Relationship Id="rId48" Type="http://schemas.openxmlformats.org/officeDocument/2006/relationships/hyperlink" Target="https://www.epddanmark.dk/media/xgmpknxt/md-23065-da.pdf" TargetMode="External"/><Relationship Id="rId69" Type="http://schemas.openxmlformats.org/officeDocument/2006/relationships/hyperlink" Target="https://www.epddanmark.dk/media/2yueuleh/md-23063-da.pdf" TargetMode="External"/><Relationship Id="rId113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4" Type="http://schemas.openxmlformats.org/officeDocument/2006/relationships/hyperlink" Target="https://www.unilite.dk/" TargetMode="External"/><Relationship Id="rId80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55" Type="http://schemas.openxmlformats.org/officeDocument/2006/relationships/hyperlink" Target="https://www.epddanmark.dk/media/xbub0sl3/md-22127-da.pdf" TargetMode="External"/><Relationship Id="rId176" Type="http://schemas.openxmlformats.org/officeDocument/2006/relationships/hyperlink" Target="http://hshansen.com/sites/default/files/2022-03/Hansen%20Millennium_Eref_Marts2022.pdf" TargetMode="External"/><Relationship Id="rId197" Type="http://schemas.openxmlformats.org/officeDocument/2006/relationships/printerSettings" Target="../printerSettings/printerSettings7.bin"/><Relationship Id="rId17" Type="http://schemas.openxmlformats.org/officeDocument/2006/relationships/hyperlink" Target="https://www.epddanmark.dk/media/fualwv1r/md-22086-da.pdf" TargetMode="External"/><Relationship Id="rId38" Type="http://schemas.openxmlformats.org/officeDocument/2006/relationships/hyperlink" Target="https://www.epddanmark.dk/media/hhictrpq/md-23064-da.pdf" TargetMode="External"/><Relationship Id="rId59" Type="http://schemas.openxmlformats.org/officeDocument/2006/relationships/hyperlink" Target="https://www.epddanmark.dk/media/2yueuleh/md-23063-da.pdf" TargetMode="External"/><Relationship Id="rId103" Type="http://schemas.openxmlformats.org/officeDocument/2006/relationships/hyperlink" Target="https://www.velux.dk/?gclid=Cj0KCQjwtsCgBhDEARIsAE7RYh1dXkiyy4g4NDy6fVlj8U9zkKSIpYtafQQsLzpopPrww6w2tGaEx_waAh-BEALw_wcB" TargetMode="External"/><Relationship Id="rId124" Type="http://schemas.openxmlformats.org/officeDocument/2006/relationships/hyperlink" Target="https://www.epddanmark.dk/media/2sqhahgt/md-23066-da.pdf" TargetMode="External"/><Relationship Id="rId70" Type="http://schemas.openxmlformats.org/officeDocument/2006/relationships/hyperlink" Target="https://www.epddanmark.dk/media/2yueuleh/md-23063-da.pdf" TargetMode="External"/><Relationship Id="rId91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45" Type="http://schemas.openxmlformats.org/officeDocument/2006/relationships/hyperlink" Target="https://www.epddanmark.dk/media/knpeulf2/md-22126-da.pdf" TargetMode="External"/><Relationship Id="rId166" Type="http://schemas.openxmlformats.org/officeDocument/2006/relationships/hyperlink" Target="https://www.epddanmark.dk/media/msth4oem/md-22042-da.pdf" TargetMode="External"/><Relationship Id="rId187" Type="http://schemas.openxmlformats.org/officeDocument/2006/relationships/hyperlink" Target="https://energivinduer.dk/wp-content/uploads/sites/3/509-12_210323.pdf" TargetMode="External"/><Relationship Id="rId1" Type="http://schemas.openxmlformats.org/officeDocument/2006/relationships/hyperlink" Target="https://www.epddanmark.dk/media/kgwej0mt/md-18003-en-hshansen.pdf" TargetMode="External"/><Relationship Id="rId28" Type="http://schemas.openxmlformats.org/officeDocument/2006/relationships/hyperlink" Target="https://www.epddanmark.dk/media/qnunp0ss/md-22088-da.pdf" TargetMode="External"/><Relationship Id="rId49" Type="http://schemas.openxmlformats.org/officeDocument/2006/relationships/hyperlink" Target="https://www.unilite.dk/" TargetMode="External"/><Relationship Id="rId114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60" Type="http://schemas.openxmlformats.org/officeDocument/2006/relationships/hyperlink" Target="https://www.epddanmark.dk/media/2yueuleh/md-23063-da.pdf" TargetMode="External"/><Relationship Id="rId81" Type="http://schemas.openxmlformats.org/officeDocument/2006/relationships/hyperlink" Target="https://www.velux.dk/professionel/environmental-product-declarations?_gl=1*rfn4k*_up*MQ..*_ga*MTM3MTc4NjAyLjE2Nzg3ODExNDg.*_ga_D8FPRSM0VP*MTY3ODc4MTE0OC4xLjAuMTY3ODc4MTE1MS4wLjAuMA..*_ga_LKP9L1FDS5*MTY3ODc4MTE0OC4xLjAuMTY3ODc4MTE1MS4wLjAuMA.." TargetMode="External"/><Relationship Id="rId135" Type="http://schemas.openxmlformats.org/officeDocument/2006/relationships/hyperlink" Target="https://www.unilite.dk/" TargetMode="External"/><Relationship Id="rId156" Type="http://schemas.openxmlformats.org/officeDocument/2006/relationships/hyperlink" Target="https://www.epddanmark.dk/media/xbub0sl3/md-22127-da.pdf" TargetMode="External"/><Relationship Id="rId177" Type="http://schemas.openxmlformats.org/officeDocument/2006/relationships/hyperlink" Target="https://energivinduer.dk/wp-content/uploads/sites/3/503-12.2_010323.pdf" TargetMode="External"/><Relationship Id="rId198" Type="http://schemas.openxmlformats.org/officeDocument/2006/relationships/drawing" Target="../drawings/drawing7.xml"/><Relationship Id="rId18" Type="http://schemas.openxmlformats.org/officeDocument/2006/relationships/hyperlink" Target="https://www.epddanmark.dk/media/fualwv1r/md-22086-da.pdf" TargetMode="External"/><Relationship Id="rId39" Type="http://schemas.openxmlformats.org/officeDocument/2006/relationships/hyperlink" Target="https://www.epddanmark.dk/media/hhictrpq/md-23064-da.pdf" TargetMode="External"/><Relationship Id="rId50" Type="http://schemas.openxmlformats.org/officeDocument/2006/relationships/hyperlink" Target="https://www.unilite.dk/" TargetMode="External"/><Relationship Id="rId104" Type="http://schemas.openxmlformats.org/officeDocument/2006/relationships/hyperlink" Target="https://www.velux.dk/?gclid=Cj0KCQjwtsCgBhDEARIsAE7RYh1dXkiyy4g4NDy6fVlj8U9zkKSIpYtafQQsLzpopPrww6w2tGaEx_waAh-BEALw_wcB" TargetMode="External"/><Relationship Id="rId125" Type="http://schemas.openxmlformats.org/officeDocument/2006/relationships/hyperlink" Target="https://www.epddanmark.dk/media/2sqhahgt/md-23066-da.pdf" TargetMode="External"/><Relationship Id="rId146" Type="http://schemas.openxmlformats.org/officeDocument/2006/relationships/hyperlink" Target="https://www.epddanmark.dk/media/knpeulf2/md-22126-da.pdf" TargetMode="External"/><Relationship Id="rId167" Type="http://schemas.openxmlformats.org/officeDocument/2006/relationships/hyperlink" Target="https://www.epddanmark.dk/media/4pnfnax3/md-22039-da.pdf" TargetMode="External"/><Relationship Id="rId188" Type="http://schemas.openxmlformats.org/officeDocument/2006/relationships/hyperlink" Target="https://energivinduer.dk/wp-content/uploads/sites/3/509-6.1_010323.pdf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api.environdec.com/api/v1/EPDLibrary/Files/513ea37b-de9f-4d6c-1bc0-08da2ccce1bd/Data" TargetMode="External"/><Relationship Id="rId21" Type="http://schemas.openxmlformats.org/officeDocument/2006/relationships/hyperlink" Target="https://www.recgroup.com/en" TargetMode="External"/><Relationship Id="rId42" Type="http://schemas.openxmlformats.org/officeDocument/2006/relationships/hyperlink" Target="https://www.base-inies.fr/iniesV4/dist/consultation.html?id=11061" TargetMode="External"/><Relationship Id="rId47" Type="http://schemas.openxmlformats.org/officeDocument/2006/relationships/hyperlink" Target="https://www.base-inies.fr/iniesV4/dist/consultation.html?id=29559" TargetMode="External"/><Relationship Id="rId63" Type="http://schemas.openxmlformats.org/officeDocument/2006/relationships/hyperlink" Target="https://solartag.eu/wp-content/uploads/2022/11/Solartag_T-ROOF_Datasheet_DK_w.pdf" TargetMode="External"/><Relationship Id="rId68" Type="http://schemas.openxmlformats.org/officeDocument/2006/relationships/hyperlink" Target="https://komproment.dk/produkt/integrerede-solceller-i-tag/koncept-roof/" TargetMode="External"/><Relationship Id="rId84" Type="http://schemas.openxmlformats.org/officeDocument/2006/relationships/hyperlink" Target="https://sp.suntech-power.com/environmental-information-announcement/" TargetMode="External"/><Relationship Id="rId89" Type="http://schemas.openxmlformats.org/officeDocument/2006/relationships/hyperlink" Target="https://www.suntech-power.com/wp-content/uploads/download/product-specification/EN_STP435S_C54_Nshb.pdf" TargetMode="External"/><Relationship Id="rId112" Type="http://schemas.openxmlformats.org/officeDocument/2006/relationships/hyperlink" Target="https://api.environdec.com/api/v1/EPDLibrary/Files/a93b73bf-62f6-4b05-abac-08d9c4927501/Data" TargetMode="External"/><Relationship Id="rId16" Type="http://schemas.openxmlformats.org/officeDocument/2006/relationships/hyperlink" Target="https://en.risenenergy.com/" TargetMode="External"/><Relationship Id="rId107" Type="http://schemas.openxmlformats.org/officeDocument/2006/relationships/hyperlink" Target="https://www.base-inies.fr/iniesV4/dist/consultation.html?id=29513" TargetMode="External"/><Relationship Id="rId11" Type="http://schemas.openxmlformats.org/officeDocument/2006/relationships/hyperlink" Target="https://us.sunpower.com/products/solar-panels" TargetMode="External"/><Relationship Id="rId32" Type="http://schemas.openxmlformats.org/officeDocument/2006/relationships/hyperlink" Target="https://www.base-inies.fr/iniesV4/dist/consultation.html?id=25710" TargetMode="External"/><Relationship Id="rId37" Type="http://schemas.openxmlformats.org/officeDocument/2006/relationships/hyperlink" Target="https://www.base-inies.fr/iniesV4/dist/consultation.html?id=33477" TargetMode="External"/><Relationship Id="rId53" Type="http://schemas.openxmlformats.org/officeDocument/2006/relationships/hyperlink" Target="https://www.base-inies.fr/iniesV4/dist/consultation.html?id=19739" TargetMode="External"/><Relationship Id="rId58" Type="http://schemas.openxmlformats.org/officeDocument/2006/relationships/hyperlink" Target="https://www.systovi.com/" TargetMode="External"/><Relationship Id="rId74" Type="http://schemas.openxmlformats.org/officeDocument/2006/relationships/hyperlink" Target="http://dansolar.dk/wp-content/uploads/2012/09/Suntech-STP-270-mono.pdf" TargetMode="External"/><Relationship Id="rId79" Type="http://schemas.openxmlformats.org/officeDocument/2006/relationships/hyperlink" Target="https://sp.suntech-power.com/environmental-information-announcement/" TargetMode="External"/><Relationship Id="rId102" Type="http://schemas.openxmlformats.org/officeDocument/2006/relationships/hyperlink" Target="https://www.vivaenergi.dk/downloadmain" TargetMode="External"/><Relationship Id="rId123" Type="http://schemas.openxmlformats.org/officeDocument/2006/relationships/hyperlink" Target="https://www.recgroup.com/en/alpha" TargetMode="External"/><Relationship Id="rId128" Type="http://schemas.openxmlformats.org/officeDocument/2006/relationships/printerSettings" Target="../printerSettings/printerSettings8.bin"/><Relationship Id="rId5" Type="http://schemas.openxmlformats.org/officeDocument/2006/relationships/hyperlink" Target="https://api.environdec.com/api/v1/EPDLibrary/Files/bd2e7b8a-4852-4c6f-adaf-08da599e304a/Data" TargetMode="External"/><Relationship Id="rId90" Type="http://schemas.openxmlformats.org/officeDocument/2006/relationships/hyperlink" Target="https://www.suntech-power.com/wp-content/uploads/download/product-specification/EN_STP435S_C54_Nshm.pdf" TargetMode="External"/><Relationship Id="rId95" Type="http://schemas.openxmlformats.org/officeDocument/2006/relationships/hyperlink" Target="https://sp.suntech-power.com/environmental-information-announcement/" TargetMode="External"/><Relationship Id="rId22" Type="http://schemas.openxmlformats.org/officeDocument/2006/relationships/hyperlink" Target="https://www.epd-norge.no/getfile.php/1323336-1649065076/EPDer/Byggevarer/NEPD-3420-2033_Alpha-Pure.pdf" TargetMode="External"/><Relationship Id="rId27" Type="http://schemas.openxmlformats.org/officeDocument/2006/relationships/hyperlink" Target="https://dualsun.com/en/professionals/technical-documents/" TargetMode="External"/><Relationship Id="rId43" Type="http://schemas.openxmlformats.org/officeDocument/2006/relationships/hyperlink" Target="https://www.jasolar.com/html/en/en_pv/" TargetMode="External"/><Relationship Id="rId48" Type="http://schemas.openxmlformats.org/officeDocument/2006/relationships/hyperlink" Target="https://www.base-inies.fr/iniesV4/dist/consultation.html?id=29558" TargetMode="External"/><Relationship Id="rId64" Type="http://schemas.openxmlformats.org/officeDocument/2006/relationships/hyperlink" Target="https://www.lindab.dk/inspiration/profil/tag--facade/solarroof/" TargetMode="External"/><Relationship Id="rId69" Type="http://schemas.openxmlformats.org/officeDocument/2006/relationships/hyperlink" Target="https://komproment.dk/produkt/integrerede-solceller-i-tag/integrerede-solceller-linea/" TargetMode="External"/><Relationship Id="rId113" Type="http://schemas.openxmlformats.org/officeDocument/2006/relationships/hyperlink" Target="https://api.environdec.com/api/v1/EPDLibrary/Files/a93b73bf-62f6-4b05-abac-08d9c4927501/Data" TargetMode="External"/><Relationship Id="rId118" Type="http://schemas.openxmlformats.org/officeDocument/2006/relationships/hyperlink" Target="https://api.environdec.com/api/v1/EPDLibrary/Files/513ea37b-de9f-4d6c-1bc0-08da2ccce1bd/Data" TargetMode="External"/><Relationship Id="rId80" Type="http://schemas.openxmlformats.org/officeDocument/2006/relationships/hyperlink" Target="https://sp.suntech-power.com/environmental-information-announcement/" TargetMode="External"/><Relationship Id="rId85" Type="http://schemas.openxmlformats.org/officeDocument/2006/relationships/hyperlink" Target="https://www.suntech-power.com/wp-content/uploads/download/product-specification/EN_STP550S_C72_Pmh+.pdf" TargetMode="External"/><Relationship Id="rId12" Type="http://schemas.openxmlformats.org/officeDocument/2006/relationships/hyperlink" Target="https://en.risenenergy.com/" TargetMode="External"/><Relationship Id="rId17" Type="http://schemas.openxmlformats.org/officeDocument/2006/relationships/hyperlink" Target="https://www.epd-norge.no/getfile.php/1323345-1649065418/EPDer/Byggevarer/NEPD-3422-2033_N-Peak-2.pdf" TargetMode="External"/><Relationship Id="rId33" Type="http://schemas.openxmlformats.org/officeDocument/2006/relationships/hyperlink" Target="https://edilians.eu/" TargetMode="External"/><Relationship Id="rId38" Type="http://schemas.openxmlformats.org/officeDocument/2006/relationships/hyperlink" Target="https://edilians.eu/" TargetMode="External"/><Relationship Id="rId59" Type="http://schemas.openxmlformats.org/officeDocument/2006/relationships/hyperlink" Target="https://www.base-inies.fr/iniesV4/dist/consultation.html?id=24502" TargetMode="External"/><Relationship Id="rId103" Type="http://schemas.openxmlformats.org/officeDocument/2006/relationships/hyperlink" Target="https://www.egingpv.com/index.php?c=category&amp;id=190" TargetMode="External"/><Relationship Id="rId108" Type="http://schemas.openxmlformats.org/officeDocument/2006/relationships/hyperlink" Target="https://www.dmegcsolar.com/" TargetMode="External"/><Relationship Id="rId124" Type="http://schemas.openxmlformats.org/officeDocument/2006/relationships/hyperlink" Target="https://www.epd-norge.no/getfile.php/1345010-1695811928/EPDer/Byggevarer/NEPD-5039-4377_First-Solar-Series-7-Photovoltaic-Module.pdf" TargetMode="External"/><Relationship Id="rId129" Type="http://schemas.openxmlformats.org/officeDocument/2006/relationships/drawing" Target="../drawings/drawing8.xml"/><Relationship Id="rId54" Type="http://schemas.openxmlformats.org/officeDocument/2006/relationships/hyperlink" Target="https://www.systovi.com/" TargetMode="External"/><Relationship Id="rId70" Type="http://schemas.openxmlformats.org/officeDocument/2006/relationships/hyperlink" Target="http://dansolar.dk/wp-content/uploads/2015/01/MS-260_40-DA.pdf" TargetMode="External"/><Relationship Id="rId75" Type="http://schemas.openxmlformats.org/officeDocument/2006/relationships/hyperlink" Target="https://www.suntech-power.com/wp-content/uploads/download/product-specification/EN_STP670S_D66_Pmh+.pdf" TargetMode="External"/><Relationship Id="rId91" Type="http://schemas.openxmlformats.org/officeDocument/2006/relationships/hyperlink" Target="https://sp.suntech-power.com/environmental-information-announcement/" TargetMode="External"/><Relationship Id="rId96" Type="http://schemas.openxmlformats.org/officeDocument/2006/relationships/hyperlink" Target="https://sp.suntech-power.com/environmental-information-announcement/" TargetMode="External"/><Relationship Id="rId1" Type="http://schemas.openxmlformats.org/officeDocument/2006/relationships/hyperlink" Target="https://www.epd-norge.no/getfile.php/1320455-1631198480/EPDer/Byggevarer/NEPD-3087-1726_MAXEON-3-MONO-CRYSTALLINE-PHOTOVOLTAIC-MODULE.pdf" TargetMode="External"/><Relationship Id="rId6" Type="http://schemas.openxmlformats.org/officeDocument/2006/relationships/hyperlink" Target="http://www.jolywood.cn/en/index.html" TargetMode="External"/><Relationship Id="rId23" Type="http://schemas.openxmlformats.org/officeDocument/2006/relationships/hyperlink" Target="https://www.epd-norge.no/getfile.php/1319702-1628246534/EPDer/Byggevarer/NEPD-2993-1671_Series-6-Photovoltaic-Module.pdf" TargetMode="External"/><Relationship Id="rId28" Type="http://schemas.openxmlformats.org/officeDocument/2006/relationships/hyperlink" Target="https://www.photowatt.com/en/" TargetMode="External"/><Relationship Id="rId49" Type="http://schemas.openxmlformats.org/officeDocument/2006/relationships/hyperlink" Target="https://www.base-inies.fr/iniesV4/dist/consultation.html?id=33676" TargetMode="External"/><Relationship Id="rId114" Type="http://schemas.openxmlformats.org/officeDocument/2006/relationships/hyperlink" Target="https://api.environdec.com/api/v1/EPDLibrary/Files/74e9fbb8-f34a-443e-abaa-08d9c4927501/Data" TargetMode="External"/><Relationship Id="rId119" Type="http://schemas.openxmlformats.org/officeDocument/2006/relationships/hyperlink" Target="https://api.environdec.com/api/v1/EPDLibrary/Files/513ea37b-de9f-4d6c-1bc0-08da2ccce1bd/Data" TargetMode="External"/><Relationship Id="rId44" Type="http://schemas.openxmlformats.org/officeDocument/2006/relationships/hyperlink" Target="https://www.base-inies.fr/iniesV4/dist/consultation.html?id=33752" TargetMode="External"/><Relationship Id="rId60" Type="http://schemas.openxmlformats.org/officeDocument/2006/relationships/hyperlink" Target="https://www.terreal.com/fr" TargetMode="External"/><Relationship Id="rId65" Type="http://schemas.openxmlformats.org/officeDocument/2006/relationships/hyperlink" Target="https://ennogie.com/wp-content/uploads/2023/03/md-23028-en.pdf" TargetMode="External"/><Relationship Id="rId81" Type="http://schemas.openxmlformats.org/officeDocument/2006/relationships/hyperlink" Target="https://www.suntech-power.com/wp-content/uploads/download/product-specification/EN_STP410S_C54_Umhb.pdf" TargetMode="External"/><Relationship Id="rId86" Type="http://schemas.openxmlformats.org/officeDocument/2006/relationships/hyperlink" Target="https://www.suntech-power.com/wp-content/uploads/download/product-specification/EN_STP555S_C72_Vmh.pdf" TargetMode="External"/><Relationship Id="rId130" Type="http://schemas.openxmlformats.org/officeDocument/2006/relationships/vmlDrawing" Target="../drawings/vmlDrawing7.vml"/><Relationship Id="rId13" Type="http://schemas.openxmlformats.org/officeDocument/2006/relationships/hyperlink" Target="https://en.risenenergy.com/" TargetMode="External"/><Relationship Id="rId18" Type="http://schemas.openxmlformats.org/officeDocument/2006/relationships/hyperlink" Target="https://www.recgroup.com/en" TargetMode="External"/><Relationship Id="rId39" Type="http://schemas.openxmlformats.org/officeDocument/2006/relationships/hyperlink" Target="https://www.base-inies.fr/iniesV4/dist/consultation.html?id=29513" TargetMode="External"/><Relationship Id="rId109" Type="http://schemas.openxmlformats.org/officeDocument/2006/relationships/hyperlink" Target="https://www.dmegcsolar.com/" TargetMode="External"/><Relationship Id="rId34" Type="http://schemas.openxmlformats.org/officeDocument/2006/relationships/hyperlink" Target="https://www.base-inies.fr/iniesV4/dist/consultation.html?id=26575" TargetMode="External"/><Relationship Id="rId50" Type="http://schemas.openxmlformats.org/officeDocument/2006/relationships/hyperlink" Target="https://www.base-inies.fr/iniesV4/dist/consultation.html?id=33677" TargetMode="External"/><Relationship Id="rId55" Type="http://schemas.openxmlformats.org/officeDocument/2006/relationships/hyperlink" Target="https://www.systovi.com/" TargetMode="External"/><Relationship Id="rId76" Type="http://schemas.openxmlformats.org/officeDocument/2006/relationships/hyperlink" Target="https://www.suntech-power.com/wp-content/uploads/download/product-specification/EN_STP670S_D66_Wmh.pdf" TargetMode="External"/><Relationship Id="rId97" Type="http://schemas.openxmlformats.org/officeDocument/2006/relationships/hyperlink" Target="http://dansolar.dk/wp-content/uploads/2012/09/Suntech-STP250-poly.pdf" TargetMode="External"/><Relationship Id="rId104" Type="http://schemas.openxmlformats.org/officeDocument/2006/relationships/hyperlink" Target="https://danishsolarenergy.com/da/" TargetMode="External"/><Relationship Id="rId120" Type="http://schemas.openxmlformats.org/officeDocument/2006/relationships/hyperlink" Target="https://api.environdec.com/api/v1/EPDLibrary/Files/513ea37b-de9f-4d6c-1bc0-08da2ccce1bd/Data" TargetMode="External"/><Relationship Id="rId125" Type="http://schemas.openxmlformats.org/officeDocument/2006/relationships/hyperlink" Target="https://api.environdec.com/api/v1/EPDLibrary/Files/9af6e4d1-b8d7-400f-5016-08dbd569605a/Data" TargetMode="External"/><Relationship Id="rId7" Type="http://schemas.openxmlformats.org/officeDocument/2006/relationships/hyperlink" Target="http://www.jolywood.cn/en/index.html" TargetMode="External"/><Relationship Id="rId71" Type="http://schemas.openxmlformats.org/officeDocument/2006/relationships/hyperlink" Target="http://dansolar.dk/wp-content/uploads/2015/01/SP-280_40-DA.pdf" TargetMode="External"/><Relationship Id="rId92" Type="http://schemas.openxmlformats.org/officeDocument/2006/relationships/hyperlink" Target="https://www.suntech-power.com/wp-content/uploads/download/product-specification/EN_STP580S_C72_Nsh+.pdf" TargetMode="External"/><Relationship Id="rId2" Type="http://schemas.openxmlformats.org/officeDocument/2006/relationships/hyperlink" Target="https://api.environdec.com/api/v1/EPDLibrary/Files/e4d1a416-e644-4a5e-1eb1-08db090ef553/Data" TargetMode="External"/><Relationship Id="rId29" Type="http://schemas.openxmlformats.org/officeDocument/2006/relationships/hyperlink" Target="https://www.photowatt.com/en/" TargetMode="External"/><Relationship Id="rId24" Type="http://schemas.openxmlformats.org/officeDocument/2006/relationships/hyperlink" Target="https://www.firstsolar.com/" TargetMode="External"/><Relationship Id="rId40" Type="http://schemas.openxmlformats.org/officeDocument/2006/relationships/hyperlink" Target="https://www.jasolar.com/html/en/en_pv/" TargetMode="External"/><Relationship Id="rId45" Type="http://schemas.openxmlformats.org/officeDocument/2006/relationships/hyperlink" Target="https://www.base-inies.fr/iniesV4/dist/consultation.html?id=8491" TargetMode="External"/><Relationship Id="rId66" Type="http://schemas.openxmlformats.org/officeDocument/2006/relationships/hyperlink" Target="https://ennogie.com/wp-content/uploads/2023/01/ERS-0191-EN-rev.07.pdf" TargetMode="External"/><Relationship Id="rId87" Type="http://schemas.openxmlformats.org/officeDocument/2006/relationships/hyperlink" Target="https://sp.suntech-power.com/environmental-information-announcement/" TargetMode="External"/><Relationship Id="rId110" Type="http://schemas.openxmlformats.org/officeDocument/2006/relationships/hyperlink" Target="https://api.environdec.com/api/v1/EPDLibrary/Files/7c5229e6-1989-4174-4771-08d965feca37/Data" TargetMode="External"/><Relationship Id="rId115" Type="http://schemas.openxmlformats.org/officeDocument/2006/relationships/hyperlink" Target="https://api.environdec.com/api/v1/EPDLibrary/Files/74e9fbb8-f34a-443e-abaa-08d9c4927501/Data" TargetMode="External"/><Relationship Id="rId131" Type="http://schemas.openxmlformats.org/officeDocument/2006/relationships/comments" Target="../comments7.xml"/><Relationship Id="rId61" Type="http://schemas.openxmlformats.org/officeDocument/2006/relationships/hyperlink" Target="https://www.base-inies.fr/iniesV4/dist/consultation.html?id=14125" TargetMode="External"/><Relationship Id="rId82" Type="http://schemas.openxmlformats.org/officeDocument/2006/relationships/hyperlink" Target="https://www.suntech-power.com/wp-content/uploads/download/product-specification/EN_STP410S_C54_Umhm.pdf" TargetMode="External"/><Relationship Id="rId19" Type="http://schemas.openxmlformats.org/officeDocument/2006/relationships/hyperlink" Target="https://www.epd-norge.no/getfile.php/1323339-1649065192/EPDer/Byggevarer/NEPD-3421-2033_TwinPeak-4.pdf" TargetMode="External"/><Relationship Id="rId14" Type="http://schemas.openxmlformats.org/officeDocument/2006/relationships/hyperlink" Target="https://en.risenenergy.com/" TargetMode="External"/><Relationship Id="rId30" Type="http://schemas.openxmlformats.org/officeDocument/2006/relationships/hyperlink" Target="https://www.base-inies.fr/iniesV4/dist/consultation.html?id=33838" TargetMode="External"/><Relationship Id="rId35" Type="http://schemas.openxmlformats.org/officeDocument/2006/relationships/hyperlink" Target="https://www.base-inies.fr/iniesV4/dist/consultation.html?id=26191" TargetMode="External"/><Relationship Id="rId56" Type="http://schemas.openxmlformats.org/officeDocument/2006/relationships/hyperlink" Target="https://www.base-inies.fr/iniesV4/dist/consultation.html?id=19757" TargetMode="External"/><Relationship Id="rId77" Type="http://schemas.openxmlformats.org/officeDocument/2006/relationships/hyperlink" Target="https://sp.suntech-power.com/environmental-information-announcement/" TargetMode="External"/><Relationship Id="rId100" Type="http://schemas.openxmlformats.org/officeDocument/2006/relationships/hyperlink" Target="http://dansolar.dk/wp-content/uploads/2012/09/Datasheet-UL-265M-60-Full-Black.pdf" TargetMode="External"/><Relationship Id="rId105" Type="http://schemas.openxmlformats.org/officeDocument/2006/relationships/hyperlink" Target="https://www.base-inies.fr/iniesV4/dist/consultation.html?id=29513" TargetMode="External"/><Relationship Id="rId126" Type="http://schemas.openxmlformats.org/officeDocument/2006/relationships/hyperlink" Target="https://www.base-inies.fr/iniesV4/dist/consultation.html?id=33837" TargetMode="External"/><Relationship Id="rId8" Type="http://schemas.openxmlformats.org/officeDocument/2006/relationships/hyperlink" Target="https://midsummer.se/en/" TargetMode="External"/><Relationship Id="rId51" Type="http://schemas.openxmlformats.org/officeDocument/2006/relationships/hyperlink" Target="https://www.sunstyle.com/" TargetMode="External"/><Relationship Id="rId72" Type="http://schemas.openxmlformats.org/officeDocument/2006/relationships/hyperlink" Target="http://dansolar.dk/wp-content/uploads/2015/01/SP-260_40-DA.pdf" TargetMode="External"/><Relationship Id="rId93" Type="http://schemas.openxmlformats.org/officeDocument/2006/relationships/hyperlink" Target="https://sp.suntech-power.com/environmental-information-announcement/" TargetMode="External"/><Relationship Id="rId98" Type="http://schemas.openxmlformats.org/officeDocument/2006/relationships/hyperlink" Target="http://dansolar.dk/wp-content/uploads/2012/09/Suntech-STP250-poly.pdf" TargetMode="External"/><Relationship Id="rId121" Type="http://schemas.openxmlformats.org/officeDocument/2006/relationships/hyperlink" Target="https://www.recgroup.com/en/products/rec-twinpeak-4-en?parent=81&amp;type=product" TargetMode="External"/><Relationship Id="rId3" Type="http://schemas.openxmlformats.org/officeDocument/2006/relationships/hyperlink" Target="https://api.environdec.com/api/v1/EPDLibrary/Files/85ccfcf0-ccc3-4dd4-adae-08da599e304a/Data" TargetMode="External"/><Relationship Id="rId25" Type="http://schemas.openxmlformats.org/officeDocument/2006/relationships/hyperlink" Target="https://my.dualsun.com/wp-content/uploads/sites/2/2022/03/DualSun-FR-Profil-Environnemental-FLASH-405-Half-Cut-White.pdf" TargetMode="External"/><Relationship Id="rId46" Type="http://schemas.openxmlformats.org/officeDocument/2006/relationships/hyperlink" Target="https://www.base-inies.fr/iniesV4/dist/consultation.html?id=29551" TargetMode="External"/><Relationship Id="rId67" Type="http://schemas.openxmlformats.org/officeDocument/2006/relationships/hyperlink" Target="https://ennogie.com/da/dokumentation/" TargetMode="External"/><Relationship Id="rId116" Type="http://schemas.openxmlformats.org/officeDocument/2006/relationships/hyperlink" Target="https://api.environdec.com/api/v1/EPDLibrary/Files/f4ad0e85-dcfd-42b1-1bbf-08da2ccce1bd/Data" TargetMode="External"/><Relationship Id="rId20" Type="http://schemas.openxmlformats.org/officeDocument/2006/relationships/hyperlink" Target="https://www.recgroup.com/en" TargetMode="External"/><Relationship Id="rId41" Type="http://schemas.openxmlformats.org/officeDocument/2006/relationships/hyperlink" Target="https://www.base-inies.fr/iniesV4/dist/consultation.html?id=11060" TargetMode="External"/><Relationship Id="rId62" Type="http://schemas.openxmlformats.org/officeDocument/2006/relationships/hyperlink" Target="https://danishsolarenergy.com/da/" TargetMode="External"/><Relationship Id="rId83" Type="http://schemas.openxmlformats.org/officeDocument/2006/relationships/hyperlink" Target="https://sp.suntech-power.com/environmental-information-announcement/" TargetMode="External"/><Relationship Id="rId88" Type="http://schemas.openxmlformats.org/officeDocument/2006/relationships/hyperlink" Target="https://sp.suntech-power.com/environmental-information-announcement/" TargetMode="External"/><Relationship Id="rId111" Type="http://schemas.openxmlformats.org/officeDocument/2006/relationships/hyperlink" Target="https://api.environdec.com/api/v1/EPDLibrary/Files/23629d10-88d3-4d9b-4770-08d965feca37/Data" TargetMode="External"/><Relationship Id="rId15" Type="http://schemas.openxmlformats.org/officeDocument/2006/relationships/hyperlink" Target="https://en.risenenergy.com/" TargetMode="External"/><Relationship Id="rId36" Type="http://schemas.openxmlformats.org/officeDocument/2006/relationships/hyperlink" Target="https://edilians.eu/" TargetMode="External"/><Relationship Id="rId57" Type="http://schemas.openxmlformats.org/officeDocument/2006/relationships/hyperlink" Target="https://www.base-inies.fr/iniesV4/dist/consultation.html?id=27231" TargetMode="External"/><Relationship Id="rId106" Type="http://schemas.openxmlformats.org/officeDocument/2006/relationships/hyperlink" Target="https://www.base-inies.fr/iniesV4/dist/consultation.html?id=29513" TargetMode="External"/><Relationship Id="rId127" Type="http://schemas.openxmlformats.org/officeDocument/2006/relationships/hyperlink" Target="https://dualsun.com/wp-content/uploads/dualsun-fr-profil-environnemental-produit-flash-380-half-cut-white.pdf" TargetMode="External"/><Relationship Id="rId10" Type="http://schemas.openxmlformats.org/officeDocument/2006/relationships/hyperlink" Target="https://www.viridiansolar.co.uk/" TargetMode="External"/><Relationship Id="rId31" Type="http://schemas.openxmlformats.org/officeDocument/2006/relationships/hyperlink" Target="https://edilians.eu/" TargetMode="External"/><Relationship Id="rId52" Type="http://schemas.openxmlformats.org/officeDocument/2006/relationships/hyperlink" Target="https://www.sunstyle.com/" TargetMode="External"/><Relationship Id="rId73" Type="http://schemas.openxmlformats.org/officeDocument/2006/relationships/hyperlink" Target="http://dansolar.dk/wp-content/uploads/2012/09/Suntech-STP-270-mono.pdf" TargetMode="External"/><Relationship Id="rId78" Type="http://schemas.openxmlformats.org/officeDocument/2006/relationships/hyperlink" Target="https://sp.suntech-power.com/environmental-information-announcement/" TargetMode="External"/><Relationship Id="rId94" Type="http://schemas.openxmlformats.org/officeDocument/2006/relationships/hyperlink" Target="https://www.suntech-power.com/wp-content/uploads/download/product-specification/EN_STP630S_C78_Nsh+.pdf" TargetMode="External"/><Relationship Id="rId99" Type="http://schemas.openxmlformats.org/officeDocument/2006/relationships/hyperlink" Target="http://dansolar.dk/wp-content/uploads/2012/09/Datasheet-UL-265M-60-Full-Black.pdf" TargetMode="External"/><Relationship Id="rId101" Type="http://schemas.openxmlformats.org/officeDocument/2006/relationships/hyperlink" Target="http://dansolar.dk/wp-content/uploads/2012/09/ESP6-60_Esolar.pdf" TargetMode="External"/><Relationship Id="rId122" Type="http://schemas.openxmlformats.org/officeDocument/2006/relationships/hyperlink" Target="https://www.recgroup.com/en/products/rec-n-peak-2-en" TargetMode="External"/><Relationship Id="rId4" Type="http://schemas.openxmlformats.org/officeDocument/2006/relationships/hyperlink" Target="https://api.environdec.com/api/v1/EPDLibrary/Files/a0901e20-58fb-4d59-adb3-08da599e304a/Data" TargetMode="External"/><Relationship Id="rId9" Type="http://schemas.openxmlformats.org/officeDocument/2006/relationships/hyperlink" Target="https://midsummer.se/en/" TargetMode="External"/><Relationship Id="rId26" Type="http://schemas.openxmlformats.org/officeDocument/2006/relationships/hyperlink" Target="https://dualsun.com/en/professionals/technical-document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3CD61-9A3A-4F87-9EC4-B3DA2F104E50}">
  <sheetPr>
    <tabColor rgb="FF2F594F"/>
  </sheetPr>
  <dimension ref="A1:O50"/>
  <sheetViews>
    <sheetView showGridLines="0" tabSelected="1" zoomScaleNormal="100" workbookViewId="0">
      <selection sqref="A1:D1"/>
    </sheetView>
  </sheetViews>
  <sheetFormatPr defaultColWidth="8.88671875" defaultRowHeight="11.4" x14ac:dyDescent="0.2"/>
  <cols>
    <col min="1" max="1" width="2.33203125" style="1" customWidth="1"/>
    <col min="2" max="2" width="2.88671875" style="1" customWidth="1"/>
    <col min="3" max="3" width="8.88671875" style="1" customWidth="1"/>
    <col min="4" max="4" width="8.88671875" style="1"/>
    <col min="5" max="5" width="3.5546875" style="1" customWidth="1"/>
    <col min="6" max="6" width="50.109375" style="1" customWidth="1"/>
    <col min="7" max="7" width="10.6640625" style="1" customWidth="1"/>
    <col min="8" max="8" width="8.33203125" style="1" customWidth="1"/>
    <col min="9" max="9" width="10.44140625" style="1" bestFit="1" customWidth="1"/>
    <col min="10" max="16384" width="8.88671875" style="1"/>
  </cols>
  <sheetData>
    <row r="1" spans="1:15" x14ac:dyDescent="0.2">
      <c r="A1" s="280" t="s">
        <v>1234</v>
      </c>
      <c r="B1" s="280"/>
      <c r="C1" s="280"/>
      <c r="D1" s="280"/>
    </row>
    <row r="2" spans="1:15" ht="17.399999999999999" x14ac:dyDescent="0.3">
      <c r="A2" s="3" t="s">
        <v>1226</v>
      </c>
    </row>
    <row r="5" spans="1:15" ht="12" x14ac:dyDescent="0.2">
      <c r="A5" s="34" t="s">
        <v>150</v>
      </c>
      <c r="B5" s="34"/>
      <c r="C5" s="34"/>
      <c r="D5" s="34"/>
      <c r="E5" s="34"/>
      <c r="F5" s="34"/>
      <c r="G5" s="34"/>
      <c r="H5" s="34"/>
      <c r="I5" s="133"/>
      <c r="J5" s="133"/>
    </row>
    <row r="6" spans="1:15" ht="58.2" customHeight="1" x14ac:dyDescent="0.2">
      <c r="A6" s="283" t="s">
        <v>685</v>
      </c>
      <c r="B6" s="283"/>
      <c r="C6" s="283"/>
      <c r="D6" s="283"/>
      <c r="E6" s="283"/>
      <c r="F6" s="283"/>
      <c r="G6" s="283"/>
      <c r="H6" s="283"/>
      <c r="I6" s="134"/>
      <c r="J6" s="134"/>
      <c r="K6" s="134"/>
      <c r="L6" s="134"/>
      <c r="M6" s="54"/>
    </row>
    <row r="8" spans="1:15" ht="22.8" x14ac:dyDescent="0.2">
      <c r="A8" s="34" t="s">
        <v>289</v>
      </c>
      <c r="B8" s="15"/>
      <c r="C8" s="15"/>
      <c r="D8" s="15"/>
      <c r="E8" s="15"/>
      <c r="F8" s="15"/>
      <c r="G8" s="35" t="s">
        <v>1098</v>
      </c>
      <c r="H8" s="35" t="s">
        <v>1099</v>
      </c>
      <c r="I8" s="135"/>
    </row>
    <row r="9" spans="1:15" ht="12" x14ac:dyDescent="0.25">
      <c r="A9" s="13" t="s">
        <v>263</v>
      </c>
      <c r="B9" s="13"/>
      <c r="C9" s="13"/>
      <c r="D9" s="13"/>
      <c r="E9" s="13"/>
      <c r="F9" s="13"/>
      <c r="G9" s="282">
        <f>(COUNTIF(Isolering!B:B,"*")-COUNTIF(Isolering!B:B,"N/A"))-1</f>
        <v>195</v>
      </c>
      <c r="H9" s="282">
        <f>(COUNTIF(Isolering!R:R,"*")-COUNTIF(Isolering!R:R,"N/A"))-1</f>
        <v>144</v>
      </c>
      <c r="I9" s="136"/>
      <c r="J9" s="136"/>
      <c r="K9" s="136"/>
      <c r="L9" s="136"/>
    </row>
    <row r="10" spans="1:15" ht="25.2" customHeight="1" x14ac:dyDescent="0.25">
      <c r="A10" s="281" t="s">
        <v>308</v>
      </c>
      <c r="B10" s="281"/>
      <c r="C10" s="281"/>
      <c r="D10" s="281"/>
      <c r="E10" s="281"/>
      <c r="F10" s="281"/>
      <c r="G10" s="282"/>
      <c r="H10" s="282"/>
      <c r="I10" s="137"/>
      <c r="J10" s="137"/>
      <c r="K10" s="137"/>
      <c r="L10" s="137"/>
      <c r="O10" s="14"/>
    </row>
    <row r="11" spans="1:15" x14ac:dyDescent="0.2">
      <c r="A11" s="10"/>
      <c r="B11" s="10" t="s">
        <v>208</v>
      </c>
      <c r="C11" s="10"/>
      <c r="D11" s="10"/>
      <c r="E11" s="10"/>
      <c r="F11" s="10"/>
      <c r="G11" s="33">
        <f>COUNTIF(Isolering!B:B,Introduktion!B11)</f>
        <v>77</v>
      </c>
      <c r="H11" s="36">
        <f>COUNTIFS(Isolering!B:B,B11,Isolering!R:R,Isolering!$R$4)</f>
        <v>35</v>
      </c>
      <c r="I11" s="133"/>
      <c r="J11" s="133"/>
      <c r="K11" s="133"/>
      <c r="L11" s="133"/>
    </row>
    <row r="12" spans="1:15" x14ac:dyDescent="0.2">
      <c r="A12" s="10"/>
      <c r="B12" s="10" t="s">
        <v>210</v>
      </c>
      <c r="C12" s="10"/>
      <c r="D12" s="10"/>
      <c r="E12" s="10"/>
      <c r="F12" s="10"/>
      <c r="G12" s="33">
        <f>COUNTIF(Isolering!B:B,Introduktion!B12)</f>
        <v>118</v>
      </c>
      <c r="H12" s="36">
        <f>COUNTIFS(Isolering!B:B,B12,Isolering!R:R,Isolering!$R$4)</f>
        <v>109</v>
      </c>
      <c r="I12" s="133"/>
      <c r="J12" s="133"/>
      <c r="K12" s="133"/>
      <c r="L12" s="133"/>
    </row>
    <row r="13" spans="1:15" x14ac:dyDescent="0.2">
      <c r="A13" s="10"/>
      <c r="B13" s="10" t="s">
        <v>294</v>
      </c>
      <c r="C13" s="10"/>
      <c r="D13" s="10"/>
      <c r="E13" s="10"/>
      <c r="F13" s="10"/>
      <c r="G13" s="33">
        <f>COUNTIF(Isolering!B:B,Introduktion!B13)</f>
        <v>0</v>
      </c>
      <c r="H13" s="36">
        <f>COUNTIFS(Isolering!B:B,B13,Isolering!R:R,Isolering!$R$4)</f>
        <v>0</v>
      </c>
      <c r="I13" s="133"/>
      <c r="J13" s="133"/>
      <c r="K13" s="133"/>
      <c r="L13" s="133"/>
    </row>
    <row r="14" spans="1:15" ht="12" x14ac:dyDescent="0.2">
      <c r="A14" s="12" t="s">
        <v>293</v>
      </c>
      <c r="B14" s="12"/>
      <c r="C14" s="12"/>
      <c r="D14" s="12"/>
      <c r="E14" s="12"/>
      <c r="F14" s="12"/>
      <c r="G14" s="282">
        <f>(COUNTIF('Udvendig beklædning'!B:B,"*")-COUNTIF('Udvendig beklædning'!B:B,"N/A"))-1</f>
        <v>148</v>
      </c>
      <c r="H14" s="282">
        <f>(COUNTIF('Udvendig beklædning'!R:R,"*")-COUNTIF('Udvendig beklædning'!R:R,"N/A"))-1</f>
        <v>115</v>
      </c>
      <c r="I14" s="138"/>
      <c r="J14" s="138"/>
      <c r="K14" s="138"/>
      <c r="L14" s="138"/>
    </row>
    <row r="15" spans="1:15" ht="12" x14ac:dyDescent="0.2">
      <c r="A15" s="37" t="s">
        <v>309</v>
      </c>
      <c r="B15" s="11"/>
      <c r="C15" s="11"/>
      <c r="D15" s="11"/>
      <c r="E15" s="11"/>
      <c r="F15" s="11"/>
      <c r="G15" s="282"/>
      <c r="H15" s="282"/>
      <c r="I15" s="139"/>
      <c r="J15" s="139"/>
      <c r="K15" s="139"/>
      <c r="L15" s="139"/>
    </row>
    <row r="16" spans="1:15" x14ac:dyDescent="0.2">
      <c r="A16" s="10"/>
      <c r="B16" s="10" t="s">
        <v>208</v>
      </c>
      <c r="C16" s="10"/>
      <c r="D16" s="10"/>
      <c r="E16" s="10"/>
      <c r="F16" s="10"/>
      <c r="G16" s="33">
        <f>COUNTIF('Udvendig beklædning'!B:B,Introduktion!B16)</f>
        <v>29</v>
      </c>
      <c r="H16" s="36">
        <f>COUNTIFS('Udvendig beklædning'!B:B,B16,'Udvendig beklædning'!R:R,'Udvendig beklædning'!$R$4)</f>
        <v>18</v>
      </c>
      <c r="I16" s="133"/>
      <c r="J16" s="133"/>
      <c r="K16" s="133"/>
      <c r="L16" s="133"/>
    </row>
    <row r="17" spans="1:12" x14ac:dyDescent="0.2">
      <c r="A17" s="10"/>
      <c r="B17" s="10" t="s">
        <v>210</v>
      </c>
      <c r="C17" s="10"/>
      <c r="D17" s="10"/>
      <c r="E17" s="10"/>
      <c r="F17" s="10"/>
      <c r="G17" s="33">
        <f>COUNTIF('Udvendig beklædning'!B:B,Introduktion!B17)</f>
        <v>116</v>
      </c>
      <c r="H17" s="36">
        <f>COUNTIFS('Udvendig beklædning'!B:B,B17,'Udvendig beklædning'!R:R,'Udvendig beklædning'!$R$4)</f>
        <v>95</v>
      </c>
      <c r="I17" s="133"/>
      <c r="J17" s="133"/>
      <c r="K17" s="133"/>
      <c r="L17" s="133"/>
    </row>
    <row r="18" spans="1:12" x14ac:dyDescent="0.2">
      <c r="A18" s="10"/>
      <c r="B18" s="10" t="s">
        <v>294</v>
      </c>
      <c r="C18" s="10"/>
      <c r="D18" s="10"/>
      <c r="E18" s="10"/>
      <c r="F18" s="10"/>
      <c r="G18" s="33">
        <f>COUNTIF('Udvendig beklædning'!B:B,Introduktion!B18)</f>
        <v>3</v>
      </c>
      <c r="H18" s="36">
        <f>COUNTIFS('Udvendig beklædning'!B:B,B18,'Udvendig beklædning'!R:R,'Udvendig beklædning'!$R$4)</f>
        <v>2</v>
      </c>
      <c r="I18" s="133"/>
      <c r="J18" s="133"/>
      <c r="K18" s="133"/>
      <c r="L18" s="133"/>
    </row>
    <row r="19" spans="1:12" ht="12" x14ac:dyDescent="0.2">
      <c r="A19" s="12" t="s">
        <v>167</v>
      </c>
      <c r="B19" s="12"/>
      <c r="C19" s="12"/>
      <c r="D19" s="12"/>
      <c r="E19" s="12"/>
      <c r="F19" s="12"/>
      <c r="G19" s="282">
        <f>(COUNTIF(Plader!B:B,"*")-COUNTIF(Plader!B:B,"N/A"))-1</f>
        <v>104</v>
      </c>
      <c r="H19" s="282">
        <f>(COUNTIF(Plader!Q:Q,"*")-COUNTIF(Plader!Q:Q,"N/A"))-1</f>
        <v>76</v>
      </c>
      <c r="I19" s="138"/>
      <c r="J19" s="138"/>
      <c r="K19" s="138"/>
      <c r="L19" s="138"/>
    </row>
    <row r="20" spans="1:12" ht="12" x14ac:dyDescent="0.2">
      <c r="A20" s="38" t="s">
        <v>299</v>
      </c>
      <c r="B20" s="12"/>
      <c r="C20" s="12"/>
      <c r="D20" s="12"/>
      <c r="E20" s="12"/>
      <c r="F20" s="12"/>
      <c r="G20" s="282"/>
      <c r="H20" s="282"/>
      <c r="I20" s="138"/>
      <c r="J20" s="138"/>
      <c r="K20" s="138"/>
      <c r="L20" s="138"/>
    </row>
    <row r="21" spans="1:12" x14ac:dyDescent="0.2">
      <c r="A21" s="10"/>
      <c r="B21" s="10" t="s">
        <v>208</v>
      </c>
      <c r="C21" s="10"/>
      <c r="D21" s="10"/>
      <c r="E21" s="10"/>
      <c r="F21" s="10"/>
      <c r="G21" s="33">
        <f>COUNTIF(Plader!B:B,Introduktion!B21)</f>
        <v>65</v>
      </c>
      <c r="H21" s="36">
        <f>COUNTIFS(Plader!B:B,B21,Plader!Q:Q,Plader!$Q$4)</f>
        <v>41</v>
      </c>
      <c r="I21" s="133"/>
      <c r="J21" s="133"/>
      <c r="K21" s="133"/>
      <c r="L21" s="133"/>
    </row>
    <row r="22" spans="1:12" x14ac:dyDescent="0.2">
      <c r="A22" s="10"/>
      <c r="B22" s="10" t="s">
        <v>210</v>
      </c>
      <c r="C22" s="10"/>
      <c r="D22" s="10"/>
      <c r="E22" s="10"/>
      <c r="F22" s="10"/>
      <c r="G22" s="33">
        <f>COUNTIF(Plader!B:B,Introduktion!B22)</f>
        <v>38</v>
      </c>
      <c r="H22" s="36">
        <f>COUNTIFS(Plader!B:B,B22,Plader!Q:Q,Plader!$Q$4)</f>
        <v>34</v>
      </c>
      <c r="I22" s="133"/>
      <c r="J22" s="133"/>
      <c r="K22" s="133"/>
      <c r="L22" s="133"/>
    </row>
    <row r="23" spans="1:12" x14ac:dyDescent="0.2">
      <c r="A23" s="10"/>
      <c r="B23" s="10" t="s">
        <v>294</v>
      </c>
      <c r="C23" s="10"/>
      <c r="D23" s="10"/>
      <c r="E23" s="10"/>
      <c r="F23" s="10"/>
      <c r="G23" s="33">
        <f>COUNTIF(Plader!B:B,Introduktion!B23)</f>
        <v>1</v>
      </c>
      <c r="H23" s="36">
        <f>COUNTIFS(Plader!B:B,B23,Plader!Q:Q,Plader!$Q$4)</f>
        <v>1</v>
      </c>
      <c r="I23" s="133"/>
      <c r="J23" s="133"/>
      <c r="K23" s="133"/>
      <c r="L23" s="133"/>
    </row>
    <row r="24" spans="1:12" ht="12" x14ac:dyDescent="0.2">
      <c r="A24" s="12" t="s">
        <v>290</v>
      </c>
      <c r="B24" s="12"/>
      <c r="C24" s="12"/>
      <c r="D24" s="12"/>
      <c r="E24" s="12"/>
      <c r="F24" s="12"/>
      <c r="G24" s="282">
        <f>(COUNTIF(Overflader!B:B,"*")-COUNTIF(Overflader!B:B,"N/A"))-1</f>
        <v>16</v>
      </c>
      <c r="H24" s="282">
        <f>(COUNTIF(Overflader!Q:Q,"*")-COUNTIF(Overflader!Q:Q,"N/A"))-1</f>
        <v>7</v>
      </c>
      <c r="I24" s="138"/>
      <c r="J24" s="138"/>
      <c r="K24" s="138"/>
      <c r="L24" s="138"/>
    </row>
    <row r="25" spans="1:12" ht="12" x14ac:dyDescent="0.2">
      <c r="A25" s="37" t="s">
        <v>310</v>
      </c>
      <c r="B25" s="11"/>
      <c r="C25" s="11"/>
      <c r="D25" s="11"/>
      <c r="E25" s="11"/>
      <c r="F25" s="11"/>
      <c r="G25" s="282"/>
      <c r="H25" s="282"/>
      <c r="I25" s="139"/>
      <c r="J25" s="139"/>
      <c r="K25" s="139"/>
      <c r="L25" s="139"/>
    </row>
    <row r="26" spans="1:12" x14ac:dyDescent="0.2">
      <c r="A26" s="10"/>
      <c r="B26" s="10" t="s">
        <v>208</v>
      </c>
      <c r="C26" s="10"/>
      <c r="D26" s="10"/>
      <c r="E26" s="10"/>
      <c r="F26" s="10"/>
      <c r="G26" s="33">
        <f>COUNTIF(Overflader!B:B,Introduktion!B26)</f>
        <v>10</v>
      </c>
      <c r="H26" s="36">
        <f>COUNTIFS(Overflader!B:B,B26,Overflader!Q:Q,Overflader!$Q$6)</f>
        <v>3</v>
      </c>
      <c r="I26" s="133"/>
      <c r="J26" s="133"/>
      <c r="K26" s="133"/>
      <c r="L26" s="133"/>
    </row>
    <row r="27" spans="1:12" x14ac:dyDescent="0.2">
      <c r="A27" s="10"/>
      <c r="B27" s="10" t="s">
        <v>210</v>
      </c>
      <c r="C27" s="10"/>
      <c r="D27" s="10"/>
      <c r="E27" s="10"/>
      <c r="F27" s="10"/>
      <c r="G27" s="33">
        <f>COUNTIF(Overflader!B:B,Introduktion!B27)</f>
        <v>6</v>
      </c>
      <c r="H27" s="36">
        <f>COUNTIFS(Overflader!B:B,B27,Overflader!Q:Q,Overflader!$Q$6)</f>
        <v>6</v>
      </c>
      <c r="I27" s="133"/>
      <c r="J27" s="133"/>
      <c r="K27" s="133"/>
      <c r="L27" s="133"/>
    </row>
    <row r="28" spans="1:12" x14ac:dyDescent="0.2">
      <c r="A28" s="10"/>
      <c r="B28" s="10" t="s">
        <v>294</v>
      </c>
      <c r="C28" s="10"/>
      <c r="D28" s="10"/>
      <c r="E28" s="10"/>
      <c r="F28" s="10"/>
      <c r="G28" s="33">
        <f>COUNTIF(Overflader!B:B,Introduktion!B28)</f>
        <v>0</v>
      </c>
      <c r="H28" s="36">
        <f>COUNTIFS(Overflader!B:B,B28,Overflader!Q:Q,Overflader!$Q$6)</f>
        <v>0</v>
      </c>
      <c r="I28" s="133"/>
      <c r="J28" s="133"/>
      <c r="K28" s="133"/>
      <c r="L28" s="133"/>
    </row>
    <row r="29" spans="1:12" ht="12" x14ac:dyDescent="0.2">
      <c r="A29" s="12" t="s">
        <v>1175</v>
      </c>
      <c r="B29" s="12"/>
      <c r="C29" s="12"/>
      <c r="D29" s="12"/>
      <c r="E29" s="12"/>
      <c r="F29" s="12"/>
      <c r="G29" s="282">
        <f>(COUNTIF('Indvendig beklædning'!B:B,"*")-COUNTIF('Indvendig beklædning'!B:B,"N/A"))-1</f>
        <v>48</v>
      </c>
      <c r="H29" s="282">
        <f>(COUNTIF('Indvendig beklædning'!R:R,"*")-COUNTIF('Indvendig beklædning'!R:R,"N/A"))-1</f>
        <v>35</v>
      </c>
      <c r="I29" s="138"/>
      <c r="J29" s="138"/>
      <c r="K29" s="138"/>
      <c r="L29" s="138"/>
    </row>
    <row r="30" spans="1:12" ht="12" x14ac:dyDescent="0.2">
      <c r="A30" s="37" t="s">
        <v>1219</v>
      </c>
      <c r="B30" s="11"/>
      <c r="C30" s="11"/>
      <c r="D30" s="11"/>
      <c r="E30" s="11"/>
      <c r="F30" s="11"/>
      <c r="G30" s="282"/>
      <c r="H30" s="282"/>
      <c r="I30" s="139"/>
      <c r="J30" s="139"/>
      <c r="K30" s="139"/>
      <c r="L30" s="139"/>
    </row>
    <row r="31" spans="1:12" x14ac:dyDescent="0.2">
      <c r="A31" s="10"/>
      <c r="B31" s="10" t="s">
        <v>208</v>
      </c>
      <c r="C31" s="10"/>
      <c r="D31" s="10"/>
      <c r="E31" s="10"/>
      <c r="F31" s="10"/>
      <c r="G31" s="33">
        <f>COUNTIF('Indvendig beklædning'!B:B,Introduktion!B31)</f>
        <v>37</v>
      </c>
      <c r="H31" s="36">
        <f>COUNTIFS('Indvendig beklædning'!B:B,B31,'Indvendig beklædning'!R:R,'Indvendig beklædning'!$R$4)</f>
        <v>24</v>
      </c>
      <c r="I31" s="133"/>
      <c r="J31" s="133"/>
      <c r="K31" s="133"/>
      <c r="L31" s="133"/>
    </row>
    <row r="32" spans="1:12" x14ac:dyDescent="0.2">
      <c r="A32" s="10"/>
      <c r="B32" s="10" t="s">
        <v>210</v>
      </c>
      <c r="C32" s="10"/>
      <c r="D32" s="10"/>
      <c r="E32" s="10"/>
      <c r="F32" s="10"/>
      <c r="G32" s="33">
        <f>COUNTIF('Indvendig beklædning'!B:B,Introduktion!B32)</f>
        <v>11</v>
      </c>
      <c r="H32" s="36">
        <f>COUNTIFS('Indvendig beklædning'!B:B,B32,'Indvendig beklædning'!R:R,'Indvendig beklædning'!$R$6)</f>
        <v>0</v>
      </c>
      <c r="I32" s="133"/>
      <c r="J32" s="133"/>
      <c r="K32" s="133"/>
      <c r="L32" s="133"/>
    </row>
    <row r="33" spans="1:13" x14ac:dyDescent="0.2">
      <c r="A33" s="10"/>
      <c r="B33" s="10" t="s">
        <v>294</v>
      </c>
      <c r="C33" s="10"/>
      <c r="D33" s="10"/>
      <c r="E33" s="10"/>
      <c r="F33" s="10"/>
      <c r="G33" s="33">
        <f>COUNTIF('Indvendig beklædning'!B:B,Introduktion!B33)</f>
        <v>0</v>
      </c>
      <c r="H33" s="36">
        <f>COUNTIFS('Indvendig beklædning'!B:B,B33,'Indvendig beklædning'!R:R,'Indvendig beklædning'!$R$6)</f>
        <v>0</v>
      </c>
      <c r="I33" s="133"/>
      <c r="J33" s="133"/>
      <c r="K33" s="133"/>
      <c r="L33" s="133"/>
    </row>
    <row r="34" spans="1:13" ht="12" x14ac:dyDescent="0.2">
      <c r="A34" s="12" t="s">
        <v>427</v>
      </c>
      <c r="B34" s="12"/>
      <c r="C34" s="12"/>
      <c r="D34" s="12"/>
      <c r="E34" s="12"/>
      <c r="F34" s="12"/>
      <c r="G34" s="282">
        <f>(COUNTIF(Vinduer!B:B,"*")-COUNTIF(Vinduer!A:A,"N/A"))-1</f>
        <v>67</v>
      </c>
      <c r="H34" s="282">
        <f>(COUNTIF(Vinduer!S:S,"*")-COUNTIF(Vinduer!S:S,"N/A"))-1</f>
        <v>67</v>
      </c>
      <c r="I34" s="138"/>
      <c r="J34" s="138"/>
      <c r="K34" s="138"/>
      <c r="L34" s="138"/>
    </row>
    <row r="35" spans="1:13" ht="12" x14ac:dyDescent="0.2">
      <c r="A35" s="37" t="s">
        <v>684</v>
      </c>
      <c r="B35" s="11"/>
      <c r="C35" s="11"/>
      <c r="D35" s="11"/>
      <c r="E35" s="11"/>
      <c r="F35" s="11"/>
      <c r="G35" s="282"/>
      <c r="H35" s="282"/>
      <c r="I35" s="139"/>
      <c r="J35" s="139"/>
      <c r="K35" s="139"/>
      <c r="L35" s="139"/>
    </row>
    <row r="36" spans="1:13" x14ac:dyDescent="0.2">
      <c r="A36" s="10"/>
      <c r="B36" s="10" t="s">
        <v>208</v>
      </c>
      <c r="C36" s="10"/>
      <c r="D36" s="10"/>
      <c r="E36" s="10"/>
      <c r="F36" s="10"/>
      <c r="G36" s="33">
        <f>COUNTIF(Vinduer!B:B,Introduktion!B36)</f>
        <v>48</v>
      </c>
      <c r="H36" s="36">
        <f>COUNTIFS(Vinduer!B:B,B36,Vinduer!S:S,Vinduer!$S$4)</f>
        <v>46</v>
      </c>
      <c r="I36" s="133"/>
      <c r="J36" s="133"/>
      <c r="K36" s="133"/>
      <c r="L36" s="133"/>
    </row>
    <row r="37" spans="1:13" x14ac:dyDescent="0.2">
      <c r="A37" s="10"/>
      <c r="B37" s="10" t="s">
        <v>210</v>
      </c>
      <c r="C37" s="10"/>
      <c r="D37" s="10"/>
      <c r="E37" s="10"/>
      <c r="F37" s="10"/>
      <c r="G37" s="33">
        <f>COUNTIF(Vinduer!B:B,Introduktion!B37)</f>
        <v>19</v>
      </c>
      <c r="H37" s="36">
        <f>COUNTIFS(Vinduer!B:B,B37,Vinduer!S:S,Vinduer!$S$4)</f>
        <v>18</v>
      </c>
      <c r="I37" s="133"/>
      <c r="J37" s="133"/>
      <c r="K37" s="133"/>
      <c r="L37" s="133"/>
    </row>
    <row r="38" spans="1:13" x14ac:dyDescent="0.2">
      <c r="A38" s="10"/>
      <c r="B38" s="10" t="s">
        <v>294</v>
      </c>
      <c r="C38" s="10"/>
      <c r="D38" s="10"/>
      <c r="E38" s="10"/>
      <c r="F38" s="10"/>
      <c r="G38" s="33">
        <f>COUNTIF(Vinduer!B:B,Introduktion!B38)</f>
        <v>0</v>
      </c>
      <c r="H38" s="36">
        <f>COUNTIFS(Vinduer!B:B,B38,Vinduer!S:S,Vinduer!$S$4)</f>
        <v>0</v>
      </c>
      <c r="I38" s="133"/>
      <c r="J38" s="133"/>
      <c r="K38" s="133"/>
      <c r="L38" s="133"/>
    </row>
    <row r="39" spans="1:13" ht="12" x14ac:dyDescent="0.2">
      <c r="A39" s="12" t="s">
        <v>1121</v>
      </c>
      <c r="B39" s="12"/>
      <c r="C39" s="12"/>
      <c r="D39" s="12"/>
      <c r="E39" s="12"/>
      <c r="F39" s="12"/>
      <c r="G39" s="282">
        <f>(COUNTIF(Solceller!B:B,"*")-COUNTIF(Solceller!A:A,"N/A"))-1</f>
        <v>76</v>
      </c>
      <c r="H39" s="282">
        <f>(COUNTIF(Solceller!R:R,"*")-COUNTIF(Solceller!R:R,"N/A"))-1</f>
        <v>49</v>
      </c>
      <c r="I39" s="133"/>
      <c r="J39" s="133"/>
      <c r="K39" s="133"/>
      <c r="L39" s="133"/>
    </row>
    <row r="40" spans="1:13" ht="12" x14ac:dyDescent="0.2">
      <c r="A40" s="37" t="s">
        <v>1218</v>
      </c>
      <c r="B40" s="11"/>
      <c r="C40" s="11"/>
      <c r="D40" s="11"/>
      <c r="E40" s="11"/>
      <c r="F40" s="11"/>
      <c r="G40" s="282"/>
      <c r="H40" s="282"/>
      <c r="I40" s="133"/>
      <c r="J40" s="133"/>
      <c r="K40" s="133"/>
      <c r="L40" s="133"/>
    </row>
    <row r="41" spans="1:13" x14ac:dyDescent="0.2">
      <c r="A41" s="10"/>
      <c r="B41" s="10" t="s">
        <v>208</v>
      </c>
      <c r="C41" s="10"/>
      <c r="D41" s="10"/>
      <c r="E41" s="10"/>
      <c r="F41" s="10"/>
      <c r="G41" s="33">
        <f>COUNTIF(Solceller!B:B,Introduktion!B41)</f>
        <v>0</v>
      </c>
      <c r="H41" s="36">
        <f>COUNTIFS(Solceller!B:B,B41,Solceller!R:R,Solceller!$R$4)</f>
        <v>0</v>
      </c>
      <c r="I41" s="133"/>
      <c r="J41" s="133"/>
      <c r="K41" s="133"/>
      <c r="L41" s="133"/>
    </row>
    <row r="42" spans="1:13" x14ac:dyDescent="0.2">
      <c r="A42" s="10"/>
      <c r="B42" s="10" t="s">
        <v>210</v>
      </c>
      <c r="C42" s="10"/>
      <c r="D42" s="10"/>
      <c r="E42" s="10"/>
      <c r="F42" s="10"/>
      <c r="G42" s="33">
        <f>COUNTIF(Solceller!B:B,Introduktion!B42)</f>
        <v>76</v>
      </c>
      <c r="H42" s="36">
        <f>COUNTIFS(Solceller!B:B,B42,Solceller!R:R,Solceller!$R$4)</f>
        <v>49</v>
      </c>
      <c r="I42" s="133"/>
      <c r="J42" s="133"/>
      <c r="K42" s="133"/>
      <c r="L42" s="133"/>
    </row>
    <row r="43" spans="1:13" x14ac:dyDescent="0.2">
      <c r="A43" s="10"/>
      <c r="B43" s="10" t="s">
        <v>294</v>
      </c>
      <c r="C43" s="10"/>
      <c r="D43" s="10"/>
      <c r="E43" s="10"/>
      <c r="F43" s="10"/>
      <c r="G43" s="33">
        <f>COUNTIF(Solceller!B:B,Introduktion!B43)</f>
        <v>0</v>
      </c>
      <c r="H43" s="36">
        <f>COUNTIFS(Solceller!B:B,B43,Solceller!R:R,Solceller!$R$4)</f>
        <v>0</v>
      </c>
      <c r="I43" s="133"/>
      <c r="J43" s="133"/>
      <c r="K43" s="133"/>
      <c r="L43" s="133"/>
    </row>
    <row r="44" spans="1:13" x14ac:dyDescent="0.2">
      <c r="A44" s="133"/>
      <c r="B44" s="133"/>
      <c r="C44" s="133"/>
      <c r="D44" s="133"/>
      <c r="E44" s="133"/>
      <c r="F44" s="133"/>
      <c r="G44" s="168"/>
      <c r="H44" s="169"/>
      <c r="I44" s="133"/>
      <c r="J44" s="133"/>
      <c r="K44" s="133"/>
      <c r="L44" s="133"/>
    </row>
    <row r="45" spans="1:13" ht="12" x14ac:dyDescent="0.2">
      <c r="A45" s="34" t="s">
        <v>302</v>
      </c>
      <c r="B45" s="34"/>
      <c r="C45" s="34"/>
      <c r="D45" s="34"/>
      <c r="E45" s="34"/>
      <c r="F45" s="34"/>
      <c r="G45" s="34"/>
      <c r="H45" s="34"/>
      <c r="I45" s="133"/>
      <c r="J45" s="133"/>
    </row>
    <row r="46" spans="1:13" ht="63" customHeight="1" x14ac:dyDescent="0.2">
      <c r="A46" s="283" t="s">
        <v>1227</v>
      </c>
      <c r="B46" s="283"/>
      <c r="C46" s="283"/>
      <c r="D46" s="283"/>
      <c r="E46" s="283"/>
      <c r="F46" s="283"/>
      <c r="G46" s="283"/>
      <c r="H46" s="283"/>
      <c r="I46" s="140"/>
      <c r="J46" s="140"/>
      <c r="K46" s="140"/>
      <c r="L46" s="140"/>
      <c r="M46" s="2"/>
    </row>
    <row r="47" spans="1:13" ht="12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0"/>
      <c r="J47" s="140"/>
      <c r="K47" s="140"/>
      <c r="L47" s="140"/>
    </row>
    <row r="48" spans="1:13" ht="12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0"/>
      <c r="J48" s="140"/>
      <c r="K48" s="140"/>
      <c r="L48" s="140"/>
    </row>
    <row r="49" spans="1:13" ht="12" customHeight="1" x14ac:dyDescent="0.2">
      <c r="A49" s="141"/>
      <c r="B49" s="141"/>
      <c r="C49" s="141"/>
      <c r="D49" s="141"/>
      <c r="E49" s="141"/>
      <c r="F49" s="141"/>
      <c r="G49" s="141"/>
      <c r="H49" s="141"/>
      <c r="I49" s="140"/>
      <c r="J49" s="140"/>
      <c r="K49" s="140"/>
      <c r="L49" s="140"/>
      <c r="M49" s="54"/>
    </row>
    <row r="50" spans="1:13" ht="14.4" customHeight="1" x14ac:dyDescent="0.2">
      <c r="A50" s="141"/>
      <c r="B50" s="141"/>
      <c r="C50" s="141"/>
      <c r="D50" s="141"/>
      <c r="E50" s="141"/>
      <c r="F50" s="141"/>
      <c r="G50" s="141"/>
      <c r="H50" s="141"/>
      <c r="I50" s="140"/>
      <c r="J50" s="140"/>
      <c r="K50" s="140"/>
      <c r="L50" s="140"/>
      <c r="M50" s="54"/>
    </row>
  </sheetData>
  <mergeCells count="18">
    <mergeCell ref="H34:H35"/>
    <mergeCell ref="G39:G40"/>
    <mergeCell ref="H39:H40"/>
    <mergeCell ref="A6:H6"/>
    <mergeCell ref="A46:H46"/>
    <mergeCell ref="G19:G20"/>
    <mergeCell ref="G24:G25"/>
    <mergeCell ref="G29:G30"/>
    <mergeCell ref="H19:H20"/>
    <mergeCell ref="H24:H25"/>
    <mergeCell ref="H29:H30"/>
    <mergeCell ref="G34:G35"/>
    <mergeCell ref="A1:D1"/>
    <mergeCell ref="A10:F10"/>
    <mergeCell ref="G9:G10"/>
    <mergeCell ref="H9:H10"/>
    <mergeCell ref="H14:H15"/>
    <mergeCell ref="G14:G15"/>
  </mergeCells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1674D-A4A5-4625-B781-E09B60424BEF}">
  <sheetPr>
    <tabColor rgb="FF6A9495"/>
  </sheetPr>
  <dimension ref="A1:AV1021"/>
  <sheetViews>
    <sheetView showGridLines="0" zoomScale="60" zoomScaleNormal="60" workbookViewId="0">
      <pane xSplit="1" ySplit="5" topLeftCell="C6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14.44140625" defaultRowHeight="14.4" outlineLevelCol="1" x14ac:dyDescent="0.3"/>
  <cols>
    <col min="1" max="1" width="46.6640625" style="17" customWidth="1"/>
    <col min="2" max="2" width="7.5546875" style="16" hidden="1" customWidth="1"/>
    <col min="3" max="3" width="9.88671875" style="16" customWidth="1"/>
    <col min="4" max="4" width="20.44140625" style="16" customWidth="1"/>
    <col min="5" max="5" width="18.109375" style="16" customWidth="1"/>
    <col min="6" max="6" width="13.6640625" style="16" customWidth="1"/>
    <col min="7" max="7" width="9.6640625" style="16" customWidth="1"/>
    <col min="8" max="8" width="3.6640625" style="16" customWidth="1"/>
    <col min="9" max="9" width="8.44140625" style="4" customWidth="1"/>
    <col min="10" max="10" width="10.6640625" style="17" customWidth="1"/>
    <col min="11" max="11" width="15.6640625" style="144" customWidth="1"/>
    <col min="12" max="12" width="10.6640625" style="17" customWidth="1"/>
    <col min="13" max="13" width="15.6640625" style="145" customWidth="1"/>
    <col min="14" max="14" width="10.6640625" style="55" customWidth="1"/>
    <col min="15" max="15" width="15.6640625" style="147" customWidth="1"/>
    <col min="16" max="16" width="10.6640625" style="17" customWidth="1"/>
    <col min="17" max="17" width="15.6640625" style="149" customWidth="1"/>
    <col min="18" max="18" width="7" style="16" customWidth="1"/>
    <col min="19" max="19" width="15" style="16" customWidth="1"/>
    <col min="20" max="20" width="11.109375" style="16" customWidth="1"/>
    <col min="21" max="21" width="16.44140625" style="16" customWidth="1"/>
    <col min="22" max="22" width="9.6640625" style="16" customWidth="1"/>
    <col min="23" max="23" width="3.6640625" style="17" customWidth="1"/>
    <col min="24" max="24" width="33.33203125" style="181" hidden="1" customWidth="1" outlineLevel="1"/>
    <col min="25" max="25" width="10.5546875" style="16" hidden="1" customWidth="1" outlineLevel="1"/>
    <col min="26" max="26" width="12.44140625" style="16" hidden="1" customWidth="1" outlineLevel="1"/>
    <col min="27" max="27" width="18.6640625" style="16" hidden="1" customWidth="1" outlineLevel="1"/>
    <col min="28" max="30" width="11.44140625" style="19" hidden="1" customWidth="1" outlineLevel="1"/>
    <col min="31" max="31" width="18.6640625" style="19" hidden="1" customWidth="1" outlineLevel="1"/>
    <col min="32" max="32" width="3.6640625" style="17" hidden="1" customWidth="1" outlineLevel="1"/>
    <col min="33" max="33" width="2.33203125" style="16" customWidth="1" collapsed="1"/>
    <col min="34" max="35" width="4.33203125" style="4" customWidth="1"/>
    <col min="36" max="36" width="2.33203125" style="16" customWidth="1"/>
    <col min="37" max="37" width="3.6640625" style="17" customWidth="1"/>
    <col min="38" max="38" width="10.109375" style="16" customWidth="1"/>
    <col min="39" max="39" width="16.88671875" style="16" customWidth="1"/>
    <col min="40" max="40" width="10.33203125" style="16" customWidth="1"/>
    <col min="41" max="41" width="3.6640625" style="17" customWidth="1"/>
    <col min="42" max="43" width="7.6640625" style="16" customWidth="1"/>
    <col min="44" max="44" width="3.6640625" style="17" customWidth="1"/>
    <col min="45" max="45" width="14.44140625" style="48"/>
    <col min="46" max="47" width="16.6640625" style="67" customWidth="1"/>
    <col min="48" max="16384" width="14.44140625" style="17"/>
  </cols>
  <sheetData>
    <row r="1" spans="1:48" ht="21" hidden="1" customHeight="1" x14ac:dyDescent="0.3">
      <c r="I1" s="16"/>
      <c r="J1" s="44" t="s">
        <v>297</v>
      </c>
      <c r="K1" s="142">
        <f>SUBTOTAL(4,J6:Q799)</f>
        <v>50.212173913043472</v>
      </c>
      <c r="L1" s="32"/>
      <c r="X1" s="175"/>
      <c r="Y1" s="18"/>
      <c r="Z1" s="18"/>
      <c r="AE1" s="19" t="s">
        <v>212</v>
      </c>
      <c r="AG1" s="18"/>
      <c r="AT1" s="61"/>
      <c r="AU1" s="61"/>
    </row>
    <row r="2" spans="1:48" ht="16.95" hidden="1" customHeight="1" x14ac:dyDescent="0.3">
      <c r="I2" s="16"/>
      <c r="J2" s="44" t="s">
        <v>298</v>
      </c>
      <c r="K2" s="142">
        <f>SUBTOTAL(5,J6:Q799)</f>
        <v>-19.833750000000002</v>
      </c>
      <c r="L2" s="32"/>
      <c r="X2" s="175"/>
      <c r="Y2" s="18"/>
      <c r="Z2" s="18"/>
      <c r="AG2" s="18"/>
      <c r="AT2" s="62"/>
      <c r="AU2" s="62"/>
    </row>
    <row r="3" spans="1:48" ht="49.95" customHeight="1" x14ac:dyDescent="0.3">
      <c r="A3" s="16"/>
      <c r="J3" s="197"/>
      <c r="K3" s="198"/>
      <c r="X3" s="199"/>
      <c r="Y3" s="284" t="s">
        <v>372</v>
      </c>
      <c r="Z3" s="284"/>
      <c r="AA3" s="284"/>
      <c r="AB3" s="284"/>
      <c r="AC3" s="284"/>
      <c r="AD3" s="284"/>
      <c r="AE3" s="284"/>
      <c r="AG3" s="18"/>
      <c r="AT3" s="62"/>
      <c r="AU3" s="62"/>
    </row>
    <row r="4" spans="1:48" s="21" customFormat="1" ht="30" customHeight="1" x14ac:dyDescent="0.3">
      <c r="A4" s="60" t="s">
        <v>0</v>
      </c>
      <c r="B4" s="285" t="s">
        <v>207</v>
      </c>
      <c r="C4" s="285"/>
      <c r="D4" s="56" t="s">
        <v>1</v>
      </c>
      <c r="E4" s="56" t="s">
        <v>134</v>
      </c>
      <c r="F4" s="56" t="s">
        <v>2</v>
      </c>
      <c r="G4" s="56" t="s">
        <v>179</v>
      </c>
      <c r="H4" s="126"/>
      <c r="I4" s="56" t="s">
        <v>245</v>
      </c>
      <c r="J4" s="287" t="s">
        <v>197</v>
      </c>
      <c r="K4" s="287"/>
      <c r="L4" s="287" t="s">
        <v>198</v>
      </c>
      <c r="M4" s="288"/>
      <c r="N4" s="287" t="s">
        <v>303</v>
      </c>
      <c r="O4" s="288"/>
      <c r="P4" s="287" t="s">
        <v>202</v>
      </c>
      <c r="Q4" s="287"/>
      <c r="R4" s="56" t="s">
        <v>5</v>
      </c>
      <c r="S4" s="20" t="s">
        <v>371</v>
      </c>
      <c r="T4" s="20" t="s">
        <v>242</v>
      </c>
      <c r="U4" s="56" t="s">
        <v>4</v>
      </c>
      <c r="V4" s="20" t="s">
        <v>243</v>
      </c>
      <c r="W4" s="128"/>
      <c r="X4" s="176" t="s">
        <v>532</v>
      </c>
      <c r="Y4" s="20" t="s">
        <v>193</v>
      </c>
      <c r="Z4" s="20" t="s">
        <v>246</v>
      </c>
      <c r="AA4" s="20" t="s">
        <v>203</v>
      </c>
      <c r="AB4" s="58" t="s">
        <v>6</v>
      </c>
      <c r="AC4" s="58" t="s">
        <v>7</v>
      </c>
      <c r="AD4" s="58" t="s">
        <v>8</v>
      </c>
      <c r="AE4" s="57" t="s">
        <v>202</v>
      </c>
      <c r="AG4" s="287" t="s">
        <v>199</v>
      </c>
      <c r="AH4" s="288"/>
      <c r="AI4" s="288"/>
      <c r="AJ4" s="288"/>
      <c r="AK4" s="128"/>
      <c r="AL4" s="56" t="s">
        <v>3</v>
      </c>
      <c r="AM4" s="20" t="s">
        <v>200</v>
      </c>
      <c r="AN4" s="20" t="s">
        <v>201</v>
      </c>
      <c r="AO4" s="128"/>
      <c r="AP4" s="56" t="s">
        <v>186</v>
      </c>
      <c r="AQ4" s="56"/>
      <c r="AT4" s="63" t="s">
        <v>7</v>
      </c>
      <c r="AU4" s="63" t="s">
        <v>6</v>
      </c>
    </row>
    <row r="5" spans="1:48" s="23" customFormat="1" ht="19.95" customHeight="1" x14ac:dyDescent="0.3">
      <c r="A5" s="24"/>
      <c r="B5" s="286"/>
      <c r="C5" s="286"/>
      <c r="D5" s="22"/>
      <c r="E5" s="22"/>
      <c r="F5" s="22"/>
      <c r="G5" s="22"/>
      <c r="H5" s="127"/>
      <c r="I5" s="22" t="s">
        <v>288</v>
      </c>
      <c r="J5" s="289" t="s">
        <v>196</v>
      </c>
      <c r="K5" s="289"/>
      <c r="L5" s="289" t="s">
        <v>196</v>
      </c>
      <c r="M5" s="289"/>
      <c r="N5" s="289" t="s">
        <v>196</v>
      </c>
      <c r="O5" s="289"/>
      <c r="P5" s="289" t="s">
        <v>195</v>
      </c>
      <c r="Q5" s="289"/>
      <c r="R5" s="22"/>
      <c r="S5" s="163"/>
      <c r="T5" s="22"/>
      <c r="U5" s="22" t="s">
        <v>194</v>
      </c>
      <c r="V5" s="22" t="s">
        <v>10</v>
      </c>
      <c r="W5" s="129"/>
      <c r="X5" s="177"/>
      <c r="Y5" s="22"/>
      <c r="Z5" s="22" t="s">
        <v>206</v>
      </c>
      <c r="AA5" s="22" t="s">
        <v>373</v>
      </c>
      <c r="AB5" s="22" t="s">
        <v>373</v>
      </c>
      <c r="AC5" s="22" t="s">
        <v>373</v>
      </c>
      <c r="AD5" s="22" t="s">
        <v>373</v>
      </c>
      <c r="AE5" s="22" t="s">
        <v>373</v>
      </c>
      <c r="AG5" s="290" t="s">
        <v>11</v>
      </c>
      <c r="AH5" s="290"/>
      <c r="AI5" s="290"/>
      <c r="AJ5" s="290"/>
      <c r="AK5" s="129"/>
      <c r="AL5" s="22" t="s">
        <v>228</v>
      </c>
      <c r="AM5" s="22" t="s">
        <v>181</v>
      </c>
      <c r="AN5" s="22" t="s">
        <v>180</v>
      </c>
      <c r="AO5" s="129"/>
      <c r="AP5" s="22"/>
      <c r="AQ5" s="22"/>
      <c r="AT5" s="64" t="s">
        <v>244</v>
      </c>
      <c r="AU5" s="64" t="s">
        <v>244</v>
      </c>
    </row>
    <row r="6" spans="1:48" s="25" customFormat="1" ht="25.2" customHeight="1" x14ac:dyDescent="0.15">
      <c r="A6" s="25" t="s">
        <v>463</v>
      </c>
      <c r="B6" s="47" t="s">
        <v>210</v>
      </c>
      <c r="C6" s="47"/>
      <c r="D6" s="47" t="s">
        <v>209</v>
      </c>
      <c r="E6" s="82" t="s">
        <v>146</v>
      </c>
      <c r="F6" s="47" t="s">
        <v>296</v>
      </c>
      <c r="G6" s="69" t="s">
        <v>376</v>
      </c>
      <c r="H6" s="16"/>
      <c r="I6" s="111">
        <v>1</v>
      </c>
      <c r="J6" s="70">
        <f t="shared" ref="J6:J37" si="0">IF(AC6="N/A","N/A",IF(K6="","N/A",K6))</f>
        <v>0.40500000000000003</v>
      </c>
      <c r="K6" s="143" cm="1">
        <f t="array" ref="K6">IF(AC6="N/A","",_xlfn.IFS(Y6="m2",(AA6*(1/(Z6/AM6)))*I6,Y6="m3",(AA6*(1/(Z6/AM6)))*I6,Y6="kg",(AA6*AL6*(1/(1/AM6)))*I6,Y6="N/A",""))</f>
        <v>0.40500000000000003</v>
      </c>
      <c r="L6" s="71">
        <f t="shared" ref="L6:L37" si="1">IF(M6="","N/A",M6)</f>
        <v>0.39</v>
      </c>
      <c r="M6" s="146" cm="1">
        <f t="array" ref="M6">_xlfn.IFS(Y6="m2",(AB6*(1/(Z6/AM6)))*I6,Y6="m3",(AB6*(1/(Z6/AM6)))*I6,Y6="kg",(AB6*AL6*(1/(1/AM6)))*I6,Y6="N/A","")</f>
        <v>0.39</v>
      </c>
      <c r="N6" s="52">
        <f t="shared" ref="N6:N37" si="2">IF(O6="","N/A",O6)</f>
        <v>1.4999999999999999E-2</v>
      </c>
      <c r="O6" s="148" cm="1">
        <f t="array" ref="O6">IF(AC6="N/A","",_xlfn.IFS(Y6="m2",(AC6*(1/(Z6/AM6)))*I6,Y6="m3",(AC6*(1/(Z6/AM6)))*I6,Y6="kg",(AC6*AL6*(1/(1/AM6)))*I6,Y6="N/A",""))</f>
        <v>1.4999999999999999E-2</v>
      </c>
      <c r="P6" s="72">
        <f t="shared" ref="P6:P37" si="3">IF(Q6="","N/A",Q6)</f>
        <v>-4.8800000000000003E-2</v>
      </c>
      <c r="Q6" s="150" cm="1">
        <f t="array" ref="Q6">IF(AE6="N/A","",_xlfn.IFS(Y6="m2",(AE6*(1/(Z6/AM6)))*I6,Y6="m3",(AE6*(1/(Z6/AM6)))*I6,Y6="kg",(AE6*AL6*(1/(1/AM6)))*I6,Y6="N/A",""))</f>
        <v>-4.8800000000000003E-2</v>
      </c>
      <c r="R6" s="82" t="s">
        <v>5</v>
      </c>
      <c r="S6" s="164" t="s">
        <v>377</v>
      </c>
      <c r="T6" s="47">
        <v>2028</v>
      </c>
      <c r="U6" s="47" t="s">
        <v>28</v>
      </c>
      <c r="V6" s="69">
        <v>60</v>
      </c>
      <c r="W6" s="17"/>
      <c r="X6" s="178" t="s">
        <v>542</v>
      </c>
      <c r="Y6" s="73" t="s">
        <v>15</v>
      </c>
      <c r="Z6" s="73">
        <v>3.6999999999999998E-2</v>
      </c>
      <c r="AA6" s="52">
        <f t="shared" ref="AA6:AA37" si="4">IF(AC6="N/A","N/A",SUM(AB6:AC6))</f>
        <v>0.40500000000000003</v>
      </c>
      <c r="AB6" s="52">
        <v>0.39</v>
      </c>
      <c r="AC6" s="52">
        <f>0+0.015</f>
        <v>1.4999999999999999E-2</v>
      </c>
      <c r="AD6" s="52">
        <v>-2.58E-2</v>
      </c>
      <c r="AE6" s="72">
        <v>-4.8800000000000003E-2</v>
      </c>
      <c r="AF6" s="17"/>
      <c r="AG6" s="74" t="str">
        <f>AH6&amp;" "&amp;AI6</f>
        <v xml:space="preserve">A1 </v>
      </c>
      <c r="AH6" s="75" t="s">
        <v>58</v>
      </c>
      <c r="AI6" s="76"/>
      <c r="AJ6" s="103"/>
      <c r="AL6" s="73">
        <v>29</v>
      </c>
      <c r="AM6" s="47">
        <v>3.6999999999999998E-2</v>
      </c>
      <c r="AN6" s="47">
        <v>1030</v>
      </c>
      <c r="AP6" s="80" t="s">
        <v>17</v>
      </c>
      <c r="AQ6" s="73"/>
      <c r="AR6" s="26"/>
      <c r="AU6" s="65" cm="1">
        <f t="array" ref="AU6">_xlfn.IFS(Y6="m2",(AB6*(1/(Z6/AM6))),Y6="m3",(AB6*(1/(Z6/AM6))),Y6="kg",(AB6*AL6*(1/(Z6/AM6))),Y6="N/A",0)</f>
        <v>0.39</v>
      </c>
      <c r="AV6" s="66"/>
    </row>
    <row r="7" spans="1:48" s="25" customFormat="1" ht="25.2" customHeight="1" x14ac:dyDescent="0.15">
      <c r="A7" s="25" t="s">
        <v>808</v>
      </c>
      <c r="B7" s="47" t="s">
        <v>210</v>
      </c>
      <c r="C7" s="47"/>
      <c r="D7" s="47" t="s">
        <v>209</v>
      </c>
      <c r="E7" s="82" t="s">
        <v>146</v>
      </c>
      <c r="F7" s="47" t="s">
        <v>296</v>
      </c>
      <c r="G7" s="69" t="s">
        <v>292</v>
      </c>
      <c r="H7" s="16"/>
      <c r="I7" s="111">
        <v>1</v>
      </c>
      <c r="J7" s="70">
        <f t="shared" si="0"/>
        <v>0.42270000000000002</v>
      </c>
      <c r="K7" s="143" cm="1">
        <f t="array" ref="K7">IF(AC7="N/A","",_xlfn.IFS(Y7="m2",(AA7*(1/(Z7/AM7)))*I7,Y7="m3",(AA7*(1/(Z7/AM7)))*I7,Y7="kg",(AA7*AL7*(1/(1/AM7)))*I7,Y7="N/A",""))</f>
        <v>0.42270000000000002</v>
      </c>
      <c r="L7" s="71">
        <f t="shared" si="1"/>
        <v>0.40700000000000003</v>
      </c>
      <c r="M7" s="146" cm="1">
        <f t="array" ref="M7">_xlfn.IFS(Y7="m2",(AB7*(1/(Z7/AM7)))*I7,Y7="m3",(AB7*(1/(Z7/AM7)))*I7,Y7="kg",(AB7*AL7*(1/(1/AM7)))*I7,Y7="N/A","")</f>
        <v>0.40700000000000003</v>
      </c>
      <c r="N7" s="52">
        <f t="shared" si="2"/>
        <v>1.5700000000000002E-2</v>
      </c>
      <c r="O7" s="148" cm="1">
        <f t="array" ref="O7">IF(AC7="N/A","",_xlfn.IFS(Y7="m2",(AC7*(1/(Z7/AM7)))*I7,Y7="m3",(AC7*(1/(Z7/AM7)))*I7,Y7="kg",(AC7*AL7*(1/(1/AM7)))*I7,Y7="N/A",""))</f>
        <v>1.5700000000000002E-2</v>
      </c>
      <c r="P7" s="72">
        <f t="shared" si="3"/>
        <v>-4.9700000000000001E-2</v>
      </c>
      <c r="Q7" s="150" cm="1">
        <f t="array" ref="Q7">IF(AE7="N/A","",_xlfn.IFS(Y7="m2",(AE7*(1/(Z7/AM7)))*I7,Y7="m3",(AE7*(1/(Z7/AM7)))*I7,Y7="kg",(AE7*AL7*(1/(1/AM7)))*I7,Y7="N/A",""))</f>
        <v>-4.9700000000000001E-2</v>
      </c>
      <c r="R7" s="82" t="s">
        <v>5</v>
      </c>
      <c r="S7" s="164" t="s">
        <v>377</v>
      </c>
      <c r="T7" s="47">
        <v>2027</v>
      </c>
      <c r="U7" s="47" t="s">
        <v>28</v>
      </c>
      <c r="V7" s="69">
        <v>60</v>
      </c>
      <c r="W7" s="17"/>
      <c r="X7" s="178" t="s">
        <v>540</v>
      </c>
      <c r="Y7" s="73" t="s">
        <v>15</v>
      </c>
      <c r="Z7" s="73">
        <f>AM7</f>
        <v>4.1000000000000002E-2</v>
      </c>
      <c r="AA7" s="52">
        <f t="shared" si="4"/>
        <v>0.42270000000000002</v>
      </c>
      <c r="AB7" s="52">
        <f>4.07*10^-1</f>
        <v>0.40700000000000003</v>
      </c>
      <c r="AC7" s="52">
        <f>0+1.57*10^-2</f>
        <v>1.5700000000000002E-2</v>
      </c>
      <c r="AD7" s="52">
        <f>-2.66*10^-2</f>
        <v>-2.6600000000000002E-2</v>
      </c>
      <c r="AE7" s="72">
        <f>-4.97*10^-2</f>
        <v>-4.9700000000000001E-2</v>
      </c>
      <c r="AF7" s="17"/>
      <c r="AG7" s="74" t="str">
        <f>AH7&amp;" "&amp;AI7</f>
        <v xml:space="preserve">A1 </v>
      </c>
      <c r="AH7" s="75" t="s">
        <v>58</v>
      </c>
      <c r="AI7" s="76"/>
      <c r="AJ7" s="103"/>
      <c r="AL7" s="73">
        <v>28</v>
      </c>
      <c r="AM7" s="47">
        <v>4.1000000000000002E-2</v>
      </c>
      <c r="AN7" s="47" t="s">
        <v>191</v>
      </c>
      <c r="AP7" s="80" t="s">
        <v>17</v>
      </c>
      <c r="AQ7" s="73"/>
      <c r="AR7" s="26"/>
      <c r="AU7" s="67" cm="1">
        <f t="array" ref="AU7">_xlfn.IFS(Y7="m2",(AB7*(1/(Z7/AM7))),Y7="m3",(AB7*(1/(Z7/AM7))),Y7="kg",(AB7*AL7*(1/(Z7/AM7))),Y7="N/A",0)</f>
        <v>0.40700000000000003</v>
      </c>
      <c r="AV7" s="66"/>
    </row>
    <row r="8" spans="1:48" s="25" customFormat="1" ht="25.2" customHeight="1" x14ac:dyDescent="0.15">
      <c r="A8" s="25" t="s">
        <v>1086</v>
      </c>
      <c r="B8" s="47" t="s">
        <v>210</v>
      </c>
      <c r="C8" s="47"/>
      <c r="D8" s="47" t="s">
        <v>218</v>
      </c>
      <c r="E8" s="186" t="s">
        <v>146</v>
      </c>
      <c r="F8" s="47" t="s">
        <v>307</v>
      </c>
      <c r="G8" s="69" t="s">
        <v>376</v>
      </c>
      <c r="H8" s="16"/>
      <c r="I8" s="111">
        <v>1</v>
      </c>
      <c r="J8" s="70">
        <f t="shared" si="0"/>
        <v>0.43868000000000001</v>
      </c>
      <c r="K8" s="143" cm="1">
        <f t="array" ref="K8">IF(AC8="N/A","",_xlfn.IFS(Y8="m2",(AA8*(1/(Z8/AM8)))*I8,Y8="m3",(AA8*(1/(Z8/AM8)))*I8,Y8="kg",(AA8*AL8*(1/(1/AM8)))*I8,Y8="N/A",""))</f>
        <v>0.43868000000000001</v>
      </c>
      <c r="L8" s="71">
        <f t="shared" si="1"/>
        <v>0.43</v>
      </c>
      <c r="M8" s="146" cm="1">
        <f t="array" ref="M8">_xlfn.IFS(Y8="m2",(AB8*(1/(Z8/AM8)))*I8,Y8="m3",(AB8*(1/(Z8/AM8)))*I8,Y8="kg",(AB8*AL8*(1/(1/AM8)))*I8,Y8="N/A","")</f>
        <v>0.43</v>
      </c>
      <c r="N8" s="52">
        <f t="shared" si="2"/>
        <v>8.6800000000000002E-3</v>
      </c>
      <c r="O8" s="148" cm="1">
        <f t="array" ref="O8">IF(AC8="N/A","",_xlfn.IFS(Y8="m2",(AC8*(1/(Z8/AM8)))*I8,Y8="m3",(AC8*(1/(Z8/AM8)))*I8,Y8="kg",(AC8*AL8*(1/(1/AM8)))*I8,Y8="N/A",""))</f>
        <v>8.6800000000000002E-3</v>
      </c>
      <c r="P8" s="72" t="str">
        <f t="shared" si="3"/>
        <v>N/A</v>
      </c>
      <c r="Q8" s="150" t="str" cm="1">
        <f t="array" ref="Q8">IF(AE8="N/A","",_xlfn.IFS(Y8="m2",(AE8*(1/(Z8/AM8)))*I8,Y8="m3",(AE8*(1/(Z8/AM8)))*I8,Y8="kg",(AE8*AL8*(1/(1/AM8)))*I8,Y8="N/A",""))</f>
        <v/>
      </c>
      <c r="R8" s="186" t="s">
        <v>5</v>
      </c>
      <c r="S8" s="164" t="s">
        <v>377</v>
      </c>
      <c r="T8" s="47">
        <v>2026</v>
      </c>
      <c r="U8" s="47" t="s">
        <v>14</v>
      </c>
      <c r="V8" s="69">
        <v>60</v>
      </c>
      <c r="W8" s="17"/>
      <c r="X8" s="178" t="s">
        <v>1087</v>
      </c>
      <c r="Y8" s="73" t="s">
        <v>15</v>
      </c>
      <c r="Z8" s="73">
        <v>3.6999999999999998E-2</v>
      </c>
      <c r="AA8" s="52">
        <f t="shared" si="4"/>
        <v>0.43868000000000001</v>
      </c>
      <c r="AB8" s="52">
        <v>0.43</v>
      </c>
      <c r="AC8" s="52">
        <f>0+0.00868</f>
        <v>8.6800000000000002E-3</v>
      </c>
      <c r="AD8" s="52">
        <v>0</v>
      </c>
      <c r="AE8" s="72" t="s">
        <v>191</v>
      </c>
      <c r="AF8" s="17"/>
      <c r="AG8" s="251"/>
      <c r="AH8" s="122" t="s">
        <v>58</v>
      </c>
      <c r="AI8" s="123"/>
      <c r="AJ8" s="47"/>
      <c r="AL8" s="73">
        <v>15</v>
      </c>
      <c r="AM8" s="47">
        <v>3.6999999999999998E-2</v>
      </c>
      <c r="AN8" s="47" t="s">
        <v>191</v>
      </c>
      <c r="AP8" s="173" t="s">
        <v>17</v>
      </c>
      <c r="AQ8" s="73"/>
      <c r="AR8" s="26"/>
      <c r="AU8" s="67" cm="1">
        <f t="array" ref="AU8">_xlfn.IFS(Y8="m2",(AB8*(1/(Z8/AM8))),Y8="m3",(AB8*(1/(Z8/AM8))),Y8="kg",(AB8*AL8*(1/(Z8/AM8))),Y8="N/A",0)</f>
        <v>0.43</v>
      </c>
      <c r="AV8" s="66"/>
    </row>
    <row r="9" spans="1:48" s="25" customFormat="1" ht="25.2" customHeight="1" x14ac:dyDescent="0.15">
      <c r="A9" s="25" t="s">
        <v>464</v>
      </c>
      <c r="B9" s="47" t="s">
        <v>210</v>
      </c>
      <c r="C9" s="47"/>
      <c r="D9" s="47" t="s">
        <v>209</v>
      </c>
      <c r="E9" s="82" t="s">
        <v>146</v>
      </c>
      <c r="F9" s="47" t="s">
        <v>296</v>
      </c>
      <c r="G9" s="69" t="s">
        <v>376</v>
      </c>
      <c r="H9" s="16"/>
      <c r="I9" s="111">
        <v>1</v>
      </c>
      <c r="J9" s="70">
        <f t="shared" si="0"/>
        <v>0.44040000000000001</v>
      </c>
      <c r="K9" s="143" cm="1">
        <f t="array" ref="K9">IF(AC9="N/A","",_xlfn.IFS(Y9="m2",(AA9*(1/(Z9/AM9)))*I9,Y9="m3",(AA9*(1/(Z9/AM9)))*I9,Y9="kg",(AA9*AL9*(1/(1/AM9)))*I9,Y9="N/A",""))</f>
        <v>0.44040000000000001</v>
      </c>
      <c r="L9" s="71">
        <f t="shared" si="1"/>
        <v>0.42400000000000004</v>
      </c>
      <c r="M9" s="146" cm="1">
        <f t="array" ref="M9">_xlfn.IFS(Y9="m2",(AB9*(1/(Z9/AM9)))*I9,Y9="m3",(AB9*(1/(Z9/AM9)))*I9,Y9="kg",(AB9*AL9*(1/(1/AM9)))*I9,Y9="N/A","")</f>
        <v>0.42400000000000004</v>
      </c>
      <c r="N9" s="52">
        <f t="shared" si="2"/>
        <v>1.6399999999999998E-2</v>
      </c>
      <c r="O9" s="148" cm="1">
        <f t="array" ref="O9">IF(AC9="N/A","",_xlfn.IFS(Y9="m2",(AC9*(1/(Z9/AM9)))*I9,Y9="m3",(AC9*(1/(Z9/AM9)))*I9,Y9="kg",(AC9*AL9*(1/(1/AM9)))*I9,Y9="N/A",""))</f>
        <v>1.6399999999999998E-2</v>
      </c>
      <c r="P9" s="72">
        <f t="shared" si="3"/>
        <v>-5.3200000000000004E-2</v>
      </c>
      <c r="Q9" s="150" cm="1">
        <f t="array" ref="Q9">IF(AE9="N/A","",_xlfn.IFS(Y9="m2",(AE9*(1/(Z9/AM9)))*I9,Y9="m3",(AE9*(1/(Z9/AM9)))*I9,Y9="kg",(AE9*AL9*(1/(1/AM9)))*I9,Y9="N/A",""))</f>
        <v>-5.3200000000000004E-2</v>
      </c>
      <c r="R9" s="82" t="s">
        <v>5</v>
      </c>
      <c r="S9" s="164" t="s">
        <v>377</v>
      </c>
      <c r="T9" s="47">
        <v>2027</v>
      </c>
      <c r="U9" s="47" t="s">
        <v>28</v>
      </c>
      <c r="V9" s="69">
        <v>60</v>
      </c>
      <c r="W9" s="17"/>
      <c r="X9" s="178" t="s">
        <v>544</v>
      </c>
      <c r="Y9" s="73" t="s">
        <v>15</v>
      </c>
      <c r="Z9" s="73">
        <v>3.6999999999999998E-2</v>
      </c>
      <c r="AA9" s="52">
        <f t="shared" si="4"/>
        <v>0.44040000000000001</v>
      </c>
      <c r="AB9" s="52">
        <f>4.24*10^-1</f>
        <v>0.42400000000000004</v>
      </c>
      <c r="AC9" s="52">
        <f>0+1.64*10^-2</f>
        <v>1.6399999999999998E-2</v>
      </c>
      <c r="AD9" s="52">
        <f>-2.81*10^-2</f>
        <v>-2.81E-2</v>
      </c>
      <c r="AE9" s="72">
        <f>-5.32*10^-2</f>
        <v>-5.3200000000000004E-2</v>
      </c>
      <c r="AF9" s="17"/>
      <c r="AG9" s="74" t="str">
        <f>AH9&amp;" "&amp;AI9</f>
        <v xml:space="preserve">A1 </v>
      </c>
      <c r="AH9" s="75" t="s">
        <v>58</v>
      </c>
      <c r="AI9" s="76"/>
      <c r="AJ9" s="103"/>
      <c r="AL9" s="73">
        <v>33</v>
      </c>
      <c r="AM9" s="47">
        <v>3.6999999999999998E-2</v>
      </c>
      <c r="AN9" s="47">
        <v>1030</v>
      </c>
      <c r="AP9" s="80" t="s">
        <v>17</v>
      </c>
      <c r="AQ9" s="73"/>
      <c r="AR9" s="26"/>
      <c r="AU9" s="67" cm="1">
        <f t="array" ref="AU9">_xlfn.IFS(Y9="m2",(AB9*(1/(Z9/AM9))),Y9="m3",(AB9*(1/(Z9/AM9))),Y9="kg",(AB9*AL9*(1/(Z9/AM9))),Y9="N/A",0)</f>
        <v>0.42400000000000004</v>
      </c>
      <c r="AV9" s="66"/>
    </row>
    <row r="10" spans="1:48" s="25" customFormat="1" ht="25.2" customHeight="1" x14ac:dyDescent="0.15">
      <c r="A10" s="25" t="s">
        <v>465</v>
      </c>
      <c r="B10" s="47" t="s">
        <v>210</v>
      </c>
      <c r="C10" s="47"/>
      <c r="D10" s="47" t="s">
        <v>209</v>
      </c>
      <c r="E10" s="82" t="s">
        <v>146</v>
      </c>
      <c r="F10" s="47" t="s">
        <v>296</v>
      </c>
      <c r="G10" s="69" t="s">
        <v>376</v>
      </c>
      <c r="H10" s="16"/>
      <c r="I10" s="111">
        <v>1</v>
      </c>
      <c r="J10" s="70">
        <f t="shared" si="0"/>
        <v>0.44561000000000006</v>
      </c>
      <c r="K10" s="143" cm="1">
        <f t="array" ref="K10">IF(AC10="N/A","",_xlfn.IFS(Y10="m2",(AA10*(1/(Z10/AM10)))*I10,Y10="m3",(AA10*(1/(Z10/AM10)))*I10,Y10="kg",(AA10*AL10*(1/(1/AM10)))*I10,Y10="N/A",""))</f>
        <v>0.44561000000000006</v>
      </c>
      <c r="L10" s="71">
        <f t="shared" si="1"/>
        <v>0.42900000000000005</v>
      </c>
      <c r="M10" s="146" cm="1">
        <f t="array" ref="M10">_xlfn.IFS(Y10="m2",(AB10*(1/(Z10/AM10)))*I10,Y10="m3",(AB10*(1/(Z10/AM10)))*I10,Y10="kg",(AB10*AL10*(1/(1/AM10)))*I10,Y10="N/A","")</f>
        <v>0.42900000000000005</v>
      </c>
      <c r="N10" s="52">
        <f t="shared" si="2"/>
        <v>1.6610000000000003E-2</v>
      </c>
      <c r="O10" s="148" cm="1">
        <f t="array" ref="O10">IF(AC10="N/A","",_xlfn.IFS(Y10="m2",(AC10*(1/(Z10/AM10)))*I10,Y10="m3",(AC10*(1/(Z10/AM10)))*I10,Y10="kg",(AC10*AL10*(1/(1/AM10)))*I10,Y10="N/A",""))</f>
        <v>1.6610000000000003E-2</v>
      </c>
      <c r="P10" s="72">
        <f t="shared" si="3"/>
        <v>-5.423E-2</v>
      </c>
      <c r="Q10" s="150" cm="1">
        <f t="array" ref="Q10">IF(AE10="N/A","",_xlfn.IFS(Y10="m2",(AE10*(1/(Z10/AM10)))*I10,Y10="m3",(AE10*(1/(Z10/AM10)))*I10,Y10="kg",(AE10*AL10*(1/(1/AM10)))*I10,Y10="N/A",""))</f>
        <v>-5.423E-2</v>
      </c>
      <c r="R10" s="82" t="s">
        <v>5</v>
      </c>
      <c r="S10" s="164" t="s">
        <v>377</v>
      </c>
      <c r="T10" s="47">
        <v>2027</v>
      </c>
      <c r="U10" s="47" t="s">
        <v>28</v>
      </c>
      <c r="V10" s="69">
        <v>60</v>
      </c>
      <c r="W10" s="17"/>
      <c r="X10" s="178" t="s">
        <v>539</v>
      </c>
      <c r="Y10" s="73" t="s">
        <v>15</v>
      </c>
      <c r="Z10" s="73">
        <v>3.6999999999999998E-2</v>
      </c>
      <c r="AA10" s="52">
        <f t="shared" si="4"/>
        <v>0.44561000000000006</v>
      </c>
      <c r="AB10" s="52">
        <f>(3.9*10^-1)*1.1</f>
        <v>0.42900000000000005</v>
      </c>
      <c r="AC10" s="52">
        <f>(0+1.51*10^-2)*1.1</f>
        <v>1.6610000000000003E-2</v>
      </c>
      <c r="AD10" s="52">
        <f>(-2.6*10^-2)*1.1</f>
        <v>-2.8600000000000004E-2</v>
      </c>
      <c r="AE10" s="72">
        <f>(-4.93*10^-2)*1.1</f>
        <v>-5.423E-2</v>
      </c>
      <c r="AF10" s="17"/>
      <c r="AG10" s="74" t="str">
        <f>AH10&amp;" "&amp;AI10</f>
        <v xml:space="preserve">A1 </v>
      </c>
      <c r="AH10" s="75" t="s">
        <v>58</v>
      </c>
      <c r="AI10" s="76"/>
      <c r="AJ10" s="103"/>
      <c r="AL10" s="73">
        <v>30</v>
      </c>
      <c r="AM10" s="47">
        <v>3.6999999999999998E-2</v>
      </c>
      <c r="AN10" s="47">
        <v>1030</v>
      </c>
      <c r="AP10" s="80" t="s">
        <v>17</v>
      </c>
      <c r="AQ10" s="73"/>
      <c r="AR10" s="26"/>
      <c r="AU10" s="67" cm="1">
        <f t="array" ref="AU10">_xlfn.IFS(Y10="m2",(AB10*(1/(Z10/AM10))),Y10="m3",(AB10*(1/(Z10/AM10))),Y10="kg",(AB10*AL10*(1/(Z10/AM10))),Y10="N/A",0)</f>
        <v>0.42900000000000005</v>
      </c>
      <c r="AV10" s="66"/>
    </row>
    <row r="11" spans="1:48" s="25" customFormat="1" ht="25.2" customHeight="1" x14ac:dyDescent="0.15">
      <c r="A11" s="25" t="s">
        <v>379</v>
      </c>
      <c r="B11" s="47" t="s">
        <v>210</v>
      </c>
      <c r="C11" s="47"/>
      <c r="D11" s="47" t="s">
        <v>218</v>
      </c>
      <c r="E11" s="88" t="s">
        <v>146</v>
      </c>
      <c r="F11" s="47" t="s">
        <v>307</v>
      </c>
      <c r="G11" s="69" t="s">
        <v>376</v>
      </c>
      <c r="H11" s="16"/>
      <c r="I11" s="111">
        <v>1</v>
      </c>
      <c r="J11" s="70">
        <f t="shared" si="0"/>
        <v>0.44968000000000008</v>
      </c>
      <c r="K11" s="143" cm="1">
        <f t="array" ref="K11">IF(AC11="N/A","",_xlfn.IFS(Y11="m2",(AA11*(1/(Z11/AM11)))*I11,Y11="m3",(AA11*(1/(Z11/AM11)))*I11,Y11="kg",(AA11*AL11*(1/(1/AM11)))*I11,Y11="N/A",""))</f>
        <v>0.44968000000000008</v>
      </c>
      <c r="L11" s="71">
        <f t="shared" si="1"/>
        <v>0.44100000000000006</v>
      </c>
      <c r="M11" s="146" cm="1">
        <f t="array" ref="M11">_xlfn.IFS(Y11="m2",(AB11*(1/(Z11/AM11)))*I11,Y11="m3",(AB11*(1/(Z11/AM11)))*I11,Y11="kg",(AB11*AL11*(1/(1/AM11)))*I11,Y11="N/A","")</f>
        <v>0.44100000000000006</v>
      </c>
      <c r="N11" s="52">
        <f t="shared" si="2"/>
        <v>8.6800000000000002E-3</v>
      </c>
      <c r="O11" s="148" cm="1">
        <f t="array" ref="O11">IF(AC11="N/A","",_xlfn.IFS(Y11="m2",(AC11*(1/(Z11/AM11)))*I11,Y11="m3",(AC11*(1/(Z11/AM11)))*I11,Y11="kg",(AC11*AL11*(1/(1/AM11)))*I11,Y11="N/A",""))</f>
        <v>8.6800000000000002E-3</v>
      </c>
      <c r="P11" s="72" t="str">
        <f t="shared" si="3"/>
        <v>N/A</v>
      </c>
      <c r="Q11" s="150" t="str" cm="1">
        <f t="array" ref="Q11">IF(AE11="N/A","",_xlfn.IFS(Y11="m2",(AE11*(1/(Z11/AM11)))*I11,Y11="m3",(AE11*(1/(Z11/AM11)))*I11,Y11="kg",(AE11*AL11*(1/(1/AM11)))*I11,Y11="N/A",""))</f>
        <v/>
      </c>
      <c r="R11" s="88" t="s">
        <v>5</v>
      </c>
      <c r="S11" s="164" t="s">
        <v>377</v>
      </c>
      <c r="T11" s="47">
        <v>2026</v>
      </c>
      <c r="U11" s="47" t="s">
        <v>14</v>
      </c>
      <c r="V11" s="69">
        <v>60</v>
      </c>
      <c r="W11" s="17"/>
      <c r="X11" s="178" t="s">
        <v>545</v>
      </c>
      <c r="Y11" s="73" t="s">
        <v>15</v>
      </c>
      <c r="Z11" s="73">
        <v>3.6999999999999998E-2</v>
      </c>
      <c r="AA11" s="52">
        <f t="shared" si="4"/>
        <v>0.44968000000000008</v>
      </c>
      <c r="AB11" s="52">
        <f>4.41*10^-1</f>
        <v>0.44100000000000006</v>
      </c>
      <c r="AC11" s="52">
        <f>0+8.68*10^-3</f>
        <v>8.6800000000000002E-3</v>
      </c>
      <c r="AD11" s="52">
        <v>0</v>
      </c>
      <c r="AE11" s="72" t="s">
        <v>191</v>
      </c>
      <c r="AF11" s="17"/>
      <c r="AG11" s="74" t="str">
        <f>AH11&amp;" "&amp;AI11</f>
        <v xml:space="preserve">A1 </v>
      </c>
      <c r="AH11" s="75" t="s">
        <v>58</v>
      </c>
      <c r="AI11" s="76"/>
      <c r="AJ11" s="103"/>
      <c r="AL11" s="73">
        <f>0.555*1/AM11</f>
        <v>15.000000000000002</v>
      </c>
      <c r="AM11" s="47">
        <v>3.6999999999999998E-2</v>
      </c>
      <c r="AN11" s="47" t="s">
        <v>191</v>
      </c>
      <c r="AP11" s="80" t="s">
        <v>17</v>
      </c>
      <c r="AQ11" s="73"/>
      <c r="AR11" s="26"/>
      <c r="AU11" s="67" cm="1">
        <f t="array" ref="AU11">_xlfn.IFS(Y11="m2",(AB11*(1/(Z11/AM11))),Y11="m3",(AB11*(1/(Z11/AM11))),Y11="kg",(AB11*AL11*(1/(Z11/AM11))),Y11="N/A",0)</f>
        <v>0.44100000000000006</v>
      </c>
      <c r="AV11" s="66"/>
    </row>
    <row r="12" spans="1:48" s="25" customFormat="1" ht="25.2" customHeight="1" x14ac:dyDescent="0.15">
      <c r="A12" s="25" t="s">
        <v>382</v>
      </c>
      <c r="B12" s="47" t="s">
        <v>210</v>
      </c>
      <c r="C12" s="47"/>
      <c r="D12" s="47" t="s">
        <v>218</v>
      </c>
      <c r="E12" s="88" t="s">
        <v>146</v>
      </c>
      <c r="F12" s="47" t="s">
        <v>307</v>
      </c>
      <c r="G12" s="69" t="s">
        <v>376</v>
      </c>
      <c r="H12" s="16"/>
      <c r="I12" s="111">
        <v>1</v>
      </c>
      <c r="J12" s="70">
        <f t="shared" si="0"/>
        <v>0.48249000000000009</v>
      </c>
      <c r="K12" s="143" cm="1">
        <f t="array" ref="K12">IF(AC12="N/A","",_xlfn.IFS(Y12="m2",(AA12*(1/(Z12/AM12)))*I12,Y12="m3",(AA12*(1/(Z12/AM12)))*I12,Y12="kg",(AA12*AL12*(1/(1/AM12)))*I12,Y12="N/A",""))</f>
        <v>0.48249000000000009</v>
      </c>
      <c r="L12" s="71">
        <f t="shared" si="1"/>
        <v>0.47300000000000009</v>
      </c>
      <c r="M12" s="146" cm="1">
        <f t="array" ref="M12">_xlfn.IFS(Y12="m2",(AB12*(1/(Z12/AM12)))*I12,Y12="m3",(AB12*(1/(Z12/AM12)))*I12,Y12="kg",(AB12*AL12*(1/(1/AM12)))*I12,Y12="N/A","")</f>
        <v>0.47300000000000009</v>
      </c>
      <c r="N12" s="52">
        <f t="shared" si="2"/>
        <v>9.4900000000000002E-3</v>
      </c>
      <c r="O12" s="148" cm="1">
        <f t="array" ref="O12">IF(AC12="N/A","",_xlfn.IFS(Y12="m2",(AC12*(1/(Z12/AM12)))*I12,Y12="m3",(AC12*(1/(Z12/AM12)))*I12,Y12="kg",(AC12*AL12*(1/(1/AM12)))*I12,Y12="N/A",""))</f>
        <v>9.4900000000000002E-3</v>
      </c>
      <c r="P12" s="72" t="str">
        <f t="shared" si="3"/>
        <v>N/A</v>
      </c>
      <c r="Q12" s="150" t="str" cm="1">
        <f t="array" ref="Q12">IF(AE12="N/A","",_xlfn.IFS(Y12="m2",(AE12*(1/(Z12/AM12)))*I12,Y12="m3",(AE12*(1/(Z12/AM12)))*I12,Y12="kg",(AE12*AL12*(1/(1/AM12)))*I12,Y12="N/A",""))</f>
        <v/>
      </c>
      <c r="R12" s="88" t="s">
        <v>5</v>
      </c>
      <c r="S12" s="164" t="s">
        <v>377</v>
      </c>
      <c r="T12" s="47">
        <v>2026</v>
      </c>
      <c r="U12" s="47" t="s">
        <v>14</v>
      </c>
      <c r="V12" s="69">
        <v>60</v>
      </c>
      <c r="W12" s="17"/>
      <c r="X12" s="178" t="s">
        <v>548</v>
      </c>
      <c r="Y12" s="73" t="s">
        <v>15</v>
      </c>
      <c r="Z12" s="73">
        <v>3.6999999999999998E-2</v>
      </c>
      <c r="AA12" s="52">
        <f t="shared" si="4"/>
        <v>0.48249000000000009</v>
      </c>
      <c r="AB12" s="52">
        <f>4.73*10^-1</f>
        <v>0.47300000000000009</v>
      </c>
      <c r="AC12" s="52">
        <f>0+9.49*10^-3</f>
        <v>9.4900000000000002E-3</v>
      </c>
      <c r="AD12" s="52">
        <v>0</v>
      </c>
      <c r="AE12" s="72" t="s">
        <v>191</v>
      </c>
      <c r="AF12" s="17"/>
      <c r="AG12" s="74" t="str">
        <f>AH12&amp;" "&amp;AI12</f>
        <v xml:space="preserve">A1 </v>
      </c>
      <c r="AH12" s="75" t="s">
        <v>58</v>
      </c>
      <c r="AI12" s="76"/>
      <c r="AJ12" s="103"/>
      <c r="AL12" s="73">
        <v>17</v>
      </c>
      <c r="AM12" s="47">
        <v>3.6999999999999998E-2</v>
      </c>
      <c r="AN12" s="47" t="s">
        <v>191</v>
      </c>
      <c r="AP12" s="80" t="s">
        <v>17</v>
      </c>
      <c r="AQ12" s="73"/>
      <c r="AR12" s="26"/>
      <c r="AU12" s="67" cm="1">
        <f t="array" ref="AU12">_xlfn.IFS(Y12="m2",(AB12*(1/(Z12/AM12))),Y12="m3",(AB12*(1/(Z12/AM12))),Y12="kg",(AB12*AL12*(1/(Z12/AM12))),Y12="N/A",0)</f>
        <v>0.47300000000000009</v>
      </c>
      <c r="AV12" s="66"/>
    </row>
    <row r="13" spans="1:48" s="25" customFormat="1" ht="25.2" customHeight="1" x14ac:dyDescent="0.15">
      <c r="A13" s="25" t="s">
        <v>380</v>
      </c>
      <c r="B13" s="47" t="s">
        <v>210</v>
      </c>
      <c r="C13" s="47"/>
      <c r="D13" s="47" t="s">
        <v>218</v>
      </c>
      <c r="E13" s="88" t="s">
        <v>146</v>
      </c>
      <c r="F13" s="47" t="s">
        <v>307</v>
      </c>
      <c r="G13" s="69" t="s">
        <v>376</v>
      </c>
      <c r="H13" s="16"/>
      <c r="I13" s="111">
        <v>1</v>
      </c>
      <c r="J13" s="70">
        <f t="shared" si="0"/>
        <v>0.51083999999999996</v>
      </c>
      <c r="K13" s="143" cm="1">
        <f t="array" ref="K13">IF(AC13="N/A","",_xlfn.IFS(Y13="m2",(AA13*(1/(Z13/AM13)))*I13,Y13="m3",(AA13*(1/(Z13/AM13)))*I13,Y13="kg",(AA13*AL13*(1/(1/AM13)))*I13,Y13="N/A",""))</f>
        <v>0.51083999999999996</v>
      </c>
      <c r="L13" s="71">
        <f t="shared" si="1"/>
        <v>0.501</v>
      </c>
      <c r="M13" s="146" cm="1">
        <f t="array" ref="M13">_xlfn.IFS(Y13="m2",(AB13*(1/(Z13/AM13)))*I13,Y13="m3",(AB13*(1/(Z13/AM13)))*I13,Y13="kg",(AB13*AL13*(1/(1/AM13)))*I13,Y13="N/A","")</f>
        <v>0.501</v>
      </c>
      <c r="N13" s="52">
        <f t="shared" si="2"/>
        <v>9.8399999999999998E-3</v>
      </c>
      <c r="O13" s="148" cm="1">
        <f t="array" ref="O13">IF(AC13="N/A","",_xlfn.IFS(Y13="m2",(AC13*(1/(Z13/AM13)))*I13,Y13="m3",(AC13*(1/(Z13/AM13)))*I13,Y13="kg",(AC13*AL13*(1/(1/AM13)))*I13,Y13="N/A",""))</f>
        <v>9.8399999999999998E-3</v>
      </c>
      <c r="P13" s="72" t="str">
        <f t="shared" si="3"/>
        <v>N/A</v>
      </c>
      <c r="Q13" s="150" t="str" cm="1">
        <f t="array" ref="Q13">IF(AE13="N/A","",_xlfn.IFS(Y13="m2",(AE13*(1/(Z13/AM13)))*I13,Y13="m3",(AE13*(1/(Z13/AM13)))*I13,Y13="kg",(AE13*AL13*(1/(1/AM13)))*I13,Y13="N/A",""))</f>
        <v/>
      </c>
      <c r="R13" s="88" t="s">
        <v>5</v>
      </c>
      <c r="S13" s="164" t="s">
        <v>377</v>
      </c>
      <c r="T13" s="47">
        <v>2026</v>
      </c>
      <c r="U13" s="47" t="s">
        <v>14</v>
      </c>
      <c r="V13" s="69">
        <v>60</v>
      </c>
      <c r="W13" s="17"/>
      <c r="X13" s="178" t="s">
        <v>546</v>
      </c>
      <c r="Y13" s="73" t="s">
        <v>15</v>
      </c>
      <c r="Z13" s="73">
        <v>3.6999999999999998E-2</v>
      </c>
      <c r="AA13" s="52">
        <f t="shared" si="4"/>
        <v>0.51083999999999996</v>
      </c>
      <c r="AB13" s="52">
        <f>5.01*10^-1</f>
        <v>0.501</v>
      </c>
      <c r="AC13" s="52">
        <f>0+9.84*10^-3</f>
        <v>9.8399999999999998E-3</v>
      </c>
      <c r="AD13" s="52">
        <v>0</v>
      </c>
      <c r="AE13" s="72" t="s">
        <v>191</v>
      </c>
      <c r="AF13" s="17"/>
      <c r="AG13" s="74" t="str">
        <f>AH13&amp;" "&amp;AI13</f>
        <v xml:space="preserve">A1 </v>
      </c>
      <c r="AH13" s="75" t="s">
        <v>58</v>
      </c>
      <c r="AI13" s="76"/>
      <c r="AJ13" s="103"/>
      <c r="AL13" s="73">
        <v>17</v>
      </c>
      <c r="AM13" s="47">
        <v>3.6999999999999998E-2</v>
      </c>
      <c r="AN13" s="47" t="s">
        <v>191</v>
      </c>
      <c r="AP13" s="80" t="s">
        <v>17</v>
      </c>
      <c r="AQ13" s="73"/>
      <c r="AR13" s="26"/>
      <c r="AU13" s="67" cm="1">
        <f t="array" ref="AU13">_xlfn.IFS(Y13="m2",(AB13*(1/(Z13/AM13))),Y13="m3",(AB13*(1/(Z13/AM13))),Y13="kg",(AB13*AL13*(1/(Z13/AM13))),Y13="N/A",0)</f>
        <v>0.501</v>
      </c>
      <c r="AV13" s="66"/>
    </row>
    <row r="14" spans="1:48" s="25" customFormat="1" ht="25.2" customHeight="1" x14ac:dyDescent="0.15">
      <c r="A14" s="25" t="s">
        <v>1069</v>
      </c>
      <c r="B14" s="47" t="s">
        <v>210</v>
      </c>
      <c r="C14" s="47"/>
      <c r="D14" s="47" t="s">
        <v>218</v>
      </c>
      <c r="E14" s="186" t="s">
        <v>146</v>
      </c>
      <c r="F14" s="47" t="s">
        <v>307</v>
      </c>
      <c r="G14" s="69" t="s">
        <v>376</v>
      </c>
      <c r="H14" s="16"/>
      <c r="I14" s="107">
        <v>1</v>
      </c>
      <c r="J14" s="70">
        <f t="shared" si="0"/>
        <v>0.52249999999999996</v>
      </c>
      <c r="K14" s="143" cm="1">
        <f t="array" ref="K14">IF(AC14="N/A","",_xlfn.IFS(Y14="m2",(AA14*(1/(Z14/AM14)))*I14,Y14="m3",(AA14*(1/(Z14/AM14)))*I14,Y14="kg",(AA14*AL14*(1/(1/AM14)))*I14,Y14="N/A",""))</f>
        <v>0.52249999999999996</v>
      </c>
      <c r="L14" s="71">
        <f t="shared" si="1"/>
        <v>0.51200000000000001</v>
      </c>
      <c r="M14" s="146" cm="1">
        <f t="array" ref="M14">_xlfn.IFS(Y14="m2",(AB14*(1/(Z14/AM14)))*I14,Y14="m3",(AB14*(1/(Z14/AM14)))*I14,Y14="kg",(AB14*AL14*(1/(1/AM14)))*I14,Y14="N/A","")</f>
        <v>0.51200000000000001</v>
      </c>
      <c r="N14" s="52">
        <f t="shared" si="2"/>
        <v>1.0500000000000001E-2</v>
      </c>
      <c r="O14" s="148" cm="1">
        <f t="array" ref="O14">IF(AC14="N/A","",_xlfn.IFS(Y14="m2",(AC14*(1/(Z14/AM14)))*I14,Y14="m3",(AC14*(1/(Z14/AM14)))*I14,Y14="kg",(AC14*AL14*(1/(1/AM14)))*I14,Y14="N/A",""))</f>
        <v>1.0500000000000001E-2</v>
      </c>
      <c r="P14" s="72" t="str">
        <f t="shared" si="3"/>
        <v>N/A</v>
      </c>
      <c r="Q14" s="150" t="str" cm="1">
        <f t="array" ref="Q14">IF(AE14="N/A","",_xlfn.IFS(Y14="m2",(AE14*(1/(Z14/AM14)))*I14,Y14="m3",(AE14*(1/(Z14/AM14)))*I14,Y14="kg",(AE14*AL14*(1/(1/AM14)))*I14,Y14="N/A",""))</f>
        <v/>
      </c>
      <c r="R14" s="186" t="s">
        <v>5</v>
      </c>
      <c r="S14" s="164" t="s">
        <v>377</v>
      </c>
      <c r="T14" s="47">
        <v>2026</v>
      </c>
      <c r="U14" s="47" t="s">
        <v>14</v>
      </c>
      <c r="V14" s="69">
        <v>60</v>
      </c>
      <c r="W14" s="17"/>
      <c r="X14" s="178" t="s">
        <v>1068</v>
      </c>
      <c r="Y14" s="73" t="s">
        <v>15</v>
      </c>
      <c r="Z14" s="73">
        <v>3.4000000000000002E-2</v>
      </c>
      <c r="AA14" s="52">
        <f t="shared" si="4"/>
        <v>0.52249999999999996</v>
      </c>
      <c r="AB14" s="52">
        <v>0.51200000000000001</v>
      </c>
      <c r="AC14" s="52">
        <f>0+0.0105</f>
        <v>1.0500000000000001E-2</v>
      </c>
      <c r="AD14" s="52">
        <v>0</v>
      </c>
      <c r="AE14" s="72" t="s">
        <v>191</v>
      </c>
      <c r="AF14" s="17"/>
      <c r="AG14" s="251"/>
      <c r="AH14" s="122" t="s">
        <v>58</v>
      </c>
      <c r="AI14" s="123"/>
      <c r="AJ14" s="47"/>
      <c r="AL14" s="73">
        <v>20</v>
      </c>
      <c r="AM14" s="47">
        <v>3.4000000000000002E-2</v>
      </c>
      <c r="AN14" s="47" t="s">
        <v>191</v>
      </c>
      <c r="AP14" s="173" t="s">
        <v>17</v>
      </c>
      <c r="AQ14" s="73"/>
      <c r="AR14" s="26"/>
      <c r="AU14" s="67" cm="1">
        <f t="array" ref="AU14">_xlfn.IFS(Y14="m2",(AB14*(1/(Z14/AM14))),Y14="m3",(AB14*(1/(Z14/AM14))),Y14="kg",(AB14*AL14*(1/(Z14/AM14))),Y14="N/A",0)</f>
        <v>0.51200000000000001</v>
      </c>
      <c r="AV14" s="66"/>
    </row>
    <row r="15" spans="1:48" s="25" customFormat="1" ht="25.2" customHeight="1" x14ac:dyDescent="0.15">
      <c r="A15" s="25" t="s">
        <v>72</v>
      </c>
      <c r="B15" s="47" t="s">
        <v>208</v>
      </c>
      <c r="C15" s="47"/>
      <c r="D15" s="47" t="s">
        <v>73</v>
      </c>
      <c r="E15" s="88" t="s">
        <v>148</v>
      </c>
      <c r="F15" s="47" t="s">
        <v>75</v>
      </c>
      <c r="G15" s="69" t="s">
        <v>192</v>
      </c>
      <c r="H15" s="17"/>
      <c r="I15" s="111">
        <v>1</v>
      </c>
      <c r="J15" s="70">
        <f t="shared" si="0"/>
        <v>1.8276075000000005</v>
      </c>
      <c r="K15" s="143" cm="1">
        <f t="array" ref="K15">IF(AC15="N/A","",_xlfn.IFS(Y15="m2",(AA15*(1/(Z15/AM15)))*I15,Y15="m3",(AA15*(1/(Z15/AM15)))*I15,Y15="kg",(AA15*AL15*(1/(1/AM15)))*I15,Y15="N/A",""))</f>
        <v>1.8276075000000005</v>
      </c>
      <c r="L15" s="71">
        <f t="shared" si="1"/>
        <v>-17.576250000000002</v>
      </c>
      <c r="M15" s="146" cm="1">
        <f t="array" ref="M15">_xlfn.IFS(Y15="m2",(AB15*(1/(Z15/AM15)))*I15,Y15="m3",(AB15*(1/(Z15/AM15)))*I15,Y15="kg",(AB15*AL15*(1/(1/AM15)))*I15,Y15="N/A","")</f>
        <v>-17.576250000000002</v>
      </c>
      <c r="N15" s="52">
        <f t="shared" si="2"/>
        <v>19.403857500000001</v>
      </c>
      <c r="O15" s="148" cm="1">
        <f t="array" ref="O15">IF(AC15="N/A","",_xlfn.IFS(Y15="m2",(AC15*(1/(Z15/AM15)))*I15,Y15="m3",(AC15*(1/(Z15/AM15)))*I15,Y15="kg",(AC15*AL15*(1/(1/AM15)))*I15,Y15="N/A",""))</f>
        <v>19.403857500000001</v>
      </c>
      <c r="P15" s="72">
        <f t="shared" si="3"/>
        <v>-19.833750000000002</v>
      </c>
      <c r="Q15" s="150" cm="1">
        <f t="array" ref="Q15">IF(AE15="N/A","",_xlfn.IFS(Y15="m2",(AE15*(1/(Z15/AM15)))*I15,Y15="m3",(AE15*(1/(Z15/AM15)))*I15,Y15="kg",(AE15*AL15*(1/(1/AM15)))*I15,Y15="N/A",""))</f>
        <v>-19.833750000000002</v>
      </c>
      <c r="R15" s="88" t="s">
        <v>5</v>
      </c>
      <c r="S15" s="164"/>
      <c r="T15" s="92">
        <v>2027</v>
      </c>
      <c r="U15" s="47" t="s">
        <v>28</v>
      </c>
      <c r="V15" s="93">
        <v>75</v>
      </c>
      <c r="W15" s="17"/>
      <c r="X15" s="179" t="s">
        <v>537</v>
      </c>
      <c r="Y15" s="94" t="s">
        <v>15</v>
      </c>
      <c r="Z15" s="94">
        <v>0.4</v>
      </c>
      <c r="AA15" s="52">
        <f t="shared" si="4"/>
        <v>11.334000000000003</v>
      </c>
      <c r="AB15" s="52">
        <v>-109</v>
      </c>
      <c r="AC15" s="52">
        <f>120+0.334</f>
        <v>120.334</v>
      </c>
      <c r="AD15" s="52">
        <f>-1.03</f>
        <v>-1.03</v>
      </c>
      <c r="AE15" s="72">
        <f>-123</f>
        <v>-123</v>
      </c>
      <c r="AF15" s="17"/>
      <c r="AG15" s="74" t="str">
        <f t="shared" ref="AG15:AG22" si="5">AH15&amp;" "&amp;AI15</f>
        <v>B s1
d0</v>
      </c>
      <c r="AH15" s="75" t="s">
        <v>178</v>
      </c>
      <c r="AI15" s="83" t="s">
        <v>176</v>
      </c>
      <c r="AJ15" s="84"/>
      <c r="AL15" s="94">
        <v>158</v>
      </c>
      <c r="AM15" s="206">
        <v>6.4500000000000002E-2</v>
      </c>
      <c r="AN15" s="52" t="s">
        <v>191</v>
      </c>
      <c r="AP15" s="105" t="s">
        <v>17</v>
      </c>
      <c r="AQ15" s="73"/>
      <c r="AR15" s="26"/>
      <c r="AU15" s="67" cm="1">
        <f t="array" ref="AU15">_xlfn.IFS(Y15="m2",(AB15*(1/(Z15/AM15))),Y15="m3",(AB15*(1/(Z15/AM15))),Y15="kg",(AB15*AL15*(1/(Z15/AM15))),Y15="N/A",0)</f>
        <v>-17.576250000000002</v>
      </c>
      <c r="AV15" s="66"/>
    </row>
    <row r="16" spans="1:48" s="25" customFormat="1" ht="25.2" customHeight="1" x14ac:dyDescent="0.15">
      <c r="A16" s="25" t="s">
        <v>122</v>
      </c>
      <c r="B16" s="47" t="s">
        <v>208</v>
      </c>
      <c r="C16" s="47"/>
      <c r="D16" s="47" t="s">
        <v>123</v>
      </c>
      <c r="E16" s="82" t="s">
        <v>149</v>
      </c>
      <c r="F16" s="47" t="s">
        <v>40</v>
      </c>
      <c r="G16" s="69" t="s">
        <v>376</v>
      </c>
      <c r="H16" s="17"/>
      <c r="I16" s="111">
        <v>1</v>
      </c>
      <c r="J16" s="70" t="str">
        <f t="shared" si="0"/>
        <v>N/A</v>
      </c>
      <c r="K16" s="143" t="str" cm="1">
        <f t="array" ref="K16">IF(AC16="N/A","",_xlfn.IFS(Y16="m2",(AA16*(1/(Z16/AM16)))*I16,Y16="m3",(AA16*(1/(Z16/AM16)))*I16,Y16="kg",(AA16*AL16*(1/(1/AM16)))*I16,Y16="N/A",""))</f>
        <v/>
      </c>
      <c r="L16" s="71">
        <f t="shared" si="1"/>
        <v>-0.91020000000000012</v>
      </c>
      <c r="M16" s="146" cm="1">
        <f t="array" ref="M16">_xlfn.IFS(Y16="m2",(AB16*(1/(Z16/AM16)))*I16,Y16="m3",(AB16*(1/(Z16/AM16)))*I16,Y16="kg",(AB16*AL16*(1/(1/AM16)))*I16,Y16="N/A","")</f>
        <v>-0.91020000000000012</v>
      </c>
      <c r="N16" s="52" t="str">
        <f t="shared" si="2"/>
        <v>N/A</v>
      </c>
      <c r="O16" s="148" t="str" cm="1">
        <f t="array" ref="O16">IF(AC16="N/A","",_xlfn.IFS(Y16="m2",(AC16*(1/(Z16/AM16)))*I16,Y16="m3",(AC16*(1/(Z16/AM16)))*I16,Y16="kg",(AC16*AL16*(1/(1/AM16)))*I16,Y16="N/A",""))</f>
        <v/>
      </c>
      <c r="P16" s="72">
        <f t="shared" si="3"/>
        <v>-1.8040000000000003</v>
      </c>
      <c r="Q16" s="150" cm="1">
        <f t="array" ref="Q16">IF(AE16="N/A","",_xlfn.IFS(Y16="m2",(AE16*(1/(Z16/AM16)))*I16,Y16="m3",(AE16*(1/(Z16/AM16)))*I16,Y16="kg",(AE16*AL16*(1/(1/AM16)))*I16,Y16="N/A",""))</f>
        <v>-1.8040000000000003</v>
      </c>
      <c r="R16" s="82" t="s">
        <v>5</v>
      </c>
      <c r="S16" s="164"/>
      <c r="T16" s="47">
        <v>2025</v>
      </c>
      <c r="U16" s="47" t="s">
        <v>14</v>
      </c>
      <c r="V16" s="69" t="s">
        <v>191</v>
      </c>
      <c r="W16" s="17"/>
      <c r="X16" s="178" t="s">
        <v>527</v>
      </c>
      <c r="Y16" s="73" t="s">
        <v>15</v>
      </c>
      <c r="Z16" s="73">
        <v>0.1</v>
      </c>
      <c r="AA16" s="52" t="str">
        <f t="shared" si="4"/>
        <v>N/A</v>
      </c>
      <c r="AB16" s="52">
        <f>2.18-4.4</f>
        <v>-2.2200000000000002</v>
      </c>
      <c r="AC16" s="52" t="s">
        <v>191</v>
      </c>
      <c r="AD16" s="52" t="s">
        <v>191</v>
      </c>
      <c r="AE16" s="72">
        <v>-4.4000000000000004</v>
      </c>
      <c r="AF16" s="17"/>
      <c r="AG16" s="74" t="str">
        <f t="shared" si="5"/>
        <v>D s1
d0</v>
      </c>
      <c r="AH16" s="75" t="s">
        <v>8</v>
      </c>
      <c r="AI16" s="83" t="s">
        <v>176</v>
      </c>
      <c r="AJ16" s="84"/>
      <c r="AL16" s="73">
        <f>(30+40)/2</f>
        <v>35</v>
      </c>
      <c r="AM16" s="47">
        <v>4.1000000000000002E-2</v>
      </c>
      <c r="AN16" s="47">
        <v>2300</v>
      </c>
      <c r="AP16" s="80" t="s">
        <v>17</v>
      </c>
      <c r="AQ16" s="256"/>
      <c r="AR16" s="26"/>
      <c r="AU16" s="67" cm="1">
        <f t="array" ref="AU16">_xlfn.IFS(Y16="m2",(AB16*(1/(Z16/AM16))),Y16="m3",(AB16*(1/(Z16/AM16))),Y16="kg",(AB16*AL16*(1/(Z16/AM16))),Y16="N/A",0)</f>
        <v>-0.91020000000000012</v>
      </c>
      <c r="AV16" s="66"/>
    </row>
    <row r="17" spans="1:48" s="25" customFormat="1" ht="25.2" customHeight="1" x14ac:dyDescent="0.15">
      <c r="A17" s="174" t="s">
        <v>500</v>
      </c>
      <c r="B17" s="47" t="s">
        <v>210</v>
      </c>
      <c r="C17" s="47"/>
      <c r="D17" s="47" t="s">
        <v>209</v>
      </c>
      <c r="E17" s="82" t="s">
        <v>146</v>
      </c>
      <c r="F17" s="47" t="s">
        <v>296</v>
      </c>
      <c r="G17" s="69" t="s">
        <v>376</v>
      </c>
      <c r="H17" s="16"/>
      <c r="I17" s="111">
        <v>1</v>
      </c>
      <c r="J17" s="70">
        <f t="shared" si="0"/>
        <v>0.52663000000000004</v>
      </c>
      <c r="K17" s="143" cm="1">
        <f t="array" ref="K17">IF(AC17="N/A","",_xlfn.IFS(Y17="m2",(AA17*(1/(Z17/AM17)))*I17,Y17="m3",(AA17*(1/(Z17/AM17)))*I17,Y17="kg",(AA17*AL17*(1/(1/AM17)))*I17,Y17="N/A",""))</f>
        <v>0.52663000000000004</v>
      </c>
      <c r="L17" s="71">
        <f t="shared" si="1"/>
        <v>0.50700000000000001</v>
      </c>
      <c r="M17" s="146" cm="1">
        <f t="array" ref="M17">_xlfn.IFS(Y17="m2",(AB17*(1/(Z17/AM17)))*I17,Y17="m3",(AB17*(1/(Z17/AM17)))*I17,Y17="kg",(AB17*AL17*(1/(1/AM17)))*I17,Y17="N/A","")</f>
        <v>0.50700000000000001</v>
      </c>
      <c r="N17" s="52">
        <f t="shared" si="2"/>
        <v>1.9630000000000002E-2</v>
      </c>
      <c r="O17" s="148" cm="1">
        <f t="array" ref="O17">IF(AC17="N/A","",_xlfn.IFS(Y17="m2",(AC17*(1/(Z17/AM17)))*I17,Y17="m3",(AC17*(1/(Z17/AM17)))*I17,Y17="kg",(AC17*AL17*(1/(1/AM17)))*I17,Y17="N/A",""))</f>
        <v>1.9630000000000002E-2</v>
      </c>
      <c r="P17" s="72">
        <f t="shared" si="3"/>
        <v>-6.4089999999999994E-2</v>
      </c>
      <c r="Q17" s="150" cm="1">
        <f t="array" ref="Q17">IF(AE17="N/A","",_xlfn.IFS(Y17="m2",(AE17*(1/(Z17/AM17)))*I17,Y17="m3",(AE17*(1/(Z17/AM17)))*I17,Y17="kg",(AE17*AL17*(1/(1/AM17)))*I17,Y17="N/A",""))</f>
        <v>-6.4089999999999994E-2</v>
      </c>
      <c r="R17" s="82" t="s">
        <v>5</v>
      </c>
      <c r="S17" s="164" t="s">
        <v>377</v>
      </c>
      <c r="T17" s="47">
        <v>2027</v>
      </c>
      <c r="U17" s="47" t="s">
        <v>28</v>
      </c>
      <c r="V17" s="69">
        <v>60</v>
      </c>
      <c r="W17" s="17"/>
      <c r="X17" s="178" t="s">
        <v>539</v>
      </c>
      <c r="Y17" s="73" t="s">
        <v>15</v>
      </c>
      <c r="Z17" s="73">
        <v>3.4000000000000002E-2</v>
      </c>
      <c r="AA17" s="52">
        <f t="shared" si="4"/>
        <v>0.52663000000000004</v>
      </c>
      <c r="AB17" s="52">
        <f>1.3*0.39</f>
        <v>0.50700000000000001</v>
      </c>
      <c r="AC17" s="52">
        <f>1.3*(0+0.0151)</f>
        <v>1.9630000000000002E-2</v>
      </c>
      <c r="AD17" s="52">
        <f>1.3*-0.026</f>
        <v>-3.3799999999999997E-2</v>
      </c>
      <c r="AE17" s="72">
        <f>1.3*-0.0493</f>
        <v>-6.4089999999999994E-2</v>
      </c>
      <c r="AF17" s="17"/>
      <c r="AG17" s="74" t="str">
        <f t="shared" si="5"/>
        <v xml:space="preserve">A1 </v>
      </c>
      <c r="AH17" s="75" t="s">
        <v>58</v>
      </c>
      <c r="AI17" s="76"/>
      <c r="AJ17" s="103"/>
      <c r="AL17" s="73">
        <v>42</v>
      </c>
      <c r="AM17" s="47">
        <v>3.4000000000000002E-2</v>
      </c>
      <c r="AN17" s="47">
        <v>1030</v>
      </c>
      <c r="AP17" s="277" t="s">
        <v>17</v>
      </c>
      <c r="AQ17" s="256"/>
      <c r="AR17" s="26"/>
      <c r="AU17" s="67" cm="1">
        <f t="array" ref="AU17">_xlfn.IFS(Y17="m2",(AB17*(1/(Z17/AM17))),Y17="m3",(AB17*(1/(Z17/AM17))),Y17="kg",(AB17*AL17*(1/(Z17/AM17))),Y17="N/A",0)</f>
        <v>0.50700000000000001</v>
      </c>
      <c r="AV17" s="66"/>
    </row>
    <row r="18" spans="1:48" s="25" customFormat="1" ht="25.2" customHeight="1" x14ac:dyDescent="0.15">
      <c r="A18" s="25" t="s">
        <v>495</v>
      </c>
      <c r="B18" s="47" t="s">
        <v>210</v>
      </c>
      <c r="C18" s="47"/>
      <c r="D18" s="47" t="s">
        <v>209</v>
      </c>
      <c r="E18" s="82" t="s">
        <v>146</v>
      </c>
      <c r="F18" s="47" t="s">
        <v>296</v>
      </c>
      <c r="G18" s="69" t="s">
        <v>376</v>
      </c>
      <c r="H18" s="16"/>
      <c r="I18" s="111">
        <v>1</v>
      </c>
      <c r="J18" s="70">
        <f t="shared" si="0"/>
        <v>0.5302</v>
      </c>
      <c r="K18" s="143" cm="1">
        <f t="array" ref="K18">IF(AC18="N/A","",_xlfn.IFS(Y18="m2",(AA18*(1/(Z18/AM18)))*I18,Y18="m3",(AA18*(1/(Z18/AM18)))*I18,Y18="kg",(AA18*AL18*(1/(1/AM18)))*I18,Y18="N/A",""))</f>
        <v>0.5302</v>
      </c>
      <c r="L18" s="71">
        <f t="shared" si="1"/>
        <v>0.496</v>
      </c>
      <c r="M18" s="146" cm="1">
        <f t="array" ref="M18">_xlfn.IFS(Y18="m2",(AB18*(1/(Z18/AM18)))*I18,Y18="m3",(AB18*(1/(Z18/AM18)))*I18,Y18="kg",(AB18*AL18*(1/(1/AM18)))*I18,Y18="N/A","")</f>
        <v>0.496</v>
      </c>
      <c r="N18" s="52">
        <f t="shared" si="2"/>
        <v>3.4200000000000001E-2</v>
      </c>
      <c r="O18" s="148" cm="1">
        <f t="array" ref="O18">IF(AC18="N/A","",_xlfn.IFS(Y18="m2",(AC18*(1/(Z18/AM18)))*I18,Y18="m3",(AC18*(1/(Z18/AM18)))*I18,Y18="kg",(AC18*AL18*(1/(1/AM18)))*I18,Y18="N/A",""))</f>
        <v>3.4200000000000001E-2</v>
      </c>
      <c r="P18" s="72">
        <f t="shared" si="3"/>
        <v>-6.2199999999999998E-2</v>
      </c>
      <c r="Q18" s="150" cm="1">
        <f t="array" ref="Q18">IF(AE18="N/A","",_xlfn.IFS(Y18="m2",(AE18*(1/(Z18/AM18)))*I18,Y18="m3",(AE18*(1/(Z18/AM18)))*I18,Y18="kg",(AE18*AL18*(1/(1/AM18)))*I18,Y18="N/A",""))</f>
        <v>-6.2199999999999998E-2</v>
      </c>
      <c r="R18" s="82" t="s">
        <v>5</v>
      </c>
      <c r="S18" s="164" t="s">
        <v>377</v>
      </c>
      <c r="T18" s="47">
        <v>2027</v>
      </c>
      <c r="U18" s="47" t="s">
        <v>28</v>
      </c>
      <c r="V18" s="69">
        <v>60</v>
      </c>
      <c r="W18" s="17"/>
      <c r="X18" s="178" t="s">
        <v>567</v>
      </c>
      <c r="Y18" s="73" t="s">
        <v>15</v>
      </c>
      <c r="Z18" s="73">
        <v>3.4000000000000002E-2</v>
      </c>
      <c r="AA18" s="52">
        <f t="shared" si="4"/>
        <v>0.5302</v>
      </c>
      <c r="AB18" s="52">
        <f>4.96*10^-1</f>
        <v>0.496</v>
      </c>
      <c r="AC18" s="52">
        <f>0+3.42*10^-2</f>
        <v>3.4200000000000001E-2</v>
      </c>
      <c r="AD18" s="52">
        <f>-5.87*10^-2</f>
        <v>-5.8700000000000002E-2</v>
      </c>
      <c r="AE18" s="72">
        <f>-6.22*10^-2</f>
        <v>-6.2199999999999998E-2</v>
      </c>
      <c r="AF18" s="17"/>
      <c r="AG18" s="74" t="str">
        <f t="shared" si="5"/>
        <v xml:space="preserve">A1 </v>
      </c>
      <c r="AH18" s="75" t="s">
        <v>58</v>
      </c>
      <c r="AI18" s="76"/>
      <c r="AJ18" s="103"/>
      <c r="AL18" s="73">
        <v>42</v>
      </c>
      <c r="AM18" s="47">
        <v>3.4000000000000002E-2</v>
      </c>
      <c r="AN18" s="47">
        <v>1030</v>
      </c>
      <c r="AP18" s="105" t="s">
        <v>17</v>
      </c>
      <c r="AQ18" s="73"/>
      <c r="AR18" s="26"/>
      <c r="AU18" s="67" cm="1">
        <f t="array" ref="AU18">_xlfn.IFS(Y18="m2",(AB18*(1/(Z18/AM18))),Y18="m3",(AB18*(1/(Z18/AM18))),Y18="kg",(AB18*AL18*(1/(Z18/AM18))),Y18="N/A",0)</f>
        <v>0.496</v>
      </c>
      <c r="AV18" s="66"/>
    </row>
    <row r="19" spans="1:48" s="25" customFormat="1" ht="25.2" customHeight="1" x14ac:dyDescent="0.15">
      <c r="A19" s="25" t="s">
        <v>1073</v>
      </c>
      <c r="B19" s="47" t="s">
        <v>210</v>
      </c>
      <c r="C19" s="47"/>
      <c r="D19" s="47" t="s">
        <v>218</v>
      </c>
      <c r="E19" s="88" t="s">
        <v>146</v>
      </c>
      <c r="F19" s="47" t="s">
        <v>307</v>
      </c>
      <c r="G19" s="69" t="s">
        <v>376</v>
      </c>
      <c r="H19" s="16"/>
      <c r="I19" s="111">
        <v>1</v>
      </c>
      <c r="J19" s="70">
        <f t="shared" si="0"/>
        <v>0.54249999999999998</v>
      </c>
      <c r="K19" s="143" cm="1">
        <f t="array" ref="K19">IF(AC19="N/A","",_xlfn.IFS(Y19="m2",(AA19*(1/(Z19/AM19)))*I19,Y19="m3",(AA19*(1/(Z19/AM19)))*I19,Y19="kg",(AA19*AL19*(1/(1/AM19)))*I19,Y19="N/A",""))</f>
        <v>0.54249999999999998</v>
      </c>
      <c r="L19" s="71">
        <f t="shared" si="1"/>
        <v>0.53200000000000003</v>
      </c>
      <c r="M19" s="146" cm="1">
        <f t="array" ref="M19">_xlfn.IFS(Y19="m2",(AB19*(1/(Z19/AM19)))*I19,Y19="m3",(AB19*(1/(Z19/AM19)))*I19,Y19="kg",(AB19*AL19*(1/(1/AM19)))*I19,Y19="N/A","")</f>
        <v>0.53200000000000003</v>
      </c>
      <c r="N19" s="52">
        <f t="shared" si="2"/>
        <v>1.0500000000000001E-2</v>
      </c>
      <c r="O19" s="148" cm="1">
        <f t="array" ref="O19">IF(AC19="N/A","",_xlfn.IFS(Y19="m2",(AC19*(1/(Z19/AM19)))*I19,Y19="m3",(AC19*(1/(Z19/AM19)))*I19,Y19="kg",(AC19*AL19*(1/(1/AM19)))*I19,Y19="N/A",""))</f>
        <v>1.0500000000000001E-2</v>
      </c>
      <c r="P19" s="72" t="str">
        <f t="shared" si="3"/>
        <v>N/A</v>
      </c>
      <c r="Q19" s="150" t="str" cm="1">
        <f t="array" ref="Q19">IF(AE19="N/A","",_xlfn.IFS(Y19="m2",(AE19*(1/(Z19/AM19)))*I19,Y19="m3",(AE19*(1/(Z19/AM19)))*I19,Y19="kg",(AE19*AL19*(1/(1/AM19)))*I19,Y19="N/A",""))</f>
        <v/>
      </c>
      <c r="R19" s="88" t="s">
        <v>5</v>
      </c>
      <c r="S19" s="164" t="s">
        <v>377</v>
      </c>
      <c r="T19" s="47">
        <v>2026</v>
      </c>
      <c r="U19" s="47" t="s">
        <v>14</v>
      </c>
      <c r="V19" s="69">
        <v>60</v>
      </c>
      <c r="W19" s="17"/>
      <c r="X19" s="178" t="s">
        <v>1075</v>
      </c>
      <c r="Y19" s="73" t="s">
        <v>15</v>
      </c>
      <c r="Z19" s="73">
        <v>3.4000000000000002E-2</v>
      </c>
      <c r="AA19" s="52">
        <f t="shared" si="4"/>
        <v>0.54249999999999998</v>
      </c>
      <c r="AB19" s="52">
        <v>0.53200000000000003</v>
      </c>
      <c r="AC19" s="52">
        <f>0+0.0105</f>
        <v>1.0500000000000001E-2</v>
      </c>
      <c r="AD19" s="52">
        <v>0</v>
      </c>
      <c r="AE19" s="72" t="s">
        <v>191</v>
      </c>
      <c r="AF19" s="17"/>
      <c r="AG19" s="74" t="str">
        <f t="shared" si="5"/>
        <v xml:space="preserve">A1 </v>
      </c>
      <c r="AH19" s="75" t="s">
        <v>58</v>
      </c>
      <c r="AI19" s="76"/>
      <c r="AJ19" s="103"/>
      <c r="AL19" s="73">
        <v>19.8</v>
      </c>
      <c r="AM19" s="47">
        <v>3.4000000000000002E-2</v>
      </c>
      <c r="AN19" s="47" t="s">
        <v>191</v>
      </c>
      <c r="AP19" s="105" t="s">
        <v>17</v>
      </c>
      <c r="AQ19" s="81"/>
      <c r="AR19" s="26"/>
      <c r="AU19" s="67" cm="1">
        <f t="array" ref="AU19">_xlfn.IFS(Y19="m2",(AB19*(1/(Z19/AM19))),Y19="m3",(AB19*(1/(Z19/AM19))),Y19="kg",(AB19*AL19*(1/(Z19/AM19))),Y19="N/A",0)</f>
        <v>0.53200000000000003</v>
      </c>
      <c r="AV19" s="66"/>
    </row>
    <row r="20" spans="1:48" s="25" customFormat="1" ht="25.2" customHeight="1" x14ac:dyDescent="0.15">
      <c r="A20" s="25" t="s">
        <v>977</v>
      </c>
      <c r="B20" s="47" t="s">
        <v>208</v>
      </c>
      <c r="C20" s="47"/>
      <c r="D20" s="47" t="s">
        <v>18</v>
      </c>
      <c r="E20" s="47" t="s">
        <v>141</v>
      </c>
      <c r="F20" s="47" t="s">
        <v>19</v>
      </c>
      <c r="G20" s="69" t="s">
        <v>292</v>
      </c>
      <c r="H20" s="16"/>
      <c r="I20" s="111">
        <v>1</v>
      </c>
      <c r="J20" s="70" t="str">
        <f t="shared" si="0"/>
        <v>N/A</v>
      </c>
      <c r="K20" s="143" t="str" cm="1">
        <f t="array" ref="K20">IF(AC20="N/A","",_xlfn.IFS(Y20="m2",(AA20*(1/(Z20/AM20)))*I20,Y20="m3",(AA20*(1/(Z20/AM20)))*I20,Y20="kg",(AA20*AL20*(1/(1/AM20)))*I20,Y20="N/A",""))</f>
        <v/>
      </c>
      <c r="L20" s="71" t="str">
        <f t="shared" si="1"/>
        <v>N/A</v>
      </c>
      <c r="M20" s="146" t="str" cm="1">
        <f t="array" ref="M20">_xlfn.IFS(Y20="m2",(AB20*(1/(Z20/AM20)))*I20,Y20="m3",(AB20*(1/(Z20/AM20)))*I20,Y20="kg",(AB20*AL20*(1/(1/AM20)))*I20,Y20="N/A","")</f>
        <v/>
      </c>
      <c r="N20" s="52" t="str">
        <f t="shared" si="2"/>
        <v>N/A</v>
      </c>
      <c r="O20" s="148" t="str" cm="1">
        <f t="array" ref="O20">IF(AC20="N/A","",_xlfn.IFS(Y20="m2",(AC20*(1/(Z20/AM20)))*I20,Y20="m3",(AC20*(1/(Z20/AM20)))*I20,Y20="kg",(AC20*AL20*(1/(1/AM20)))*I20,Y20="N/A",""))</f>
        <v/>
      </c>
      <c r="P20" s="72" t="str">
        <f t="shared" si="3"/>
        <v>N/A</v>
      </c>
      <c r="Q20" s="150" t="str" cm="1">
        <f t="array" ref="Q20">IF(AE20="N/A","",_xlfn.IFS(Y20="m2",(AE20*(1/(Z20/AM20)))*I20,Y20="m3",(AE20*(1/(Z20/AM20)))*I20,Y20="kg",(AE20*AL20*(1/(1/AM20)))*I20,Y20="N/A",""))</f>
        <v/>
      </c>
      <c r="R20" s="47" t="s">
        <v>191</v>
      </c>
      <c r="S20" s="47"/>
      <c r="T20" s="47" t="s">
        <v>191</v>
      </c>
      <c r="U20" s="47" t="s">
        <v>191</v>
      </c>
      <c r="V20" s="69" t="s">
        <v>191</v>
      </c>
      <c r="W20" s="17"/>
      <c r="X20" s="178" t="s">
        <v>191</v>
      </c>
      <c r="Y20" s="73" t="s">
        <v>191</v>
      </c>
      <c r="Z20" s="73" t="s">
        <v>191</v>
      </c>
      <c r="AA20" s="52" t="str">
        <f t="shared" si="4"/>
        <v>N/A</v>
      </c>
      <c r="AB20" s="52" t="s">
        <v>191</v>
      </c>
      <c r="AC20" s="52" t="s">
        <v>191</v>
      </c>
      <c r="AD20" s="52" t="s">
        <v>191</v>
      </c>
      <c r="AE20" s="72" t="s">
        <v>191</v>
      </c>
      <c r="AF20" s="17"/>
      <c r="AG20" s="74" t="str">
        <f t="shared" si="5"/>
        <v xml:space="preserve">E </v>
      </c>
      <c r="AH20" s="75" t="s">
        <v>16</v>
      </c>
      <c r="AI20" s="76" t="str">
        <f>IF(AJ20="","",AJ20)</f>
        <v/>
      </c>
      <c r="AJ20" s="77"/>
      <c r="AL20" s="78">
        <f>70</f>
        <v>70</v>
      </c>
      <c r="AM20" s="79">
        <v>4.1000000000000002E-2</v>
      </c>
      <c r="AN20" s="47" t="s">
        <v>191</v>
      </c>
      <c r="AP20" s="80" t="s">
        <v>17</v>
      </c>
      <c r="AQ20" s="256"/>
      <c r="AR20" s="26"/>
      <c r="AU20" s="67" cm="1">
        <f t="array" ref="AU20">_xlfn.IFS(Y20="m2",(AB20*(1/(Z20/AM20))),Y20="m3",(AB20*(1/(Z20/AM20))),Y20="kg",(AB20*AL20*(1/(Z20/AM20))),Y20="N/A",0)</f>
        <v>0</v>
      </c>
      <c r="AV20" s="66"/>
    </row>
    <row r="21" spans="1:48" s="25" customFormat="1" ht="25.2" customHeight="1" x14ac:dyDescent="0.15">
      <c r="A21" s="25" t="s">
        <v>976</v>
      </c>
      <c r="B21" s="47" t="s">
        <v>208</v>
      </c>
      <c r="C21" s="47"/>
      <c r="D21" s="47" t="s">
        <v>18</v>
      </c>
      <c r="E21" s="47" t="s">
        <v>141</v>
      </c>
      <c r="F21" s="47" t="s">
        <v>19</v>
      </c>
      <c r="G21" s="69" t="s">
        <v>292</v>
      </c>
      <c r="H21" s="16"/>
      <c r="I21" s="111">
        <v>1</v>
      </c>
      <c r="J21" s="70" t="str">
        <f t="shared" si="0"/>
        <v>N/A</v>
      </c>
      <c r="K21" s="143" t="str" cm="1">
        <f t="array" ref="K21">IF(AC21="N/A","",_xlfn.IFS(Y21="m2",(AA21*(1/(Z21/AM21)))*I21,Y21="m3",(AA21*(1/(Z21/AM21)))*I21,Y21="kg",(AA21*AL21*(1/(1/AM21)))*I21,Y21="N/A",""))</f>
        <v/>
      </c>
      <c r="L21" s="71" t="str">
        <f t="shared" si="1"/>
        <v>N/A</v>
      </c>
      <c r="M21" s="146" t="str" cm="1">
        <f t="array" ref="M21">_xlfn.IFS(Y21="m2",(AB21*(1/(Z21/AM21)))*I21,Y21="m3",(AB21*(1/(Z21/AM21)))*I21,Y21="kg",(AB21*AL21*(1/(1/AM21)))*I21,Y21="N/A","")</f>
        <v/>
      </c>
      <c r="N21" s="52" t="str">
        <f t="shared" si="2"/>
        <v>N/A</v>
      </c>
      <c r="O21" s="148" t="str" cm="1">
        <f t="array" ref="O21">IF(AC21="N/A","",_xlfn.IFS(Y21="m2",(AC21*(1/(Z21/AM21)))*I21,Y21="m3",(AC21*(1/(Z21/AM21)))*I21,Y21="kg",(AC21*AL21*(1/(1/AM21)))*I21,Y21="N/A",""))</f>
        <v/>
      </c>
      <c r="P21" s="72" t="str">
        <f t="shared" si="3"/>
        <v>N/A</v>
      </c>
      <c r="Q21" s="150" t="str" cm="1">
        <f t="array" ref="Q21">IF(AE21="N/A","",_xlfn.IFS(Y21="m2",(AE21*(1/(Z21/AM21)))*I21,Y21="m3",(AE21*(1/(Z21/AM21)))*I21,Y21="kg",(AE21*AL21*(1/(1/AM21)))*I21,Y21="N/A",""))</f>
        <v/>
      </c>
      <c r="R21" s="47" t="s">
        <v>191</v>
      </c>
      <c r="S21" s="47"/>
      <c r="T21" s="47" t="s">
        <v>191</v>
      </c>
      <c r="U21" s="47" t="s">
        <v>191</v>
      </c>
      <c r="V21" s="69" t="s">
        <v>191</v>
      </c>
      <c r="W21" s="17"/>
      <c r="X21" s="178" t="s">
        <v>191</v>
      </c>
      <c r="Y21" s="73" t="s">
        <v>191</v>
      </c>
      <c r="Z21" s="73" t="s">
        <v>191</v>
      </c>
      <c r="AA21" s="52" t="str">
        <f t="shared" si="4"/>
        <v>N/A</v>
      </c>
      <c r="AB21" s="52" t="s">
        <v>191</v>
      </c>
      <c r="AC21" s="52" t="s">
        <v>191</v>
      </c>
      <c r="AD21" s="52" t="s">
        <v>191</v>
      </c>
      <c r="AE21" s="72" t="s">
        <v>191</v>
      </c>
      <c r="AF21" s="17"/>
      <c r="AG21" s="74" t="str">
        <f t="shared" si="5"/>
        <v xml:space="preserve">E </v>
      </c>
      <c r="AH21" s="75" t="s">
        <v>16</v>
      </c>
      <c r="AI21" s="76" t="str">
        <f>IF(AJ21="","",AJ21)</f>
        <v/>
      </c>
      <c r="AJ21" s="77"/>
      <c r="AL21" s="78">
        <f>60</f>
        <v>60</v>
      </c>
      <c r="AM21" s="79">
        <v>4.1000000000000002E-2</v>
      </c>
      <c r="AN21" s="47" t="s">
        <v>191</v>
      </c>
      <c r="AP21" s="80" t="s">
        <v>17</v>
      </c>
      <c r="AQ21" s="256"/>
      <c r="AR21" s="26"/>
      <c r="AU21" s="67" cm="1">
        <f t="array" ref="AU21">_xlfn.IFS(Y21="m2",(AB21*(1/(Z21/AM21))),Y21="m3",(AB21*(1/(Z21/AM21))),Y21="kg",(AB21*AL21*(1/(Z21/AM21))),Y21="N/A",0)</f>
        <v>0</v>
      </c>
      <c r="AV21" s="66"/>
    </row>
    <row r="22" spans="1:48" s="25" customFormat="1" ht="25.2" customHeight="1" x14ac:dyDescent="0.15">
      <c r="A22" s="25" t="s">
        <v>1077</v>
      </c>
      <c r="B22" s="47" t="s">
        <v>210</v>
      </c>
      <c r="C22" s="47"/>
      <c r="D22" s="47" t="s">
        <v>218</v>
      </c>
      <c r="E22" s="88" t="s">
        <v>146</v>
      </c>
      <c r="F22" s="47" t="s">
        <v>307</v>
      </c>
      <c r="G22" s="69" t="s">
        <v>376</v>
      </c>
      <c r="H22" s="16"/>
      <c r="I22" s="111">
        <v>1</v>
      </c>
      <c r="J22" s="70">
        <f t="shared" si="0"/>
        <v>0.55149999999999999</v>
      </c>
      <c r="K22" s="143" cm="1">
        <f t="array" ref="K22">IF(AC22="N/A","",_xlfn.IFS(Y22="m2",(AA22*(1/(Z22/AM22)))*I22,Y22="m3",(AA22*(1/(Z22/AM22)))*I22,Y22="kg",(AA22*AL22*(1/(1/AM22)))*I22,Y22="N/A",""))</f>
        <v>0.55149999999999999</v>
      </c>
      <c r="L22" s="71">
        <f t="shared" si="1"/>
        <v>0.54100000000000004</v>
      </c>
      <c r="M22" s="146" cm="1">
        <f t="array" ref="M22">_xlfn.IFS(Y22="m2",(AB22*(1/(Z22/AM22)))*I22,Y22="m3",(AB22*(1/(Z22/AM22)))*I22,Y22="kg",(AB22*AL22*(1/(1/AM22)))*I22,Y22="N/A","")</f>
        <v>0.54100000000000004</v>
      </c>
      <c r="N22" s="52">
        <f t="shared" si="2"/>
        <v>1.0500000000000001E-2</v>
      </c>
      <c r="O22" s="148" cm="1">
        <f t="array" ref="O22">IF(AC22="N/A","",_xlfn.IFS(Y22="m2",(AC22*(1/(Z22/AM22)))*I22,Y22="m3",(AC22*(1/(Z22/AM22)))*I22,Y22="kg",(AC22*AL22*(1/(1/AM22)))*I22,Y22="N/A",""))</f>
        <v>1.0500000000000001E-2</v>
      </c>
      <c r="P22" s="72" t="str">
        <f t="shared" si="3"/>
        <v>N/A</v>
      </c>
      <c r="Q22" s="150" t="str" cm="1">
        <f t="array" ref="Q22">IF(AE22="N/A","",_xlfn.IFS(Y22="m2",(AE22*(1/(Z22/AM22)))*I22,Y22="m3",(AE22*(1/(Z22/AM22)))*I22,Y22="kg",(AE22*AL22*(1/(1/AM22)))*I22,Y22="N/A",""))</f>
        <v/>
      </c>
      <c r="R22" s="88" t="s">
        <v>5</v>
      </c>
      <c r="S22" s="164" t="s">
        <v>377</v>
      </c>
      <c r="T22" s="47">
        <v>2026</v>
      </c>
      <c r="U22" s="47" t="s">
        <v>14</v>
      </c>
      <c r="V22" s="69">
        <v>60</v>
      </c>
      <c r="W22" s="17"/>
      <c r="X22" s="178" t="s">
        <v>1081</v>
      </c>
      <c r="Y22" s="73" t="s">
        <v>15</v>
      </c>
      <c r="Z22" s="73">
        <v>3.4000000000000002E-2</v>
      </c>
      <c r="AA22" s="52">
        <f t="shared" si="4"/>
        <v>0.55149999999999999</v>
      </c>
      <c r="AB22" s="52">
        <v>0.54100000000000004</v>
      </c>
      <c r="AC22" s="52">
        <f>0+0.0105</f>
        <v>1.0500000000000001E-2</v>
      </c>
      <c r="AD22" s="52">
        <v>0</v>
      </c>
      <c r="AE22" s="72" t="s">
        <v>191</v>
      </c>
      <c r="AF22" s="17"/>
      <c r="AG22" s="74" t="str">
        <f t="shared" si="5"/>
        <v xml:space="preserve">A1 </v>
      </c>
      <c r="AH22" s="75" t="s">
        <v>58</v>
      </c>
      <c r="AI22" s="76"/>
      <c r="AJ22" s="103"/>
      <c r="AL22" s="73">
        <v>19.8</v>
      </c>
      <c r="AM22" s="47">
        <v>3.4000000000000002E-2</v>
      </c>
      <c r="AN22" s="47" t="s">
        <v>191</v>
      </c>
      <c r="AP22" s="105" t="s">
        <v>17</v>
      </c>
      <c r="AQ22" s="73"/>
      <c r="AR22" s="26"/>
      <c r="AU22" s="67" cm="1">
        <f t="array" ref="AU22">_xlfn.IFS(Y22="m2",(AB22*(1/(Z22/AM22))),Y22="m3",(AB22*(1/(Z22/AM22))),Y22="kg",(AB22*AL22*(1/(Z22/AM22))),Y22="N/A",0)</f>
        <v>0.54100000000000004</v>
      </c>
      <c r="AV22" s="66"/>
    </row>
    <row r="23" spans="1:48" s="25" customFormat="1" ht="25.2" customHeight="1" x14ac:dyDescent="0.15">
      <c r="A23" s="25" t="s">
        <v>1059</v>
      </c>
      <c r="B23" s="47" t="s">
        <v>210</v>
      </c>
      <c r="C23" s="47"/>
      <c r="D23" s="47" t="s">
        <v>218</v>
      </c>
      <c r="E23" s="186" t="s">
        <v>149</v>
      </c>
      <c r="F23" s="47" t="s">
        <v>307</v>
      </c>
      <c r="G23" s="69" t="s">
        <v>292</v>
      </c>
      <c r="H23" s="16"/>
      <c r="I23" s="107">
        <v>1</v>
      </c>
      <c r="J23" s="70">
        <f t="shared" si="0"/>
        <v>0.56700000000000006</v>
      </c>
      <c r="K23" s="143" cm="1">
        <f t="array" ref="K23">IF(AC23="N/A","",_xlfn.IFS(Y23="m2",(AA23*(1/(Z23/AM23)))*I23,Y23="m3",(AA23*(1/(Z23/AM23)))*I23,Y23="kg",(AA23*AL23*(1/(1/AM23)))*I23,Y23="N/A",""))</f>
        <v>0.56700000000000006</v>
      </c>
      <c r="L23" s="71">
        <f t="shared" si="1"/>
        <v>0.55700000000000005</v>
      </c>
      <c r="M23" s="146" cm="1">
        <f t="array" ref="M23">_xlfn.IFS(Y23="m2",(AB23*(1/(Z23/AM23)))*I23,Y23="m3",(AB23*(1/(Z23/AM23)))*I23,Y23="kg",(AB23*AL23*(1/(1/AM23)))*I23,Y23="N/A","")</f>
        <v>0.55700000000000005</v>
      </c>
      <c r="N23" s="52">
        <f t="shared" si="2"/>
        <v>0.01</v>
      </c>
      <c r="O23" s="148" cm="1">
        <f t="array" ref="O23">IF(AC23="N/A","",_xlfn.IFS(Y23="m2",(AC23*(1/(Z23/AM23)))*I23,Y23="m3",(AC23*(1/(Z23/AM23)))*I23,Y23="kg",(AC23*AL23*(1/(1/AM23)))*I23,Y23="N/A",""))</f>
        <v>0.01</v>
      </c>
      <c r="P23" s="72" t="str">
        <f t="shared" si="3"/>
        <v>N/A</v>
      </c>
      <c r="Q23" s="150" t="str" cm="1">
        <f t="array" ref="Q23">IF(AE23="N/A","",_xlfn.IFS(Y23="m2",(AE23*(1/(Z23/AM23)))*I23,Y23="m3",(AE23*(1/(Z23/AM23)))*I23,Y23="kg",(AE23*AL23*(1/(1/AM23)))*I23,Y23="N/A",""))</f>
        <v/>
      </c>
      <c r="R23" s="186" t="s">
        <v>5</v>
      </c>
      <c r="S23" s="164" t="s">
        <v>377</v>
      </c>
      <c r="T23" s="47">
        <v>2025</v>
      </c>
      <c r="U23" s="47" t="s">
        <v>14</v>
      </c>
      <c r="V23" s="69">
        <v>60</v>
      </c>
      <c r="W23" s="17"/>
      <c r="X23" s="178" t="s">
        <v>1051</v>
      </c>
      <c r="Y23" s="73" t="s">
        <v>15</v>
      </c>
      <c r="Z23" s="73">
        <v>4.2000000000000003E-2</v>
      </c>
      <c r="AA23" s="52">
        <f t="shared" si="4"/>
        <v>0.56700000000000006</v>
      </c>
      <c r="AB23" s="52">
        <v>0.55700000000000005</v>
      </c>
      <c r="AC23" s="52">
        <f>0+0.01</f>
        <v>0.01</v>
      </c>
      <c r="AD23" s="52">
        <v>0</v>
      </c>
      <c r="AE23" s="72" t="s">
        <v>191</v>
      </c>
      <c r="AF23" s="17"/>
      <c r="AG23" s="251"/>
      <c r="AH23" s="75" t="s">
        <v>58</v>
      </c>
      <c r="AI23" s="123"/>
      <c r="AJ23" s="47"/>
      <c r="AL23" s="73">
        <v>15</v>
      </c>
      <c r="AM23" s="47">
        <v>4.2000000000000003E-2</v>
      </c>
      <c r="AN23" s="47" t="s">
        <v>191</v>
      </c>
      <c r="AP23" s="173" t="s">
        <v>17</v>
      </c>
      <c r="AQ23" s="73"/>
      <c r="AR23" s="26"/>
      <c r="AU23" s="67" cm="1">
        <f t="array" ref="AU23">_xlfn.IFS(Y23="m2",(AB23*(1/(Z23/AM23))),Y23="m3",(AB23*(1/(Z23/AM23))),Y23="kg",(AB23*AL23*(1/(Z23/AM23))),Y23="N/A",0)</f>
        <v>0.55700000000000005</v>
      </c>
      <c r="AV23" s="66"/>
    </row>
    <row r="24" spans="1:48" s="25" customFormat="1" ht="25.2" customHeight="1" x14ac:dyDescent="0.15">
      <c r="A24" s="25" t="s">
        <v>984</v>
      </c>
      <c r="B24" s="47" t="s">
        <v>208</v>
      </c>
      <c r="C24" s="47"/>
      <c r="D24" s="47" t="s">
        <v>118</v>
      </c>
      <c r="E24" s="47" t="s">
        <v>191</v>
      </c>
      <c r="F24" s="47" t="s">
        <v>132</v>
      </c>
      <c r="G24" s="69" t="s">
        <v>376</v>
      </c>
      <c r="H24" s="16"/>
      <c r="I24" s="111">
        <v>1</v>
      </c>
      <c r="J24" s="70" t="str">
        <f t="shared" si="0"/>
        <v>N/A</v>
      </c>
      <c r="K24" s="143" t="str" cm="1">
        <f t="array" ref="K24">IF(AC24="N/A","",_xlfn.IFS(Y24="m2",(AA24*(1/(Z24/AM24)))*I24,Y24="m3",(AA24*(1/(Z24/AM24)))*I24,Y24="kg",(AA24*AL24*(1/(1/AM24)))*I24,Y24="N/A",""))</f>
        <v/>
      </c>
      <c r="L24" s="71" t="str">
        <f t="shared" si="1"/>
        <v>N/A</v>
      </c>
      <c r="M24" s="146" t="str" cm="1">
        <f t="array" ref="M24">_xlfn.IFS(Y24="m2",(AB24*(1/(Z24/AM24)))*I24,Y24="m3",(AB24*(1/(Z24/AM24)))*I24,Y24="kg",(AB24*AL24*(1/(1/AM24)))*I24,Y24="N/A","")</f>
        <v/>
      </c>
      <c r="N24" s="52" t="str">
        <f t="shared" si="2"/>
        <v>N/A</v>
      </c>
      <c r="O24" s="148" t="str" cm="1">
        <f t="array" ref="O24">IF(AC24="N/A","",_xlfn.IFS(Y24="m2",(AC24*(1/(Z24/AM24)))*I24,Y24="m3",(AC24*(1/(Z24/AM24)))*I24,Y24="kg",(AC24*AL24*(1/(1/AM24)))*I24,Y24="N/A",""))</f>
        <v/>
      </c>
      <c r="P24" s="72" t="str">
        <f t="shared" si="3"/>
        <v>N/A</v>
      </c>
      <c r="Q24" s="150" t="str" cm="1">
        <f t="array" ref="Q24">IF(AE24="N/A","",_xlfn.IFS(Y24="m2",(AE24*(1/(Z24/AM24)))*I24,Y24="m3",(AE24*(1/(Z24/AM24)))*I24,Y24="kg",(AE24*AL24*(1/(1/AM24)))*I24,Y24="N/A",""))</f>
        <v/>
      </c>
      <c r="R24" s="47" t="s">
        <v>191</v>
      </c>
      <c r="S24" s="47"/>
      <c r="T24" s="47" t="s">
        <v>191</v>
      </c>
      <c r="U24" s="86" t="s">
        <v>191</v>
      </c>
      <c r="V24" s="87" t="s">
        <v>191</v>
      </c>
      <c r="W24" s="17"/>
      <c r="X24" s="178" t="s">
        <v>191</v>
      </c>
      <c r="Y24" s="73" t="s">
        <v>191</v>
      </c>
      <c r="Z24" s="73" t="s">
        <v>191</v>
      </c>
      <c r="AA24" s="52" t="str">
        <f t="shared" si="4"/>
        <v>N/A</v>
      </c>
      <c r="AB24" s="52" t="s">
        <v>191</v>
      </c>
      <c r="AC24" s="52" t="s">
        <v>191</v>
      </c>
      <c r="AD24" s="52" t="s">
        <v>191</v>
      </c>
      <c r="AE24" s="72" t="s">
        <v>191</v>
      </c>
      <c r="AF24" s="17"/>
      <c r="AG24" s="74" t="str">
        <f t="shared" ref="AG24:AG41" si="6">AH24&amp;" "&amp;AI24</f>
        <v xml:space="preserve">E </v>
      </c>
      <c r="AH24" s="75" t="s">
        <v>16</v>
      </c>
      <c r="AI24" s="76"/>
      <c r="AJ24" s="77"/>
      <c r="AL24" s="73">
        <f>46</f>
        <v>46</v>
      </c>
      <c r="AM24" s="47">
        <v>3.7999999999999999E-2</v>
      </c>
      <c r="AN24" s="86" t="s">
        <v>191</v>
      </c>
      <c r="AP24" s="80" t="s">
        <v>17</v>
      </c>
      <c r="AQ24" s="73"/>
      <c r="AR24" s="26"/>
      <c r="AU24" s="67" cm="1">
        <f t="array" ref="AU24">_xlfn.IFS(Y24="m2",(AB24*(1/(Z24/AM24))),Y24="m3",(AB24*(1/(Z24/AM24))),Y24="kg",(AB24*AL24*(1/(Z24/AM24))),Y24="N/A",0)</f>
        <v>0</v>
      </c>
      <c r="AV24" s="66"/>
    </row>
    <row r="25" spans="1:48" s="25" customFormat="1" ht="25.2" customHeight="1" x14ac:dyDescent="0.15">
      <c r="A25" s="25" t="s">
        <v>985</v>
      </c>
      <c r="B25" s="47" t="s">
        <v>208</v>
      </c>
      <c r="C25" s="47"/>
      <c r="D25" s="47" t="s">
        <v>118</v>
      </c>
      <c r="E25" s="47" t="s">
        <v>191</v>
      </c>
      <c r="F25" s="47" t="s">
        <v>132</v>
      </c>
      <c r="G25" s="69" t="s">
        <v>376</v>
      </c>
      <c r="H25" s="16"/>
      <c r="I25" s="111">
        <v>1</v>
      </c>
      <c r="J25" s="70" t="str">
        <f t="shared" si="0"/>
        <v>N/A</v>
      </c>
      <c r="K25" s="143" t="str" cm="1">
        <f t="array" ref="K25">IF(AC25="N/A","",_xlfn.IFS(Y25="m2",(AA25*(1/(Z25/AM25)))*I25,Y25="m3",(AA25*(1/(Z25/AM25)))*I25,Y25="kg",(AA25*AL25*(1/(1/AM25)))*I25,Y25="N/A",""))</f>
        <v/>
      </c>
      <c r="L25" s="71" t="str">
        <f t="shared" si="1"/>
        <v>N/A</v>
      </c>
      <c r="M25" s="146" t="str" cm="1">
        <f t="array" ref="M25">_xlfn.IFS(Y25="m2",(AB25*(1/(Z25/AM25)))*I25,Y25="m3",(AB25*(1/(Z25/AM25)))*I25,Y25="kg",(AB25*AL25*(1/(1/AM25)))*I25,Y25="N/A","")</f>
        <v/>
      </c>
      <c r="N25" s="52" t="str">
        <f t="shared" si="2"/>
        <v>N/A</v>
      </c>
      <c r="O25" s="148" t="str" cm="1">
        <f t="array" ref="O25">IF(AC25="N/A","",_xlfn.IFS(Y25="m2",(AC25*(1/(Z25/AM25)))*I25,Y25="m3",(AC25*(1/(Z25/AM25)))*I25,Y25="kg",(AC25*AL25*(1/(1/AM25)))*I25,Y25="N/A",""))</f>
        <v/>
      </c>
      <c r="P25" s="72" t="str">
        <f t="shared" si="3"/>
        <v>N/A</v>
      </c>
      <c r="Q25" s="150" t="str" cm="1">
        <f t="array" ref="Q25">IF(AE25="N/A","",_xlfn.IFS(Y25="m2",(AE25*(1/(Z25/AM25)))*I25,Y25="m3",(AE25*(1/(Z25/AM25)))*I25,Y25="kg",(AE25*AL25*(1/(1/AM25)))*I25,Y25="N/A",""))</f>
        <v/>
      </c>
      <c r="R25" s="47" t="s">
        <v>191</v>
      </c>
      <c r="S25" s="47"/>
      <c r="T25" s="47" t="s">
        <v>191</v>
      </c>
      <c r="U25" s="86" t="s">
        <v>191</v>
      </c>
      <c r="V25" s="87" t="s">
        <v>191</v>
      </c>
      <c r="W25" s="17"/>
      <c r="X25" s="178" t="s">
        <v>191</v>
      </c>
      <c r="Y25" s="73" t="s">
        <v>191</v>
      </c>
      <c r="Z25" s="73" t="s">
        <v>191</v>
      </c>
      <c r="AA25" s="52" t="str">
        <f t="shared" si="4"/>
        <v>N/A</v>
      </c>
      <c r="AB25" s="52" t="s">
        <v>191</v>
      </c>
      <c r="AC25" s="52" t="s">
        <v>191</v>
      </c>
      <c r="AD25" s="52" t="s">
        <v>191</v>
      </c>
      <c r="AE25" s="72" t="s">
        <v>191</v>
      </c>
      <c r="AF25" s="17"/>
      <c r="AG25" s="74" t="str">
        <f t="shared" si="6"/>
        <v xml:space="preserve">E </v>
      </c>
      <c r="AH25" s="75" t="s">
        <v>16</v>
      </c>
      <c r="AI25" s="76"/>
      <c r="AJ25" s="77"/>
      <c r="AL25" s="73">
        <f>26</f>
        <v>26</v>
      </c>
      <c r="AM25" s="47">
        <v>3.7999999999999999E-2</v>
      </c>
      <c r="AN25" s="86" t="s">
        <v>191</v>
      </c>
      <c r="AP25" s="80" t="s">
        <v>17</v>
      </c>
      <c r="AQ25" s="73"/>
      <c r="AR25" s="26"/>
      <c r="AU25" s="67" cm="1">
        <f t="array" ref="AU25">_xlfn.IFS(Y25="m2",(AB25*(1/(Z25/AM25))),Y25="m3",(AB25*(1/(Z25/AM25))),Y25="kg",(AB25*AL25*(1/(Z25/AM25))),Y25="N/A",0)</f>
        <v>0</v>
      </c>
      <c r="AV25" s="66"/>
    </row>
    <row r="26" spans="1:48" s="25" customFormat="1" ht="25.2" customHeight="1" x14ac:dyDescent="0.15">
      <c r="A26" s="25" t="s">
        <v>220</v>
      </c>
      <c r="B26" s="47" t="s">
        <v>210</v>
      </c>
      <c r="C26" s="47"/>
      <c r="D26" s="47" t="s">
        <v>219</v>
      </c>
      <c r="E26" s="82" t="s">
        <v>225</v>
      </c>
      <c r="F26" s="47" t="s">
        <v>307</v>
      </c>
      <c r="G26" s="69" t="s">
        <v>376</v>
      </c>
      <c r="H26" s="16"/>
      <c r="I26" s="111">
        <v>1</v>
      </c>
      <c r="J26" s="70">
        <f t="shared" si="0"/>
        <v>0.59497109999999997</v>
      </c>
      <c r="K26" s="143" cm="1">
        <f t="array" ref="K26">IF(AC26="N/A","",_xlfn.IFS(Y26="m2",(AA26*(1/(Z26/AM26)))*I26,Y26="m3",(AA26*(1/(Z26/AM26)))*I26,Y26="kg",(AA26*AL26*(1/(1/AM26)))*I26,Y26="N/A",""))</f>
        <v>0.59497109999999997</v>
      </c>
      <c r="L26" s="71">
        <f t="shared" si="1"/>
        <v>0.59199999999999997</v>
      </c>
      <c r="M26" s="146" cm="1">
        <f t="array" ref="M26">_xlfn.IFS(Y26="m2",(AB26*(1/(Z26/AM26)))*I26,Y26="m3",(AB26*(1/(Z26/AM26)))*I26,Y26="kg",(AB26*AL26*(1/(1/AM26)))*I26,Y26="N/A","")</f>
        <v>0.59199999999999997</v>
      </c>
      <c r="N26" s="52">
        <f t="shared" si="2"/>
        <v>2.9710999999999991E-3</v>
      </c>
      <c r="O26" s="148" cm="1">
        <f t="array" ref="O26">IF(AC26="N/A","",_xlfn.IFS(Y26="m2",(AC26*(1/(Z26/AM26)))*I26,Y26="m3",(AC26*(1/(Z26/AM26)))*I26,Y26="kg",(AC26*AL26*(1/(1/AM26)))*I26,Y26="N/A",""))</f>
        <v>2.9710999999999991E-3</v>
      </c>
      <c r="P26" s="72" t="str">
        <f t="shared" si="3"/>
        <v>N/A</v>
      </c>
      <c r="Q26" s="150" t="str" cm="1">
        <f t="array" ref="Q26">IF(AE26="N/A","",_xlfn.IFS(Y26="m2",(AE26*(1/(Z26/AM26)))*I26,Y26="m3",(AE26*(1/(Z26/AM26)))*I26,Y26="kg",(AE26*AL26*(1/(1/AM26)))*I26,Y26="N/A",""))</f>
        <v/>
      </c>
      <c r="R26" s="82" t="s">
        <v>5</v>
      </c>
      <c r="S26" s="164"/>
      <c r="T26" s="47">
        <v>2024</v>
      </c>
      <c r="U26" s="47" t="s">
        <v>14</v>
      </c>
      <c r="V26" s="69">
        <v>50</v>
      </c>
      <c r="W26" s="17"/>
      <c r="X26" s="178" t="s">
        <v>549</v>
      </c>
      <c r="Y26" s="73" t="s">
        <v>15</v>
      </c>
      <c r="Z26" s="73">
        <v>0.1</v>
      </c>
      <c r="AA26" s="52">
        <f t="shared" si="4"/>
        <v>1.6080300000000001</v>
      </c>
      <c r="AB26" s="52">
        <f>1.6</f>
        <v>1.6</v>
      </c>
      <c r="AC26" s="52">
        <f>0+8.03*10^-3</f>
        <v>8.0299999999999989E-3</v>
      </c>
      <c r="AD26" s="52" t="s">
        <v>191</v>
      </c>
      <c r="AE26" s="72" t="s">
        <v>191</v>
      </c>
      <c r="AF26" s="17"/>
      <c r="AG26" s="74" t="str">
        <f t="shared" si="6"/>
        <v xml:space="preserve">A1 </v>
      </c>
      <c r="AH26" s="75" t="s">
        <v>58</v>
      </c>
      <c r="AI26" s="76"/>
      <c r="AJ26" s="103"/>
      <c r="AL26" s="73">
        <f>(12+24)/2</f>
        <v>18</v>
      </c>
      <c r="AM26" s="47">
        <v>3.6999999999999998E-2</v>
      </c>
      <c r="AN26" s="47" t="s">
        <v>191</v>
      </c>
      <c r="AP26" s="80" t="s">
        <v>17</v>
      </c>
      <c r="AQ26" s="73"/>
      <c r="AR26" s="26"/>
      <c r="AU26" s="67" cm="1">
        <f t="array" ref="AU26">_xlfn.IFS(Y26="m2",(AB26*(1/(Z26/AM26))),Y26="m3",(AB26*(1/(Z26/AM26))),Y26="kg",(AB26*AL26*(1/(Z26/AM26))),Y26="N/A",0)</f>
        <v>0.59199999999999997</v>
      </c>
      <c r="AV26" s="66"/>
    </row>
    <row r="27" spans="1:48" s="25" customFormat="1" ht="25.2" customHeight="1" x14ac:dyDescent="0.15">
      <c r="A27" s="25" t="s">
        <v>221</v>
      </c>
      <c r="B27" s="47" t="s">
        <v>210</v>
      </c>
      <c r="C27" s="47"/>
      <c r="D27" s="47" t="s">
        <v>219</v>
      </c>
      <c r="E27" s="82" t="s">
        <v>225</v>
      </c>
      <c r="F27" s="47" t="s">
        <v>307</v>
      </c>
      <c r="G27" s="69" t="s">
        <v>376</v>
      </c>
      <c r="H27" s="16"/>
      <c r="I27" s="111">
        <v>1</v>
      </c>
      <c r="J27" s="70">
        <f t="shared" si="0"/>
        <v>0.59497109999999997</v>
      </c>
      <c r="K27" s="143" cm="1">
        <f t="array" ref="K27">IF(AC27="N/A","",_xlfn.IFS(Y27="m2",(AA27*(1/(Z27/AM27)))*I27,Y27="m3",(AA27*(1/(Z27/AM27)))*I27,Y27="kg",(AA27*AL27*(1/(1/AM27)))*I27,Y27="N/A",""))</f>
        <v>0.59497109999999997</v>
      </c>
      <c r="L27" s="71">
        <f t="shared" si="1"/>
        <v>0.59199999999999997</v>
      </c>
      <c r="M27" s="146" cm="1">
        <f t="array" ref="M27">_xlfn.IFS(Y27="m2",(AB27*(1/(Z27/AM27)))*I27,Y27="m3",(AB27*(1/(Z27/AM27)))*I27,Y27="kg",(AB27*AL27*(1/(1/AM27)))*I27,Y27="N/A","")</f>
        <v>0.59199999999999997</v>
      </c>
      <c r="N27" s="52">
        <f t="shared" si="2"/>
        <v>2.9710999999999991E-3</v>
      </c>
      <c r="O27" s="148" cm="1">
        <f t="array" ref="O27">IF(AC27="N/A","",_xlfn.IFS(Y27="m2",(AC27*(1/(Z27/AM27)))*I27,Y27="m3",(AC27*(1/(Z27/AM27)))*I27,Y27="kg",(AC27*AL27*(1/(1/AM27)))*I27,Y27="N/A",""))</f>
        <v>2.9710999999999991E-3</v>
      </c>
      <c r="P27" s="72" t="str">
        <f t="shared" si="3"/>
        <v>N/A</v>
      </c>
      <c r="Q27" s="150" t="str" cm="1">
        <f t="array" ref="Q27">IF(AE27="N/A","",_xlfn.IFS(Y27="m2",(AE27*(1/(Z27/AM27)))*I27,Y27="m3",(AE27*(1/(Z27/AM27)))*I27,Y27="kg",(AE27*AL27*(1/(1/AM27)))*I27,Y27="N/A",""))</f>
        <v/>
      </c>
      <c r="R27" s="82" t="s">
        <v>5</v>
      </c>
      <c r="S27" s="164"/>
      <c r="T27" s="47">
        <v>2024</v>
      </c>
      <c r="U27" s="47" t="s">
        <v>14</v>
      </c>
      <c r="V27" s="69">
        <v>50</v>
      </c>
      <c r="W27" s="17"/>
      <c r="X27" s="178" t="s">
        <v>549</v>
      </c>
      <c r="Y27" s="73" t="s">
        <v>15</v>
      </c>
      <c r="Z27" s="73">
        <v>0.1</v>
      </c>
      <c r="AA27" s="52">
        <f t="shared" si="4"/>
        <v>1.6080300000000001</v>
      </c>
      <c r="AB27" s="52">
        <f>1.6</f>
        <v>1.6</v>
      </c>
      <c r="AC27" s="52">
        <f>0+8.03*10^-3</f>
        <v>8.0299999999999989E-3</v>
      </c>
      <c r="AD27" s="52" t="s">
        <v>191</v>
      </c>
      <c r="AE27" s="72" t="s">
        <v>191</v>
      </c>
      <c r="AF27" s="17"/>
      <c r="AG27" s="74" t="str">
        <f t="shared" si="6"/>
        <v xml:space="preserve">A1 </v>
      </c>
      <c r="AH27" s="75" t="s">
        <v>58</v>
      </c>
      <c r="AI27" s="76"/>
      <c r="AJ27" s="103"/>
      <c r="AL27" s="73">
        <f>(12+24)/2</f>
        <v>18</v>
      </c>
      <c r="AM27" s="47">
        <v>3.6999999999999998E-2</v>
      </c>
      <c r="AN27" s="47" t="s">
        <v>191</v>
      </c>
      <c r="AP27" s="80" t="s">
        <v>17</v>
      </c>
      <c r="AQ27" s="73"/>
      <c r="AR27" s="26"/>
      <c r="AU27" s="67" cm="1">
        <f t="array" ref="AU27">_xlfn.IFS(Y27="m2",(AB27*(1/(Z27/AM27))),Y27="m3",(AB27*(1/(Z27/AM27))),Y27="kg",(AB27*AL27*(1/(Z27/AM27))),Y27="N/A",0)</f>
        <v>0.59199999999999997</v>
      </c>
      <c r="AV27" s="66"/>
    </row>
    <row r="28" spans="1:48" s="25" customFormat="1" ht="25.2" customHeight="1" x14ac:dyDescent="0.15">
      <c r="A28" s="25" t="s">
        <v>227</v>
      </c>
      <c r="B28" s="47" t="s">
        <v>210</v>
      </c>
      <c r="C28" s="47"/>
      <c r="D28" s="47" t="s">
        <v>219</v>
      </c>
      <c r="E28" s="82" t="s">
        <v>225</v>
      </c>
      <c r="F28" s="47" t="s">
        <v>307</v>
      </c>
      <c r="G28" s="69" t="s">
        <v>376</v>
      </c>
      <c r="H28" s="16"/>
      <c r="I28" s="111">
        <v>1</v>
      </c>
      <c r="J28" s="70">
        <f t="shared" si="0"/>
        <v>0.59497109999999997</v>
      </c>
      <c r="K28" s="143" cm="1">
        <f t="array" ref="K28">IF(AC28="N/A","",_xlfn.IFS(Y28="m2",(AA28*(1/(Z28/AM28)))*I28,Y28="m3",(AA28*(1/(Z28/AM28)))*I28,Y28="kg",(AA28*AL28*(1/(1/AM28)))*I28,Y28="N/A",""))</f>
        <v>0.59497109999999997</v>
      </c>
      <c r="L28" s="71">
        <f t="shared" si="1"/>
        <v>0.59199999999999997</v>
      </c>
      <c r="M28" s="146" cm="1">
        <f t="array" ref="M28">_xlfn.IFS(Y28="m2",(AB28*(1/(Z28/AM28)))*I28,Y28="m3",(AB28*(1/(Z28/AM28)))*I28,Y28="kg",(AB28*AL28*(1/(1/AM28)))*I28,Y28="N/A","")</f>
        <v>0.59199999999999997</v>
      </c>
      <c r="N28" s="52">
        <f t="shared" si="2"/>
        <v>2.9710999999999991E-3</v>
      </c>
      <c r="O28" s="148" cm="1">
        <f t="array" ref="O28">IF(AC28="N/A","",_xlfn.IFS(Y28="m2",(AC28*(1/(Z28/AM28)))*I28,Y28="m3",(AC28*(1/(Z28/AM28)))*I28,Y28="kg",(AC28*AL28*(1/(1/AM28)))*I28,Y28="N/A",""))</f>
        <v>2.9710999999999991E-3</v>
      </c>
      <c r="P28" s="72" t="str">
        <f t="shared" si="3"/>
        <v>N/A</v>
      </c>
      <c r="Q28" s="150" t="str" cm="1">
        <f t="array" ref="Q28">IF(AE28="N/A","",_xlfn.IFS(Y28="m2",(AE28*(1/(Z28/AM28)))*I28,Y28="m3",(AE28*(1/(Z28/AM28)))*I28,Y28="kg",(AE28*AL28*(1/(1/AM28)))*I28,Y28="N/A",""))</f>
        <v/>
      </c>
      <c r="R28" s="82" t="s">
        <v>5</v>
      </c>
      <c r="S28" s="164"/>
      <c r="T28" s="47">
        <v>2024</v>
      </c>
      <c r="U28" s="47" t="s">
        <v>14</v>
      </c>
      <c r="V28" s="69">
        <v>50</v>
      </c>
      <c r="W28" s="17"/>
      <c r="X28" s="178" t="s">
        <v>549</v>
      </c>
      <c r="Y28" s="73" t="s">
        <v>15</v>
      </c>
      <c r="Z28" s="73">
        <v>0.1</v>
      </c>
      <c r="AA28" s="52">
        <f t="shared" si="4"/>
        <v>1.6080300000000001</v>
      </c>
      <c r="AB28" s="52">
        <f>1.6</f>
        <v>1.6</v>
      </c>
      <c r="AC28" s="52">
        <f>0+8.03*10^-3</f>
        <v>8.0299999999999989E-3</v>
      </c>
      <c r="AD28" s="52" t="s">
        <v>191</v>
      </c>
      <c r="AE28" s="72" t="s">
        <v>191</v>
      </c>
      <c r="AF28" s="17"/>
      <c r="AG28" s="74" t="str">
        <f t="shared" si="6"/>
        <v xml:space="preserve">A1 </v>
      </c>
      <c r="AH28" s="75" t="s">
        <v>58</v>
      </c>
      <c r="AI28" s="76"/>
      <c r="AJ28" s="103"/>
      <c r="AL28" s="73">
        <f>(12+24)/2</f>
        <v>18</v>
      </c>
      <c r="AM28" s="47">
        <v>3.6999999999999998E-2</v>
      </c>
      <c r="AN28" s="47" t="s">
        <v>191</v>
      </c>
      <c r="AP28" s="80" t="s">
        <v>17</v>
      </c>
      <c r="AQ28" s="73"/>
      <c r="AR28" s="26"/>
      <c r="AU28" s="67" cm="1">
        <f t="array" ref="AU28">_xlfn.IFS(Y28="m2",(AB28*(1/(Z28/AM28))),Y28="m3",(AB28*(1/(Z28/AM28))),Y28="kg",(AB28*AL28*(1/(Z28/AM28))),Y28="N/A",0)</f>
        <v>0.59199999999999997</v>
      </c>
      <c r="AV28" s="66"/>
    </row>
    <row r="29" spans="1:48" s="25" customFormat="1" ht="25.2" customHeight="1" x14ac:dyDescent="0.15">
      <c r="A29" s="25" t="s">
        <v>268</v>
      </c>
      <c r="B29" s="47" t="s">
        <v>210</v>
      </c>
      <c r="C29" s="47"/>
      <c r="D29" s="47" t="s">
        <v>267</v>
      </c>
      <c r="E29" s="88" t="s">
        <v>240</v>
      </c>
      <c r="F29" s="47" t="s">
        <v>296</v>
      </c>
      <c r="G29" s="69" t="s">
        <v>376</v>
      </c>
      <c r="H29" s="16"/>
      <c r="I29" s="111">
        <v>1</v>
      </c>
      <c r="J29" s="70">
        <f t="shared" si="0"/>
        <v>0.60659999999999992</v>
      </c>
      <c r="K29" s="143" cm="1">
        <f t="array" ref="K29">IF(AC29="N/A","",_xlfn.IFS(Y29="m2",(AA29*(1/(Z29/AM29)))*I29,Y29="m3",(AA29*(1/(Z29/AM29)))*I29,Y29="kg",(AA29*AL29*(1/(1/AM29)))*I29,Y29="N/A",""))</f>
        <v>0.60659999999999992</v>
      </c>
      <c r="L29" s="71">
        <f t="shared" si="1"/>
        <v>0.59299999999999997</v>
      </c>
      <c r="M29" s="146" cm="1">
        <f t="array" ref="M29">_xlfn.IFS(Y29="m2",(AB29*(1/(Z29/AM29)))*I29,Y29="m3",(AB29*(1/(Z29/AM29)))*I29,Y29="kg",(AB29*AL29*(1/(1/AM29)))*I29,Y29="N/A","")</f>
        <v>0.59299999999999997</v>
      </c>
      <c r="N29" s="52">
        <f t="shared" si="2"/>
        <v>1.3599999999999999E-2</v>
      </c>
      <c r="O29" s="148" cm="1">
        <f t="array" ref="O29">IF(AC29="N/A","",_xlfn.IFS(Y29="m2",(AC29*(1/(Z29/AM29)))*I29,Y29="m3",(AC29*(1/(Z29/AM29)))*I29,Y29="kg",(AC29*AL29*(1/(1/AM29)))*I29,Y29="N/A",""))</f>
        <v>1.3599999999999999E-2</v>
      </c>
      <c r="P29" s="72">
        <f t="shared" si="3"/>
        <v>0</v>
      </c>
      <c r="Q29" s="150" cm="1">
        <f t="array" ref="Q29">IF(AE29="N/A","",_xlfn.IFS(Y29="m2",(AE29*(1/(Z29/AM29)))*I29,Y29="m3",(AE29*(1/(Z29/AM29)))*I29,Y29="kg",(AE29*AL29*(1/(1/AM29)))*I29,Y29="N/A",""))</f>
        <v>0</v>
      </c>
      <c r="R29" s="88" t="s">
        <v>5</v>
      </c>
      <c r="S29" s="164"/>
      <c r="T29" s="47">
        <v>2025</v>
      </c>
      <c r="U29" s="47" t="s">
        <v>14</v>
      </c>
      <c r="V29" s="69">
        <v>60</v>
      </c>
      <c r="W29" s="17"/>
      <c r="X29" s="178" t="s">
        <v>561</v>
      </c>
      <c r="Y29" s="95" t="s">
        <v>15</v>
      </c>
      <c r="Z29" s="73">
        <v>3.5999999999999997E-2</v>
      </c>
      <c r="AA29" s="52">
        <f t="shared" si="4"/>
        <v>0.60659999999999992</v>
      </c>
      <c r="AB29" s="52">
        <v>0.59299999999999997</v>
      </c>
      <c r="AC29" s="52">
        <f>0+0.0136</f>
        <v>1.3599999999999999E-2</v>
      </c>
      <c r="AD29" s="52">
        <v>-5.4399999999999997E-2</v>
      </c>
      <c r="AE29" s="72">
        <v>0</v>
      </c>
      <c r="AF29" s="17"/>
      <c r="AG29" s="74" t="str">
        <f t="shared" si="6"/>
        <v xml:space="preserve">A1 </v>
      </c>
      <c r="AH29" s="75" t="s">
        <v>58</v>
      </c>
      <c r="AI29" s="76"/>
      <c r="AJ29" s="103"/>
      <c r="AL29" s="73">
        <v>27.8</v>
      </c>
      <c r="AM29" s="47">
        <v>3.5999999999999997E-2</v>
      </c>
      <c r="AN29" s="47" t="s">
        <v>191</v>
      </c>
      <c r="AP29" s="105" t="s">
        <v>17</v>
      </c>
      <c r="AQ29" s="73"/>
      <c r="AR29" s="26"/>
      <c r="AU29" s="67" cm="1">
        <f t="array" ref="AU29">_xlfn.IFS(Y29="m2",(AB29*(1/(Z29/AM29))),Y29="m3",(AB29*(1/(Z29/AM29))),Y29="kg",(AB29*AL29*(1/(Z29/AM29))),Y29="N/A",0)</f>
        <v>0.59299999999999997</v>
      </c>
      <c r="AV29" s="66"/>
    </row>
    <row r="30" spans="1:48" s="25" customFormat="1" ht="25.2" customHeight="1" x14ac:dyDescent="0.15">
      <c r="A30" s="25" t="s">
        <v>224</v>
      </c>
      <c r="B30" s="47" t="s">
        <v>210</v>
      </c>
      <c r="C30" s="47"/>
      <c r="D30" s="47" t="s">
        <v>219</v>
      </c>
      <c r="E30" s="82" t="s">
        <v>225</v>
      </c>
      <c r="F30" s="47" t="s">
        <v>307</v>
      </c>
      <c r="G30" s="69" t="s">
        <v>292</v>
      </c>
      <c r="H30" s="16"/>
      <c r="I30" s="111">
        <v>1</v>
      </c>
      <c r="J30" s="70">
        <f t="shared" si="0"/>
        <v>0.63045799999999996</v>
      </c>
      <c r="K30" s="143" cm="1">
        <f t="array" ref="K30">IF(AC30="N/A","",_xlfn.IFS(Y30="m2",(AA30*(1/(Z30/AM30)))*I30,Y30="m3",(AA30*(1/(Z30/AM30)))*I30,Y30="kg",(AA30*AL30*(1/(1/AM30)))*I30,Y30="N/A",""))</f>
        <v>0.63045799999999996</v>
      </c>
      <c r="L30" s="71">
        <f t="shared" si="1"/>
        <v>0.62699999999999989</v>
      </c>
      <c r="M30" s="146" cm="1">
        <f t="array" ref="M30">_xlfn.IFS(Y30="m2",(AB30*(1/(Z30/AM30)))*I30,Y30="m3",(AB30*(1/(Z30/AM30)))*I30,Y30="kg",(AB30*AL30*(1/(1/AM30)))*I30,Y30="N/A","")</f>
        <v>0.62699999999999989</v>
      </c>
      <c r="N30" s="52">
        <f t="shared" si="2"/>
        <v>3.4579999999999997E-3</v>
      </c>
      <c r="O30" s="148" cm="1">
        <f t="array" ref="O30">IF(AC30="N/A","",_xlfn.IFS(Y30="m2",(AC30*(1/(Z30/AM30)))*I30,Y30="m3",(AC30*(1/(Z30/AM30)))*I30,Y30="kg",(AC30*AL30*(1/(1/AM30)))*I30,Y30="N/A",""))</f>
        <v>3.4579999999999997E-3</v>
      </c>
      <c r="P30" s="72" t="str">
        <f t="shared" si="3"/>
        <v>N/A</v>
      </c>
      <c r="Q30" s="150" t="str" cm="1">
        <f t="array" ref="Q30">IF(AE30="N/A","",_xlfn.IFS(Y30="m2",(AE30*(1/(Z30/AM30)))*I30,Y30="m3",(AE30*(1/(Z30/AM30)))*I30,Y30="kg",(AE30*AL30*(1/(1/AM30)))*I30,Y30="N/A",""))</f>
        <v/>
      </c>
      <c r="R30" s="82" t="s">
        <v>5</v>
      </c>
      <c r="S30" s="164"/>
      <c r="T30" s="47">
        <v>2024</v>
      </c>
      <c r="U30" s="47" t="s">
        <v>14</v>
      </c>
      <c r="V30" s="69">
        <v>50</v>
      </c>
      <c r="W30" s="17"/>
      <c r="X30" s="178" t="s">
        <v>552</v>
      </c>
      <c r="Y30" s="73" t="s">
        <v>15</v>
      </c>
      <c r="Z30" s="73">
        <v>0.1</v>
      </c>
      <c r="AA30" s="52">
        <f t="shared" si="4"/>
        <v>1.6591</v>
      </c>
      <c r="AB30" s="52">
        <f>1.65</f>
        <v>1.65</v>
      </c>
      <c r="AC30" s="52">
        <f>0+9.1*10^-3</f>
        <v>9.1000000000000004E-3</v>
      </c>
      <c r="AD30" s="52" t="s">
        <v>191</v>
      </c>
      <c r="AE30" s="72" t="s">
        <v>191</v>
      </c>
      <c r="AF30" s="17"/>
      <c r="AG30" s="74" t="str">
        <f t="shared" si="6"/>
        <v xml:space="preserve">A1 </v>
      </c>
      <c r="AH30" s="75" t="s">
        <v>58</v>
      </c>
      <c r="AI30" s="76"/>
      <c r="AJ30" s="103"/>
      <c r="AL30" s="73">
        <f>(15+19)/2</f>
        <v>17</v>
      </c>
      <c r="AM30" s="47">
        <v>3.7999999999999999E-2</v>
      </c>
      <c r="AN30" s="47" t="s">
        <v>191</v>
      </c>
      <c r="AP30" s="80" t="s">
        <v>17</v>
      </c>
      <c r="AQ30" s="73"/>
      <c r="AR30" s="26"/>
      <c r="AU30" s="67" cm="1">
        <f t="array" ref="AU30">_xlfn.IFS(Y30="m2",(AB30*(1/(Z30/AM30))),Y30="m3",(AB30*(1/(Z30/AM30))),Y30="kg",(AB30*AL30*(1/(Z30/AM30))),Y30="N/A",0)</f>
        <v>0.62699999999999989</v>
      </c>
      <c r="AV30" s="66"/>
    </row>
    <row r="31" spans="1:48" s="25" customFormat="1" ht="25.2" customHeight="1" x14ac:dyDescent="0.15">
      <c r="A31" s="174" t="s">
        <v>211</v>
      </c>
      <c r="B31" s="47" t="s">
        <v>210</v>
      </c>
      <c r="C31" s="47"/>
      <c r="D31" s="47" t="s">
        <v>209</v>
      </c>
      <c r="E31" s="82" t="s">
        <v>146</v>
      </c>
      <c r="F31" s="47" t="s">
        <v>296</v>
      </c>
      <c r="G31" s="69" t="s">
        <v>376</v>
      </c>
      <c r="H31" s="16"/>
      <c r="I31" s="111">
        <v>1</v>
      </c>
      <c r="J31" s="70">
        <f t="shared" si="0"/>
        <v>0.69110000000000005</v>
      </c>
      <c r="K31" s="143" cm="1">
        <f t="array" ref="K31">IF(AC31="N/A","",_xlfn.IFS(Y31="m2",(AA31*(1/(Z31/AM31)))*I31,Y31="m3",(AA31*(1/(Z31/AM31)))*I31,Y31="kg",(AA31*AL31*(1/(1/AM31)))*I31,Y31="N/A",""))</f>
        <v>0.69110000000000005</v>
      </c>
      <c r="L31" s="71">
        <f t="shared" si="1"/>
        <v>0.67600000000000005</v>
      </c>
      <c r="M31" s="146" cm="1">
        <f t="array" ref="M31">_xlfn.IFS(Y31="m2",(AB31*(1/(Z31/AM31)))*I31,Y31="m3",(AB31*(1/(Z31/AM31)))*I31,Y31="kg",(AB31*AL31*(1/(1/AM31)))*I31,Y31="N/A","")</f>
        <v>0.67600000000000005</v>
      </c>
      <c r="N31" s="52">
        <f t="shared" si="2"/>
        <v>1.5100000000000001E-2</v>
      </c>
      <c r="O31" s="148" cm="1">
        <f t="array" ref="O31">IF(AC31="N/A","",_xlfn.IFS(Y31="m2",(AC31*(1/(Z31/AM31)))*I31,Y31="m3",(AC31*(1/(Z31/AM31)))*I31,Y31="kg",(AC31*AL31*(1/(1/AM31)))*I31,Y31="N/A",""))</f>
        <v>1.5100000000000001E-2</v>
      </c>
      <c r="P31" s="72">
        <f t="shared" si="3"/>
        <v>-4.8300000000000003E-2</v>
      </c>
      <c r="Q31" s="150" cm="1">
        <f t="array" ref="Q31">IF(AE31="N/A","",_xlfn.IFS(Y31="m2",(AE31*(1/(Z31/AM31)))*I31,Y31="m3",(AE31*(1/(Z31/AM31)))*I31,Y31="kg",(AE31*AL31*(1/(1/AM31)))*I31,Y31="N/A",""))</f>
        <v>-4.8300000000000003E-2</v>
      </c>
      <c r="R31" s="82" t="s">
        <v>5</v>
      </c>
      <c r="S31" s="164"/>
      <c r="T31" s="47">
        <v>2028</v>
      </c>
      <c r="U31" s="47" t="s">
        <v>28</v>
      </c>
      <c r="V31" s="69">
        <v>60</v>
      </c>
      <c r="W31" s="17"/>
      <c r="X31" s="178" t="s">
        <v>539</v>
      </c>
      <c r="Y31" s="73" t="s">
        <v>15</v>
      </c>
      <c r="Z31" s="73">
        <v>3.6999999999999998E-2</v>
      </c>
      <c r="AA31" s="52">
        <f t="shared" si="4"/>
        <v>0.69110000000000005</v>
      </c>
      <c r="AB31" s="52">
        <v>0.67600000000000005</v>
      </c>
      <c r="AC31" s="52">
        <f>(0+0.0151)</f>
        <v>1.5100000000000001E-2</v>
      </c>
      <c r="AD31" s="52">
        <f>-0.026</f>
        <v>-2.5999999999999999E-2</v>
      </c>
      <c r="AE31" s="72">
        <v>-4.8300000000000003E-2</v>
      </c>
      <c r="AF31" s="17"/>
      <c r="AG31" s="74" t="str">
        <f t="shared" si="6"/>
        <v xml:space="preserve">A1 </v>
      </c>
      <c r="AH31" s="75" t="s">
        <v>58</v>
      </c>
      <c r="AI31" s="76"/>
      <c r="AJ31" s="103"/>
      <c r="AL31" s="73">
        <v>29</v>
      </c>
      <c r="AM31" s="47">
        <v>3.6999999999999998E-2</v>
      </c>
      <c r="AN31" s="47">
        <v>1030</v>
      </c>
      <c r="AP31" s="80" t="s">
        <v>17</v>
      </c>
      <c r="AQ31" s="73"/>
      <c r="AR31" s="26"/>
      <c r="AU31" s="67" cm="1">
        <f t="array" ref="AU31">_xlfn.IFS(Y31="m2",(AB31*(1/(Z31/AM31))),Y31="m3",(AB31*(1/(Z31/AM31))),Y31="kg",(AB31*AL31*(1/(Z31/AM31))),Y31="N/A",0)</f>
        <v>0.67600000000000005</v>
      </c>
      <c r="AV31" s="66"/>
    </row>
    <row r="32" spans="1:48" s="25" customFormat="1" ht="25.2" customHeight="1" x14ac:dyDescent="0.15">
      <c r="A32" s="25" t="s">
        <v>1072</v>
      </c>
      <c r="B32" s="47" t="s">
        <v>210</v>
      </c>
      <c r="C32" s="47"/>
      <c r="D32" s="47" t="s">
        <v>218</v>
      </c>
      <c r="E32" s="88" t="s">
        <v>146</v>
      </c>
      <c r="F32" s="47" t="s">
        <v>307</v>
      </c>
      <c r="G32" s="69" t="s">
        <v>376</v>
      </c>
      <c r="H32" s="16"/>
      <c r="I32" s="111">
        <v>1</v>
      </c>
      <c r="J32" s="70">
        <f t="shared" si="0"/>
        <v>0.7014999999999999</v>
      </c>
      <c r="K32" s="143" cm="1">
        <f t="array" ref="K32">IF(AC32="N/A","",_xlfn.IFS(Y32="m2",(AA32*(1/(Z32/AM32)))*I32,Y32="m3",(AA32*(1/(Z32/AM32)))*I32,Y32="kg",(AA32*AL32*(1/(1/AM32)))*I32,Y32="N/A",""))</f>
        <v>0.7014999999999999</v>
      </c>
      <c r="L32" s="71">
        <f t="shared" si="1"/>
        <v>0.68799999999999994</v>
      </c>
      <c r="M32" s="146" cm="1">
        <f t="array" ref="M32">_xlfn.IFS(Y32="m2",(AB32*(1/(Z32/AM32)))*I32,Y32="m3",(AB32*(1/(Z32/AM32)))*I32,Y32="kg",(AB32*AL32*(1/(1/AM32)))*I32,Y32="N/A","")</f>
        <v>0.68799999999999994</v>
      </c>
      <c r="N32" s="52">
        <f t="shared" si="2"/>
        <v>1.35E-2</v>
      </c>
      <c r="O32" s="148" cm="1">
        <f t="array" ref="O32">IF(AC32="N/A","",_xlfn.IFS(Y32="m2",(AC32*(1/(Z32/AM32)))*I32,Y32="m3",(AC32*(1/(Z32/AM32)))*I32,Y32="kg",(AC32*AL32*(1/(1/AM32)))*I32,Y32="N/A",""))</f>
        <v>1.35E-2</v>
      </c>
      <c r="P32" s="72" t="str">
        <f t="shared" si="3"/>
        <v>N/A</v>
      </c>
      <c r="Q32" s="150" t="str" cm="1">
        <f t="array" ref="Q32">IF(AE32="N/A","",_xlfn.IFS(Y32="m2",(AE32*(1/(Z32/AM32)))*I32,Y32="m3",(AE32*(1/(Z32/AM32)))*I32,Y32="kg",(AE32*AL32*(1/(1/AM32)))*I32,Y32="N/A",""))</f>
        <v/>
      </c>
      <c r="R32" s="88" t="s">
        <v>5</v>
      </c>
      <c r="S32" s="164" t="s">
        <v>377</v>
      </c>
      <c r="T32" s="47">
        <v>2026</v>
      </c>
      <c r="U32" s="47" t="s">
        <v>14</v>
      </c>
      <c r="V32" s="69">
        <v>60</v>
      </c>
      <c r="W32" s="17"/>
      <c r="X32" s="178" t="s">
        <v>1074</v>
      </c>
      <c r="Y32" s="73" t="s">
        <v>15</v>
      </c>
      <c r="Z32" s="73">
        <v>3.2000000000000001E-2</v>
      </c>
      <c r="AA32" s="52">
        <f t="shared" si="4"/>
        <v>0.7014999999999999</v>
      </c>
      <c r="AB32" s="52">
        <v>0.68799999999999994</v>
      </c>
      <c r="AC32" s="52">
        <f>0+0.0135</f>
        <v>1.35E-2</v>
      </c>
      <c r="AD32" s="52">
        <v>0</v>
      </c>
      <c r="AE32" s="72" t="s">
        <v>191</v>
      </c>
      <c r="AF32" s="17"/>
      <c r="AG32" s="74" t="str">
        <f t="shared" si="6"/>
        <v xml:space="preserve">A1 </v>
      </c>
      <c r="AH32" s="75" t="s">
        <v>58</v>
      </c>
      <c r="AI32" s="76"/>
      <c r="AJ32" s="103"/>
      <c r="AL32" s="73">
        <v>27</v>
      </c>
      <c r="AM32" s="47">
        <v>3.2000000000000001E-2</v>
      </c>
      <c r="AN32" s="47" t="s">
        <v>191</v>
      </c>
      <c r="AP32" s="105" t="s">
        <v>17</v>
      </c>
      <c r="AQ32" s="81"/>
      <c r="AR32" s="26"/>
      <c r="AU32" s="67" cm="1">
        <f t="array" ref="AU32">_xlfn.IFS(Y32="m2",(AB32*(1/(Z32/AM32))),Y32="m3",(AB32*(1/(Z32/AM32))),Y32="kg",(AB32*AL32*(1/(Z32/AM32))),Y32="N/A",0)</f>
        <v>0.68799999999999994</v>
      </c>
      <c r="AV32" s="66"/>
    </row>
    <row r="33" spans="1:48" s="25" customFormat="1" ht="25.2" customHeight="1" x14ac:dyDescent="0.15">
      <c r="A33" s="25" t="s">
        <v>1078</v>
      </c>
      <c r="B33" s="47" t="s">
        <v>210</v>
      </c>
      <c r="C33" s="47"/>
      <c r="D33" s="47" t="s">
        <v>218</v>
      </c>
      <c r="E33" s="88" t="s">
        <v>146</v>
      </c>
      <c r="F33" s="47" t="s">
        <v>307</v>
      </c>
      <c r="G33" s="69" t="s">
        <v>376</v>
      </c>
      <c r="H33" s="16"/>
      <c r="I33" s="111">
        <v>1</v>
      </c>
      <c r="J33" s="70">
        <f t="shared" si="0"/>
        <v>0.7044999999999999</v>
      </c>
      <c r="K33" s="143" cm="1">
        <f t="array" ref="K33">IF(AC33="N/A","",_xlfn.IFS(Y33="m2",(AA33*(1/(Z33/AM33)))*I33,Y33="m3",(AA33*(1/(Z33/AM33)))*I33,Y33="kg",(AA33*AL33*(1/(1/AM33)))*I33,Y33="N/A",""))</f>
        <v>0.7044999999999999</v>
      </c>
      <c r="L33" s="71">
        <f t="shared" si="1"/>
        <v>0.69099999999999995</v>
      </c>
      <c r="M33" s="146" cm="1">
        <f t="array" ref="M33">_xlfn.IFS(Y33="m2",(AB33*(1/(Z33/AM33)))*I33,Y33="m3",(AB33*(1/(Z33/AM33)))*I33,Y33="kg",(AB33*AL33*(1/(1/AM33)))*I33,Y33="N/A","")</f>
        <v>0.69099999999999995</v>
      </c>
      <c r="N33" s="52">
        <f t="shared" si="2"/>
        <v>1.35E-2</v>
      </c>
      <c r="O33" s="148" cm="1">
        <f t="array" ref="O33">IF(AC33="N/A","",_xlfn.IFS(Y33="m2",(AC33*(1/(Z33/AM33)))*I33,Y33="m3",(AC33*(1/(Z33/AM33)))*I33,Y33="kg",(AC33*AL33*(1/(1/AM33)))*I33,Y33="N/A",""))</f>
        <v>1.35E-2</v>
      </c>
      <c r="P33" s="72" t="str">
        <f t="shared" si="3"/>
        <v>N/A</v>
      </c>
      <c r="Q33" s="150" t="str" cm="1">
        <f t="array" ref="Q33">IF(AE33="N/A","",_xlfn.IFS(Y33="m2",(AE33*(1/(Z33/AM33)))*I33,Y33="m3",(AE33*(1/(Z33/AM33)))*I33,Y33="kg",(AE33*AL33*(1/(1/AM33)))*I33,Y33="N/A",""))</f>
        <v/>
      </c>
      <c r="R33" s="88" t="s">
        <v>5</v>
      </c>
      <c r="S33" s="164" t="s">
        <v>377</v>
      </c>
      <c r="T33" s="47">
        <v>2026</v>
      </c>
      <c r="U33" s="47" t="s">
        <v>14</v>
      </c>
      <c r="V33" s="69">
        <v>60</v>
      </c>
      <c r="W33" s="17"/>
      <c r="X33" s="178" t="s">
        <v>1080</v>
      </c>
      <c r="Y33" s="73" t="s">
        <v>15</v>
      </c>
      <c r="Z33" s="73">
        <v>3.2000000000000001E-2</v>
      </c>
      <c r="AA33" s="52">
        <f t="shared" si="4"/>
        <v>0.7044999999999999</v>
      </c>
      <c r="AB33" s="52">
        <v>0.69099999999999995</v>
      </c>
      <c r="AC33" s="52">
        <f>0+0.0135</f>
        <v>1.35E-2</v>
      </c>
      <c r="AD33" s="52">
        <v>0</v>
      </c>
      <c r="AE33" s="72" t="s">
        <v>191</v>
      </c>
      <c r="AF33" s="17"/>
      <c r="AG33" s="74" t="str">
        <f t="shared" si="6"/>
        <v xml:space="preserve">A1 </v>
      </c>
      <c r="AH33" s="75" t="s">
        <v>58</v>
      </c>
      <c r="AI33" s="76"/>
      <c r="AJ33" s="103"/>
      <c r="AL33" s="73">
        <v>27</v>
      </c>
      <c r="AM33" s="47">
        <v>3.2000000000000001E-2</v>
      </c>
      <c r="AN33" s="47" t="s">
        <v>191</v>
      </c>
      <c r="AP33" s="105" t="s">
        <v>17</v>
      </c>
      <c r="AQ33" s="73"/>
      <c r="AR33" s="26"/>
      <c r="AU33" s="67" cm="1">
        <f t="array" ref="AU33">_xlfn.IFS(Y33="m2",(AB33*(1/(Z33/AM33))),Y33="m3",(AB33*(1/(Z33/AM33))),Y33="kg",(AB33*AL33*(1/(Z33/AM33))),Y33="N/A",0)</f>
        <v>0.69099999999999995</v>
      </c>
      <c r="AV33" s="66"/>
    </row>
    <row r="34" spans="1:48" s="25" customFormat="1" ht="25.2" customHeight="1" x14ac:dyDescent="0.15">
      <c r="A34" s="174" t="s">
        <v>213</v>
      </c>
      <c r="B34" s="47" t="s">
        <v>210</v>
      </c>
      <c r="C34" s="47"/>
      <c r="D34" s="47" t="s">
        <v>209</v>
      </c>
      <c r="E34" s="82" t="s">
        <v>146</v>
      </c>
      <c r="F34" s="47" t="s">
        <v>296</v>
      </c>
      <c r="G34" s="69" t="s">
        <v>376</v>
      </c>
      <c r="H34" s="16"/>
      <c r="I34" s="111">
        <v>1</v>
      </c>
      <c r="J34" s="70">
        <f t="shared" si="0"/>
        <v>0.76021000000000016</v>
      </c>
      <c r="K34" s="143" cm="1">
        <f t="array" ref="K34">IF(AC34="N/A","",_xlfn.IFS(Y34="m2",(AA34*(1/(Z34/AM34)))*I34,Y34="m3",(AA34*(1/(Z34/AM34)))*I34,Y34="kg",(AA34*AL34*(1/(1/AM34)))*I34,Y34="N/A",""))</f>
        <v>0.76021000000000016</v>
      </c>
      <c r="L34" s="71">
        <f t="shared" si="1"/>
        <v>0.74360000000000015</v>
      </c>
      <c r="M34" s="146" cm="1">
        <f t="array" ref="M34">_xlfn.IFS(Y34="m2",(AB34*(1/(Z34/AM34)))*I34,Y34="m3",(AB34*(1/(Z34/AM34)))*I34,Y34="kg",(AB34*AL34*(1/(1/AM34)))*I34,Y34="N/A","")</f>
        <v>0.74360000000000015</v>
      </c>
      <c r="N34" s="52">
        <f t="shared" si="2"/>
        <v>1.6610000000000003E-2</v>
      </c>
      <c r="O34" s="148" cm="1">
        <f t="array" ref="O34">IF(AC34="N/A","",_xlfn.IFS(Y34="m2",(AC34*(1/(Z34/AM34)))*I34,Y34="m3",(AC34*(1/(Z34/AM34)))*I34,Y34="kg",(AC34*AL34*(1/(1/AM34)))*I34,Y34="N/A",""))</f>
        <v>1.6610000000000003E-2</v>
      </c>
      <c r="P34" s="72">
        <f t="shared" si="3"/>
        <v>-5.3130000000000011E-2</v>
      </c>
      <c r="Q34" s="150" cm="1">
        <f t="array" ref="Q34">IF(AE34="N/A","",_xlfn.IFS(Y34="m2",(AE34*(1/(Z34/AM34)))*I34,Y34="m3",(AE34*(1/(Z34/AM34)))*I34,Y34="kg",(AE34*AL34*(1/(1/AM34)))*I34,Y34="N/A",""))</f>
        <v>-5.3130000000000011E-2</v>
      </c>
      <c r="R34" s="82" t="s">
        <v>5</v>
      </c>
      <c r="S34" s="164"/>
      <c r="T34" s="47">
        <v>2027</v>
      </c>
      <c r="U34" s="47" t="s">
        <v>28</v>
      </c>
      <c r="V34" s="69">
        <v>60</v>
      </c>
      <c r="W34" s="17"/>
      <c r="X34" s="178" t="s">
        <v>539</v>
      </c>
      <c r="Y34" s="73" t="s">
        <v>15</v>
      </c>
      <c r="Z34" s="73">
        <v>3.6999999999999998E-2</v>
      </c>
      <c r="AA34" s="52">
        <f t="shared" si="4"/>
        <v>0.76021000000000016</v>
      </c>
      <c r="AB34" s="52">
        <f>1.1*0.676</f>
        <v>0.74360000000000015</v>
      </c>
      <c r="AC34" s="52">
        <f>1.1*(0+0.0151)</f>
        <v>1.6610000000000003E-2</v>
      </c>
      <c r="AD34" s="52">
        <f>1.1*-0.026</f>
        <v>-2.86E-2</v>
      </c>
      <c r="AE34" s="72">
        <f>1.1*-0.0483</f>
        <v>-5.3130000000000011E-2</v>
      </c>
      <c r="AF34" s="17"/>
      <c r="AG34" s="74" t="str">
        <f t="shared" si="6"/>
        <v xml:space="preserve">A1 </v>
      </c>
      <c r="AH34" s="75" t="s">
        <v>58</v>
      </c>
      <c r="AI34" s="76"/>
      <c r="AJ34" s="103"/>
      <c r="AL34" s="73">
        <v>33</v>
      </c>
      <c r="AM34" s="47">
        <v>3.6999999999999998E-2</v>
      </c>
      <c r="AN34" s="47">
        <v>1030</v>
      </c>
      <c r="AP34" s="80" t="s">
        <v>17</v>
      </c>
      <c r="AQ34" s="73"/>
      <c r="AR34" s="26"/>
      <c r="AU34" s="67" cm="1">
        <f t="array" ref="AU34">_xlfn.IFS(Y34="m2",(AB34*(1/(Z34/AM34))),Y34="m3",(AB34*(1/(Z34/AM34))),Y34="kg",(AB34*AL34*(1/(Z34/AM34))),Y34="N/A",0)</f>
        <v>0.74360000000000015</v>
      </c>
      <c r="AV34" s="66"/>
    </row>
    <row r="35" spans="1:48" s="25" customFormat="1" ht="25.2" customHeight="1" x14ac:dyDescent="0.15">
      <c r="A35" s="174" t="s">
        <v>216</v>
      </c>
      <c r="B35" s="47" t="s">
        <v>210</v>
      </c>
      <c r="C35" s="47"/>
      <c r="D35" s="47" t="s">
        <v>209</v>
      </c>
      <c r="E35" s="82" t="s">
        <v>146</v>
      </c>
      <c r="F35" s="47" t="s">
        <v>296</v>
      </c>
      <c r="G35" s="69" t="s">
        <v>376</v>
      </c>
      <c r="H35" s="16"/>
      <c r="I35" s="111">
        <v>1</v>
      </c>
      <c r="J35" s="70">
        <f t="shared" si="0"/>
        <v>0.76021000000000016</v>
      </c>
      <c r="K35" s="143" cm="1">
        <f t="array" ref="K35">IF(AC35="N/A","",_xlfn.IFS(Y35="m2",(AA35*(1/(Z35/AM35)))*I35,Y35="m3",(AA35*(1/(Z35/AM35)))*I35,Y35="kg",(AA35*AL35*(1/(1/AM35)))*I35,Y35="N/A",""))</f>
        <v>0.76021000000000016</v>
      </c>
      <c r="L35" s="71">
        <f t="shared" si="1"/>
        <v>0.74360000000000015</v>
      </c>
      <c r="M35" s="146" cm="1">
        <f t="array" ref="M35">_xlfn.IFS(Y35="m2",(AB35*(1/(Z35/AM35)))*I35,Y35="m3",(AB35*(1/(Z35/AM35)))*I35,Y35="kg",(AB35*AL35*(1/(1/AM35)))*I35,Y35="N/A","")</f>
        <v>0.74360000000000015</v>
      </c>
      <c r="N35" s="52">
        <f t="shared" si="2"/>
        <v>1.6610000000000003E-2</v>
      </c>
      <c r="O35" s="148" cm="1">
        <f t="array" ref="O35">IF(AC35="N/A","",_xlfn.IFS(Y35="m2",(AC35*(1/(Z35/AM35)))*I35,Y35="m3",(AC35*(1/(Z35/AM35)))*I35,Y35="kg",(AC35*AL35*(1/(1/AM35)))*I35,Y35="N/A",""))</f>
        <v>1.6610000000000003E-2</v>
      </c>
      <c r="P35" s="72">
        <f t="shared" si="3"/>
        <v>-5.3130000000000011E-2</v>
      </c>
      <c r="Q35" s="150" cm="1">
        <f t="array" ref="Q35">IF(AE35="N/A","",_xlfn.IFS(Y35="m2",(AE35*(1/(Z35/AM35)))*I35,Y35="m3",(AE35*(1/(Z35/AM35)))*I35,Y35="kg",(AE35*AL35*(1/(1/AM35)))*I35,Y35="N/A",""))</f>
        <v>-5.3130000000000011E-2</v>
      </c>
      <c r="R35" s="82" t="s">
        <v>5</v>
      </c>
      <c r="S35" s="164"/>
      <c r="T35" s="47">
        <v>2027</v>
      </c>
      <c r="U35" s="47" t="s">
        <v>28</v>
      </c>
      <c r="V35" s="69">
        <v>60</v>
      </c>
      <c r="W35" s="17"/>
      <c r="X35" s="178" t="s">
        <v>539</v>
      </c>
      <c r="Y35" s="73" t="s">
        <v>15</v>
      </c>
      <c r="Z35" s="73">
        <v>3.6999999999999998E-2</v>
      </c>
      <c r="AA35" s="52">
        <f t="shared" si="4"/>
        <v>0.76021000000000016</v>
      </c>
      <c r="AB35" s="52">
        <f>1.1*0.676</f>
        <v>0.74360000000000015</v>
      </c>
      <c r="AC35" s="52">
        <f>1.1*(0+0.0151)</f>
        <v>1.6610000000000003E-2</v>
      </c>
      <c r="AD35" s="52">
        <f>1.1*-0.026</f>
        <v>-2.86E-2</v>
      </c>
      <c r="AE35" s="72">
        <f>1.1*-0.0483</f>
        <v>-5.3130000000000011E-2</v>
      </c>
      <c r="AF35" s="17"/>
      <c r="AG35" s="74" t="str">
        <f t="shared" si="6"/>
        <v xml:space="preserve">A1 </v>
      </c>
      <c r="AH35" s="75" t="s">
        <v>58</v>
      </c>
      <c r="AI35" s="76"/>
      <c r="AJ35" s="103"/>
      <c r="AL35" s="73">
        <v>30</v>
      </c>
      <c r="AM35" s="47">
        <v>3.6999999999999998E-2</v>
      </c>
      <c r="AN35" s="47">
        <v>1030</v>
      </c>
      <c r="AP35" s="80" t="s">
        <v>17</v>
      </c>
      <c r="AQ35" s="73"/>
      <c r="AR35" s="26"/>
      <c r="AU35" s="67" cm="1">
        <f t="array" ref="AU35">_xlfn.IFS(Y35="m2",(AB35*(1/(Z35/AM35))),Y35="m3",(AB35*(1/(Z35/AM35))),Y35="kg",(AB35*AL35*(1/(Z35/AM35))),Y35="N/A",0)</f>
        <v>0.74360000000000015</v>
      </c>
      <c r="AV35" s="66"/>
    </row>
    <row r="36" spans="1:48" s="25" customFormat="1" ht="25.2" customHeight="1" x14ac:dyDescent="0.15">
      <c r="A36" s="174" t="s">
        <v>497</v>
      </c>
      <c r="B36" s="47" t="s">
        <v>210</v>
      </c>
      <c r="C36" s="47"/>
      <c r="D36" s="47" t="s">
        <v>209</v>
      </c>
      <c r="E36" s="82" t="s">
        <v>146</v>
      </c>
      <c r="F36" s="47" t="s">
        <v>296</v>
      </c>
      <c r="G36" s="69" t="s">
        <v>376</v>
      </c>
      <c r="H36" s="16"/>
      <c r="I36" s="111">
        <v>1</v>
      </c>
      <c r="J36" s="70">
        <f t="shared" si="0"/>
        <v>0.76968999999999999</v>
      </c>
      <c r="K36" s="143" cm="1">
        <f t="array" ref="K36">IF(AC36="N/A","",_xlfn.IFS(Y36="m2",(AA36*(1/(Z36/AM36)))*I36,Y36="m3",(AA36*(1/(Z36/AM36)))*I36,Y36="kg",(AA36*AL36*(1/(1/AM36)))*I36,Y36="N/A",""))</f>
        <v>0.76968999999999999</v>
      </c>
      <c r="L36" s="71">
        <f t="shared" si="1"/>
        <v>0.74099999999999999</v>
      </c>
      <c r="M36" s="146" cm="1">
        <f t="array" ref="M36">_xlfn.IFS(Y36="m2",(AB36*(1/(Z36/AM36)))*I36,Y36="m3",(AB36*(1/(Z36/AM36)))*I36,Y36="kg",(AB36*AL36*(1/(1/AM36)))*I36,Y36="N/A","")</f>
        <v>0.74099999999999999</v>
      </c>
      <c r="N36" s="52">
        <f t="shared" si="2"/>
        <v>2.869E-2</v>
      </c>
      <c r="O36" s="148" cm="1">
        <f t="array" ref="O36">IF(AC36="N/A","",_xlfn.IFS(Y36="m2",(AC36*(1/(Z36/AM36)))*I36,Y36="m3",(AC36*(1/(Z36/AM36)))*I36,Y36="kg",(AC36*AL36*(1/(1/AM36)))*I36,Y36="N/A",""))</f>
        <v>2.869E-2</v>
      </c>
      <c r="P36" s="72">
        <f t="shared" si="3"/>
        <v>-9.3669999999999989E-2</v>
      </c>
      <c r="Q36" s="150" cm="1">
        <f t="array" ref="Q36">IF(AE36="N/A","",_xlfn.IFS(Y36="m2",(AE36*(1/(Z36/AM36)))*I36,Y36="m3",(AE36*(1/(Z36/AM36)))*I36,Y36="kg",(AE36*AL36*(1/(1/AM36)))*I36,Y36="N/A",""))</f>
        <v>-9.3669999999999989E-2</v>
      </c>
      <c r="R36" s="82" t="s">
        <v>5</v>
      </c>
      <c r="S36" s="164" t="s">
        <v>377</v>
      </c>
      <c r="T36" s="47">
        <v>2027</v>
      </c>
      <c r="U36" s="47" t="s">
        <v>28</v>
      </c>
      <c r="V36" s="69">
        <v>60</v>
      </c>
      <c r="W36" s="17"/>
      <c r="X36" s="178" t="s">
        <v>539</v>
      </c>
      <c r="Y36" s="73" t="s">
        <v>15</v>
      </c>
      <c r="Z36" s="73">
        <v>3.2000000000000001E-2</v>
      </c>
      <c r="AA36" s="52">
        <f t="shared" si="4"/>
        <v>0.76968999999999999</v>
      </c>
      <c r="AB36" s="52">
        <f>1.9*0.39</f>
        <v>0.74099999999999999</v>
      </c>
      <c r="AC36" s="52">
        <f>1.9*(0+0.0151)</f>
        <v>2.869E-2</v>
      </c>
      <c r="AD36" s="52">
        <f>1.9*-0.026</f>
        <v>-4.9399999999999993E-2</v>
      </c>
      <c r="AE36" s="72">
        <f>1.9*-0.0493</f>
        <v>-9.3669999999999989E-2</v>
      </c>
      <c r="AF36" s="17"/>
      <c r="AG36" s="74" t="str">
        <f t="shared" si="6"/>
        <v xml:space="preserve">A1 </v>
      </c>
      <c r="AH36" s="75" t="s">
        <v>58</v>
      </c>
      <c r="AI36" s="76"/>
      <c r="AJ36" s="103"/>
      <c r="AL36" s="73">
        <v>60</v>
      </c>
      <c r="AM36" s="47">
        <v>3.2000000000000001E-2</v>
      </c>
      <c r="AN36" s="47">
        <v>1030</v>
      </c>
      <c r="AP36" s="105" t="s">
        <v>17</v>
      </c>
      <c r="AQ36" s="73"/>
      <c r="AR36" s="26"/>
      <c r="AU36" s="67" cm="1">
        <f t="array" ref="AU36">_xlfn.IFS(Y36="m2",(AB36*(1/(Z36/AM36))),Y36="m3",(AB36*(1/(Z36/AM36))),Y36="kg",(AB36*AL36*(1/(Z36/AM36))),Y36="N/A",0)</f>
        <v>0.74099999999999999</v>
      </c>
      <c r="AV36" s="66"/>
    </row>
    <row r="37" spans="1:48" s="25" customFormat="1" ht="25.2" customHeight="1" x14ac:dyDescent="0.15">
      <c r="A37" s="25" t="s">
        <v>12</v>
      </c>
      <c r="B37" s="47" t="s">
        <v>208</v>
      </c>
      <c r="C37" s="47"/>
      <c r="D37" s="47" t="s">
        <v>158</v>
      </c>
      <c r="E37" s="82" t="s">
        <v>140</v>
      </c>
      <c r="F37" s="85" t="s">
        <v>13</v>
      </c>
      <c r="G37" s="69" t="s">
        <v>376</v>
      </c>
      <c r="H37" s="16"/>
      <c r="I37" s="111">
        <v>1</v>
      </c>
      <c r="J37" s="70">
        <f t="shared" si="0"/>
        <v>-2.2181000000000002</v>
      </c>
      <c r="K37" s="143" cm="1">
        <f t="array" ref="K37">IF(AC37="N/A","",_xlfn.IFS(Y37="m2",(AA37*(1/(Z37/AM37)))*I37,Y37="m3",(AA37*(1/(Z37/AM37)))*I37,Y37="kg",(AA37*AL37*(1/(1/AM37)))*I37,Y37="N/A",""))</f>
        <v>-2.2181000000000002</v>
      </c>
      <c r="L37" s="71">
        <f t="shared" si="1"/>
        <v>-3.2144000000000004</v>
      </c>
      <c r="M37" s="146" cm="1">
        <f t="array" ref="M37">_xlfn.IFS(Y37="m2",(AB37*(1/(Z37/AM37)))*I37,Y37="m3",(AB37*(1/(Z37/AM37)))*I37,Y37="kg",(AB37*AL37*(1/(1/AM37)))*I37,Y37="N/A","")</f>
        <v>-3.2144000000000004</v>
      </c>
      <c r="N37" s="52">
        <f t="shared" si="2"/>
        <v>0.99630000000000019</v>
      </c>
      <c r="O37" s="148" cm="1">
        <f t="array" ref="O37">IF(AC37="N/A","",_xlfn.IFS(Y37="m2",(AC37*(1/(Z37/AM37)))*I37,Y37="m3",(AC37*(1/(Z37/AM37)))*I37,Y37="kg",(AC37*AL37*(1/(1/AM37)))*I37,Y37="N/A",""))</f>
        <v>0.99630000000000019</v>
      </c>
      <c r="P37" s="72">
        <f t="shared" si="3"/>
        <v>-3.5752000000000006</v>
      </c>
      <c r="Q37" s="150" cm="1">
        <f t="array" ref="Q37">IF(AE37="N/A","",_xlfn.IFS(Y37="m2",(AE37*(1/(Z37/AM37)))*I37,Y37="m3",(AE37*(1/(Z37/AM37)))*I37,Y37="kg",(AE37*AL37*(1/(1/AM37)))*I37,Y37="N/A",""))</f>
        <v>-3.5752000000000006</v>
      </c>
      <c r="R37" s="82" t="s">
        <v>5</v>
      </c>
      <c r="S37" s="164"/>
      <c r="T37" s="47">
        <v>2026</v>
      </c>
      <c r="U37" s="47" t="s">
        <v>14</v>
      </c>
      <c r="V37" s="69" t="s">
        <v>191</v>
      </c>
      <c r="W37" s="17"/>
      <c r="X37" s="178" t="s">
        <v>191</v>
      </c>
      <c r="Y37" s="73" t="s">
        <v>15</v>
      </c>
      <c r="Z37" s="73">
        <v>0.1</v>
      </c>
      <c r="AA37" s="52">
        <f t="shared" si="4"/>
        <v>-5.41</v>
      </c>
      <c r="AB37" s="52">
        <v>-7.84</v>
      </c>
      <c r="AC37" s="52">
        <f>0+2.43</f>
        <v>2.4300000000000002</v>
      </c>
      <c r="AD37" s="52" t="s">
        <v>191</v>
      </c>
      <c r="AE37" s="72">
        <v>-8.7200000000000006</v>
      </c>
      <c r="AF37" s="17"/>
      <c r="AG37" s="74" t="str">
        <f t="shared" si="6"/>
        <v xml:space="preserve">E </v>
      </c>
      <c r="AH37" s="75" t="s">
        <v>16</v>
      </c>
      <c r="AI37" s="76"/>
      <c r="AJ37" s="77"/>
      <c r="AL37" s="73">
        <v>40</v>
      </c>
      <c r="AM37" s="47">
        <v>4.1000000000000002E-2</v>
      </c>
      <c r="AN37" s="47">
        <v>1500</v>
      </c>
      <c r="AP37" s="80" t="s">
        <v>17</v>
      </c>
      <c r="AQ37" s="256"/>
      <c r="AR37" s="26"/>
      <c r="AU37" s="67" cm="1">
        <f t="array" ref="AU37">_xlfn.IFS(Y37="m2",(AB37*(1/(Z37/AM37))),Y37="m3",(AB37*(1/(Z37/AM37))),Y37="kg",(AB37*AL37*(1/(Z37/AM37))),Y37="N/A",0)</f>
        <v>-3.2144000000000004</v>
      </c>
      <c r="AV37" s="66"/>
    </row>
    <row r="38" spans="1:48" s="25" customFormat="1" ht="25.2" customHeight="1" x14ac:dyDescent="0.15">
      <c r="A38" s="174" t="s">
        <v>502</v>
      </c>
      <c r="B38" s="47" t="s">
        <v>210</v>
      </c>
      <c r="C38" s="47"/>
      <c r="D38" s="47" t="s">
        <v>209</v>
      </c>
      <c r="E38" s="82" t="s">
        <v>146</v>
      </c>
      <c r="F38" s="47" t="s">
        <v>296</v>
      </c>
      <c r="G38" s="69" t="s">
        <v>376</v>
      </c>
      <c r="H38" s="16"/>
      <c r="I38" s="111">
        <v>1</v>
      </c>
      <c r="J38" s="70">
        <f t="shared" ref="J38:J69" si="7">IF(AC38="N/A","N/A",IF(K38="","N/A",K38))</f>
        <v>0.76968999999999999</v>
      </c>
      <c r="K38" s="143" cm="1">
        <f t="array" ref="K38">IF(AC38="N/A","",_xlfn.IFS(Y38="m2",(AA38*(1/(Z38/AM38)))*I38,Y38="m3",(AA38*(1/(Z38/AM38)))*I38,Y38="kg",(AA38*AL38*(1/(1/AM38)))*I38,Y38="N/A",""))</f>
        <v>0.76968999999999999</v>
      </c>
      <c r="L38" s="71">
        <f t="shared" ref="L38:L69" si="8">IF(M38="","N/A",M38)</f>
        <v>0.74099999999999999</v>
      </c>
      <c r="M38" s="146" cm="1">
        <f t="array" ref="M38">_xlfn.IFS(Y38="m2",(AB38*(1/(Z38/AM38)))*I38,Y38="m3",(AB38*(1/(Z38/AM38)))*I38,Y38="kg",(AB38*AL38*(1/(1/AM38)))*I38,Y38="N/A","")</f>
        <v>0.74099999999999999</v>
      </c>
      <c r="N38" s="52">
        <f t="shared" ref="N38:N69" si="9">IF(O38="","N/A",O38)</f>
        <v>2.869E-2</v>
      </c>
      <c r="O38" s="148" cm="1">
        <f t="array" ref="O38">IF(AC38="N/A","",_xlfn.IFS(Y38="m2",(AC38*(1/(Z38/AM38)))*I38,Y38="m3",(AC38*(1/(Z38/AM38)))*I38,Y38="kg",(AC38*AL38*(1/(1/AM38)))*I38,Y38="N/A",""))</f>
        <v>2.869E-2</v>
      </c>
      <c r="P38" s="72">
        <f t="shared" ref="P38:P69" si="10">IF(Q38="","N/A",Q38)</f>
        <v>-9.3669999999999989E-2</v>
      </c>
      <c r="Q38" s="150" cm="1">
        <f t="array" ref="Q38">IF(AE38="N/A","",_xlfn.IFS(Y38="m2",(AE38*(1/(Z38/AM38)))*I38,Y38="m3",(AE38*(1/(Z38/AM38)))*I38,Y38="kg",(AE38*AL38*(1/(1/AM38)))*I38,Y38="N/A",""))</f>
        <v>-9.3669999999999989E-2</v>
      </c>
      <c r="R38" s="82" t="s">
        <v>5</v>
      </c>
      <c r="S38" s="164" t="s">
        <v>377</v>
      </c>
      <c r="T38" s="47">
        <v>2027</v>
      </c>
      <c r="U38" s="47" t="s">
        <v>28</v>
      </c>
      <c r="V38" s="69">
        <v>60</v>
      </c>
      <c r="W38" s="17"/>
      <c r="X38" s="178" t="s">
        <v>539</v>
      </c>
      <c r="Y38" s="73" t="s">
        <v>15</v>
      </c>
      <c r="Z38" s="73">
        <v>3.2000000000000001E-2</v>
      </c>
      <c r="AA38" s="52">
        <f t="shared" ref="AA38:AA69" si="11">IF(AC38="N/A","N/A",SUM(AB38:AC38))</f>
        <v>0.76968999999999999</v>
      </c>
      <c r="AB38" s="52">
        <f>1.9*0.39</f>
        <v>0.74099999999999999</v>
      </c>
      <c r="AC38" s="52">
        <f>1.9*(0+0.0151)</f>
        <v>2.869E-2</v>
      </c>
      <c r="AD38" s="52">
        <f>1.9*-0.026</f>
        <v>-4.9399999999999993E-2</v>
      </c>
      <c r="AE38" s="72">
        <f>1.9*-0.0493</f>
        <v>-9.3669999999999989E-2</v>
      </c>
      <c r="AF38" s="17"/>
      <c r="AG38" s="74" t="str">
        <f t="shared" si="6"/>
        <v xml:space="preserve">A1 </v>
      </c>
      <c r="AH38" s="75" t="s">
        <v>58</v>
      </c>
      <c r="AI38" s="76"/>
      <c r="AJ38" s="103"/>
      <c r="AL38" s="73">
        <v>65</v>
      </c>
      <c r="AM38" s="47">
        <v>3.2000000000000001E-2</v>
      </c>
      <c r="AN38" s="47">
        <v>1030</v>
      </c>
      <c r="AP38" s="105" t="s">
        <v>17</v>
      </c>
      <c r="AQ38" s="73"/>
      <c r="AR38" s="26"/>
      <c r="AU38" s="67" cm="1">
        <f t="array" ref="AU38">_xlfn.IFS(Y38="m2",(AB38*(1/(Z38/AM38))),Y38="m3",(AB38*(1/(Z38/AM38))),Y38="kg",(AB38*AL38*(1/(Z38/AM38))),Y38="N/A",0)</f>
        <v>0.74099999999999999</v>
      </c>
      <c r="AV38" s="66"/>
    </row>
    <row r="39" spans="1:48" s="25" customFormat="1" ht="25.2" customHeight="1" x14ac:dyDescent="0.15">
      <c r="A39" s="25" t="s">
        <v>101</v>
      </c>
      <c r="B39" s="47" t="s">
        <v>208</v>
      </c>
      <c r="C39" s="47"/>
      <c r="D39" s="47" t="s">
        <v>102</v>
      </c>
      <c r="E39" s="47" t="s">
        <v>191</v>
      </c>
      <c r="F39" s="47" t="s">
        <v>40</v>
      </c>
      <c r="G39" s="69" t="s">
        <v>175</v>
      </c>
      <c r="H39" s="16"/>
      <c r="I39" s="111">
        <v>1</v>
      </c>
      <c r="J39" s="70" t="str">
        <f t="shared" si="7"/>
        <v>N/A</v>
      </c>
      <c r="K39" s="143" t="str" cm="1">
        <f t="array" ref="K39">IF(AC39="N/A","",_xlfn.IFS(Y39="m2",(AA39*(1/(Z39/AM39)))*I39,Y39="m3",(AA39*(1/(Z39/AM39)))*I39,Y39="kg",(AA39*AL39*(1/(1/AM39)))*I39,Y39="N/A",""))</f>
        <v/>
      </c>
      <c r="L39" s="71" t="str">
        <f t="shared" si="8"/>
        <v>N/A</v>
      </c>
      <c r="M39" s="146" t="str" cm="1">
        <f t="array" ref="M39">_xlfn.IFS(Y39="m2",(AB39*(1/(Z39/AM39)))*I39,Y39="m3",(AB39*(1/(Z39/AM39)))*I39,Y39="kg",(AB39*AL39*(1/(1/AM39)))*I39,Y39="N/A","")</f>
        <v/>
      </c>
      <c r="N39" s="52" t="str">
        <f t="shared" si="9"/>
        <v>N/A</v>
      </c>
      <c r="O39" s="148" t="str" cm="1">
        <f t="array" ref="O39">IF(AC39="N/A","",_xlfn.IFS(Y39="m2",(AC39*(1/(Z39/AM39)))*I39,Y39="m3",(AC39*(1/(Z39/AM39)))*I39,Y39="kg",(AC39*AL39*(1/(1/AM39)))*I39,Y39="N/A",""))</f>
        <v/>
      </c>
      <c r="P39" s="72" t="str">
        <f t="shared" si="10"/>
        <v>N/A</v>
      </c>
      <c r="Q39" s="150" t="str" cm="1">
        <f t="array" ref="Q39">IF(AE39="N/A","",_xlfn.IFS(Y39="m2",(AE39*(1/(Z39/AM39)))*I39,Y39="m3",(AE39*(1/(Z39/AM39)))*I39,Y39="kg",(AE39*AL39*(1/(1/AM39)))*I39,Y39="N/A",""))</f>
        <v/>
      </c>
      <c r="R39" s="47" t="s">
        <v>191</v>
      </c>
      <c r="S39" s="47"/>
      <c r="T39" s="47" t="s">
        <v>191</v>
      </c>
      <c r="U39" s="47" t="s">
        <v>191</v>
      </c>
      <c r="V39" s="69" t="s">
        <v>191</v>
      </c>
      <c r="W39" s="17"/>
      <c r="X39" s="178" t="s">
        <v>191</v>
      </c>
      <c r="Y39" s="73" t="s">
        <v>191</v>
      </c>
      <c r="Z39" s="73" t="s">
        <v>191</v>
      </c>
      <c r="AA39" s="52" t="str">
        <f t="shared" si="11"/>
        <v>N/A</v>
      </c>
      <c r="AB39" s="52" t="s">
        <v>191</v>
      </c>
      <c r="AC39" s="52" t="s">
        <v>191</v>
      </c>
      <c r="AD39" s="52" t="s">
        <v>191</v>
      </c>
      <c r="AE39" s="72" t="s">
        <v>191</v>
      </c>
      <c r="AF39" s="17"/>
      <c r="AG39" s="74" t="str">
        <f t="shared" si="6"/>
        <v xml:space="preserve">F </v>
      </c>
      <c r="AH39" s="75" t="s">
        <v>82</v>
      </c>
      <c r="AI39" s="76"/>
      <c r="AJ39" s="77"/>
      <c r="AL39" s="73" t="s">
        <v>191</v>
      </c>
      <c r="AM39" s="47" t="s">
        <v>191</v>
      </c>
      <c r="AN39" s="47" t="s">
        <v>191</v>
      </c>
      <c r="AP39" s="80" t="s">
        <v>17</v>
      </c>
      <c r="AQ39" s="256"/>
      <c r="AR39" s="26"/>
      <c r="AU39" s="67" cm="1">
        <f t="array" ref="AU39">_xlfn.IFS(Y39="m2",(AB39*(1/(Z39/AM39))),Y39="m3",(AB39*(1/(Z39/AM39))),Y39="kg",(AB39*AL39*(1/(Z39/AM39))),Y39="N/A",0)</f>
        <v>0</v>
      </c>
      <c r="AV39" s="66"/>
    </row>
    <row r="40" spans="1:48" s="25" customFormat="1" ht="25.2" customHeight="1" x14ac:dyDescent="0.15">
      <c r="A40" s="25" t="s">
        <v>189</v>
      </c>
      <c r="B40" s="47" t="s">
        <v>208</v>
      </c>
      <c r="C40" s="47"/>
      <c r="D40" s="47" t="s">
        <v>190</v>
      </c>
      <c r="E40" s="82" t="s">
        <v>152</v>
      </c>
      <c r="F40" s="47" t="s">
        <v>295</v>
      </c>
      <c r="G40" s="69" t="s">
        <v>292</v>
      </c>
      <c r="H40" s="16"/>
      <c r="I40" s="111">
        <v>1</v>
      </c>
      <c r="J40" s="70" t="str">
        <f t="shared" si="7"/>
        <v>N/A</v>
      </c>
      <c r="K40" s="143" t="str" cm="1">
        <f t="array" ref="K40">IF(AC40="N/A","",_xlfn.IFS(Y40="m2",(AA40*(1/(Z40/AM40)))*I40,Y40="m3",(AA40*(1/(Z40/AM40)))*I40,Y40="kg",(AA40*AL40*(1/(1/AM40)))*I40,Y40="N/A",""))</f>
        <v/>
      </c>
      <c r="L40" s="71" t="str">
        <f t="shared" si="8"/>
        <v>N/A</v>
      </c>
      <c r="M40" s="146" t="str" cm="1">
        <f t="array" ref="M40">_xlfn.IFS(Y40="m2",(AB40*(1/(Z40/AM40)))*I40,Y40="m3",(AB40*(1/(Z40/AM40)))*I40,Y40="kg",(AB40*AL40*(1/(1/AM40)))*I40,Y40="N/A","")</f>
        <v/>
      </c>
      <c r="N40" s="52" t="str">
        <f t="shared" si="9"/>
        <v>N/A</v>
      </c>
      <c r="O40" s="148" t="str" cm="1">
        <f t="array" ref="O40">IF(AC40="N/A","",_xlfn.IFS(Y40="m2",(AC40*(1/(Z40/AM40)))*I40,Y40="m3",(AC40*(1/(Z40/AM40)))*I40,Y40="kg",(AC40*AL40*(1/(1/AM40)))*I40,Y40="N/A",""))</f>
        <v/>
      </c>
      <c r="P40" s="72" t="str">
        <f t="shared" si="10"/>
        <v>N/A</v>
      </c>
      <c r="Q40" s="150" t="str" cm="1">
        <f t="array" ref="Q40">IF(AE40="N/A","",_xlfn.IFS(Y40="m2",(AE40*(1/(Z40/AM40)))*I40,Y40="m3",(AE40*(1/(Z40/AM40)))*I40,Y40="kg",(AE40*AL40*(1/(1/AM40)))*I40,Y40="N/A",""))</f>
        <v/>
      </c>
      <c r="R40" s="52" t="s">
        <v>191</v>
      </c>
      <c r="S40" s="52"/>
      <c r="T40" s="52" t="s">
        <v>191</v>
      </c>
      <c r="U40" s="52" t="s">
        <v>191</v>
      </c>
      <c r="V40" s="72" t="s">
        <v>191</v>
      </c>
      <c r="W40" s="17"/>
      <c r="X40" s="178" t="s">
        <v>191</v>
      </c>
      <c r="Y40" s="73" t="s">
        <v>191</v>
      </c>
      <c r="Z40" s="73" t="s">
        <v>191</v>
      </c>
      <c r="AA40" s="52" t="str">
        <f t="shared" si="11"/>
        <v>N/A</v>
      </c>
      <c r="AB40" s="52" t="s">
        <v>191</v>
      </c>
      <c r="AC40" s="52" t="s">
        <v>191</v>
      </c>
      <c r="AD40" s="52" t="s">
        <v>191</v>
      </c>
      <c r="AE40" s="72" t="s">
        <v>191</v>
      </c>
      <c r="AF40" s="17"/>
      <c r="AG40" s="74" t="str">
        <f t="shared" si="6"/>
        <v xml:space="preserve">F </v>
      </c>
      <c r="AH40" s="75" t="s">
        <v>82</v>
      </c>
      <c r="AI40" s="76"/>
      <c r="AJ40" s="96"/>
      <c r="AL40" s="95" t="s">
        <v>191</v>
      </c>
      <c r="AM40" s="52" t="s">
        <v>191</v>
      </c>
      <c r="AN40" s="52" t="s">
        <v>191</v>
      </c>
      <c r="AP40" s="105" t="s">
        <v>17</v>
      </c>
      <c r="AQ40" s="73"/>
      <c r="AR40" s="26"/>
      <c r="AU40" s="67" cm="1">
        <f t="array" ref="AU40">_xlfn.IFS(Y40="m2",(AB40*(1/(Z40/AM40))),Y40="m3",(AB40*(1/(Z40/AM40))),Y40="kg",(AB40*AL40*(1/(Z40/AM40))),Y40="N/A",0)</f>
        <v>0</v>
      </c>
      <c r="AV40" s="66"/>
    </row>
    <row r="41" spans="1:48" s="25" customFormat="1" ht="25.2" customHeight="1" x14ac:dyDescent="0.15">
      <c r="A41" s="25" t="s">
        <v>188</v>
      </c>
      <c r="B41" s="47" t="s">
        <v>208</v>
      </c>
      <c r="C41" s="47"/>
      <c r="D41" s="47" t="s">
        <v>190</v>
      </c>
      <c r="E41" s="82" t="s">
        <v>152</v>
      </c>
      <c r="F41" s="47" t="s">
        <v>295</v>
      </c>
      <c r="G41" s="69" t="s">
        <v>376</v>
      </c>
      <c r="H41" s="16"/>
      <c r="I41" s="111">
        <v>1</v>
      </c>
      <c r="J41" s="70" t="str">
        <f t="shared" si="7"/>
        <v>N/A</v>
      </c>
      <c r="K41" s="143" t="str" cm="1">
        <f t="array" ref="K41">IF(AC41="N/A","",_xlfn.IFS(Y41="m2",(AA41*(1/(Z41/AM41)))*I41,Y41="m3",(AA41*(1/(Z41/AM41)))*I41,Y41="kg",(AA41*AL41*(1/(1/AM41)))*I41,Y41="N/A",""))</f>
        <v/>
      </c>
      <c r="L41" s="71" t="str">
        <f t="shared" si="8"/>
        <v>N/A</v>
      </c>
      <c r="M41" s="146" t="str" cm="1">
        <f t="array" ref="M41">_xlfn.IFS(Y41="m2",(AB41*(1/(Z41/AM41)))*I41,Y41="m3",(AB41*(1/(Z41/AM41)))*I41,Y41="kg",(AB41*AL41*(1/(1/AM41)))*I41,Y41="N/A","")</f>
        <v/>
      </c>
      <c r="N41" s="52" t="str">
        <f t="shared" si="9"/>
        <v>N/A</v>
      </c>
      <c r="O41" s="148" t="str" cm="1">
        <f t="array" ref="O41">IF(AC41="N/A","",_xlfn.IFS(Y41="m2",(AC41*(1/(Z41/AM41)))*I41,Y41="m3",(AC41*(1/(Z41/AM41)))*I41,Y41="kg",(AC41*AL41*(1/(1/AM41)))*I41,Y41="N/A",""))</f>
        <v/>
      </c>
      <c r="P41" s="72" t="str">
        <f t="shared" si="10"/>
        <v>N/A</v>
      </c>
      <c r="Q41" s="150" t="str" cm="1">
        <f t="array" ref="Q41">IF(AE41="N/A","",_xlfn.IFS(Y41="m2",(AE41*(1/(Z41/AM41)))*I41,Y41="m3",(AE41*(1/(Z41/AM41)))*I41,Y41="kg",(AE41*AL41*(1/(1/AM41)))*I41,Y41="N/A",""))</f>
        <v/>
      </c>
      <c r="R41" s="52" t="s">
        <v>191</v>
      </c>
      <c r="S41" s="52"/>
      <c r="T41" s="52" t="s">
        <v>191</v>
      </c>
      <c r="U41" s="52" t="s">
        <v>191</v>
      </c>
      <c r="V41" s="72" t="s">
        <v>191</v>
      </c>
      <c r="W41" s="17"/>
      <c r="X41" s="178" t="s">
        <v>191</v>
      </c>
      <c r="Y41" s="73" t="s">
        <v>191</v>
      </c>
      <c r="Z41" s="73" t="s">
        <v>191</v>
      </c>
      <c r="AA41" s="52" t="str">
        <f t="shared" si="11"/>
        <v>N/A</v>
      </c>
      <c r="AB41" s="52" t="s">
        <v>191</v>
      </c>
      <c r="AC41" s="52" t="s">
        <v>191</v>
      </c>
      <c r="AD41" s="52" t="s">
        <v>191</v>
      </c>
      <c r="AE41" s="72" t="s">
        <v>191</v>
      </c>
      <c r="AF41" s="17"/>
      <c r="AG41" s="74" t="str">
        <f t="shared" si="6"/>
        <v xml:space="preserve">F </v>
      </c>
      <c r="AH41" s="75" t="s">
        <v>82</v>
      </c>
      <c r="AI41" s="76"/>
      <c r="AJ41" s="96"/>
      <c r="AL41" s="95" t="s">
        <v>191</v>
      </c>
      <c r="AM41" s="52" t="s">
        <v>191</v>
      </c>
      <c r="AN41" s="52" t="s">
        <v>191</v>
      </c>
      <c r="AP41" s="105" t="s">
        <v>17</v>
      </c>
      <c r="AQ41" s="73"/>
      <c r="AR41" s="26"/>
      <c r="AU41" s="67" cm="1">
        <f t="array" ref="AU41">_xlfn.IFS(Y41="m2",(AB41*(1/(Z41/AM41))),Y41="m3",(AB41*(1/(Z41/AM41))),Y41="kg",(AB41*AL41*(1/(Z41/AM41))),Y41="N/A",0)</f>
        <v>0</v>
      </c>
      <c r="AV41" s="66"/>
    </row>
    <row r="42" spans="1:48" s="25" customFormat="1" ht="25.2" customHeight="1" x14ac:dyDescent="0.15">
      <c r="A42" s="25" t="s">
        <v>1064</v>
      </c>
      <c r="B42" s="47" t="s">
        <v>210</v>
      </c>
      <c r="C42" s="47"/>
      <c r="D42" s="47" t="s">
        <v>218</v>
      </c>
      <c r="E42" s="186" t="s">
        <v>146</v>
      </c>
      <c r="F42" s="47" t="s">
        <v>307</v>
      </c>
      <c r="G42" s="69" t="s">
        <v>292</v>
      </c>
      <c r="H42" s="16"/>
      <c r="I42" s="107">
        <v>1</v>
      </c>
      <c r="J42" s="70">
        <f t="shared" si="7"/>
        <v>0.79239999999999999</v>
      </c>
      <c r="K42" s="143" cm="1">
        <f t="array" ref="K42">IF(AC42="N/A","",_xlfn.IFS(Y42="m2",(AA42*(1/(Z42/AM42)))*I42,Y42="m3",(AA42*(1/(Z42/AM42)))*I42,Y42="kg",(AA42*AL42*(1/(1/AM42)))*I42,Y42="N/A",""))</f>
        <v>0.79239999999999999</v>
      </c>
      <c r="L42" s="71">
        <f t="shared" si="8"/>
        <v>0.77600000000000002</v>
      </c>
      <c r="M42" s="146" cm="1">
        <f t="array" ref="M42">_xlfn.IFS(Y42="m2",(AB42*(1/(Z42/AM42)))*I42,Y42="m3",(AB42*(1/(Z42/AM42)))*I42,Y42="kg",(AB42*AL42*(1/(1/AM42)))*I42,Y42="N/A","")</f>
        <v>0.77600000000000002</v>
      </c>
      <c r="N42" s="52">
        <f t="shared" si="9"/>
        <v>1.6400000000000001E-2</v>
      </c>
      <c r="O42" s="148" cm="1">
        <f t="array" ref="O42">IF(AC42="N/A","",_xlfn.IFS(Y42="m2",(AC42*(1/(Z42/AM42)))*I42,Y42="m3",(AC42*(1/(Z42/AM42)))*I42,Y42="kg",(AC42*AL42*(1/(1/AM42)))*I42,Y42="N/A",""))</f>
        <v>1.6400000000000001E-2</v>
      </c>
      <c r="P42" s="72" t="str">
        <f t="shared" si="10"/>
        <v>N/A</v>
      </c>
      <c r="Q42" s="150" t="str" cm="1">
        <f t="array" ref="Q42">IF(AE42="N/A","",_xlfn.IFS(Y42="m2",(AE42*(1/(Z42/AM42)))*I42,Y42="m3",(AE42*(1/(Z42/AM42)))*I42,Y42="kg",(AE42*AL42*(1/(1/AM42)))*I42,Y42="N/A",""))</f>
        <v/>
      </c>
      <c r="R42" s="186" t="s">
        <v>5</v>
      </c>
      <c r="S42" s="164" t="s">
        <v>377</v>
      </c>
      <c r="T42" s="47">
        <v>2026</v>
      </c>
      <c r="U42" s="47" t="s">
        <v>14</v>
      </c>
      <c r="V42" s="69">
        <v>60</v>
      </c>
      <c r="W42" s="17"/>
      <c r="X42" s="178" t="s">
        <v>1056</v>
      </c>
      <c r="Y42" s="73" t="s">
        <v>15</v>
      </c>
      <c r="Z42" s="73">
        <v>4.2000000000000003E-2</v>
      </c>
      <c r="AA42" s="52">
        <f t="shared" si="11"/>
        <v>0.79239999999999999</v>
      </c>
      <c r="AB42" s="52">
        <v>0.77600000000000002</v>
      </c>
      <c r="AC42" s="52">
        <f>0+0.0164</f>
        <v>1.6400000000000001E-2</v>
      </c>
      <c r="AD42" s="52">
        <v>0</v>
      </c>
      <c r="AE42" s="72" t="s">
        <v>191</v>
      </c>
      <c r="AF42" s="17"/>
      <c r="AG42" s="251"/>
      <c r="AH42" s="75" t="s">
        <v>214</v>
      </c>
      <c r="AI42" s="83" t="s">
        <v>176</v>
      </c>
      <c r="AJ42" s="47"/>
      <c r="AL42" s="73">
        <v>25</v>
      </c>
      <c r="AM42" s="47">
        <v>4.2000000000000003E-2</v>
      </c>
      <c r="AN42" s="47" t="s">
        <v>191</v>
      </c>
      <c r="AP42" s="173" t="s">
        <v>17</v>
      </c>
      <c r="AQ42" s="73"/>
      <c r="AR42" s="26"/>
      <c r="AU42" s="67" cm="1">
        <f t="array" ref="AU42">_xlfn.IFS(Y42="m2",(AB42*(1/(Z42/AM42))),Y42="m3",(AB42*(1/(Z42/AM42))),Y42="kg",(AB42*AL42*(1/(Z42/AM42))),Y42="N/A",0)</f>
        <v>0.77600000000000002</v>
      </c>
      <c r="AV42" s="66"/>
    </row>
    <row r="43" spans="1:48" s="25" customFormat="1" ht="25.2" customHeight="1" x14ac:dyDescent="0.15">
      <c r="A43" s="25" t="s">
        <v>205</v>
      </c>
      <c r="B43" s="47" t="s">
        <v>208</v>
      </c>
      <c r="C43" s="47"/>
      <c r="D43" s="47" t="s">
        <v>159</v>
      </c>
      <c r="E43" s="47" t="s">
        <v>146</v>
      </c>
      <c r="F43" s="47" t="s">
        <v>40</v>
      </c>
      <c r="G43" s="69" t="s">
        <v>192</v>
      </c>
      <c r="H43" s="16"/>
      <c r="I43" s="111">
        <v>1</v>
      </c>
      <c r="J43" s="70" t="str">
        <f t="shared" si="7"/>
        <v>N/A</v>
      </c>
      <c r="K43" s="143" t="str" cm="1">
        <f t="array" ref="K43">IF(AC43="N/A","",_xlfn.IFS(Y43="m2",(AA43*(1/(Z43/AM43)))*I43,Y43="m3",(AA43*(1/(Z43/AM43)))*I43,Y43="kg",(AA43*AL43*(1/(1/AM43)))*I43,Y43="N/A",""))</f>
        <v/>
      </c>
      <c r="L43" s="71" t="str">
        <f t="shared" si="8"/>
        <v>N/A</v>
      </c>
      <c r="M43" s="146" t="str" cm="1">
        <f t="array" ref="M43">_xlfn.IFS(Y43="m2",(AB43*(1/(Z43/AM43)))*I43,Y43="m3",(AB43*(1/(Z43/AM43)))*I43,Y43="kg",(AB43*AL43*(1/(1/AM43)))*I43,Y43="N/A","")</f>
        <v/>
      </c>
      <c r="N43" s="52" t="str">
        <f t="shared" si="9"/>
        <v>N/A</v>
      </c>
      <c r="O43" s="148" t="str" cm="1">
        <f t="array" ref="O43">IF(AC43="N/A","",_xlfn.IFS(Y43="m2",(AC43*(1/(Z43/AM43)))*I43,Y43="m3",(AC43*(1/(Z43/AM43)))*I43,Y43="kg",(AC43*AL43*(1/(1/AM43)))*I43,Y43="N/A",""))</f>
        <v/>
      </c>
      <c r="P43" s="72" t="str">
        <f t="shared" si="10"/>
        <v>N/A</v>
      </c>
      <c r="Q43" s="150" t="str" cm="1">
        <f t="array" ref="Q43">IF(AE43="N/A","",_xlfn.IFS(Y43="m2",(AE43*(1/(Z43/AM43)))*I43,Y43="m3",(AE43*(1/(Z43/AM43)))*I43,Y43="kg",(AE43*AL43*(1/(1/AM43)))*I43,Y43="N/A",""))</f>
        <v/>
      </c>
      <c r="R43" s="52" t="s">
        <v>191</v>
      </c>
      <c r="S43" s="52"/>
      <c r="T43" s="52" t="s">
        <v>191</v>
      </c>
      <c r="U43" s="52" t="s">
        <v>191</v>
      </c>
      <c r="V43" s="72" t="s">
        <v>191</v>
      </c>
      <c r="W43" s="17"/>
      <c r="X43" s="178" t="s">
        <v>191</v>
      </c>
      <c r="Y43" s="95" t="s">
        <v>191</v>
      </c>
      <c r="Z43" s="73" t="s">
        <v>191</v>
      </c>
      <c r="AA43" s="52" t="str">
        <f t="shared" si="11"/>
        <v>N/A</v>
      </c>
      <c r="AB43" s="52" t="s">
        <v>191</v>
      </c>
      <c r="AC43" s="52" t="s">
        <v>191</v>
      </c>
      <c r="AD43" s="52" t="s">
        <v>191</v>
      </c>
      <c r="AE43" s="72" t="s">
        <v>191</v>
      </c>
      <c r="AF43" s="17"/>
      <c r="AG43" s="74" t="str">
        <f t="shared" ref="AG43:AG60" si="12">AH43&amp;" "&amp;AI43</f>
        <v xml:space="preserve">F </v>
      </c>
      <c r="AH43" s="75" t="s">
        <v>82</v>
      </c>
      <c r="AI43" s="76"/>
      <c r="AJ43" s="77"/>
      <c r="AL43" s="95" t="s">
        <v>191</v>
      </c>
      <c r="AM43" s="52" t="s">
        <v>191</v>
      </c>
      <c r="AN43" s="52" t="s">
        <v>191</v>
      </c>
      <c r="AP43" s="105" t="s">
        <v>17</v>
      </c>
      <c r="AQ43" s="73"/>
      <c r="AR43" s="26"/>
      <c r="AU43" s="67" cm="1">
        <f t="array" ref="AU43">_xlfn.IFS(Y43="m2",(AB43*(1/(Z43/AM43))),Y43="m3",(AB43*(1/(Z43/AM43))),Y43="kg",(AB43*AL43*(1/(Z43/AM43))),Y43="N/A",0)</f>
        <v>0</v>
      </c>
      <c r="AV43" s="66"/>
    </row>
    <row r="44" spans="1:48" s="25" customFormat="1" ht="25.2" customHeight="1" x14ac:dyDescent="0.15">
      <c r="A44" s="25" t="s">
        <v>109</v>
      </c>
      <c r="B44" s="47" t="s">
        <v>208</v>
      </c>
      <c r="C44" s="47"/>
      <c r="D44" s="47" t="s">
        <v>107</v>
      </c>
      <c r="E44" s="82" t="s">
        <v>152</v>
      </c>
      <c r="F44" s="47" t="s">
        <v>40</v>
      </c>
      <c r="G44" s="69" t="s">
        <v>175</v>
      </c>
      <c r="H44" s="17"/>
      <c r="I44" s="111">
        <v>1</v>
      </c>
      <c r="J44" s="70" t="str">
        <f t="shared" si="7"/>
        <v>N/A</v>
      </c>
      <c r="K44" s="143" t="str" cm="1">
        <f t="array" ref="K44">IF(AC44="N/A","",_xlfn.IFS(Y44="m2",(AA44*(1/(Z44/AM44)))*I44,Y44="m3",(AA44*(1/(Z44/AM44)))*I44,Y44="kg",(AA44*AL44*(1/(1/AM44)))*I44,Y44="N/A",""))</f>
        <v/>
      </c>
      <c r="L44" s="71" t="str">
        <f t="shared" si="8"/>
        <v>N/A</v>
      </c>
      <c r="M44" s="146" t="str" cm="1">
        <f t="array" ref="M44">_xlfn.IFS(Y44="m2",(AB44*(1/(Z44/AM44)))*I44,Y44="m3",(AB44*(1/(Z44/AM44)))*I44,Y44="kg",(AB44*AL44*(1/(1/AM44)))*I44,Y44="N/A","")</f>
        <v/>
      </c>
      <c r="N44" s="52" t="str">
        <f t="shared" si="9"/>
        <v>N/A</v>
      </c>
      <c r="O44" s="148" t="str" cm="1">
        <f t="array" ref="O44">IF(AC44="N/A","",_xlfn.IFS(Y44="m2",(AC44*(1/(Z44/AM44)))*I44,Y44="m3",(AC44*(1/(Z44/AM44)))*I44,Y44="kg",(AC44*AL44*(1/(1/AM44)))*I44,Y44="N/A",""))</f>
        <v/>
      </c>
      <c r="P44" s="72" t="str">
        <f t="shared" si="10"/>
        <v>N/A</v>
      </c>
      <c r="Q44" s="150" t="str" cm="1">
        <f t="array" ref="Q44">IF(AE44="N/A","",_xlfn.IFS(Y44="m2",(AE44*(1/(Z44/AM44)))*I44,Y44="m3",(AE44*(1/(Z44/AM44)))*I44,Y44="kg",(AE44*AL44*(1/(1/AM44)))*I44,Y44="N/A",""))</f>
        <v/>
      </c>
      <c r="R44" s="47" t="s">
        <v>191</v>
      </c>
      <c r="S44" s="47"/>
      <c r="T44" s="47" t="s">
        <v>191</v>
      </c>
      <c r="U44" s="47" t="s">
        <v>191</v>
      </c>
      <c r="V44" s="69" t="s">
        <v>191</v>
      </c>
      <c r="W44" s="17"/>
      <c r="X44" s="178" t="s">
        <v>191</v>
      </c>
      <c r="Y44" s="73" t="s">
        <v>191</v>
      </c>
      <c r="Z44" s="73" t="s">
        <v>191</v>
      </c>
      <c r="AA44" s="52" t="str">
        <f t="shared" si="11"/>
        <v>N/A</v>
      </c>
      <c r="AB44" s="52" t="s">
        <v>191</v>
      </c>
      <c r="AC44" s="52" t="s">
        <v>191</v>
      </c>
      <c r="AD44" s="52" t="s">
        <v>191</v>
      </c>
      <c r="AE44" s="72" t="s">
        <v>191</v>
      </c>
      <c r="AF44" s="17"/>
      <c r="AG44" s="74" t="str">
        <f t="shared" si="12"/>
        <v xml:space="preserve">F </v>
      </c>
      <c r="AH44" s="75" t="s">
        <v>82</v>
      </c>
      <c r="AI44" s="76"/>
      <c r="AJ44" s="77"/>
      <c r="AL44" s="73" t="s">
        <v>191</v>
      </c>
      <c r="AM44" s="47" t="s">
        <v>191</v>
      </c>
      <c r="AN44" s="47" t="s">
        <v>191</v>
      </c>
      <c r="AP44" s="80" t="s">
        <v>17</v>
      </c>
      <c r="AQ44" s="256"/>
      <c r="AR44" s="26"/>
      <c r="AU44" s="67" cm="1">
        <f t="array" ref="AU44">_xlfn.IFS(Y44="m2",(AB44*(1/(Z44/AM44))),Y44="m3",(AB44*(1/(Z44/AM44))),Y44="kg",(AB44*AL44*(1/(Z44/AM44))),Y44="N/A",0)</f>
        <v>0</v>
      </c>
      <c r="AV44" s="66"/>
    </row>
    <row r="45" spans="1:48" s="25" customFormat="1" ht="25.2" customHeight="1" x14ac:dyDescent="0.15">
      <c r="A45" s="25" t="s">
        <v>108</v>
      </c>
      <c r="B45" s="47" t="s">
        <v>208</v>
      </c>
      <c r="C45" s="47"/>
      <c r="D45" s="47" t="s">
        <v>107</v>
      </c>
      <c r="E45" s="82" t="s">
        <v>152</v>
      </c>
      <c r="F45" s="47" t="s">
        <v>40</v>
      </c>
      <c r="G45" s="69" t="s">
        <v>175</v>
      </c>
      <c r="H45" s="17"/>
      <c r="I45" s="111">
        <v>1</v>
      </c>
      <c r="J45" s="70" t="str">
        <f t="shared" si="7"/>
        <v>N/A</v>
      </c>
      <c r="K45" s="143" t="str" cm="1">
        <f t="array" ref="K45">IF(AC45="N/A","",_xlfn.IFS(Y45="m2",(AA45*(1/(Z45/AM45)))*I45,Y45="m3",(AA45*(1/(Z45/AM45)))*I45,Y45="kg",(AA45*AL45*(1/(1/AM45)))*I45,Y45="N/A",""))</f>
        <v/>
      </c>
      <c r="L45" s="71" t="str">
        <f t="shared" si="8"/>
        <v>N/A</v>
      </c>
      <c r="M45" s="146" t="str" cm="1">
        <f t="array" ref="M45">_xlfn.IFS(Y45="m2",(AB45*(1/(Z45/AM45)))*I45,Y45="m3",(AB45*(1/(Z45/AM45)))*I45,Y45="kg",(AB45*AL45*(1/(1/AM45)))*I45,Y45="N/A","")</f>
        <v/>
      </c>
      <c r="N45" s="52" t="str">
        <f t="shared" si="9"/>
        <v>N/A</v>
      </c>
      <c r="O45" s="148" t="str" cm="1">
        <f t="array" ref="O45">IF(AC45="N/A","",_xlfn.IFS(Y45="m2",(AC45*(1/(Z45/AM45)))*I45,Y45="m3",(AC45*(1/(Z45/AM45)))*I45,Y45="kg",(AC45*AL45*(1/(1/AM45)))*I45,Y45="N/A",""))</f>
        <v/>
      </c>
      <c r="P45" s="72" t="str">
        <f t="shared" si="10"/>
        <v>N/A</v>
      </c>
      <c r="Q45" s="150" t="str" cm="1">
        <f t="array" ref="Q45">IF(AE45="N/A","",_xlfn.IFS(Y45="m2",(AE45*(1/(Z45/AM45)))*I45,Y45="m3",(AE45*(1/(Z45/AM45)))*I45,Y45="kg",(AE45*AL45*(1/(1/AM45)))*I45,Y45="N/A",""))</f>
        <v/>
      </c>
      <c r="R45" s="47" t="s">
        <v>191</v>
      </c>
      <c r="S45" s="47"/>
      <c r="T45" s="47" t="s">
        <v>191</v>
      </c>
      <c r="U45" s="47" t="s">
        <v>191</v>
      </c>
      <c r="V45" s="69" t="s">
        <v>191</v>
      </c>
      <c r="W45" s="17"/>
      <c r="X45" s="178" t="s">
        <v>191</v>
      </c>
      <c r="Y45" s="73" t="s">
        <v>191</v>
      </c>
      <c r="Z45" s="73" t="s">
        <v>191</v>
      </c>
      <c r="AA45" s="52" t="str">
        <f t="shared" si="11"/>
        <v>N/A</v>
      </c>
      <c r="AB45" s="52" t="s">
        <v>191</v>
      </c>
      <c r="AC45" s="52" t="s">
        <v>191</v>
      </c>
      <c r="AD45" s="52" t="s">
        <v>191</v>
      </c>
      <c r="AE45" s="72" t="s">
        <v>191</v>
      </c>
      <c r="AF45" s="17"/>
      <c r="AG45" s="74" t="str">
        <f t="shared" si="12"/>
        <v xml:space="preserve">F </v>
      </c>
      <c r="AH45" s="75" t="s">
        <v>82</v>
      </c>
      <c r="AI45" s="76"/>
      <c r="AJ45" s="77"/>
      <c r="AL45" s="73" t="s">
        <v>191</v>
      </c>
      <c r="AM45" s="47" t="s">
        <v>191</v>
      </c>
      <c r="AN45" s="47" t="s">
        <v>191</v>
      </c>
      <c r="AP45" s="80" t="s">
        <v>17</v>
      </c>
      <c r="AQ45" s="256"/>
      <c r="AR45" s="26"/>
      <c r="AU45" s="67" cm="1">
        <f t="array" ref="AU45">_xlfn.IFS(Y45="m2",(AB45*(1/(Z45/AM45))),Y45="m3",(AB45*(1/(Z45/AM45))),Y45="kg",(AB45*AL45*(1/(Z45/AM45))),Y45="N/A",0)</f>
        <v>0</v>
      </c>
      <c r="AV45" s="66"/>
    </row>
    <row r="46" spans="1:48" s="25" customFormat="1" ht="25.2" customHeight="1" x14ac:dyDescent="0.15">
      <c r="A46" s="25" t="s">
        <v>52</v>
      </c>
      <c r="B46" s="47" t="s">
        <v>208</v>
      </c>
      <c r="C46" s="47"/>
      <c r="D46" s="47" t="s">
        <v>47</v>
      </c>
      <c r="E46" s="47" t="s">
        <v>143</v>
      </c>
      <c r="F46" s="47" t="s">
        <v>40</v>
      </c>
      <c r="G46" s="89" t="s">
        <v>175</v>
      </c>
      <c r="H46" s="17"/>
      <c r="I46" s="111">
        <v>1</v>
      </c>
      <c r="J46" s="70" t="str">
        <f t="shared" si="7"/>
        <v>N/A</v>
      </c>
      <c r="K46" s="143" t="str" cm="1">
        <f t="array" ref="K46">IF(AC46="N/A","",_xlfn.IFS(Y46="m2",(AA46*(1/(Z46/AM46)))*I46,Y46="m3",(AA46*(1/(Z46/AM46)))*I46,Y46="kg",(AA46*AL46*(1/(1/AM46)))*I46,Y46="N/A",""))</f>
        <v/>
      </c>
      <c r="L46" s="71" t="str">
        <f t="shared" si="8"/>
        <v>N/A</v>
      </c>
      <c r="M46" s="146" t="str" cm="1">
        <f t="array" ref="M46">_xlfn.IFS(Y46="m2",(AB46*(1/(Z46/AM46)))*I46,Y46="m3",(AB46*(1/(Z46/AM46)))*I46,Y46="kg",(AB46*AL46*(1/(1/AM46)))*I46,Y46="N/A","")</f>
        <v/>
      </c>
      <c r="N46" s="52" t="str">
        <f t="shared" si="9"/>
        <v>N/A</v>
      </c>
      <c r="O46" s="148" t="str" cm="1">
        <f t="array" ref="O46">IF(AC46="N/A","",_xlfn.IFS(Y46="m2",(AC46*(1/(Z46/AM46)))*I46,Y46="m3",(AC46*(1/(Z46/AM46)))*I46,Y46="kg",(AC46*AL46*(1/(1/AM46)))*I46,Y46="N/A",""))</f>
        <v/>
      </c>
      <c r="P46" s="72" t="str">
        <f t="shared" si="10"/>
        <v>N/A</v>
      </c>
      <c r="Q46" s="150" t="str" cm="1">
        <f t="array" ref="Q46">IF(AE46="N/A","",_xlfn.IFS(Y46="m2",(AE46*(1/(Z46/AM46)))*I46,Y46="m3",(AE46*(1/(Z46/AM46)))*I46,Y46="kg",(AE46*AL46*(1/(1/AM46)))*I46,Y46="N/A",""))</f>
        <v/>
      </c>
      <c r="R46" s="47" t="s">
        <v>191</v>
      </c>
      <c r="S46" s="47"/>
      <c r="T46" s="47" t="s">
        <v>191</v>
      </c>
      <c r="U46" s="47" t="s">
        <v>191</v>
      </c>
      <c r="V46" s="69" t="s">
        <v>191</v>
      </c>
      <c r="W46" s="17"/>
      <c r="X46" s="178" t="s">
        <v>191</v>
      </c>
      <c r="Y46" s="73" t="s">
        <v>191</v>
      </c>
      <c r="Z46" s="73" t="s">
        <v>191</v>
      </c>
      <c r="AA46" s="52" t="str">
        <f t="shared" si="11"/>
        <v>N/A</v>
      </c>
      <c r="AB46" s="52" t="s">
        <v>191</v>
      </c>
      <c r="AC46" s="52" t="s">
        <v>191</v>
      </c>
      <c r="AD46" s="52" t="s">
        <v>191</v>
      </c>
      <c r="AE46" s="72" t="s">
        <v>191</v>
      </c>
      <c r="AF46" s="17"/>
      <c r="AG46" s="74" t="str">
        <f t="shared" si="12"/>
        <v>B s1
d0</v>
      </c>
      <c r="AH46" s="75" t="s">
        <v>178</v>
      </c>
      <c r="AI46" s="83" t="s">
        <v>176</v>
      </c>
      <c r="AJ46" s="84"/>
      <c r="AL46" s="73">
        <v>340</v>
      </c>
      <c r="AM46" s="47">
        <v>7.0000000000000007E-2</v>
      </c>
      <c r="AN46" s="47">
        <v>1870</v>
      </c>
      <c r="AP46" s="105" t="s">
        <v>17</v>
      </c>
      <c r="AQ46" s="256"/>
      <c r="AR46" s="26"/>
      <c r="AU46" s="67" cm="1">
        <f t="array" ref="AU46">_xlfn.IFS(Y46="m2",(AB46*(1/(Z46/AM46))),Y46="m3",(AB46*(1/(Z46/AM46))),Y46="kg",(AB46*AL46*(1/(Z46/AM46))),Y46="N/A",0)</f>
        <v>0</v>
      </c>
      <c r="AV46" s="66"/>
    </row>
    <row r="47" spans="1:48" s="25" customFormat="1" ht="25.2" customHeight="1" x14ac:dyDescent="0.15">
      <c r="A47" s="25" t="s">
        <v>106</v>
      </c>
      <c r="B47" s="47" t="s">
        <v>208</v>
      </c>
      <c r="C47" s="47"/>
      <c r="D47" s="47" t="s">
        <v>107</v>
      </c>
      <c r="E47" s="82" t="s">
        <v>152</v>
      </c>
      <c r="F47" s="47" t="s">
        <v>40</v>
      </c>
      <c r="G47" s="69" t="s">
        <v>376</v>
      </c>
      <c r="H47" s="16"/>
      <c r="I47" s="111">
        <v>1</v>
      </c>
      <c r="J47" s="70" t="str">
        <f t="shared" si="7"/>
        <v>N/A</v>
      </c>
      <c r="K47" s="143" t="str" cm="1">
        <f t="array" ref="K47">IF(AC47="N/A","",_xlfn.IFS(Y47="m2",(AA47*(1/(Z47/AM47)))*I47,Y47="m3",(AA47*(1/(Z47/AM47)))*I47,Y47="kg",(AA47*AL47*(1/(1/AM47)))*I47,Y47="N/A",""))</f>
        <v/>
      </c>
      <c r="L47" s="71" t="str">
        <f t="shared" si="8"/>
        <v>N/A</v>
      </c>
      <c r="M47" s="146" t="str" cm="1">
        <f t="array" ref="M47">_xlfn.IFS(Y47="m2",(AB47*(1/(Z47/AM47)))*I47,Y47="m3",(AB47*(1/(Z47/AM47)))*I47,Y47="kg",(AB47*AL47*(1/(1/AM47)))*I47,Y47="N/A","")</f>
        <v/>
      </c>
      <c r="N47" s="52" t="str">
        <f t="shared" si="9"/>
        <v>N/A</v>
      </c>
      <c r="O47" s="148" t="str" cm="1">
        <f t="array" ref="O47">IF(AC47="N/A","",_xlfn.IFS(Y47="m2",(AC47*(1/(Z47/AM47)))*I47,Y47="m3",(AC47*(1/(Z47/AM47)))*I47,Y47="kg",(AC47*AL47*(1/(1/AM47)))*I47,Y47="N/A",""))</f>
        <v/>
      </c>
      <c r="P47" s="72" t="str">
        <f t="shared" si="10"/>
        <v>N/A</v>
      </c>
      <c r="Q47" s="150" t="str" cm="1">
        <f t="array" ref="Q47">IF(AE47="N/A","",_xlfn.IFS(Y47="m2",(AE47*(1/(Z47/AM47)))*I47,Y47="m3",(AE47*(1/(Z47/AM47)))*I47,Y47="kg",(AE47*AL47*(1/(1/AM47)))*I47,Y47="N/A",""))</f>
        <v/>
      </c>
      <c r="R47" s="47" t="s">
        <v>191</v>
      </c>
      <c r="S47" s="47"/>
      <c r="T47" s="47" t="s">
        <v>191</v>
      </c>
      <c r="U47" s="47" t="s">
        <v>191</v>
      </c>
      <c r="V47" s="69" t="s">
        <v>191</v>
      </c>
      <c r="W47" s="17"/>
      <c r="X47" s="178" t="s">
        <v>191</v>
      </c>
      <c r="Y47" s="73" t="s">
        <v>191</v>
      </c>
      <c r="Z47" s="73" t="s">
        <v>191</v>
      </c>
      <c r="AA47" s="52" t="str">
        <f t="shared" si="11"/>
        <v>N/A</v>
      </c>
      <c r="AB47" s="95" t="s">
        <v>191</v>
      </c>
      <c r="AC47" s="95" t="s">
        <v>191</v>
      </c>
      <c r="AD47" s="95" t="s">
        <v>191</v>
      </c>
      <c r="AE47" s="95" t="s">
        <v>191</v>
      </c>
      <c r="AF47" s="17"/>
      <c r="AG47" s="74" t="str">
        <f t="shared" si="12"/>
        <v xml:space="preserve">F </v>
      </c>
      <c r="AH47" s="75" t="s">
        <v>82</v>
      </c>
      <c r="AI47" s="76"/>
      <c r="AJ47" s="77"/>
      <c r="AL47" s="73" t="s">
        <v>191</v>
      </c>
      <c r="AM47" s="47" t="s">
        <v>191</v>
      </c>
      <c r="AN47" s="47" t="s">
        <v>191</v>
      </c>
      <c r="AP47" s="80" t="s">
        <v>17</v>
      </c>
      <c r="AQ47" s="256"/>
      <c r="AR47" s="26"/>
      <c r="AU47" s="67" cm="1">
        <f t="array" ref="AU47">_xlfn.IFS(Y47="m2",(AB47*(1/(Z47/AM47))),Y47="m3",(AB47*(1/(Z47/AM47))),Y47="kg",(AB47*AL47*(1/(Z47/AM47))),Y47="N/A",0)</f>
        <v>0</v>
      </c>
      <c r="AV47" s="66"/>
    </row>
    <row r="48" spans="1:48" s="25" customFormat="1" ht="25.2" customHeight="1" x14ac:dyDescent="0.15">
      <c r="A48" s="25" t="s">
        <v>363</v>
      </c>
      <c r="B48" s="47" t="s">
        <v>208</v>
      </c>
      <c r="C48" s="47"/>
      <c r="D48" s="97" t="s">
        <v>362</v>
      </c>
      <c r="E48" s="97" t="s">
        <v>191</v>
      </c>
      <c r="F48" s="47" t="s">
        <v>132</v>
      </c>
      <c r="G48" s="98" t="s">
        <v>376</v>
      </c>
      <c r="H48" s="16"/>
      <c r="I48" s="111">
        <v>1</v>
      </c>
      <c r="J48" s="70" t="str">
        <f t="shared" si="7"/>
        <v>N/A</v>
      </c>
      <c r="K48" s="143" t="str" cm="1">
        <f t="array" ref="K48">IF(AC48="N/A","",_xlfn.IFS(Y48="m2",(AA48*(1/(Z48/AM48)))*I48,Y48="m3",(AA48*(1/(Z48/AM48)))*I48,Y48="kg",(AA48*AL48*(1/(1/AM48)))*I48,Y48="N/A",""))</f>
        <v/>
      </c>
      <c r="L48" s="71" t="str">
        <f t="shared" si="8"/>
        <v>N/A</v>
      </c>
      <c r="M48" s="146" t="str" cm="1">
        <f t="array" ref="M48">_xlfn.IFS(Y48="m2",(AB48*(1/(Z48/AM48)))*I48,Y48="m3",(AB48*(1/(Z48/AM48)))*I48,Y48="kg",(AB48*AL48*(1/(1/AM48)))*I48,Y48="N/A","")</f>
        <v/>
      </c>
      <c r="N48" s="52" t="str">
        <f t="shared" si="9"/>
        <v>N/A</v>
      </c>
      <c r="O48" s="148" t="str" cm="1">
        <f t="array" ref="O48">IF(AC48="N/A","",_xlfn.IFS(Y48="m2",(AC48*(1/(Z48/AM48)))*I48,Y48="m3",(AC48*(1/(Z48/AM48)))*I48,Y48="kg",(AC48*AL48*(1/(1/AM48)))*I48,Y48="N/A",""))</f>
        <v/>
      </c>
      <c r="P48" s="72" t="str">
        <f t="shared" si="10"/>
        <v>N/A</v>
      </c>
      <c r="Q48" s="150" t="str" cm="1">
        <f t="array" ref="Q48">IF(AE48="N/A","",_xlfn.IFS(Y48="m2",(AE48*(1/(Z48/AM48)))*I48,Y48="m3",(AE48*(1/(Z48/AM48)))*I48,Y48="kg",(AE48*AL48*(1/(1/AM48)))*I48,Y48="N/A",""))</f>
        <v/>
      </c>
      <c r="R48" s="97" t="s">
        <v>191</v>
      </c>
      <c r="S48" s="97"/>
      <c r="T48" s="97" t="s">
        <v>191</v>
      </c>
      <c r="U48" s="97" t="s">
        <v>191</v>
      </c>
      <c r="V48" s="98" t="s">
        <v>191</v>
      </c>
      <c r="W48" s="17"/>
      <c r="X48" s="178" t="s">
        <v>191</v>
      </c>
      <c r="Y48" s="100" t="s">
        <v>191</v>
      </c>
      <c r="Z48" s="99" t="s">
        <v>191</v>
      </c>
      <c r="AA48" s="52" t="str">
        <f t="shared" si="11"/>
        <v>N/A</v>
      </c>
      <c r="AB48" s="100" t="s">
        <v>191</v>
      </c>
      <c r="AC48" s="100" t="s">
        <v>191</v>
      </c>
      <c r="AD48" s="100" t="s">
        <v>191</v>
      </c>
      <c r="AE48" s="100" t="s">
        <v>191</v>
      </c>
      <c r="AF48" s="17"/>
      <c r="AG48" s="74" t="str">
        <f t="shared" si="12"/>
        <v xml:space="preserve">F </v>
      </c>
      <c r="AH48" s="101" t="s">
        <v>82</v>
      </c>
      <c r="AI48" s="102"/>
      <c r="AJ48" s="235"/>
      <c r="AK48" s="29"/>
      <c r="AL48" s="73" t="s">
        <v>191</v>
      </c>
      <c r="AM48" s="47">
        <v>3.6999999999999998E-2</v>
      </c>
      <c r="AN48" s="47" t="s">
        <v>191</v>
      </c>
      <c r="AO48" s="30"/>
      <c r="AP48" s="105" t="s">
        <v>17</v>
      </c>
      <c r="AQ48" s="106" t="s">
        <v>17</v>
      </c>
      <c r="AR48" s="31"/>
      <c r="AU48" s="67" cm="1">
        <f t="array" ref="AU48">_xlfn.IFS(Y48="m2",(AB48*(1/(Z48/AM48))),Y48="m3",(AB48*(1/(Z48/AM48))),Y48="kg",(AB48*AL48*(1/(Z48/AM48))),Y48="N/A",0)</f>
        <v>0</v>
      </c>
      <c r="AV48" s="66"/>
    </row>
    <row r="49" spans="1:47" ht="25.2" customHeight="1" x14ac:dyDescent="0.15">
      <c r="A49" s="25" t="s">
        <v>367</v>
      </c>
      <c r="B49" s="47" t="s">
        <v>208</v>
      </c>
      <c r="C49" s="47"/>
      <c r="D49" s="47" t="s">
        <v>362</v>
      </c>
      <c r="E49" s="47" t="s">
        <v>191</v>
      </c>
      <c r="F49" s="47" t="s">
        <v>132</v>
      </c>
      <c r="G49" s="69" t="s">
        <v>376</v>
      </c>
      <c r="I49" s="111">
        <v>1</v>
      </c>
      <c r="J49" s="70" t="str">
        <f t="shared" si="7"/>
        <v>N/A</v>
      </c>
      <c r="K49" s="143" t="str" cm="1">
        <f t="array" ref="K49">IF(AC49="N/A","",_xlfn.IFS(Y49="m2",(AA49*(1/(Z49/AM49)))*I49,Y49="m3",(AA49*(1/(Z49/AM49)))*I49,Y49="kg",(AA49*AL49*(1/(1/AM49)))*I49,Y49="N/A",""))</f>
        <v/>
      </c>
      <c r="L49" s="71" t="str">
        <f t="shared" si="8"/>
        <v>N/A</v>
      </c>
      <c r="M49" s="146" t="str" cm="1">
        <f t="array" ref="M49">_xlfn.IFS(Y49="m2",(AB49*(1/(Z49/AM49)))*I49,Y49="m3",(AB49*(1/(Z49/AM49)))*I49,Y49="kg",(AB49*AL49*(1/(1/AM49)))*I49,Y49="N/A","")</f>
        <v/>
      </c>
      <c r="N49" s="52" t="str">
        <f t="shared" si="9"/>
        <v>N/A</v>
      </c>
      <c r="O49" s="148" t="str" cm="1">
        <f t="array" ref="O49">IF(AC49="N/A","",_xlfn.IFS(Y49="m2",(AC49*(1/(Z49/AM49)))*I49,Y49="m3",(AC49*(1/(Z49/AM49)))*I49,Y49="kg",(AC49*AL49*(1/(1/AM49)))*I49,Y49="N/A",""))</f>
        <v/>
      </c>
      <c r="P49" s="72" t="str">
        <f t="shared" si="10"/>
        <v>N/A</v>
      </c>
      <c r="Q49" s="150" t="str" cm="1">
        <f t="array" ref="Q49">IF(AE49="N/A","",_xlfn.IFS(Y49="m2",(AE49*(1/(Z49/AM49)))*I49,Y49="m3",(AE49*(1/(Z49/AM49)))*I49,Y49="kg",(AE49*AL49*(1/(1/AM49)))*I49,Y49="N/A",""))</f>
        <v/>
      </c>
      <c r="R49" s="47" t="s">
        <v>191</v>
      </c>
      <c r="S49" s="47"/>
      <c r="T49" s="47" t="s">
        <v>191</v>
      </c>
      <c r="U49" s="47" t="s">
        <v>191</v>
      </c>
      <c r="V49" s="47" t="s">
        <v>191</v>
      </c>
      <c r="X49" s="180" t="s">
        <v>191</v>
      </c>
      <c r="Y49" s="52" t="s">
        <v>191</v>
      </c>
      <c r="Z49" s="47" t="s">
        <v>191</v>
      </c>
      <c r="AA49" s="52" t="str">
        <f t="shared" si="11"/>
        <v>N/A</v>
      </c>
      <c r="AB49" s="52" t="s">
        <v>191</v>
      </c>
      <c r="AC49" s="52" t="s">
        <v>191</v>
      </c>
      <c r="AD49" s="52" t="s">
        <v>191</v>
      </c>
      <c r="AE49" s="52" t="s">
        <v>191</v>
      </c>
      <c r="AG49" s="74" t="str">
        <f t="shared" si="12"/>
        <v xml:space="preserve">F </v>
      </c>
      <c r="AH49" s="75" t="s">
        <v>82</v>
      </c>
      <c r="AI49" s="76"/>
      <c r="AJ49" s="103"/>
      <c r="AL49" s="47" t="s">
        <v>191</v>
      </c>
      <c r="AM49" s="47">
        <v>3.6999999999999998E-2</v>
      </c>
      <c r="AN49" s="47" t="s">
        <v>191</v>
      </c>
      <c r="AP49" s="105" t="s">
        <v>17</v>
      </c>
      <c r="AQ49" s="106" t="s">
        <v>17</v>
      </c>
      <c r="AU49" s="67" cm="1">
        <f t="array" ref="AU49">_xlfn.IFS(Y49="m2",(AB49*(1/(Z49/AM49))),Y49="m3",(AB49*(1/(Z49/AM49))),Y49="kg",(AB49*AL49*(1/(Z49/AM49))),Y49="N/A",0)</f>
        <v>0</v>
      </c>
    </row>
    <row r="50" spans="1:47" ht="25.2" customHeight="1" x14ac:dyDescent="0.15">
      <c r="A50" s="25" t="s">
        <v>80</v>
      </c>
      <c r="B50" s="47" t="s">
        <v>208</v>
      </c>
      <c r="C50" s="47"/>
      <c r="D50" s="47" t="s">
        <v>79</v>
      </c>
      <c r="E50" s="82" t="s">
        <v>153</v>
      </c>
      <c r="F50" s="47" t="s">
        <v>132</v>
      </c>
      <c r="G50" s="69" t="s">
        <v>292</v>
      </c>
      <c r="H50" s="17"/>
      <c r="I50" s="111">
        <v>1</v>
      </c>
      <c r="J50" s="70">
        <f t="shared" si="7"/>
        <v>0.23033800000000015</v>
      </c>
      <c r="K50" s="143" cm="1">
        <f t="array" ref="K50">IF(AC50="N/A","",_xlfn.IFS(Y50="m2",(AA50*(1/(Z50/AM50)))*I50,Y50="m3",(AA50*(1/(Z50/AM50)))*I50,Y50="kg",(AA50*AL50*(1/(1/AM50)))*I50,Y50="N/A",""))</f>
        <v>0.23033800000000015</v>
      </c>
      <c r="L50" s="71">
        <f t="shared" si="8"/>
        <v>-1.83</v>
      </c>
      <c r="M50" s="146" cm="1">
        <f t="array" ref="M50">_xlfn.IFS(Y50="m2",(AB50*(1/(Z50/AM50)))*I50,Y50="m3",(AB50*(1/(Z50/AM50)))*I50,Y50="kg",(AB50*AL50*(1/(1/AM50)))*I50,Y50="N/A","")</f>
        <v>-1.83</v>
      </c>
      <c r="N50" s="52">
        <f t="shared" si="9"/>
        <v>2.0603380000000002</v>
      </c>
      <c r="O50" s="148" cm="1">
        <f t="array" ref="O50">IF(AC50="N/A","",_xlfn.IFS(Y50="m2",(AC50*(1/(Z50/AM50)))*I50,Y50="m3",(AC50*(1/(Z50/AM50)))*I50,Y50="kg",(AC50*AL50*(1/(1/AM50)))*I50,Y50="N/A",""))</f>
        <v>2.0603380000000002</v>
      </c>
      <c r="P50" s="72" t="str">
        <f t="shared" si="10"/>
        <v>N/A</v>
      </c>
      <c r="Q50" s="150" t="str" cm="1">
        <f t="array" ref="Q50">IF(AE50="N/A","",_xlfn.IFS(Y50="m2",(AE50*(1/(Z50/AM50)))*I50,Y50="m3",(AE50*(1/(Z50/AM50)))*I50,Y50="kg",(AE50*AL50*(1/(1/AM50)))*I50,Y50="N/A",""))</f>
        <v/>
      </c>
      <c r="R50" s="82" t="s">
        <v>5</v>
      </c>
      <c r="S50" s="164"/>
      <c r="T50" s="47">
        <v>2025</v>
      </c>
      <c r="U50" s="47" t="s">
        <v>14</v>
      </c>
      <c r="V50" s="47" t="s">
        <v>191</v>
      </c>
      <c r="X50" s="180" t="s">
        <v>528</v>
      </c>
      <c r="Y50" s="47" t="s">
        <v>15</v>
      </c>
      <c r="Z50" s="47">
        <v>3.7999999999999999E-2</v>
      </c>
      <c r="AA50" s="52">
        <f t="shared" si="11"/>
        <v>0.23033800000000015</v>
      </c>
      <c r="AB50" s="52">
        <v>-1.83</v>
      </c>
      <c r="AC50" s="52">
        <f>2.06+0.000338</f>
        <v>2.0603380000000002</v>
      </c>
      <c r="AD50" s="52">
        <v>-0.14099999999999999</v>
      </c>
      <c r="AE50" s="52" t="s">
        <v>191</v>
      </c>
      <c r="AG50" s="74" t="str">
        <f t="shared" si="12"/>
        <v xml:space="preserve">E </v>
      </c>
      <c r="AH50" s="75" t="s">
        <v>16</v>
      </c>
      <c r="AI50" s="76"/>
      <c r="AJ50" s="77"/>
      <c r="AL50" s="47">
        <v>33.5</v>
      </c>
      <c r="AM50" s="47">
        <v>3.7999999999999999E-2</v>
      </c>
      <c r="AN50" s="47">
        <v>2100</v>
      </c>
      <c r="AP50" s="80" t="s">
        <v>17</v>
      </c>
      <c r="AQ50" s="256"/>
      <c r="AU50" s="67" cm="1">
        <f t="array" ref="AU50">_xlfn.IFS(Y50="m2",(AB50*(1/(Z50/AM50))),Y50="m3",(AB50*(1/(Z50/AM50))),Y50="kg",(AB50*AL50*(1/(Z50/AM50))),Y50="N/A",0)</f>
        <v>-1.83</v>
      </c>
    </row>
    <row r="51" spans="1:47" ht="25.2" customHeight="1" x14ac:dyDescent="0.15">
      <c r="A51" s="25" t="s">
        <v>78</v>
      </c>
      <c r="B51" s="47" t="s">
        <v>208</v>
      </c>
      <c r="C51" s="47"/>
      <c r="D51" s="47" t="s">
        <v>79</v>
      </c>
      <c r="E51" s="82" t="s">
        <v>153</v>
      </c>
      <c r="F51" s="47" t="s">
        <v>132</v>
      </c>
      <c r="G51" s="69" t="s">
        <v>376</v>
      </c>
      <c r="I51" s="113">
        <v>1</v>
      </c>
      <c r="J51" s="70">
        <f t="shared" si="7"/>
        <v>0.55024900000000043</v>
      </c>
      <c r="K51" s="143" cm="1">
        <f t="array" ref="K51">IF(AC51="N/A","",_xlfn.IFS(Y51="m2",(AA51*(1/(Z51/AM51)))*I51,Y51="m3",(AA51*(1/(Z51/AM51)))*I51,Y51="kg",(AA51*AL51*(1/(1/AM51)))*I51,Y51="N/A",""))</f>
        <v>0.55024900000000043</v>
      </c>
      <c r="L51" s="71">
        <f t="shared" si="8"/>
        <v>-2.38</v>
      </c>
      <c r="M51" s="146" cm="1">
        <f t="array" ref="M51">_xlfn.IFS(Y51="m2",(AB51*(1/(Z51/AM51)))*I51,Y51="m3",(AB51*(1/(Z51/AM51)))*I51,Y51="kg",(AB51*AL51*(1/(1/AM51)))*I51,Y51="N/A","")</f>
        <v>-2.38</v>
      </c>
      <c r="N51" s="52">
        <f t="shared" si="9"/>
        <v>2.9302490000000003</v>
      </c>
      <c r="O51" s="148" cm="1">
        <f t="array" ref="O51">IF(AC51="N/A","",_xlfn.IFS(Y51="m2",(AC51*(1/(Z51/AM51)))*I51,Y51="m3",(AC51*(1/(Z51/AM51)))*I51,Y51="kg",(AC51*AL51*(1/(1/AM51)))*I51,Y51="N/A",""))</f>
        <v>2.9302490000000003</v>
      </c>
      <c r="P51" s="72" t="str">
        <f t="shared" si="10"/>
        <v>N/A</v>
      </c>
      <c r="Q51" s="150" t="str" cm="1">
        <f t="array" ref="Q51">IF(AE51="N/A","",_xlfn.IFS(Y51="m2",(AE51*(1/(Z51/AM51)))*I51,Y51="m3",(AE51*(1/(Z51/AM51)))*I51,Y51="kg",(AE51*AL51*(1/(1/AM51)))*I51,Y51="N/A",""))</f>
        <v/>
      </c>
      <c r="R51" s="82" t="s">
        <v>5</v>
      </c>
      <c r="S51" s="164"/>
      <c r="T51" s="47">
        <v>2025</v>
      </c>
      <c r="U51" s="47" t="s">
        <v>14</v>
      </c>
      <c r="V51" s="47" t="s">
        <v>191</v>
      </c>
      <c r="X51" s="180" t="s">
        <v>529</v>
      </c>
      <c r="Y51" s="47" t="s">
        <v>15</v>
      </c>
      <c r="Z51" s="47">
        <v>3.7999999999999999E-2</v>
      </c>
      <c r="AA51" s="52">
        <f t="shared" si="11"/>
        <v>0.55024900000000043</v>
      </c>
      <c r="AB51" s="52">
        <f>-2.38</f>
        <v>-2.38</v>
      </c>
      <c r="AC51" s="52">
        <f>2.93+0.000249</f>
        <v>2.9302490000000003</v>
      </c>
      <c r="AD51" s="52">
        <f>-0.202</f>
        <v>-0.20200000000000001</v>
      </c>
      <c r="AE51" s="52" t="s">
        <v>191</v>
      </c>
      <c r="AG51" s="74" t="str">
        <f t="shared" si="12"/>
        <v xml:space="preserve">E </v>
      </c>
      <c r="AH51" s="75" t="s">
        <v>16</v>
      </c>
      <c r="AI51" s="83"/>
      <c r="AJ51" s="84"/>
      <c r="AL51" s="47">
        <v>50</v>
      </c>
      <c r="AM51" s="47">
        <v>3.7999999999999999E-2</v>
      </c>
      <c r="AN51" s="47">
        <v>2100</v>
      </c>
      <c r="AP51" s="80" t="s">
        <v>17</v>
      </c>
      <c r="AQ51" s="256"/>
      <c r="AU51" s="67" cm="1">
        <f t="array" ref="AU51">_xlfn.IFS(Y51="m2",(AB51*(1/(Z51/AM51))),Y51="m3",(AB51*(1/(Z51/AM51))),Y51="kg",(AB51*AL51*(1/(Z51/AM51))),Y51="N/A",0)</f>
        <v>-2.38</v>
      </c>
    </row>
    <row r="52" spans="1:47" ht="25.2" customHeight="1" x14ac:dyDescent="0.15">
      <c r="A52" s="25" t="s">
        <v>226</v>
      </c>
      <c r="B52" s="47" t="s">
        <v>210</v>
      </c>
      <c r="C52" s="47"/>
      <c r="D52" s="47" t="s">
        <v>219</v>
      </c>
      <c r="E52" s="82" t="s">
        <v>225</v>
      </c>
      <c r="F52" s="47" t="s">
        <v>307</v>
      </c>
      <c r="G52" s="69" t="s">
        <v>292</v>
      </c>
      <c r="I52" s="111">
        <v>1</v>
      </c>
      <c r="J52" s="70">
        <f t="shared" si="7"/>
        <v>0.79655200000000004</v>
      </c>
      <c r="K52" s="143" cm="1">
        <f t="array" ref="K52">IF(AC52="N/A","",_xlfn.IFS(Y52="m2",(AA52*(1/(Z52/AM52)))*I52,Y52="m3",(AA52*(1/(Z52/AM52)))*I52,Y52="kg",(AA52*AL52*(1/(1/AM52)))*I52,Y52="N/A",""))</f>
        <v>0.79655200000000004</v>
      </c>
      <c r="L52" s="71">
        <f t="shared" si="8"/>
        <v>0.79220000000000013</v>
      </c>
      <c r="M52" s="146" cm="1">
        <f t="array" ref="M52">_xlfn.IFS(Y52="m2",(AB52*(1/(Z52/AM52)))*I52,Y52="m3",(AB52*(1/(Z52/AM52)))*I52,Y52="kg",(AB52*AL52*(1/(1/AM52)))*I52,Y52="N/A","")</f>
        <v>0.79220000000000013</v>
      </c>
      <c r="N52" s="52">
        <f t="shared" si="9"/>
        <v>4.3520000000000008E-3</v>
      </c>
      <c r="O52" s="148" cm="1">
        <f t="array" ref="O52">IF(AC52="N/A","",_xlfn.IFS(Y52="m2",(AC52*(1/(Z52/AM52)))*I52,Y52="m3",(AC52*(1/(Z52/AM52)))*I52,Y52="kg",(AC52*AL52*(1/(1/AM52)))*I52,Y52="N/A",""))</f>
        <v>4.3520000000000008E-3</v>
      </c>
      <c r="P52" s="72" t="str">
        <f t="shared" si="10"/>
        <v>N/A</v>
      </c>
      <c r="Q52" s="150" t="str" cm="1">
        <f t="array" ref="Q52">IF(AE52="N/A","",_xlfn.IFS(Y52="m2",(AE52*(1/(Z52/AM52)))*I52,Y52="m3",(AE52*(1/(Z52/AM52)))*I52,Y52="kg",(AE52*AL52*(1/(1/AM52)))*I52,Y52="N/A",""))</f>
        <v/>
      </c>
      <c r="R52" s="82" t="s">
        <v>5</v>
      </c>
      <c r="S52" s="164"/>
      <c r="T52" s="47">
        <v>2024</v>
      </c>
      <c r="U52" s="47" t="s">
        <v>14</v>
      </c>
      <c r="V52" s="47">
        <v>50</v>
      </c>
      <c r="X52" s="180" t="s">
        <v>551</v>
      </c>
      <c r="Y52" s="47" t="s">
        <v>15</v>
      </c>
      <c r="Z52" s="47">
        <v>0.1</v>
      </c>
      <c r="AA52" s="52">
        <f t="shared" si="11"/>
        <v>2.3428</v>
      </c>
      <c r="AB52" s="52">
        <f>2.33</f>
        <v>2.33</v>
      </c>
      <c r="AC52" s="52">
        <f>0+1.28*10^-2</f>
        <v>1.2800000000000001E-2</v>
      </c>
      <c r="AD52" s="52" t="s">
        <v>191</v>
      </c>
      <c r="AE52" s="52" t="s">
        <v>191</v>
      </c>
      <c r="AG52" s="74" t="str">
        <f t="shared" si="12"/>
        <v xml:space="preserve">A1 </v>
      </c>
      <c r="AH52" s="75" t="s">
        <v>58</v>
      </c>
      <c r="AI52" s="76"/>
      <c r="AJ52" s="103"/>
      <c r="AL52" s="47">
        <f>(23+25)/2</f>
        <v>24</v>
      </c>
      <c r="AM52" s="47">
        <v>3.4000000000000002E-2</v>
      </c>
      <c r="AN52" s="47" t="s">
        <v>191</v>
      </c>
      <c r="AP52" s="80" t="s">
        <v>17</v>
      </c>
      <c r="AQ52" s="73"/>
      <c r="AU52" s="67" cm="1">
        <f t="array" ref="AU52">_xlfn.IFS(Y52="m2",(AB52*(1/(Z52/AM52))),Y52="m3",(AB52*(1/(Z52/AM52))),Y52="kg",(AB52*AL52*(1/(Z52/AM52))),Y52="N/A",0)</f>
        <v>0.79220000000000013</v>
      </c>
    </row>
    <row r="53" spans="1:47" ht="25.2" customHeight="1" x14ac:dyDescent="0.15">
      <c r="A53" s="174" t="s">
        <v>496</v>
      </c>
      <c r="B53" s="47" t="s">
        <v>210</v>
      </c>
      <c r="C53" s="47"/>
      <c r="D53" s="47" t="s">
        <v>209</v>
      </c>
      <c r="E53" s="82" t="s">
        <v>146</v>
      </c>
      <c r="F53" s="47" t="s">
        <v>296</v>
      </c>
      <c r="G53" s="69" t="s">
        <v>376</v>
      </c>
      <c r="I53" s="111">
        <v>1</v>
      </c>
      <c r="J53" s="70">
        <f t="shared" si="7"/>
        <v>0.89843000000000017</v>
      </c>
      <c r="K53" s="143" cm="1">
        <f t="array" ref="K53">IF(AC53="N/A","",_xlfn.IFS(Y53="m2",(AA53*(1/(Z53/AM53)))*I53,Y53="m3",(AA53*(1/(Z53/AM53)))*I53,Y53="kg",(AA53*AL53*(1/(1/AM53)))*I53,Y53="N/A",""))</f>
        <v>0.89843000000000017</v>
      </c>
      <c r="L53" s="71">
        <f t="shared" si="8"/>
        <v>0.87880000000000014</v>
      </c>
      <c r="M53" s="146" cm="1">
        <f t="array" ref="M53">_xlfn.IFS(Y53="m2",(AB53*(1/(Z53/AM53)))*I53,Y53="m3",(AB53*(1/(Z53/AM53)))*I53,Y53="kg",(AB53*AL53*(1/(1/AM53)))*I53,Y53="N/A","")</f>
        <v>0.87880000000000014</v>
      </c>
      <c r="N53" s="52">
        <f t="shared" si="9"/>
        <v>1.9630000000000002E-2</v>
      </c>
      <c r="O53" s="148" cm="1">
        <f t="array" ref="O53">IF(AC53="N/A","",_xlfn.IFS(Y53="m2",(AC53*(1/(Z53/AM53)))*I53,Y53="m3",(AC53*(1/(Z53/AM53)))*I53,Y53="kg",(AC53*AL53*(1/(1/AM53)))*I53,Y53="N/A",""))</f>
        <v>1.9630000000000002E-2</v>
      </c>
      <c r="P53" s="72">
        <f t="shared" si="10"/>
        <v>-6.2790000000000012E-2</v>
      </c>
      <c r="Q53" s="150" cm="1">
        <f t="array" ref="Q53">IF(AE53="N/A","",_xlfn.IFS(Y53="m2",(AE53*(1/(Z53/AM53)))*I53,Y53="m3",(AE53*(1/(Z53/AM53)))*I53,Y53="kg",(AE53*AL53*(1/(1/AM53)))*I53,Y53="N/A",""))</f>
        <v>-6.2790000000000012E-2</v>
      </c>
      <c r="R53" s="82" t="s">
        <v>5</v>
      </c>
      <c r="S53" s="164"/>
      <c r="T53" s="47">
        <v>2027</v>
      </c>
      <c r="U53" s="47" t="s">
        <v>28</v>
      </c>
      <c r="V53" s="47">
        <v>60</v>
      </c>
      <c r="X53" s="180" t="s">
        <v>539</v>
      </c>
      <c r="Y53" s="47" t="s">
        <v>15</v>
      </c>
      <c r="Z53" s="47">
        <v>3.4000000000000002E-2</v>
      </c>
      <c r="AA53" s="52">
        <f t="shared" si="11"/>
        <v>0.89843000000000017</v>
      </c>
      <c r="AB53" s="52">
        <f>1.3*0.676</f>
        <v>0.87880000000000014</v>
      </c>
      <c r="AC53" s="52">
        <f>1.3*(0+0.0151)</f>
        <v>1.9630000000000002E-2</v>
      </c>
      <c r="AD53" s="52">
        <f>1.3*-0.026</f>
        <v>-3.3799999999999997E-2</v>
      </c>
      <c r="AE53" s="52">
        <f>1.3*-0.0483</f>
        <v>-6.2790000000000012E-2</v>
      </c>
      <c r="AG53" s="74" t="str">
        <f t="shared" si="12"/>
        <v xml:space="preserve">A1 </v>
      </c>
      <c r="AH53" s="75" t="s">
        <v>58</v>
      </c>
      <c r="AI53" s="76"/>
      <c r="AJ53" s="103"/>
      <c r="AL53" s="47">
        <v>42</v>
      </c>
      <c r="AM53" s="47">
        <v>3.4000000000000002E-2</v>
      </c>
      <c r="AN53" s="47">
        <v>1030</v>
      </c>
      <c r="AP53" s="105" t="s">
        <v>17</v>
      </c>
      <c r="AQ53" s="73"/>
      <c r="AU53" s="67" cm="1">
        <f t="array" ref="AU53">_xlfn.IFS(Y53="m2",(AB53*(1/(Z53/AM53))),Y53="m3",(AB53*(1/(Z53/AM53))),Y53="kg",(AB53*AL53*(1/(Z53/AM53))),Y53="N/A",0)</f>
        <v>0.87880000000000014</v>
      </c>
    </row>
    <row r="54" spans="1:47" ht="25.2" customHeight="1" x14ac:dyDescent="0.15">
      <c r="A54" s="174" t="s">
        <v>499</v>
      </c>
      <c r="B54" s="47" t="s">
        <v>210</v>
      </c>
      <c r="C54" s="47"/>
      <c r="D54" s="47" t="s">
        <v>209</v>
      </c>
      <c r="E54" s="82" t="s">
        <v>146</v>
      </c>
      <c r="F54" s="47" t="s">
        <v>296</v>
      </c>
      <c r="G54" s="69" t="s">
        <v>376</v>
      </c>
      <c r="I54" s="111">
        <v>1</v>
      </c>
      <c r="J54" s="70">
        <f t="shared" si="7"/>
        <v>0.89843000000000017</v>
      </c>
      <c r="K54" s="143" cm="1">
        <f t="array" ref="K54">IF(AC54="N/A","",_xlfn.IFS(Y54="m2",(AA54*(1/(Z54/AM54)))*I54,Y54="m3",(AA54*(1/(Z54/AM54)))*I54,Y54="kg",(AA54*AL54*(1/(1/AM54)))*I54,Y54="N/A",""))</f>
        <v>0.89843000000000017</v>
      </c>
      <c r="L54" s="71">
        <f t="shared" si="8"/>
        <v>0.87880000000000014</v>
      </c>
      <c r="M54" s="146" cm="1">
        <f t="array" ref="M54">_xlfn.IFS(Y54="m2",(AB54*(1/(Z54/AM54)))*I54,Y54="m3",(AB54*(1/(Z54/AM54)))*I54,Y54="kg",(AB54*AL54*(1/(1/AM54)))*I54,Y54="N/A","")</f>
        <v>0.87880000000000014</v>
      </c>
      <c r="N54" s="52">
        <f t="shared" si="9"/>
        <v>1.9630000000000002E-2</v>
      </c>
      <c r="O54" s="148" cm="1">
        <f t="array" ref="O54">IF(AC54="N/A","",_xlfn.IFS(Y54="m2",(AC54*(1/(Z54/AM54)))*I54,Y54="m3",(AC54*(1/(Z54/AM54)))*I54,Y54="kg",(AC54*AL54*(1/(1/AM54)))*I54,Y54="N/A",""))</f>
        <v>1.9630000000000002E-2</v>
      </c>
      <c r="P54" s="72">
        <f t="shared" si="10"/>
        <v>-6.2790000000000012E-2</v>
      </c>
      <c r="Q54" s="150" cm="1">
        <f t="array" ref="Q54">IF(AE54="N/A","",_xlfn.IFS(Y54="m2",(AE54*(1/(Z54/AM54)))*I54,Y54="m3",(AE54*(1/(Z54/AM54)))*I54,Y54="kg",(AE54*AL54*(1/(1/AM54)))*I54,Y54="N/A",""))</f>
        <v>-6.2790000000000012E-2</v>
      </c>
      <c r="R54" s="82" t="s">
        <v>5</v>
      </c>
      <c r="S54" s="164"/>
      <c r="T54" s="47">
        <v>2027</v>
      </c>
      <c r="U54" s="47" t="s">
        <v>28</v>
      </c>
      <c r="V54" s="47">
        <v>60</v>
      </c>
      <c r="X54" s="180" t="s">
        <v>539</v>
      </c>
      <c r="Y54" s="47" t="s">
        <v>15</v>
      </c>
      <c r="Z54" s="47">
        <v>3.4000000000000002E-2</v>
      </c>
      <c r="AA54" s="52">
        <f t="shared" si="11"/>
        <v>0.89843000000000017</v>
      </c>
      <c r="AB54" s="52">
        <f>1.3*0.676</f>
        <v>0.87880000000000014</v>
      </c>
      <c r="AC54" s="52">
        <f>1.3*(0+0.0151)</f>
        <v>1.9630000000000002E-2</v>
      </c>
      <c r="AD54" s="52">
        <f>1.3*-0.026</f>
        <v>-3.3799999999999997E-2</v>
      </c>
      <c r="AE54" s="52">
        <f>1.3*-0.0483</f>
        <v>-6.2790000000000012E-2</v>
      </c>
      <c r="AG54" s="74" t="str">
        <f t="shared" si="12"/>
        <v xml:space="preserve">A1 </v>
      </c>
      <c r="AH54" s="75" t="s">
        <v>58</v>
      </c>
      <c r="AI54" s="76"/>
      <c r="AJ54" s="103"/>
      <c r="AL54" s="47">
        <v>42</v>
      </c>
      <c r="AM54" s="47">
        <v>3.4000000000000002E-2</v>
      </c>
      <c r="AN54" s="47">
        <v>1030</v>
      </c>
      <c r="AP54" s="277" t="s">
        <v>17</v>
      </c>
      <c r="AQ54" s="256"/>
      <c r="AU54" s="67" cm="1">
        <f t="array" ref="AU54">_xlfn.IFS(Y54="m2",(AB54*(1/(Z54/AM54))),Y54="m3",(AB54*(1/(Z54/AM54))),Y54="kg",(AB54*AL54*(1/(Z54/AM54))),Y54="N/A",0)</f>
        <v>0.87880000000000014</v>
      </c>
    </row>
    <row r="55" spans="1:47" ht="25.2" customHeight="1" x14ac:dyDescent="0.15">
      <c r="A55" s="25" t="s">
        <v>981</v>
      </c>
      <c r="B55" s="47" t="s">
        <v>208</v>
      </c>
      <c r="C55" s="47"/>
      <c r="D55" s="47" t="s">
        <v>111</v>
      </c>
      <c r="E55" s="82" t="s">
        <v>140</v>
      </c>
      <c r="F55" s="47" t="s">
        <v>95</v>
      </c>
      <c r="G55" s="69" t="s">
        <v>292</v>
      </c>
      <c r="I55" s="111">
        <v>1</v>
      </c>
      <c r="J55" s="70">
        <f t="shared" si="7"/>
        <v>0.5290999999999999</v>
      </c>
      <c r="K55" s="143" cm="1">
        <f t="array" ref="K55">IF(AC55="N/A","",_xlfn.IFS(Y55="m2",(AA55*(1/(Z55/AM55)))*I55,Y55="m3",(AA55*(1/(Z55/AM55)))*I55,Y55="kg",(AA55*AL55*(1/(1/AM55)))*I55,Y55="N/A",""))</f>
        <v>0.5290999999999999</v>
      </c>
      <c r="L55" s="71">
        <f t="shared" si="8"/>
        <v>-2.9581499999999998</v>
      </c>
      <c r="M55" s="146" cm="1">
        <f t="array" ref="M55">_xlfn.IFS(Y55="m2",(AB55*(1/(Z55/AM55)))*I55,Y55="m3",(AB55*(1/(Z55/AM55)))*I55,Y55="kg",(AB55*AL55*(1/(1/AM55)))*I55,Y55="N/A","")</f>
        <v>-2.9581499999999998</v>
      </c>
      <c r="N55" s="52">
        <f t="shared" si="9"/>
        <v>3.48725</v>
      </c>
      <c r="O55" s="148" cm="1">
        <f t="array" ref="O55">IF(AC55="N/A","",_xlfn.IFS(Y55="m2",(AC55*(1/(Z55/AM55)))*I55,Y55="m3",(AC55*(1/(Z55/AM55)))*I55,Y55="kg",(AC55*AL55*(1/(1/AM55)))*I55,Y55="N/A",""))</f>
        <v>3.48725</v>
      </c>
      <c r="P55" s="72" t="str">
        <f t="shared" si="10"/>
        <v>N/A</v>
      </c>
      <c r="Q55" s="150" t="str" cm="1">
        <f t="array" ref="Q55">IF(AE55="N/A","",_xlfn.IFS(Y55="m2",(AE55*(1/(Z55/AM55)))*I55,Y55="m3",(AE55*(1/(Z55/AM55)))*I55,Y55="kg",(AE55*AL55*(1/(1/AM55)))*I55,Y55="N/A",""))</f>
        <v/>
      </c>
      <c r="R55" s="88" t="s">
        <v>5</v>
      </c>
      <c r="S55" s="164"/>
      <c r="T55" s="86">
        <v>2026</v>
      </c>
      <c r="U55" s="47" t="s">
        <v>14</v>
      </c>
      <c r="V55" s="86" t="s">
        <v>191</v>
      </c>
      <c r="X55" s="234" t="s">
        <v>531</v>
      </c>
      <c r="Y55" s="86" t="s">
        <v>61</v>
      </c>
      <c r="Z55" s="86">
        <v>1</v>
      </c>
      <c r="AA55" s="52">
        <f t="shared" si="11"/>
        <v>0.21999999999999997</v>
      </c>
      <c r="AB55" s="91">
        <v>-1.23</v>
      </c>
      <c r="AC55" s="91">
        <f>1.45</f>
        <v>1.45</v>
      </c>
      <c r="AD55" s="91">
        <v>-0.44700000000000001</v>
      </c>
      <c r="AE55" s="52" t="s">
        <v>191</v>
      </c>
      <c r="AG55" s="74" t="str">
        <f t="shared" si="12"/>
        <v>B s2
d0</v>
      </c>
      <c r="AH55" s="75" t="s">
        <v>178</v>
      </c>
      <c r="AI55" s="83" t="s">
        <v>177</v>
      </c>
      <c r="AJ55" s="84"/>
      <c r="AL55" s="47">
        <f>65</f>
        <v>65</v>
      </c>
      <c r="AM55" s="47">
        <v>3.6999999999999998E-2</v>
      </c>
      <c r="AN55" s="86">
        <f>2.11*10^3</f>
        <v>2110</v>
      </c>
      <c r="AP55" s="80" t="s">
        <v>17</v>
      </c>
      <c r="AQ55" s="106" t="s">
        <v>17</v>
      </c>
      <c r="AU55" s="67" cm="1">
        <f t="array" ref="AU55">_xlfn.IFS(Y55="m2",(AB55*(1/(Z55/AM55))),Y55="m3",(AB55*(1/(Z55/AM55))),Y55="kg",(AB55*AL55*(1/(Z55/AM55))),Y55="N/A",0)</f>
        <v>-2.9581499999999998</v>
      </c>
    </row>
    <row r="56" spans="1:47" ht="25.2" customHeight="1" x14ac:dyDescent="0.15">
      <c r="A56" s="25" t="s">
        <v>982</v>
      </c>
      <c r="B56" s="47" t="s">
        <v>208</v>
      </c>
      <c r="C56" s="47"/>
      <c r="D56" s="47" t="s">
        <v>111</v>
      </c>
      <c r="E56" s="82" t="s">
        <v>140</v>
      </c>
      <c r="F56" s="47" t="s">
        <v>95</v>
      </c>
      <c r="G56" s="47" t="s">
        <v>292</v>
      </c>
      <c r="I56" s="111">
        <v>1</v>
      </c>
      <c r="J56" s="70">
        <f t="shared" si="7"/>
        <v>0.20349999999999996</v>
      </c>
      <c r="K56" s="143" cm="1">
        <f t="array" ref="K56">IF(AC56="N/A","",_xlfn.IFS(Y56="m2",(AA56*(1/(Z56/AM56)))*I56,Y56="m3",(AA56*(1/(Z56/AM56)))*I56,Y56="kg",(AA56*AL56*(1/(1/AM56)))*I56,Y56="N/A",""))</f>
        <v>0.20349999999999996</v>
      </c>
      <c r="L56" s="71">
        <f t="shared" si="8"/>
        <v>-1.13775</v>
      </c>
      <c r="M56" s="146" cm="1">
        <f t="array" ref="M56">_xlfn.IFS(Y56="m2",(AB56*(1/(Z56/AM56)))*I56,Y56="m3",(AB56*(1/(Z56/AM56)))*I56,Y56="kg",(AB56*AL56*(1/(1/AM56)))*I56,Y56="N/A","")</f>
        <v>-1.13775</v>
      </c>
      <c r="N56" s="52">
        <f t="shared" si="9"/>
        <v>1.3412499999999998</v>
      </c>
      <c r="O56" s="148" cm="1">
        <f t="array" ref="O56">IF(AC56="N/A","",_xlfn.IFS(Y56="m2",(AC56*(1/(Z56/AM56)))*I56,Y56="m3",(AC56*(1/(Z56/AM56)))*I56,Y56="kg",(AC56*AL56*(1/(1/AM56)))*I56,Y56="N/A",""))</f>
        <v>1.3412499999999998</v>
      </c>
      <c r="P56" s="72" t="str">
        <f t="shared" si="10"/>
        <v>N/A</v>
      </c>
      <c r="Q56" s="150" t="str" cm="1">
        <f t="array" ref="Q56">IF(AE56="N/A","",_xlfn.IFS(Y56="m2",(AE56*(1/(Z56/AM56)))*I56,Y56="m3",(AE56*(1/(Z56/AM56)))*I56,Y56="kg",(AE56*AL56*(1/(1/AM56)))*I56,Y56="N/A",""))</f>
        <v/>
      </c>
      <c r="R56" s="88" t="s">
        <v>5</v>
      </c>
      <c r="S56" s="164"/>
      <c r="T56" s="86">
        <v>2026</v>
      </c>
      <c r="U56" s="47" t="s">
        <v>14</v>
      </c>
      <c r="V56" s="86" t="s">
        <v>191</v>
      </c>
      <c r="X56" s="234" t="s">
        <v>531</v>
      </c>
      <c r="Y56" s="86" t="s">
        <v>61</v>
      </c>
      <c r="Z56" s="86">
        <v>1</v>
      </c>
      <c r="AA56" s="52">
        <f t="shared" si="11"/>
        <v>0.21999999999999997</v>
      </c>
      <c r="AB56" s="91">
        <v>-1.23</v>
      </c>
      <c r="AC56" s="91">
        <f>1.45</f>
        <v>1.45</v>
      </c>
      <c r="AD56" s="91">
        <v>-0.44700000000000001</v>
      </c>
      <c r="AE56" s="52" t="s">
        <v>191</v>
      </c>
      <c r="AG56" s="74" t="str">
        <f t="shared" si="12"/>
        <v>B s2
d0</v>
      </c>
      <c r="AH56" s="75" t="s">
        <v>178</v>
      </c>
      <c r="AI56" s="83" t="s">
        <v>177</v>
      </c>
      <c r="AJ56" s="84"/>
      <c r="AL56" s="47">
        <f>25</f>
        <v>25</v>
      </c>
      <c r="AM56" s="47">
        <v>3.6999999999999998E-2</v>
      </c>
      <c r="AN56" s="86">
        <f>2.11*10^3</f>
        <v>2110</v>
      </c>
      <c r="AP56" s="80" t="s">
        <v>17</v>
      </c>
      <c r="AQ56" s="106" t="s">
        <v>17</v>
      </c>
      <c r="AU56" s="67" cm="1">
        <f t="array" ref="AU56">_xlfn.IFS(Y56="m2",(AB56*(1/(Z56/AM56))),Y56="m3",(AB56*(1/(Z56/AM56))),Y56="kg",(AB56*AL56*(1/(Z56/AM56))),Y56="N/A",0)</f>
        <v>-1.13775</v>
      </c>
    </row>
    <row r="57" spans="1:47" ht="25.2" customHeight="1" x14ac:dyDescent="0.15">
      <c r="A57" s="25" t="s">
        <v>39</v>
      </c>
      <c r="B57" s="47" t="s">
        <v>208</v>
      </c>
      <c r="C57" s="47"/>
      <c r="D57" s="47" t="s">
        <v>39</v>
      </c>
      <c r="E57" s="82" t="s">
        <v>140</v>
      </c>
      <c r="F57" s="47" t="s">
        <v>40</v>
      </c>
      <c r="G57" s="85" t="s">
        <v>175</v>
      </c>
      <c r="H57" s="27"/>
      <c r="I57" s="111">
        <v>1</v>
      </c>
      <c r="J57" s="70">
        <f t="shared" si="7"/>
        <v>6.6130583333333339</v>
      </c>
      <c r="K57" s="143" cm="1">
        <f t="array" ref="K57">IF(AC57="N/A","",_xlfn.IFS(Y57="m2",(AA57*(1/(Z57/AM57)))*I57,Y57="m3",(AA57*(1/(Z57/AM57)))*I57,Y57="kg",(AA57*AL57*(1/(1/AM57)))*I57,Y57="N/A",""))</f>
        <v>6.6130583333333339</v>
      </c>
      <c r="L57" s="71">
        <f t="shared" si="8"/>
        <v>-3.910916666666667</v>
      </c>
      <c r="M57" s="146" cm="1">
        <f t="array" ref="M57">_xlfn.IFS(Y57="m2",(AB57*(1/(Z57/AM57)))*I57,Y57="m3",(AB57*(1/(Z57/AM57)))*I57,Y57="kg",(AB57*AL57*(1/(1/AM57)))*I57,Y57="N/A","")</f>
        <v>-3.910916666666667</v>
      </c>
      <c r="N57" s="52">
        <f t="shared" si="9"/>
        <v>10.523975</v>
      </c>
      <c r="O57" s="148" cm="1">
        <f t="array" ref="O57">IF(AC57="N/A","",_xlfn.IFS(Y57="m2",(AC57*(1/(Z57/AM57)))*I57,Y57="m3",(AC57*(1/(Z57/AM57)))*I57,Y57="kg",(AC57*AL57*(1/(1/AM57)))*I57,Y57="N/A",""))</f>
        <v>10.523975</v>
      </c>
      <c r="P57" s="72">
        <f t="shared" si="10"/>
        <v>-10.235833333333332</v>
      </c>
      <c r="Q57" s="150" cm="1">
        <f t="array" ref="Q57">IF(AE57="N/A","",_xlfn.IFS(Y57="m2",(AE57*(1/(Z57/AM57)))*I57,Y57="m3",(AE57*(1/(Z57/AM57)))*I57,Y57="kg",(AE57*AL57*(1/(1/AM57)))*I57,Y57="N/A",""))</f>
        <v>-10.235833333333332</v>
      </c>
      <c r="R57" s="82" t="s">
        <v>5</v>
      </c>
      <c r="S57" s="164"/>
      <c r="T57" s="47">
        <v>2026</v>
      </c>
      <c r="U57" s="47" t="s">
        <v>28</v>
      </c>
      <c r="V57" s="47">
        <v>60</v>
      </c>
      <c r="X57" s="234" t="s">
        <v>534</v>
      </c>
      <c r="Y57" s="47" t="s">
        <v>15</v>
      </c>
      <c r="Z57" s="47">
        <v>0.36</v>
      </c>
      <c r="AA57" s="52">
        <f t="shared" si="11"/>
        <v>33.531000000000006</v>
      </c>
      <c r="AB57" s="52">
        <f>6.11+6.16+-32.1</f>
        <v>-19.830000000000002</v>
      </c>
      <c r="AC57" s="52">
        <f>0.261+53.1</f>
        <v>53.361000000000004</v>
      </c>
      <c r="AD57" s="52">
        <f>4.76</f>
        <v>4.76</v>
      </c>
      <c r="AE57" s="52">
        <v>-51.9</v>
      </c>
      <c r="AG57" s="74" t="str">
        <f t="shared" si="12"/>
        <v>B s1
d0</v>
      </c>
      <c r="AH57" s="90" t="s">
        <v>178</v>
      </c>
      <c r="AI57" s="83" t="s">
        <v>176</v>
      </c>
      <c r="AJ57" s="84"/>
      <c r="AL57" s="47">
        <v>340</v>
      </c>
      <c r="AM57" s="47">
        <v>7.0999999999999994E-2</v>
      </c>
      <c r="AN57" s="47" t="s">
        <v>191</v>
      </c>
      <c r="AP57" s="80" t="s">
        <v>17</v>
      </c>
      <c r="AQ57" s="256"/>
      <c r="AU57" s="67" cm="1">
        <f t="array" ref="AU57">_xlfn.IFS(Y57="m2",(AB57*(1/(Z57/AM57))),Y57="m3",(AB57*(1/(Z57/AM57))),Y57="kg",(AB57*AL57*(1/(Z57/AM57))),Y57="N/A",0)</f>
        <v>-3.910916666666667</v>
      </c>
    </row>
    <row r="58" spans="1:47" ht="25.2" customHeight="1" x14ac:dyDescent="0.15">
      <c r="A58" s="25" t="s">
        <v>110</v>
      </c>
      <c r="B58" s="47" t="s">
        <v>208</v>
      </c>
      <c r="C58" s="47"/>
      <c r="D58" s="47" t="s">
        <v>111</v>
      </c>
      <c r="E58" s="47" t="s">
        <v>191</v>
      </c>
      <c r="F58" s="47" t="s">
        <v>95</v>
      </c>
      <c r="G58" s="47" t="s">
        <v>292</v>
      </c>
      <c r="I58" s="111">
        <v>1</v>
      </c>
      <c r="J58" s="70" t="str">
        <f t="shared" si="7"/>
        <v>N/A</v>
      </c>
      <c r="K58" s="143" t="str" cm="1">
        <f t="array" ref="K58">IF(AC58="N/A","",_xlfn.IFS(Y58="m2",(AA58*(1/(Z58/AM58)))*I58,Y58="m3",(AA58*(1/(Z58/AM58)))*I58,Y58="kg",(AA58*AL58*(1/(1/AM58)))*I58,Y58="N/A",""))</f>
        <v/>
      </c>
      <c r="L58" s="71" t="str">
        <f t="shared" si="8"/>
        <v>N/A</v>
      </c>
      <c r="M58" s="146" t="str" cm="1">
        <f t="array" ref="M58">_xlfn.IFS(Y58="m2",(AB58*(1/(Z58/AM58)))*I58,Y58="m3",(AB58*(1/(Z58/AM58)))*I58,Y58="kg",(AB58*AL58*(1/(1/AM58)))*I58,Y58="N/A","")</f>
        <v/>
      </c>
      <c r="N58" s="52" t="str">
        <f t="shared" si="9"/>
        <v>N/A</v>
      </c>
      <c r="O58" s="148" t="str" cm="1">
        <f t="array" ref="O58">IF(AC58="N/A","",_xlfn.IFS(Y58="m2",(AC58*(1/(Z58/AM58)))*I58,Y58="m3",(AC58*(1/(Z58/AM58)))*I58,Y58="kg",(AC58*AL58*(1/(1/AM58)))*I58,Y58="N/A",""))</f>
        <v/>
      </c>
      <c r="P58" s="72" t="str">
        <f t="shared" si="10"/>
        <v>N/A</v>
      </c>
      <c r="Q58" s="150" t="str" cm="1">
        <f t="array" ref="Q58">IF(AE58="N/A","",_xlfn.IFS(Y58="m2",(AE58*(1/(Z58/AM58)))*I58,Y58="m3",(AE58*(1/(Z58/AM58)))*I58,Y58="kg",(AE58*AL58*(1/(1/AM58)))*I58,Y58="N/A",""))</f>
        <v/>
      </c>
      <c r="R58" s="104" t="s">
        <v>191</v>
      </c>
      <c r="S58" s="164"/>
      <c r="T58" s="47" t="s">
        <v>191</v>
      </c>
      <c r="U58" s="47" t="s">
        <v>191</v>
      </c>
      <c r="V58" s="47" t="s">
        <v>191</v>
      </c>
      <c r="X58" s="180" t="s">
        <v>191</v>
      </c>
      <c r="Y58" s="47" t="s">
        <v>191</v>
      </c>
      <c r="Z58" s="47" t="s">
        <v>191</v>
      </c>
      <c r="AA58" s="52" t="str">
        <f t="shared" si="11"/>
        <v>N/A</v>
      </c>
      <c r="AB58" s="52" t="s">
        <v>191</v>
      </c>
      <c r="AC58" s="52" t="s">
        <v>191</v>
      </c>
      <c r="AD58" s="52" t="s">
        <v>191</v>
      </c>
      <c r="AE58" s="52" t="s">
        <v>191</v>
      </c>
      <c r="AG58" s="74" t="str">
        <f t="shared" si="12"/>
        <v>D s2
d0</v>
      </c>
      <c r="AH58" s="75" t="s">
        <v>8</v>
      </c>
      <c r="AI58" s="83" t="s">
        <v>177</v>
      </c>
      <c r="AJ58" s="84"/>
      <c r="AL58" s="47">
        <v>35</v>
      </c>
      <c r="AM58" s="47">
        <v>3.7999999999999999E-2</v>
      </c>
      <c r="AN58" s="47" t="s">
        <v>191</v>
      </c>
      <c r="AP58" s="80" t="s">
        <v>17</v>
      </c>
      <c r="AQ58" s="106" t="s">
        <v>17</v>
      </c>
      <c r="AU58" s="67" cm="1">
        <f t="array" ref="AU58">_xlfn.IFS(Y58="m2",(AB58*(1/(Z58/AM58))),Y58="m3",(AB58*(1/(Z58/AM58))),Y58="kg",(AB58*AL58*(1/(Z58/AM58))),Y58="N/A",0)</f>
        <v>0</v>
      </c>
    </row>
    <row r="59" spans="1:47" ht="25.2" customHeight="1" x14ac:dyDescent="0.15">
      <c r="A59" s="25" t="s">
        <v>274</v>
      </c>
      <c r="B59" s="47" t="s">
        <v>210</v>
      </c>
      <c r="C59" s="47"/>
      <c r="D59" s="47" t="s">
        <v>256</v>
      </c>
      <c r="E59" s="88" t="s">
        <v>153</v>
      </c>
      <c r="F59" s="47" t="s">
        <v>259</v>
      </c>
      <c r="G59" s="47" t="s">
        <v>370</v>
      </c>
      <c r="I59" s="111">
        <v>1</v>
      </c>
      <c r="J59" s="70">
        <f t="shared" si="7"/>
        <v>3.4800352999999999</v>
      </c>
      <c r="K59" s="143" cm="1">
        <f t="array" ref="K59">IF(AC59="N/A","",_xlfn.IFS(Y59="m2",(AA59*(1/(Z59/AM59)))*I59,Y59="m3",(AA59*(1/(Z59/AM59)))*I59,Y59="kg",(AA59*AL59*(1/(1/AM59)))*I59,Y59="N/A",""))</f>
        <v>3.4800352999999999</v>
      </c>
      <c r="L59" s="71">
        <f t="shared" si="8"/>
        <v>1.67</v>
      </c>
      <c r="M59" s="146" cm="1">
        <f t="array" ref="M59">_xlfn.IFS(Y59="m2",(AB59*(1/(Z59/AM59)))*I59,Y59="m3",(AB59*(1/(Z59/AM59)))*I59,Y59="kg",(AB59*AL59*(1/(1/AM59)))*I59,Y59="N/A","")</f>
        <v>1.67</v>
      </c>
      <c r="N59" s="52">
        <f t="shared" si="9"/>
        <v>1.8100353</v>
      </c>
      <c r="O59" s="148" cm="1">
        <f t="array" ref="O59">IF(AC59="N/A","",_xlfn.IFS(Y59="m2",(AC59*(1/(Z59/AM59)))*I59,Y59="m3",(AC59*(1/(Z59/AM59)))*I59,Y59="kg",(AC59*AL59*(1/(1/AM59)))*I59,Y59="N/A",""))</f>
        <v>1.8100353</v>
      </c>
      <c r="P59" s="72" t="str">
        <f t="shared" si="10"/>
        <v>N/A</v>
      </c>
      <c r="Q59" s="150" t="str" cm="1">
        <f t="array" ref="Q59">IF(AE59="N/A","",_xlfn.IFS(Y59="m2",(AE59*(1/(Z59/AM59)))*I59,Y59="m3",(AE59*(1/(Z59/AM59)))*I59,Y59="kg",(AE59*AL59*(1/(1/AM59)))*I59,Y59="N/A",""))</f>
        <v/>
      </c>
      <c r="R59" s="88" t="s">
        <v>5</v>
      </c>
      <c r="S59" s="164"/>
      <c r="T59" s="47">
        <v>2026</v>
      </c>
      <c r="U59" s="47" t="s">
        <v>14</v>
      </c>
      <c r="V59" s="47">
        <v>60</v>
      </c>
      <c r="X59" s="180" t="s">
        <v>553</v>
      </c>
      <c r="Y59" s="47" t="s">
        <v>15</v>
      </c>
      <c r="Z59" s="47">
        <v>3.7999999999999999E-2</v>
      </c>
      <c r="AA59" s="52">
        <f t="shared" si="11"/>
        <v>3.4800352999999999</v>
      </c>
      <c r="AB59" s="52">
        <v>1.67</v>
      </c>
      <c r="AC59" s="52">
        <f>1.81+0.0000353</f>
        <v>1.8100353</v>
      </c>
      <c r="AD59" s="52">
        <v>8.94E-3</v>
      </c>
      <c r="AE59" s="47" t="s">
        <v>191</v>
      </c>
      <c r="AG59" s="74" t="str">
        <f t="shared" si="12"/>
        <v xml:space="preserve">F </v>
      </c>
      <c r="AH59" s="75" t="s">
        <v>82</v>
      </c>
      <c r="AI59" s="76"/>
      <c r="AJ59" s="103"/>
      <c r="AL59" s="47" t="s">
        <v>191</v>
      </c>
      <c r="AM59" s="47">
        <v>3.7999999999999999E-2</v>
      </c>
      <c r="AN59" s="47" t="s">
        <v>191</v>
      </c>
      <c r="AP59" s="257" t="s">
        <v>17</v>
      </c>
      <c r="AQ59" s="256"/>
      <c r="AU59" s="67" cm="1">
        <f t="array" ref="AU59">_xlfn.IFS(Y59="m2",(AB59*(1/(Z59/AM59))),Y59="m3",(AB59*(1/(Z59/AM59))),Y59="kg",(AB59*AL59*(1/(Z59/AM59))),Y59="N/A",0)</f>
        <v>1.67</v>
      </c>
    </row>
    <row r="60" spans="1:47" ht="25.2" customHeight="1" x14ac:dyDescent="0.15">
      <c r="A60" s="25" t="s">
        <v>182</v>
      </c>
      <c r="B60" s="47" t="s">
        <v>208</v>
      </c>
      <c r="C60" s="47"/>
      <c r="D60" s="47" t="s">
        <v>74</v>
      </c>
      <c r="E60" s="47" t="s">
        <v>146</v>
      </c>
      <c r="F60" s="47" t="s">
        <v>75</v>
      </c>
      <c r="G60" s="47" t="s">
        <v>192</v>
      </c>
      <c r="I60" s="111">
        <v>1</v>
      </c>
      <c r="J60" s="70" t="str">
        <f t="shared" si="7"/>
        <v>N/A</v>
      </c>
      <c r="K60" s="143" t="str" cm="1">
        <f t="array" ref="K60">IF(AC60="N/A","",_xlfn.IFS(Y60="m2",(AA60*(1/(Z60/AM60)))*I60,Y60="m3",(AA60*(1/(Z60/AM60)))*I60,Y60="kg",(AA60*AL60*(1/(1/AM60)))*I60,Y60="N/A",""))</f>
        <v/>
      </c>
      <c r="L60" s="71" t="str">
        <f t="shared" si="8"/>
        <v>N/A</v>
      </c>
      <c r="M60" s="146" t="str" cm="1">
        <f t="array" ref="M60">_xlfn.IFS(Y60="m2",(AB60*(1/(Z60/AM60)))*I60,Y60="m3",(AB60*(1/(Z60/AM60)))*I60,Y60="kg",(AB60*AL60*(1/(1/AM60)))*I60,Y60="N/A","")</f>
        <v/>
      </c>
      <c r="N60" s="52" t="str">
        <f t="shared" si="9"/>
        <v>N/A</v>
      </c>
      <c r="O60" s="148" t="str" cm="1">
        <f t="array" ref="O60">IF(AC60="N/A","",_xlfn.IFS(Y60="m2",(AC60*(1/(Z60/AM60)))*I60,Y60="m3",(AC60*(1/(Z60/AM60)))*I60,Y60="kg",(AC60*AL60*(1/(1/AM60)))*I60,Y60="N/A",""))</f>
        <v/>
      </c>
      <c r="P60" s="72" t="str">
        <f t="shared" si="10"/>
        <v>N/A</v>
      </c>
      <c r="Q60" s="150" t="str" cm="1">
        <f t="array" ref="Q60">IF(AE60="N/A","",_xlfn.IFS(Y60="m2",(AE60*(1/(Z60/AM60)))*I60,Y60="m3",(AE60*(1/(Z60/AM60)))*I60,Y60="kg",(AE60*AL60*(1/(1/AM60)))*I60,Y60="N/A",""))</f>
        <v/>
      </c>
      <c r="R60" s="52" t="s">
        <v>191</v>
      </c>
      <c r="S60" s="52"/>
      <c r="T60" s="52" t="s">
        <v>191</v>
      </c>
      <c r="U60" s="52" t="s">
        <v>191</v>
      </c>
      <c r="V60" s="52" t="s">
        <v>191</v>
      </c>
      <c r="X60" s="180" t="s">
        <v>191</v>
      </c>
      <c r="Y60" s="52" t="s">
        <v>191</v>
      </c>
      <c r="Z60" s="47" t="s">
        <v>191</v>
      </c>
      <c r="AA60" s="52" t="str">
        <f t="shared" si="11"/>
        <v>N/A</v>
      </c>
      <c r="AB60" s="52" t="s">
        <v>191</v>
      </c>
      <c r="AC60" s="52" t="s">
        <v>191</v>
      </c>
      <c r="AD60" s="52" t="s">
        <v>191</v>
      </c>
      <c r="AE60" s="52" t="s">
        <v>191</v>
      </c>
      <c r="AG60" s="74" t="str">
        <f t="shared" si="12"/>
        <v xml:space="preserve">F </v>
      </c>
      <c r="AH60" s="75" t="s">
        <v>82</v>
      </c>
      <c r="AI60" s="76"/>
      <c r="AJ60" s="77"/>
      <c r="AL60" s="52" t="s">
        <v>191</v>
      </c>
      <c r="AM60" s="52" t="s">
        <v>191</v>
      </c>
      <c r="AN60" s="52" t="s">
        <v>191</v>
      </c>
      <c r="AP60" s="80" t="s">
        <v>17</v>
      </c>
      <c r="AQ60" s="73"/>
      <c r="AU60" s="67" cm="1">
        <f t="array" ref="AU60">_xlfn.IFS(Y60="m2",(AB60*(1/(Z60/AM60))),Y60="m3",(AB60*(1/(Z60/AM60))),Y60="kg",(AB60*AL60*(1/(Z60/AM60))),Y60="N/A",0)</f>
        <v>0</v>
      </c>
    </row>
    <row r="61" spans="1:47" ht="25.2" customHeight="1" x14ac:dyDescent="0.15">
      <c r="A61" s="25" t="s">
        <v>1048</v>
      </c>
      <c r="B61" s="47" t="s">
        <v>210</v>
      </c>
      <c r="C61" s="47"/>
      <c r="D61" s="47" t="s">
        <v>1047</v>
      </c>
      <c r="E61" s="186" t="s">
        <v>146</v>
      </c>
      <c r="F61" s="47" t="s">
        <v>307</v>
      </c>
      <c r="G61" s="69" t="s">
        <v>292</v>
      </c>
      <c r="I61" s="107">
        <v>1</v>
      </c>
      <c r="J61" s="70">
        <f t="shared" si="7"/>
        <v>0.9031260000000001</v>
      </c>
      <c r="K61" s="143" cm="1">
        <f t="array" ref="K61">IF(AC61="N/A","",_xlfn.IFS(Y61="m2",(AA61*(1/(Z61/AM61)))*I61,Y61="m3",(AA61*(1/(Z61/AM61)))*I61,Y61="kg",(AA61*AL61*(1/(1/AM61)))*I61,Y61="N/A",""))</f>
        <v>0.9031260000000001</v>
      </c>
      <c r="L61" s="71">
        <f t="shared" si="8"/>
        <v>0.87780000000000002</v>
      </c>
      <c r="M61" s="146" cm="1">
        <f t="array" ref="M61">_xlfn.IFS(Y61="m2",(AB61*(1/(Z61/AM61)))*I61,Y61="m3",(AB61*(1/(Z61/AM61)))*I61,Y61="kg",(AB61*AL61*(1/(1/AM61)))*I61,Y61="N/A","")</f>
        <v>0.87780000000000002</v>
      </c>
      <c r="N61" s="52">
        <f t="shared" si="9"/>
        <v>2.5326000000000001E-2</v>
      </c>
      <c r="O61" s="148" cm="1">
        <f t="array" ref="O61">IF(AC61="N/A","",_xlfn.IFS(Y61="m2",(AC61*(1/(Z61/AM61)))*I61,Y61="m3",(AC61*(1/(Z61/AM61)))*I61,Y61="kg",(AC61*AL61*(1/(1/AM61)))*I61,Y61="N/A",""))</f>
        <v>2.5326000000000001E-2</v>
      </c>
      <c r="P61" s="72">
        <f t="shared" si="10"/>
        <v>7.6020000000000016E-4</v>
      </c>
      <c r="Q61" s="150" cm="1">
        <f t="array" ref="Q61">IF(AE61="N/A","",_xlfn.IFS(Y61="m2",(AE61*(1/(Z61/AM61)))*I61,Y61="m3",(AE61*(1/(Z61/AM61)))*I61,Y61="kg",(AE61*AL61*(1/(1/AM61)))*I61,Y61="N/A",""))</f>
        <v>7.6020000000000016E-4</v>
      </c>
      <c r="R61" s="186" t="s">
        <v>5</v>
      </c>
      <c r="S61" s="47"/>
      <c r="T61" s="47">
        <v>2027</v>
      </c>
      <c r="U61" s="47" t="s">
        <v>28</v>
      </c>
      <c r="V61" s="47" t="s">
        <v>191</v>
      </c>
      <c r="X61" s="254" t="s">
        <v>1049</v>
      </c>
      <c r="Y61" s="47" t="s">
        <v>20</v>
      </c>
      <c r="Z61" s="47">
        <v>1</v>
      </c>
      <c r="AA61" s="52">
        <f t="shared" si="11"/>
        <v>21.503</v>
      </c>
      <c r="AB61" s="52">
        <v>20.9</v>
      </c>
      <c r="AC61" s="52">
        <f>0.603+0</f>
        <v>0.60299999999999998</v>
      </c>
      <c r="AD61" s="52">
        <v>-7.86</v>
      </c>
      <c r="AE61" s="52">
        <v>1.8100000000000002E-2</v>
      </c>
      <c r="AG61" s="251"/>
      <c r="AH61" s="122" t="s">
        <v>58</v>
      </c>
      <c r="AI61" s="123"/>
      <c r="AJ61" s="47"/>
      <c r="AL61" s="47">
        <v>85</v>
      </c>
      <c r="AM61" s="47">
        <v>4.2000000000000003E-2</v>
      </c>
      <c r="AN61" s="47" t="s">
        <v>191</v>
      </c>
      <c r="AP61" s="173" t="s">
        <v>17</v>
      </c>
      <c r="AQ61" s="73"/>
      <c r="AU61" s="67" cm="1">
        <f t="array" ref="AU61">_xlfn.IFS(Y61="m2",(AB61*(1/(Z61/AM61))),Y61="m3",(AB61*(1/(Z61/AM61))),Y61="kg",(AB61*AL61*(1/(Z61/AM61))),Y61="N/A",0)</f>
        <v>0.87780000000000002</v>
      </c>
    </row>
    <row r="62" spans="1:47" ht="25.2" customHeight="1" x14ac:dyDescent="0.15">
      <c r="A62" s="25" t="s">
        <v>265</v>
      </c>
      <c r="B62" s="47" t="s">
        <v>210</v>
      </c>
      <c r="C62" s="47"/>
      <c r="D62" s="47" t="s">
        <v>209</v>
      </c>
      <c r="E62" s="88" t="s">
        <v>146</v>
      </c>
      <c r="F62" s="47" t="s">
        <v>296</v>
      </c>
      <c r="G62" s="69" t="s">
        <v>370</v>
      </c>
      <c r="I62" s="111">
        <v>1</v>
      </c>
      <c r="J62" s="70">
        <f t="shared" si="7"/>
        <v>0.95660000000000001</v>
      </c>
      <c r="K62" s="143" cm="1">
        <f t="array" ref="K62">IF(AC62="N/A","",_xlfn.IFS(Y62="m2",(AA62*(1/(Z62/AM62)))*I62,Y62="m3",(AA62*(1/(Z62/AM62)))*I62,Y62="kg",(AA62*AL62*(1/(1/AM62)))*I62,Y62="N/A",""))</f>
        <v>0.95660000000000001</v>
      </c>
      <c r="L62" s="71">
        <f t="shared" si="8"/>
        <v>0.92100000000000004</v>
      </c>
      <c r="M62" s="146" cm="1">
        <f t="array" ref="M62">_xlfn.IFS(Y62="m2",(AB62*(1/(Z62/AM62)))*I62,Y62="m3",(AB62*(1/(Z62/AM62)))*I62,Y62="kg",(AB62*AL62*(1/(1/AM62)))*I62,Y62="N/A","")</f>
        <v>0.92100000000000004</v>
      </c>
      <c r="N62" s="52">
        <f t="shared" si="9"/>
        <v>3.56E-2</v>
      </c>
      <c r="O62" s="148" cm="1">
        <f t="array" ref="O62">IF(AC62="N/A","",_xlfn.IFS(Y62="m2",(AC62*(1/(Z62/AM62)))*I62,Y62="m3",(AC62*(1/(Z62/AM62)))*I62,Y62="kg",(AC62*AL62*(1/(1/AM62)))*I62,Y62="N/A",""))</f>
        <v>3.56E-2</v>
      </c>
      <c r="P62" s="72">
        <f t="shared" si="10"/>
        <v>-0.11700000000000001</v>
      </c>
      <c r="Q62" s="150" cm="1">
        <f t="array" ref="Q62">IF(AE62="N/A","",_xlfn.IFS(Y62="m2",(AE62*(1/(Z62/AM62)))*I62,Y62="m3",(AE62*(1/(Z62/AM62)))*I62,Y62="kg",(AE62*AL62*(1/(1/AM62)))*I62,Y62="N/A",""))</f>
        <v>-0.11700000000000001</v>
      </c>
      <c r="R62" s="88" t="s">
        <v>5</v>
      </c>
      <c r="S62" s="166"/>
      <c r="T62" s="47">
        <v>2027</v>
      </c>
      <c r="U62" s="47" t="s">
        <v>28</v>
      </c>
      <c r="V62" s="47">
        <v>60</v>
      </c>
      <c r="X62" s="180" t="s">
        <v>560</v>
      </c>
      <c r="Y62" s="52" t="s">
        <v>15</v>
      </c>
      <c r="Z62" s="47">
        <v>3.3000000000000002E-2</v>
      </c>
      <c r="AA62" s="52">
        <f t="shared" si="11"/>
        <v>0.95660000000000001</v>
      </c>
      <c r="AB62" s="52">
        <v>0.92100000000000004</v>
      </c>
      <c r="AC62" s="52">
        <v>3.56E-2</v>
      </c>
      <c r="AD62" s="52">
        <v>-6.1400000000000003E-2</v>
      </c>
      <c r="AE62" s="52">
        <v>-0.11700000000000001</v>
      </c>
      <c r="AG62" s="74" t="str">
        <f>AH62&amp;" "&amp;AI62</f>
        <v xml:space="preserve">A1 </v>
      </c>
      <c r="AH62" s="75" t="s">
        <v>58</v>
      </c>
      <c r="AI62" s="76"/>
      <c r="AJ62" s="103"/>
      <c r="AL62" s="47">
        <v>80</v>
      </c>
      <c r="AM62" s="47">
        <v>3.3000000000000002E-2</v>
      </c>
      <c r="AN62" s="47" t="s">
        <v>191</v>
      </c>
      <c r="AP62" s="105" t="s">
        <v>17</v>
      </c>
      <c r="AQ62" s="73"/>
      <c r="AU62" s="67" cm="1">
        <f t="array" ref="AU62">_xlfn.IFS(Y62="m2",(AB62*(1/(Z62/AM62))),Y62="m3",(AB62*(1/(Z62/AM62))),Y62="kg",(AB62*AL62*(1/(Z62/AM62))),Y62="N/A",0)</f>
        <v>0.92100000000000004</v>
      </c>
    </row>
    <row r="63" spans="1:47" ht="25.2" customHeight="1" x14ac:dyDescent="0.15">
      <c r="A63" s="25" t="s">
        <v>223</v>
      </c>
      <c r="B63" s="47" t="s">
        <v>210</v>
      </c>
      <c r="C63" s="47"/>
      <c r="D63" s="47" t="s">
        <v>219</v>
      </c>
      <c r="E63" s="82" t="s">
        <v>225</v>
      </c>
      <c r="F63" s="47" t="s">
        <v>307</v>
      </c>
      <c r="G63" s="69" t="s">
        <v>292</v>
      </c>
      <c r="I63" s="111">
        <v>1</v>
      </c>
      <c r="J63" s="70">
        <f t="shared" si="7"/>
        <v>0.96891299999999991</v>
      </c>
      <c r="K63" s="143" cm="1">
        <f t="array" ref="K63">IF(AC63="N/A","",_xlfn.IFS(Y63="m2",(AA63*(1/(Z63/AM63)))*I63,Y63="m3",(AA63*(1/(Z63/AM63)))*I63,Y63="kg",(AA63*AL63*(1/(1/AM63)))*I63,Y63="N/A",""))</f>
        <v>0.96891299999999991</v>
      </c>
      <c r="L63" s="71">
        <f t="shared" si="8"/>
        <v>0.96360000000000001</v>
      </c>
      <c r="M63" s="146" cm="1">
        <f t="array" ref="M63">_xlfn.IFS(Y63="m2",(AB63*(1/(Z63/AM63)))*I63,Y63="m3",(AB63*(1/(Z63/AM63)))*I63,Y63="kg",(AB63*AL63*(1/(1/AM63)))*I63,Y63="N/A","")</f>
        <v>0.96360000000000001</v>
      </c>
      <c r="N63" s="52">
        <f t="shared" si="9"/>
        <v>5.313E-3</v>
      </c>
      <c r="O63" s="148" cm="1">
        <f t="array" ref="O63">IF(AC63="N/A","",_xlfn.IFS(Y63="m2",(AC63*(1/(Z63/AM63)))*I63,Y63="m3",(AC63*(1/(Z63/AM63)))*I63,Y63="kg",(AC63*AL63*(1/(1/AM63)))*I63,Y63="N/A",""))</f>
        <v>5.313E-3</v>
      </c>
      <c r="P63" s="72" t="str">
        <f t="shared" si="10"/>
        <v>N/A</v>
      </c>
      <c r="Q63" s="150" t="str" cm="1">
        <f t="array" ref="Q63">IF(AE63="N/A","",_xlfn.IFS(Y63="m2",(AE63*(1/(Z63/AM63)))*I63,Y63="m3",(AE63*(1/(Z63/AM63)))*I63,Y63="kg",(AE63*AL63*(1/(1/AM63)))*I63,Y63="N/A",""))</f>
        <v/>
      </c>
      <c r="R63" s="82" t="s">
        <v>5</v>
      </c>
      <c r="S63" s="164"/>
      <c r="T63" s="47">
        <v>2024</v>
      </c>
      <c r="U63" s="47" t="s">
        <v>14</v>
      </c>
      <c r="V63" s="47">
        <v>50</v>
      </c>
      <c r="X63" s="180" t="s">
        <v>550</v>
      </c>
      <c r="Y63" s="47" t="s">
        <v>15</v>
      </c>
      <c r="Z63" s="47">
        <v>0.1</v>
      </c>
      <c r="AA63" s="52">
        <f t="shared" si="11"/>
        <v>2.9360999999999997</v>
      </c>
      <c r="AB63" s="52">
        <v>2.92</v>
      </c>
      <c r="AC63" s="52">
        <f>0+1.61*10^-2</f>
        <v>1.61E-2</v>
      </c>
      <c r="AD63" s="52" t="s">
        <v>191</v>
      </c>
      <c r="AE63" s="52" t="s">
        <v>191</v>
      </c>
      <c r="AG63" s="74" t="str">
        <f>AH63&amp;" "&amp;AI63</f>
        <v xml:space="preserve">A1 </v>
      </c>
      <c r="AH63" s="75" t="s">
        <v>58</v>
      </c>
      <c r="AI63" s="76"/>
      <c r="AJ63" s="103"/>
      <c r="AL63" s="47">
        <f>(29+31)/2</f>
        <v>30</v>
      </c>
      <c r="AM63" s="47">
        <v>3.3000000000000002E-2</v>
      </c>
      <c r="AN63" s="47" t="s">
        <v>191</v>
      </c>
      <c r="AP63" s="80" t="s">
        <v>17</v>
      </c>
      <c r="AQ63" s="73"/>
      <c r="AU63" s="67" cm="1">
        <f t="array" ref="AU63">_xlfn.IFS(Y63="m2",(AB63*(1/(Z63/AM63))),Y63="m3",(AB63*(1/(Z63/AM63))),Y63="kg",(AB63*AL63*(1/(Z63/AM63))),Y63="N/A",0)</f>
        <v>0.96360000000000001</v>
      </c>
    </row>
    <row r="64" spans="1:47" ht="25.2" customHeight="1" x14ac:dyDescent="0.15">
      <c r="A64" s="25" t="s">
        <v>269</v>
      </c>
      <c r="B64" s="47" t="s">
        <v>210</v>
      </c>
      <c r="C64" s="47"/>
      <c r="D64" s="47" t="s">
        <v>267</v>
      </c>
      <c r="E64" s="88" t="s">
        <v>240</v>
      </c>
      <c r="F64" s="47" t="s">
        <v>296</v>
      </c>
      <c r="G64" s="47" t="s">
        <v>376</v>
      </c>
      <c r="I64" s="111">
        <v>1</v>
      </c>
      <c r="J64" s="70">
        <f t="shared" si="7"/>
        <v>1.2958000000000001</v>
      </c>
      <c r="K64" s="143" cm="1">
        <f t="array" ref="K64">IF(AC64="N/A","",_xlfn.IFS(Y64="m2",(AA64*(1/(Z64/AM64)))*I64,Y64="m3",(AA64*(1/(Z64/AM64)))*I64,Y64="kg",(AA64*AL64*(1/(1/AM64)))*I64,Y64="N/A",""))</f>
        <v>1.2958000000000001</v>
      </c>
      <c r="L64" s="71">
        <f t="shared" si="8"/>
        <v>1.28</v>
      </c>
      <c r="M64" s="146" cm="1">
        <f t="array" ref="M64">_xlfn.IFS(Y64="m2",(AB64*(1/(Z64/AM64)))*I64,Y64="m3",(AB64*(1/(Z64/AM64)))*I64,Y64="kg",(AB64*AL64*(1/(1/AM64)))*I64,Y64="N/A","")</f>
        <v>1.28</v>
      </c>
      <c r="N64" s="52">
        <f t="shared" si="9"/>
        <v>1.5800000000000002E-2</v>
      </c>
      <c r="O64" s="148" cm="1">
        <f t="array" ref="O64">IF(AC64="N/A","",_xlfn.IFS(Y64="m2",(AC64*(1/(Z64/AM64)))*I64,Y64="m3",(AC64*(1/(Z64/AM64)))*I64,Y64="kg",(AC64*AL64*(1/(1/AM64)))*I64,Y64="N/A",""))</f>
        <v>1.5800000000000002E-2</v>
      </c>
      <c r="P64" s="72">
        <f t="shared" si="10"/>
        <v>0</v>
      </c>
      <c r="Q64" s="150" cm="1">
        <f t="array" ref="Q64">IF(AE64="N/A","",_xlfn.IFS(Y64="m2",(AE64*(1/(Z64/AM64)))*I64,Y64="m3",(AE64*(1/(Z64/AM64)))*I64,Y64="kg",(AE64*AL64*(1/(1/AM64)))*I64,Y64="N/A",""))</f>
        <v>0</v>
      </c>
      <c r="R64" s="88" t="s">
        <v>5</v>
      </c>
      <c r="S64" s="164"/>
      <c r="T64" s="47">
        <v>2025</v>
      </c>
      <c r="U64" s="47" t="s">
        <v>14</v>
      </c>
      <c r="V64" s="47">
        <v>60</v>
      </c>
      <c r="X64" s="180" t="s">
        <v>562</v>
      </c>
      <c r="Y64" s="52" t="s">
        <v>15</v>
      </c>
      <c r="Z64" s="47">
        <v>3.5999999999999997E-2</v>
      </c>
      <c r="AA64" s="52">
        <f t="shared" si="11"/>
        <v>1.2958000000000001</v>
      </c>
      <c r="AB64" s="52">
        <v>1.28</v>
      </c>
      <c r="AC64" s="52">
        <f>0+0.0158</f>
        <v>1.5800000000000002E-2</v>
      </c>
      <c r="AD64" s="52">
        <v>-4.9599999999999998E-2</v>
      </c>
      <c r="AE64" s="52">
        <v>0</v>
      </c>
      <c r="AG64" s="74" t="str">
        <f>AH64&amp;" "&amp;AI64</f>
        <v xml:space="preserve">A1 </v>
      </c>
      <c r="AH64" s="75" t="s">
        <v>58</v>
      </c>
      <c r="AI64" s="76"/>
      <c r="AJ64" s="103"/>
      <c r="AL64" s="47">
        <v>29.5</v>
      </c>
      <c r="AM64" s="47">
        <v>3.5999999999999997E-2</v>
      </c>
      <c r="AN64" s="47" t="s">
        <v>191</v>
      </c>
      <c r="AP64" s="105" t="s">
        <v>17</v>
      </c>
      <c r="AQ64" s="73"/>
      <c r="AU64" s="67" cm="1">
        <f t="array" ref="AU64">_xlfn.IFS(Y64="m2",(AB64*(1/(Z64/AM64))),Y64="m3",(AB64*(1/(Z64/AM64))),Y64="kg",(AB64*AL64*(1/(Z64/AM64))),Y64="N/A",0)</f>
        <v>1.28</v>
      </c>
    </row>
    <row r="65" spans="1:47" ht="25.2" customHeight="1" x14ac:dyDescent="0.15">
      <c r="A65" s="174" t="s">
        <v>498</v>
      </c>
      <c r="B65" s="47" t="s">
        <v>210</v>
      </c>
      <c r="C65" s="47"/>
      <c r="D65" s="47" t="s">
        <v>209</v>
      </c>
      <c r="E65" s="82" t="s">
        <v>146</v>
      </c>
      <c r="F65" s="47" t="s">
        <v>296</v>
      </c>
      <c r="G65" s="47" t="s">
        <v>376</v>
      </c>
      <c r="I65" s="111">
        <v>1</v>
      </c>
      <c r="J65" s="70">
        <f t="shared" si="7"/>
        <v>1.3130900000000001</v>
      </c>
      <c r="K65" s="143" cm="1">
        <f t="array" ref="K65">IF(AC65="N/A","",_xlfn.IFS(Y65="m2",(AA65*(1/(Z65/AM65)))*I65,Y65="m3",(AA65*(1/(Z65/AM65)))*I65,Y65="kg",(AA65*AL65*(1/(1/AM65)))*I65,Y65="N/A",""))</f>
        <v>1.3130900000000001</v>
      </c>
      <c r="L65" s="71">
        <f t="shared" si="8"/>
        <v>1.2844</v>
      </c>
      <c r="M65" s="146" cm="1">
        <f t="array" ref="M65">_xlfn.IFS(Y65="m2",(AB65*(1/(Z65/AM65)))*I65,Y65="m3",(AB65*(1/(Z65/AM65)))*I65,Y65="kg",(AB65*AL65*(1/(1/AM65)))*I65,Y65="N/A","")</f>
        <v>1.2844</v>
      </c>
      <c r="N65" s="52">
        <f t="shared" si="9"/>
        <v>2.869E-2</v>
      </c>
      <c r="O65" s="148" cm="1">
        <f t="array" ref="O65">IF(AC65="N/A","",_xlfn.IFS(Y65="m2",(AC65*(1/(Z65/AM65)))*I65,Y65="m3",(AC65*(1/(Z65/AM65)))*I65,Y65="kg",(AC65*AL65*(1/(1/AM65)))*I65,Y65="N/A",""))</f>
        <v>2.869E-2</v>
      </c>
      <c r="P65" s="72">
        <f t="shared" si="10"/>
        <v>-9.1770000000000004E-2</v>
      </c>
      <c r="Q65" s="150" cm="1">
        <f t="array" ref="Q65">IF(AE65="N/A","",_xlfn.IFS(Y65="m2",(AE65*(1/(Z65/AM65)))*I65,Y65="m3",(AE65*(1/(Z65/AM65)))*I65,Y65="kg",(AE65*AL65*(1/(1/AM65)))*I65,Y65="N/A",""))</f>
        <v>-9.1770000000000004E-2</v>
      </c>
      <c r="R65" s="82" t="s">
        <v>5</v>
      </c>
      <c r="S65" s="164"/>
      <c r="T65" s="47">
        <v>2027</v>
      </c>
      <c r="U65" s="47" t="s">
        <v>28</v>
      </c>
      <c r="V65" s="47">
        <v>60</v>
      </c>
      <c r="X65" s="180" t="s">
        <v>539</v>
      </c>
      <c r="Y65" s="47" t="s">
        <v>15</v>
      </c>
      <c r="Z65" s="47">
        <v>3.2000000000000001E-2</v>
      </c>
      <c r="AA65" s="52">
        <f t="shared" si="11"/>
        <v>1.3130900000000001</v>
      </c>
      <c r="AB65" s="52">
        <f>1.9*0.676</f>
        <v>1.2844</v>
      </c>
      <c r="AC65" s="52">
        <f>1.9*(0+0.0151)</f>
        <v>2.869E-2</v>
      </c>
      <c r="AD65" s="52">
        <f>1.9*-0.026</f>
        <v>-4.9399999999999993E-2</v>
      </c>
      <c r="AE65" s="52">
        <f>1.9*-0.0483</f>
        <v>-9.1770000000000004E-2</v>
      </c>
      <c r="AG65" s="74" t="str">
        <f>AH65&amp;" "&amp;AI65</f>
        <v xml:space="preserve">A1 </v>
      </c>
      <c r="AH65" s="75" t="s">
        <v>58</v>
      </c>
      <c r="AI65" s="76"/>
      <c r="AJ65" s="103"/>
      <c r="AL65" s="47">
        <v>60</v>
      </c>
      <c r="AM65" s="47">
        <v>3.2000000000000001E-2</v>
      </c>
      <c r="AN65" s="47">
        <v>1030</v>
      </c>
      <c r="AP65" s="105" t="s">
        <v>17</v>
      </c>
      <c r="AQ65" s="73"/>
      <c r="AU65" s="67" cm="1">
        <f t="array" ref="AU65">_xlfn.IFS(Y65="m2",(AB65*(1/(Z65/AM65))),Y65="m3",(AB65*(1/(Z65/AM65))),Y65="kg",(AB65*AL65*(1/(Z65/AM65))),Y65="N/A",0)</f>
        <v>1.2844</v>
      </c>
    </row>
    <row r="66" spans="1:47" ht="25.2" customHeight="1" x14ac:dyDescent="0.15">
      <c r="A66" s="174" t="s">
        <v>501</v>
      </c>
      <c r="B66" s="47" t="s">
        <v>210</v>
      </c>
      <c r="C66" s="47"/>
      <c r="D66" s="47" t="s">
        <v>209</v>
      </c>
      <c r="E66" s="82" t="s">
        <v>146</v>
      </c>
      <c r="F66" s="47" t="s">
        <v>296</v>
      </c>
      <c r="G66" s="47" t="s">
        <v>376</v>
      </c>
      <c r="I66" s="111">
        <v>1</v>
      </c>
      <c r="J66" s="70">
        <f t="shared" si="7"/>
        <v>1.3130900000000001</v>
      </c>
      <c r="K66" s="143" cm="1">
        <f t="array" ref="K66">IF(AC66="N/A","",_xlfn.IFS(Y66="m2",(AA66*(1/(Z66/AM66)))*I66,Y66="m3",(AA66*(1/(Z66/AM66)))*I66,Y66="kg",(AA66*AL66*(1/(1/AM66)))*I66,Y66="N/A",""))</f>
        <v>1.3130900000000001</v>
      </c>
      <c r="L66" s="71">
        <f t="shared" si="8"/>
        <v>1.2844</v>
      </c>
      <c r="M66" s="146" cm="1">
        <f t="array" ref="M66">_xlfn.IFS(Y66="m2",(AB66*(1/(Z66/AM66)))*I66,Y66="m3",(AB66*(1/(Z66/AM66)))*I66,Y66="kg",(AB66*AL66*(1/(1/AM66)))*I66,Y66="N/A","")</f>
        <v>1.2844</v>
      </c>
      <c r="N66" s="52">
        <f t="shared" si="9"/>
        <v>2.869E-2</v>
      </c>
      <c r="O66" s="148" cm="1">
        <f t="array" ref="O66">IF(AC66="N/A","",_xlfn.IFS(Y66="m2",(AC66*(1/(Z66/AM66)))*I66,Y66="m3",(AC66*(1/(Z66/AM66)))*I66,Y66="kg",(AC66*AL66*(1/(1/AM66)))*I66,Y66="N/A",""))</f>
        <v>2.869E-2</v>
      </c>
      <c r="P66" s="72">
        <f t="shared" si="10"/>
        <v>-9.1770000000000004E-2</v>
      </c>
      <c r="Q66" s="150" cm="1">
        <f t="array" ref="Q66">IF(AE66="N/A","",_xlfn.IFS(Y66="m2",(AE66*(1/(Z66/AM66)))*I66,Y66="m3",(AE66*(1/(Z66/AM66)))*I66,Y66="kg",(AE66*AL66*(1/(1/AM66)))*I66,Y66="N/A",""))</f>
        <v>-9.1770000000000004E-2</v>
      </c>
      <c r="R66" s="82" t="s">
        <v>5</v>
      </c>
      <c r="S66" s="164"/>
      <c r="T66" s="47">
        <v>2027</v>
      </c>
      <c r="U66" s="47" t="s">
        <v>28</v>
      </c>
      <c r="V66" s="47">
        <v>60</v>
      </c>
      <c r="X66" s="180" t="s">
        <v>539</v>
      </c>
      <c r="Y66" s="47" t="s">
        <v>15</v>
      </c>
      <c r="Z66" s="47">
        <v>3.2000000000000001E-2</v>
      </c>
      <c r="AA66" s="52">
        <f t="shared" si="11"/>
        <v>1.3130900000000001</v>
      </c>
      <c r="AB66" s="52">
        <f>1.9*0.676</f>
        <v>1.2844</v>
      </c>
      <c r="AC66" s="52">
        <f>1.9*(0+0.0151)</f>
        <v>2.869E-2</v>
      </c>
      <c r="AD66" s="52">
        <f>1.9*-0.026</f>
        <v>-4.9399999999999993E-2</v>
      </c>
      <c r="AE66" s="52">
        <f>1.9*-0.0483</f>
        <v>-9.1770000000000004E-2</v>
      </c>
      <c r="AG66" s="74" t="str">
        <f>AH66&amp;" "&amp;AI66</f>
        <v xml:space="preserve">A1 </v>
      </c>
      <c r="AH66" s="75" t="s">
        <v>58</v>
      </c>
      <c r="AI66" s="76"/>
      <c r="AJ66" s="103"/>
      <c r="AL66" s="47">
        <v>65</v>
      </c>
      <c r="AM66" s="47">
        <v>3.2000000000000001E-2</v>
      </c>
      <c r="AN66" s="47">
        <v>1030</v>
      </c>
      <c r="AP66" s="160" t="s">
        <v>17</v>
      </c>
      <c r="AQ66" s="73"/>
      <c r="AU66" s="67" cm="1">
        <f t="array" ref="AU66">_xlfn.IFS(Y66="m2",(AB66*(1/(Z66/AM66))),Y66="m3",(AB66*(1/(Z66/AM66))),Y66="kg",(AB66*AL66*(1/(Z66/AM66))),Y66="N/A",0)</f>
        <v>1.2844</v>
      </c>
    </row>
    <row r="67" spans="1:47" ht="25.2" customHeight="1" x14ac:dyDescent="0.15">
      <c r="A67" s="25" t="s">
        <v>1085</v>
      </c>
      <c r="B67" s="47" t="s">
        <v>210</v>
      </c>
      <c r="C67" s="47"/>
      <c r="D67" s="47" t="s">
        <v>218</v>
      </c>
      <c r="E67" s="186" t="s">
        <v>146</v>
      </c>
      <c r="F67" s="47" t="s">
        <v>307</v>
      </c>
      <c r="G67" s="47" t="s">
        <v>370</v>
      </c>
      <c r="I67" s="111">
        <v>1</v>
      </c>
      <c r="J67" s="70">
        <f t="shared" si="7"/>
        <v>1.4198999999999999</v>
      </c>
      <c r="K67" s="143" cm="1">
        <f t="array" ref="K67">IF(AC67="N/A","",_xlfn.IFS(Y67="m2",(AA67*(1/(Z67/AM67)))*I67,Y67="m3",(AA67*(1/(Z67/AM67)))*I67,Y67="kg",(AA67*AL67*(1/(1/AM67)))*I67,Y67="N/A",""))</f>
        <v>1.4198999999999999</v>
      </c>
      <c r="L67" s="71">
        <f t="shared" si="8"/>
        <v>1.39</v>
      </c>
      <c r="M67" s="146" cm="1">
        <f t="array" ref="M67">_xlfn.IFS(Y67="m2",(AB67*(1/(Z67/AM67)))*I67,Y67="m3",(AB67*(1/(Z67/AM67)))*I67,Y67="kg",(AB67*AL67*(1/(1/AM67)))*I67,Y67="N/A","")</f>
        <v>1.39</v>
      </c>
      <c r="N67" s="52">
        <f t="shared" si="9"/>
        <v>2.9899999999999999E-2</v>
      </c>
      <c r="O67" s="148" cm="1">
        <f t="array" ref="O67">IF(AC67="N/A","",_xlfn.IFS(Y67="m2",(AC67*(1/(Z67/AM67)))*I67,Y67="m3",(AC67*(1/(Z67/AM67)))*I67,Y67="kg",(AC67*AL67*(1/(1/AM67)))*I67,Y67="N/A",""))</f>
        <v>2.9899999999999999E-2</v>
      </c>
      <c r="P67" s="72" t="str">
        <f t="shared" si="10"/>
        <v>N/A</v>
      </c>
      <c r="Q67" s="150" t="str" cm="1">
        <f t="array" ref="Q67">IF(AE67="N/A","",_xlfn.IFS(Y67="m2",(AE67*(1/(Z67/AM67)))*I67,Y67="m3",(AE67*(1/(Z67/AM67)))*I67,Y67="kg",(AE67*AL67*(1/(1/AM67)))*I67,Y67="N/A",""))</f>
        <v/>
      </c>
      <c r="R67" s="186" t="s">
        <v>5</v>
      </c>
      <c r="S67" s="164" t="s">
        <v>377</v>
      </c>
      <c r="T67" s="47">
        <v>2026</v>
      </c>
      <c r="U67" s="47" t="s">
        <v>14</v>
      </c>
      <c r="V67" s="47">
        <v>60</v>
      </c>
      <c r="X67" s="180" t="s">
        <v>1091</v>
      </c>
      <c r="Y67" s="47" t="s">
        <v>15</v>
      </c>
      <c r="Z67" s="47">
        <v>3.9E-2</v>
      </c>
      <c r="AA67" s="52">
        <f t="shared" si="11"/>
        <v>1.4198999999999999</v>
      </c>
      <c r="AB67" s="52">
        <v>1.39</v>
      </c>
      <c r="AC67" s="52">
        <f>0+0.0299</f>
        <v>2.9899999999999999E-2</v>
      </c>
      <c r="AD67" s="52">
        <v>0</v>
      </c>
      <c r="AE67" s="52" t="s">
        <v>191</v>
      </c>
      <c r="AG67" s="251"/>
      <c r="AH67" s="75" t="s">
        <v>214</v>
      </c>
      <c r="AI67" s="83" t="s">
        <v>176</v>
      </c>
      <c r="AJ67" s="47"/>
      <c r="AL67" s="47">
        <v>49</v>
      </c>
      <c r="AM67" s="47">
        <v>3.9E-2</v>
      </c>
      <c r="AN67" s="47" t="s">
        <v>191</v>
      </c>
      <c r="AP67" s="233" t="s">
        <v>17</v>
      </c>
      <c r="AQ67" s="73"/>
      <c r="AU67" s="67" cm="1">
        <f t="array" ref="AU67">_xlfn.IFS(Y67="m2",(AB67*(1/(Z67/AM67))),Y67="m3",(AB67*(1/(Z67/AM67))),Y67="kg",(AB67*AL67*(1/(Z67/AM67))),Y67="N/A",0)</f>
        <v>1.39</v>
      </c>
    </row>
    <row r="68" spans="1:47" ht="25.2" customHeight="1" x14ac:dyDescent="0.15">
      <c r="A68" s="25" t="s">
        <v>217</v>
      </c>
      <c r="B68" s="47" t="s">
        <v>210</v>
      </c>
      <c r="C68" s="47"/>
      <c r="D68" s="47" t="s">
        <v>209</v>
      </c>
      <c r="E68" s="82" t="s">
        <v>146</v>
      </c>
      <c r="F68" s="47" t="s">
        <v>296</v>
      </c>
      <c r="G68" s="47" t="s">
        <v>370</v>
      </c>
      <c r="I68" s="111">
        <v>1</v>
      </c>
      <c r="J68" s="70">
        <f t="shared" si="7"/>
        <v>1.4282000000000001</v>
      </c>
      <c r="K68" s="143" cm="1">
        <f t="array" ref="K68">IF(AC68="N/A","",_xlfn.IFS(Y68="m2",(AA68*(1/(Z68/AM68)))*I68,Y68="m3",(AA68*(1/(Z68/AM68)))*I68,Y68="kg",(AA68*AL68*(1/(1/AM68)))*I68,Y68="N/A",""))</f>
        <v>1.4282000000000001</v>
      </c>
      <c r="L68" s="71">
        <f t="shared" si="8"/>
        <v>1.37</v>
      </c>
      <c r="M68" s="146" cm="1">
        <f t="array" ref="M68">_xlfn.IFS(Y68="m2",(AB68*(1/(Z68/AM68)))*I68,Y68="m3",(AB68*(1/(Z68/AM68)))*I68,Y68="kg",(AB68*AL68*(1/(1/AM68)))*I68,Y68="N/A","")</f>
        <v>1.37</v>
      </c>
      <c r="N68" s="52">
        <f t="shared" si="9"/>
        <v>5.8200000000000002E-2</v>
      </c>
      <c r="O68" s="148" cm="1">
        <f t="array" ref="O68">IF(AC68="N/A","",_xlfn.IFS(Y68="m2",(AC68*(1/(Z68/AM68)))*I68,Y68="m3",(AC68*(1/(Z68/AM68)))*I68,Y68="kg",(AC68*AL68*(1/(1/AM68)))*I68,Y68="N/A",""))</f>
        <v>5.8200000000000002E-2</v>
      </c>
      <c r="P68" s="72">
        <f t="shared" si="10"/>
        <v>-0.13100000000000001</v>
      </c>
      <c r="Q68" s="150" cm="1">
        <f t="array" ref="Q68">IF(AE68="N/A","",_xlfn.IFS(Y68="m2",(AE68*(1/(Z68/AM68)))*I68,Y68="m3",(AE68*(1/(Z68/AM68)))*I68,Y68="kg",(AE68*AL68*(1/(1/AM68)))*I68,Y68="N/A",""))</f>
        <v>-0.13100000000000001</v>
      </c>
      <c r="R68" s="82" t="s">
        <v>5</v>
      </c>
      <c r="S68" s="164" t="s">
        <v>377</v>
      </c>
      <c r="T68" s="47">
        <v>2027</v>
      </c>
      <c r="U68" s="47" t="s">
        <v>28</v>
      </c>
      <c r="V68" s="47" t="s">
        <v>191</v>
      </c>
      <c r="X68" s="180" t="s">
        <v>541</v>
      </c>
      <c r="Y68" s="47" t="s">
        <v>15</v>
      </c>
      <c r="Z68" s="47">
        <v>3.4000000000000002E-2</v>
      </c>
      <c r="AA68" s="52">
        <f t="shared" si="11"/>
        <v>1.4282000000000001</v>
      </c>
      <c r="AB68" s="52">
        <v>1.37</v>
      </c>
      <c r="AC68" s="52">
        <f>0+0.0582</f>
        <v>5.8200000000000002E-2</v>
      </c>
      <c r="AD68" s="52">
        <v>-8.9200000000000002E-2</v>
      </c>
      <c r="AE68" s="52">
        <v>-0.13100000000000001</v>
      </c>
      <c r="AG68" s="74" t="str">
        <f>AH68&amp;" "&amp;AI68</f>
        <v xml:space="preserve">A1 </v>
      </c>
      <c r="AH68" s="75" t="s">
        <v>58</v>
      </c>
      <c r="AI68" s="76"/>
      <c r="AJ68" s="103"/>
      <c r="AL68" s="47">
        <v>80</v>
      </c>
      <c r="AM68" s="47">
        <v>3.4000000000000002E-2</v>
      </c>
      <c r="AN68" s="47">
        <v>1030</v>
      </c>
      <c r="AP68" s="80" t="s">
        <v>17</v>
      </c>
      <c r="AQ68" s="73"/>
      <c r="AU68" s="67" cm="1">
        <f t="array" ref="AU68">_xlfn.IFS(Y68="m2",(AB68*(1/(Z68/AM68))),Y68="m3",(AB68*(1/(Z68/AM68))),Y68="kg",(AB68*AL68*(1/(Z68/AM68))),Y68="N/A",0)</f>
        <v>1.37</v>
      </c>
    </row>
    <row r="69" spans="1:47" ht="25.2" customHeight="1" x14ac:dyDescent="0.15">
      <c r="A69" s="25" t="s">
        <v>1076</v>
      </c>
      <c r="B69" s="47" t="s">
        <v>210</v>
      </c>
      <c r="C69" s="47"/>
      <c r="D69" s="47" t="s">
        <v>218</v>
      </c>
      <c r="E69" s="88" t="s">
        <v>146</v>
      </c>
      <c r="F69" s="47" t="s">
        <v>307</v>
      </c>
      <c r="G69" s="47" t="s">
        <v>376</v>
      </c>
      <c r="I69" s="111">
        <v>1</v>
      </c>
      <c r="J69" s="70">
        <f t="shared" si="7"/>
        <v>1.4303999999999999</v>
      </c>
      <c r="K69" s="143" cm="1">
        <f t="array" ref="K69">IF(AC69="N/A","",_xlfn.IFS(Y69="m2",(AA69*(1/(Z69/AM69)))*I69,Y69="m3",(AA69*(1/(Z69/AM69)))*I69,Y69="kg",(AA69*AL69*(1/(1/AM69)))*I69,Y69="N/A",""))</f>
        <v>1.4303999999999999</v>
      </c>
      <c r="L69" s="71">
        <f t="shared" si="8"/>
        <v>1.42</v>
      </c>
      <c r="M69" s="146" cm="1">
        <f t="array" ref="M69">_xlfn.IFS(Y69="m2",(AB69*(1/(Z69/AM69)))*I69,Y69="m3",(AB69*(1/(Z69/AM69)))*I69,Y69="kg",(AB69*AL69*(1/(1/AM69)))*I69,Y69="N/A","")</f>
        <v>1.42</v>
      </c>
      <c r="N69" s="52">
        <f t="shared" si="9"/>
        <v>1.04E-2</v>
      </c>
      <c r="O69" s="148" cm="1">
        <f t="array" ref="O69">IF(AC69="N/A","",_xlfn.IFS(Y69="m2",(AC69*(1/(Z69/AM69)))*I69,Y69="m3",(AC69*(1/(Z69/AM69)))*I69,Y69="kg",(AC69*AL69*(1/(1/AM69)))*I69,Y69="N/A",""))</f>
        <v>1.04E-2</v>
      </c>
      <c r="P69" s="72" t="str">
        <f t="shared" si="10"/>
        <v>N/A</v>
      </c>
      <c r="Q69" s="150" t="str" cm="1">
        <f t="array" ref="Q69">IF(AE69="N/A","",_xlfn.IFS(Y69="m2",(AE69*(1/(Z69/AM69)))*I69,Y69="m3",(AE69*(1/(Z69/AM69)))*I69,Y69="kg",(AE69*AL69*(1/(1/AM69)))*I69,Y69="N/A",""))</f>
        <v/>
      </c>
      <c r="R69" s="88" t="s">
        <v>5</v>
      </c>
      <c r="S69" s="164" t="s">
        <v>377</v>
      </c>
      <c r="T69" s="47">
        <v>2026</v>
      </c>
      <c r="U69" s="47" t="s">
        <v>14</v>
      </c>
      <c r="V69" s="47">
        <v>60</v>
      </c>
      <c r="X69" s="180" t="s">
        <v>1079</v>
      </c>
      <c r="Y69" s="47" t="s">
        <v>15</v>
      </c>
      <c r="Z69" s="47">
        <v>0.03</v>
      </c>
      <c r="AA69" s="52">
        <f t="shared" si="11"/>
        <v>1.4303999999999999</v>
      </c>
      <c r="AB69" s="52">
        <v>1.42</v>
      </c>
      <c r="AC69" s="52">
        <f>0+0.0104</f>
        <v>1.04E-2</v>
      </c>
      <c r="AD69" s="52">
        <v>0</v>
      </c>
      <c r="AE69" s="52" t="s">
        <v>191</v>
      </c>
      <c r="AG69" s="74" t="str">
        <f>AH69&amp;" "&amp;AI69</f>
        <v>A2 s1
d0</v>
      </c>
      <c r="AH69" s="75" t="s">
        <v>214</v>
      </c>
      <c r="AI69" s="83" t="s">
        <v>176</v>
      </c>
      <c r="AJ69" s="103"/>
      <c r="AL69" s="47">
        <v>60</v>
      </c>
      <c r="AM69" s="47">
        <v>0.03</v>
      </c>
      <c r="AN69" s="47" t="s">
        <v>191</v>
      </c>
      <c r="AP69" s="105" t="s">
        <v>17</v>
      </c>
      <c r="AQ69" s="73"/>
      <c r="AU69" s="67" cm="1">
        <f t="array" ref="AU69">_xlfn.IFS(Y69="m2",(AB69*(1/(Z69/AM69))),Y69="m3",(AB69*(1/(Z69/AM69))),Y69="kg",(AB69*AL69*(1/(Z69/AM69))),Y69="N/A",0)</f>
        <v>1.42</v>
      </c>
    </row>
    <row r="70" spans="1:47" ht="25.2" customHeight="1" x14ac:dyDescent="0.15">
      <c r="A70" s="25" t="s">
        <v>1070</v>
      </c>
      <c r="B70" s="47" t="s">
        <v>210</v>
      </c>
      <c r="C70" s="47"/>
      <c r="D70" s="47" t="s">
        <v>218</v>
      </c>
      <c r="E70" s="88" t="s">
        <v>146</v>
      </c>
      <c r="F70" s="47" t="s">
        <v>307</v>
      </c>
      <c r="G70" s="47" t="s">
        <v>376</v>
      </c>
      <c r="I70" s="111">
        <v>1</v>
      </c>
      <c r="J70" s="70">
        <f t="shared" ref="J70:J101" si="13">IF(AC70="N/A","N/A",IF(K70="","N/A",K70))</f>
        <v>1.4381999999999999</v>
      </c>
      <c r="K70" s="143" cm="1">
        <f t="array" ref="K70">IF(AC70="N/A","",_xlfn.IFS(Y70="m2",(AA70*(1/(Z70/AM70)))*I70,Y70="m3",(AA70*(1/(Z70/AM70)))*I70,Y70="kg",(AA70*AL70*(1/(1/AM70)))*I70,Y70="N/A",""))</f>
        <v>1.4381999999999999</v>
      </c>
      <c r="L70" s="71">
        <f t="shared" ref="L70:L101" si="14">IF(M70="","N/A",M70)</f>
        <v>1.41</v>
      </c>
      <c r="M70" s="146" cm="1">
        <f t="array" ref="M70">_xlfn.IFS(Y70="m2",(AB70*(1/(Z70/AM70)))*I70,Y70="m3",(AB70*(1/(Z70/AM70)))*I70,Y70="kg",(AB70*AL70*(1/(1/AM70)))*I70,Y70="N/A","")</f>
        <v>1.41</v>
      </c>
      <c r="N70" s="52">
        <f t="shared" ref="N70:N101" si="15">IF(O70="","N/A",O70)</f>
        <v>2.8199999999999999E-2</v>
      </c>
      <c r="O70" s="148" cm="1">
        <f t="array" ref="O70">IF(AC70="N/A","",_xlfn.IFS(Y70="m2",(AC70*(1/(Z70/AM70)))*I70,Y70="m3",(AC70*(1/(Z70/AM70)))*I70,Y70="kg",(AC70*AL70*(1/(1/AM70)))*I70,Y70="N/A",""))</f>
        <v>2.8199999999999999E-2</v>
      </c>
      <c r="P70" s="72" t="str">
        <f t="shared" ref="P70:P101" si="16">IF(Q70="","N/A",Q70)</f>
        <v>N/A</v>
      </c>
      <c r="Q70" s="150" t="str" cm="1">
        <f t="array" ref="Q70">IF(AE70="N/A","",_xlfn.IFS(Y70="m2",(AE70*(1/(Z70/AM70)))*I70,Y70="m3",(AE70*(1/(Z70/AM70)))*I70,Y70="kg",(AE70*AL70*(1/(1/AM70)))*I70,Y70="N/A",""))</f>
        <v/>
      </c>
      <c r="R70" s="88" t="s">
        <v>5</v>
      </c>
      <c r="S70" s="164" t="s">
        <v>377</v>
      </c>
      <c r="T70" s="47">
        <v>2026</v>
      </c>
      <c r="U70" s="47" t="s">
        <v>14</v>
      </c>
      <c r="V70" s="47">
        <v>60</v>
      </c>
      <c r="X70" s="180" t="s">
        <v>1071</v>
      </c>
      <c r="Y70" s="47" t="s">
        <v>15</v>
      </c>
      <c r="Z70" s="47">
        <v>0.03</v>
      </c>
      <c r="AA70" s="52">
        <f t="shared" ref="AA70:AA101" si="17">IF(AC70="N/A","N/A",SUM(AB70:AC70))</f>
        <v>1.4381999999999999</v>
      </c>
      <c r="AB70" s="52">
        <v>1.41</v>
      </c>
      <c r="AC70" s="52">
        <f>0+0.0282</f>
        <v>2.8199999999999999E-2</v>
      </c>
      <c r="AD70" s="52">
        <v>0</v>
      </c>
      <c r="AE70" s="52" t="s">
        <v>191</v>
      </c>
      <c r="AG70" s="74" t="str">
        <f>AH70&amp;" "&amp;AI70</f>
        <v>A2 s1
d0</v>
      </c>
      <c r="AH70" s="75" t="s">
        <v>214</v>
      </c>
      <c r="AI70" s="83" t="s">
        <v>176</v>
      </c>
      <c r="AJ70" s="103"/>
      <c r="AL70" s="47">
        <v>60</v>
      </c>
      <c r="AM70" s="47">
        <v>0.03</v>
      </c>
      <c r="AN70" s="47" t="s">
        <v>191</v>
      </c>
      <c r="AP70" s="105" t="s">
        <v>17</v>
      </c>
      <c r="AQ70" s="81"/>
      <c r="AU70" s="67" cm="1">
        <f t="array" ref="AU70">_xlfn.IFS(Y70="m2",(AB70*(1/(Z70/AM70))),Y70="m3",(AB70*(1/(Z70/AM70))),Y70="kg",(AB70*AL70*(1/(Z70/AM70))),Y70="N/A",0)</f>
        <v>1.41</v>
      </c>
    </row>
    <row r="71" spans="1:47" ht="25.2" customHeight="1" x14ac:dyDescent="0.15">
      <c r="A71" s="25" t="s">
        <v>1084</v>
      </c>
      <c r="B71" s="47" t="s">
        <v>210</v>
      </c>
      <c r="C71" s="47"/>
      <c r="D71" s="47" t="s">
        <v>218</v>
      </c>
      <c r="E71" s="186" t="s">
        <v>146</v>
      </c>
      <c r="F71" s="47" t="s">
        <v>307</v>
      </c>
      <c r="G71" s="47" t="s">
        <v>370</v>
      </c>
      <c r="I71" s="111">
        <v>1</v>
      </c>
      <c r="J71" s="70">
        <f t="shared" si="13"/>
        <v>1.5836000000000001</v>
      </c>
      <c r="K71" s="143" cm="1">
        <f t="array" ref="K71">IF(AC71="N/A","",_xlfn.IFS(Y71="m2",(AA71*(1/(Z71/AM71)))*I71,Y71="m3",(AA71*(1/(Z71/AM71)))*I71,Y71="kg",(AA71*AL71*(1/(1/AM71)))*I71,Y71="N/A",""))</f>
        <v>1.5836000000000001</v>
      </c>
      <c r="L71" s="71">
        <f t="shared" si="14"/>
        <v>1.55</v>
      </c>
      <c r="M71" s="146" cm="1">
        <f t="array" ref="M71">_xlfn.IFS(Y71="m2",(AB71*(1/(Z71/AM71)))*I71,Y71="m3",(AB71*(1/(Z71/AM71)))*I71,Y71="kg",(AB71*AL71*(1/(1/AM71)))*I71,Y71="N/A","")</f>
        <v>1.55</v>
      </c>
      <c r="N71" s="52">
        <f t="shared" si="15"/>
        <v>3.3599999999999998E-2</v>
      </c>
      <c r="O71" s="148" cm="1">
        <f t="array" ref="O71">IF(AC71="N/A","",_xlfn.IFS(Y71="m2",(AC71*(1/(Z71/AM71)))*I71,Y71="m3",(AC71*(1/(Z71/AM71)))*I71,Y71="kg",(AC71*AL71*(1/(1/AM71)))*I71,Y71="N/A",""))</f>
        <v>3.3599999999999998E-2</v>
      </c>
      <c r="P71" s="72" t="str">
        <f t="shared" si="16"/>
        <v>N/A</v>
      </c>
      <c r="Q71" s="150" t="str" cm="1">
        <f t="array" ref="Q71">IF(AE71="N/A","",_xlfn.IFS(Y71="m2",(AE71*(1/(Z71/AM71)))*I71,Y71="m3",(AE71*(1/(Z71/AM71)))*I71,Y71="kg",(AE71*AL71*(1/(1/AM71)))*I71,Y71="N/A",""))</f>
        <v/>
      </c>
      <c r="R71" s="186" t="s">
        <v>5</v>
      </c>
      <c r="S71" s="164" t="s">
        <v>377</v>
      </c>
      <c r="T71" s="47">
        <v>2026</v>
      </c>
      <c r="U71" s="47" t="s">
        <v>14</v>
      </c>
      <c r="V71" s="47">
        <v>60</v>
      </c>
      <c r="X71" s="180" t="s">
        <v>1090</v>
      </c>
      <c r="Y71" s="47" t="s">
        <v>15</v>
      </c>
      <c r="Z71" s="47">
        <v>3.9E-2</v>
      </c>
      <c r="AA71" s="52">
        <f t="shared" si="17"/>
        <v>1.5836000000000001</v>
      </c>
      <c r="AB71" s="52">
        <v>1.55</v>
      </c>
      <c r="AC71" s="52">
        <f>0+0.0336</f>
        <v>3.3599999999999998E-2</v>
      </c>
      <c r="AD71" s="52">
        <v>0</v>
      </c>
      <c r="AE71" s="52" t="s">
        <v>191</v>
      </c>
      <c r="AG71" s="251"/>
      <c r="AH71" s="75" t="s">
        <v>214</v>
      </c>
      <c r="AI71" s="83" t="s">
        <v>176</v>
      </c>
      <c r="AJ71" s="47"/>
      <c r="AL71" s="47">
        <v>55</v>
      </c>
      <c r="AM71" s="47">
        <v>3.9E-2</v>
      </c>
      <c r="AN71" s="47" t="s">
        <v>191</v>
      </c>
      <c r="AP71" s="173" t="s">
        <v>17</v>
      </c>
      <c r="AQ71" s="73"/>
      <c r="AU71" s="67" cm="1">
        <f t="array" ref="AU71">_xlfn.IFS(Y71="m2",(AB71*(1/(Z71/AM71))),Y71="m3",(AB71*(1/(Z71/AM71))),Y71="kg",(AB71*AL71*(1/(Z71/AM71))),Y71="N/A",0)</f>
        <v>1.55</v>
      </c>
    </row>
    <row r="72" spans="1:47" ht="25.2" customHeight="1" x14ac:dyDescent="0.15">
      <c r="A72" s="25" t="s">
        <v>1083</v>
      </c>
      <c r="B72" s="47" t="s">
        <v>210</v>
      </c>
      <c r="C72" s="47"/>
      <c r="D72" s="47" t="s">
        <v>218</v>
      </c>
      <c r="E72" s="259" t="s">
        <v>146</v>
      </c>
      <c r="F72" s="47" t="s">
        <v>307</v>
      </c>
      <c r="G72" s="69" t="s">
        <v>370</v>
      </c>
      <c r="I72" s="111">
        <v>1</v>
      </c>
      <c r="J72" s="70">
        <f t="shared" si="13"/>
        <v>1.7036</v>
      </c>
      <c r="K72" s="143" cm="1">
        <f t="array" ref="K72">IF(AC72="N/A","",_xlfn.IFS(Y72="m2",(AA72*(1/(Z72/AM72)))*I72,Y72="m3",(AA72*(1/(Z72/AM72)))*I72,Y72="kg",(AA72*AL72*(1/(1/AM72)))*I72,Y72="N/A",""))</f>
        <v>1.7036</v>
      </c>
      <c r="L72" s="71">
        <f t="shared" si="14"/>
        <v>1.67</v>
      </c>
      <c r="M72" s="146" cm="1">
        <f t="array" ref="M72">_xlfn.IFS(Y72="m2",(AB72*(1/(Z72/AM72)))*I72,Y72="m3",(AB72*(1/(Z72/AM72)))*I72,Y72="kg",(AB72*AL72*(1/(1/AM72)))*I72,Y72="N/A","")</f>
        <v>1.67</v>
      </c>
      <c r="N72" s="52">
        <f t="shared" si="15"/>
        <v>3.3599999999999998E-2</v>
      </c>
      <c r="O72" s="148" cm="1">
        <f t="array" ref="O72">IF(AC72="N/A","",_xlfn.IFS(Y72="m2",(AC72*(1/(Z72/AM72)))*I72,Y72="m3",(AC72*(1/(Z72/AM72)))*I72,Y72="kg",(AC72*AL72*(1/(1/AM72)))*I72,Y72="N/A",""))</f>
        <v>3.3599999999999998E-2</v>
      </c>
      <c r="P72" s="72" t="str">
        <f t="shared" si="16"/>
        <v>N/A</v>
      </c>
      <c r="Q72" s="150" t="str" cm="1">
        <f t="array" ref="Q72">IF(AE72="N/A","",_xlfn.IFS(Y72="m2",(AE72*(1/(Z72/AM72)))*I72,Y72="m3",(AE72*(1/(Z72/AM72)))*I72,Y72="kg",(AE72*AL72*(1/(1/AM72)))*I72,Y72="N/A",""))</f>
        <v/>
      </c>
      <c r="R72" s="186" t="s">
        <v>5</v>
      </c>
      <c r="S72" s="164" t="s">
        <v>377</v>
      </c>
      <c r="T72" s="47">
        <v>2026</v>
      </c>
      <c r="U72" s="47" t="s">
        <v>14</v>
      </c>
      <c r="V72" s="47">
        <v>60</v>
      </c>
      <c r="X72" s="254" t="s">
        <v>1089</v>
      </c>
      <c r="Y72" s="47" t="s">
        <v>15</v>
      </c>
      <c r="Z72" s="47">
        <v>3.9E-2</v>
      </c>
      <c r="AA72" s="52">
        <f t="shared" si="17"/>
        <v>1.7036</v>
      </c>
      <c r="AB72" s="52">
        <v>1.67</v>
      </c>
      <c r="AC72" s="52">
        <f>0+0.0336</f>
        <v>3.3599999999999998E-2</v>
      </c>
      <c r="AD72" s="52">
        <v>0</v>
      </c>
      <c r="AE72" s="52" t="s">
        <v>191</v>
      </c>
      <c r="AG72" s="251"/>
      <c r="AH72" s="75" t="s">
        <v>214</v>
      </c>
      <c r="AI72" s="83" t="s">
        <v>176</v>
      </c>
      <c r="AJ72" s="47"/>
      <c r="AL72" s="47">
        <v>55</v>
      </c>
      <c r="AM72" s="47">
        <v>3.9E-2</v>
      </c>
      <c r="AN72" s="47" t="s">
        <v>191</v>
      </c>
      <c r="AP72" s="173" t="s">
        <v>17</v>
      </c>
      <c r="AQ72" s="73"/>
      <c r="AU72" s="67" cm="1">
        <f t="array" ref="AU72">_xlfn.IFS(Y72="m2",(AB72*(1/(Z72/AM72))),Y72="m3",(AB72*(1/(Z72/AM72))),Y72="kg",(AB72*AL72*(1/(Z72/AM72))),Y72="N/A",0)</f>
        <v>1.67</v>
      </c>
    </row>
    <row r="73" spans="1:47" ht="25.2" customHeight="1" x14ac:dyDescent="0.15">
      <c r="A73" s="25" t="s">
        <v>1028</v>
      </c>
      <c r="B73" s="47" t="s">
        <v>210</v>
      </c>
      <c r="C73" s="47"/>
      <c r="D73" s="47" t="s">
        <v>209</v>
      </c>
      <c r="E73" s="186" t="s">
        <v>146</v>
      </c>
      <c r="F73" s="47" t="s">
        <v>296</v>
      </c>
      <c r="G73" s="47" t="s">
        <v>370</v>
      </c>
      <c r="I73" s="107">
        <v>1</v>
      </c>
      <c r="J73" s="70">
        <f t="shared" si="13"/>
        <v>1.7133</v>
      </c>
      <c r="K73" s="143" cm="1">
        <f t="array" ref="K73">IF(AC73="N/A","",_xlfn.IFS(Y73="m2",(AA73*(1/(Z73/AM73)))*I73,Y73="m3",(AA73*(1/(Z73/AM73)))*I73,Y73="kg",(AA73*AL73*(1/(1/AM73)))*I73,Y73="N/A",""))</f>
        <v>1.7133</v>
      </c>
      <c r="L73" s="71">
        <f t="shared" si="14"/>
        <v>1.68</v>
      </c>
      <c r="M73" s="146" cm="1">
        <f t="array" ref="M73">_xlfn.IFS(Y73="m2",(AB73*(1/(Z73/AM73)))*I73,Y73="m3",(AB73*(1/(Z73/AM73)))*I73,Y73="kg",(AB73*AL73*(1/(1/AM73)))*I73,Y73="N/A","")</f>
        <v>1.68</v>
      </c>
      <c r="N73" s="52">
        <f t="shared" si="15"/>
        <v>3.3300000000000003E-2</v>
      </c>
      <c r="O73" s="148" cm="1">
        <f t="array" ref="O73">IF(AC73="N/A","",_xlfn.IFS(Y73="m2",(AC73*(1/(Z73/AM73)))*I73,Y73="m3",(AC73*(1/(Z73/AM73)))*I73,Y73="kg",(AC73*AL73*(1/(1/AM73)))*I73,Y73="N/A",""))</f>
        <v>3.3300000000000003E-2</v>
      </c>
      <c r="P73" s="72">
        <f t="shared" si="16"/>
        <v>-0.125</v>
      </c>
      <c r="Q73" s="150" cm="1">
        <f t="array" ref="Q73">IF(AE73="N/A","",_xlfn.IFS(Y73="m2",(AE73*(1/(Z73/AM73)))*I73,Y73="m3",(AE73*(1/(Z73/AM73)))*I73,Y73="kg",(AE73*AL73*(1/(1/AM73)))*I73,Y73="N/A",""))</f>
        <v>-0.125</v>
      </c>
      <c r="R73" s="186" t="s">
        <v>5</v>
      </c>
      <c r="S73" s="47"/>
      <c r="T73" s="47">
        <v>2028</v>
      </c>
      <c r="U73" s="47" t="s">
        <v>28</v>
      </c>
      <c r="V73" s="47">
        <v>60</v>
      </c>
      <c r="X73" s="254" t="s">
        <v>1045</v>
      </c>
      <c r="Y73" s="47" t="s">
        <v>15</v>
      </c>
      <c r="Z73" s="47">
        <v>3.9E-2</v>
      </c>
      <c r="AA73" s="52">
        <f t="shared" si="17"/>
        <v>1.7133</v>
      </c>
      <c r="AB73" s="52">
        <f>(1.68)*1</f>
        <v>1.68</v>
      </c>
      <c r="AC73" s="52">
        <f>(0+0.0333)*1</f>
        <v>3.3300000000000003E-2</v>
      </c>
      <c r="AD73" s="52">
        <f>(-0.0663)*1</f>
        <v>-6.6299999999999998E-2</v>
      </c>
      <c r="AE73" s="52">
        <f>(-0.125)*1</f>
        <v>-0.125</v>
      </c>
      <c r="AG73" s="251"/>
      <c r="AH73" s="122" t="s">
        <v>214</v>
      </c>
      <c r="AI73" s="210" t="s">
        <v>176</v>
      </c>
      <c r="AJ73" s="47"/>
      <c r="AL73" s="47">
        <v>60</v>
      </c>
      <c r="AM73" s="47">
        <v>3.9E-2</v>
      </c>
      <c r="AN73" s="47" t="s">
        <v>191</v>
      </c>
      <c r="AP73" s="278" t="s">
        <v>17</v>
      </c>
      <c r="AQ73" s="73"/>
      <c r="AU73" s="67" cm="1">
        <f t="array" ref="AU73">_xlfn.IFS(Y73="m2",(AB73*(1/(Z73/AM73))),Y73="m3",(AB73*(1/(Z73/AM73))),Y73="kg",(AB73*AL73*(1/(Z73/AM73))),Y73="N/A",0)</f>
        <v>1.68</v>
      </c>
    </row>
    <row r="74" spans="1:47" ht="25.2" customHeight="1" x14ac:dyDescent="0.15">
      <c r="A74" s="25" t="s">
        <v>1029</v>
      </c>
      <c r="B74" s="47" t="s">
        <v>210</v>
      </c>
      <c r="C74" s="47"/>
      <c r="D74" s="47" t="s">
        <v>209</v>
      </c>
      <c r="E74" s="186" t="s">
        <v>146</v>
      </c>
      <c r="F74" s="47" t="s">
        <v>296</v>
      </c>
      <c r="G74" s="47" t="s">
        <v>370</v>
      </c>
      <c r="I74" s="107">
        <v>1</v>
      </c>
      <c r="J74" s="70">
        <f t="shared" si="13"/>
        <v>1.7133</v>
      </c>
      <c r="K74" s="143" cm="1">
        <f t="array" ref="K74">IF(AC74="N/A","",_xlfn.IFS(Y74="m2",(AA74*(1/(Z74/AM74)))*I74,Y74="m3",(AA74*(1/(Z74/AM74)))*I74,Y74="kg",(AA74*AL74*(1/(1/AM74)))*I74,Y74="N/A",""))</f>
        <v>1.7133</v>
      </c>
      <c r="L74" s="71">
        <f t="shared" si="14"/>
        <v>1.68</v>
      </c>
      <c r="M74" s="146" cm="1">
        <f t="array" ref="M74">_xlfn.IFS(Y74="m2",(AB74*(1/(Z74/AM74)))*I74,Y74="m3",(AB74*(1/(Z74/AM74)))*I74,Y74="kg",(AB74*AL74*(1/(1/AM74)))*I74,Y74="N/A","")</f>
        <v>1.68</v>
      </c>
      <c r="N74" s="52">
        <f t="shared" si="15"/>
        <v>3.3300000000000003E-2</v>
      </c>
      <c r="O74" s="148" cm="1">
        <f t="array" ref="O74">IF(AC74="N/A","",_xlfn.IFS(Y74="m2",(AC74*(1/(Z74/AM74)))*I74,Y74="m3",(AC74*(1/(Z74/AM74)))*I74,Y74="kg",(AC74*AL74*(1/(1/AM74)))*I74,Y74="N/A",""))</f>
        <v>3.3300000000000003E-2</v>
      </c>
      <c r="P74" s="72">
        <f t="shared" si="16"/>
        <v>-0.125</v>
      </c>
      <c r="Q74" s="150" cm="1">
        <f t="array" ref="Q74">IF(AE74="N/A","",_xlfn.IFS(Y74="m2",(AE74*(1/(Z74/AM74)))*I74,Y74="m3",(AE74*(1/(Z74/AM74)))*I74,Y74="kg",(AE74*AL74*(1/(1/AM74)))*I74,Y74="N/A",""))</f>
        <v>-0.125</v>
      </c>
      <c r="R74" s="186" t="s">
        <v>5</v>
      </c>
      <c r="S74" s="47"/>
      <c r="T74" s="47">
        <v>2028</v>
      </c>
      <c r="U74" s="47" t="s">
        <v>28</v>
      </c>
      <c r="V74" s="47">
        <v>60</v>
      </c>
      <c r="X74" s="254" t="s">
        <v>1045</v>
      </c>
      <c r="Y74" s="47" t="s">
        <v>15</v>
      </c>
      <c r="Z74" s="47">
        <v>3.9E-2</v>
      </c>
      <c r="AA74" s="52">
        <f t="shared" si="17"/>
        <v>1.7133</v>
      </c>
      <c r="AB74" s="52">
        <f>(1.68)*1</f>
        <v>1.68</v>
      </c>
      <c r="AC74" s="52">
        <f>(0+0.0333)*1</f>
        <v>3.3300000000000003E-2</v>
      </c>
      <c r="AD74" s="52">
        <f>(-0.0663)*1</f>
        <v>-6.6299999999999998E-2</v>
      </c>
      <c r="AE74" s="52">
        <f>(-0.125)*1</f>
        <v>-0.125</v>
      </c>
      <c r="AG74" s="251"/>
      <c r="AH74" s="122" t="s">
        <v>214</v>
      </c>
      <c r="AI74" s="210" t="s">
        <v>176</v>
      </c>
      <c r="AJ74" s="47"/>
      <c r="AL74" s="47">
        <v>60</v>
      </c>
      <c r="AM74" s="47">
        <v>3.9E-2</v>
      </c>
      <c r="AN74" s="47">
        <v>1030</v>
      </c>
      <c r="AP74" s="173" t="s">
        <v>17</v>
      </c>
      <c r="AQ74" s="73"/>
      <c r="AU74" s="67" cm="1">
        <f t="array" ref="AU74">_xlfn.IFS(Y74="m2",(AB74*(1/(Z74/AM74))),Y74="m3",(AB74*(1/(Z74/AM74))),Y74="kg",(AB74*AL74*(1/(Z74/AM74))),Y74="N/A",0)</f>
        <v>1.68</v>
      </c>
    </row>
    <row r="75" spans="1:47" ht="25.2" customHeight="1" x14ac:dyDescent="0.15">
      <c r="A75" s="25" t="s">
        <v>215</v>
      </c>
      <c r="B75" s="47" t="s">
        <v>210</v>
      </c>
      <c r="C75" s="47"/>
      <c r="D75" s="47" t="s">
        <v>209</v>
      </c>
      <c r="E75" s="82" t="s">
        <v>146</v>
      </c>
      <c r="F75" s="47" t="s">
        <v>296</v>
      </c>
      <c r="G75" s="47" t="s">
        <v>370</v>
      </c>
      <c r="I75" s="111">
        <v>1</v>
      </c>
      <c r="J75" s="70">
        <f t="shared" si="13"/>
        <v>2.0528040000000001</v>
      </c>
      <c r="K75" s="143" cm="1">
        <f t="array" ref="K75">IF(AC75="N/A","",_xlfn.IFS(Y75="m2",(AA75*(1/(Z75/AM75)))*I75,Y75="m3",(AA75*(1/(Z75/AM75)))*I75,Y75="kg",(AA75*AL75*(1/(1/AM75)))*I75,Y75="N/A",""))</f>
        <v>2.0528040000000001</v>
      </c>
      <c r="L75" s="71">
        <f t="shared" si="14"/>
        <v>2.0124</v>
      </c>
      <c r="M75" s="146" cm="1">
        <f t="array" ref="M75">_xlfn.IFS(Y75="m2",(AB75*(1/(Z75/AM75)))*I75,Y75="m3",(AB75*(1/(Z75/AM75)))*I75,Y75="kg",(AB75*AL75*(1/(1/AM75)))*I75,Y75="N/A","")</f>
        <v>2.0124</v>
      </c>
      <c r="N75" s="52">
        <f t="shared" si="15"/>
        <v>4.0404000000000002E-2</v>
      </c>
      <c r="O75" s="148" cm="1">
        <f t="array" ref="O75">IF(AC75="N/A","",_xlfn.IFS(Y75="m2",(AC75*(1/(Z75/AM75)))*I75,Y75="m3",(AC75*(1/(Z75/AM75)))*I75,Y75="kg",(AC75*AL75*(1/(1/AM75)))*I75,Y75="N/A",""))</f>
        <v>4.0404000000000002E-2</v>
      </c>
      <c r="P75" s="72">
        <f t="shared" si="16"/>
        <v>-0.16224</v>
      </c>
      <c r="Q75" s="150" cm="1">
        <f t="array" ref="Q75">IF(AE75="N/A","",_xlfn.IFS(Y75="m2",(AE75*(1/(Z75/AM75)))*I75,Y75="m3",(AE75*(1/(Z75/AM75)))*I75,Y75="kg",(AE75*AL75*(1/(1/AM75)))*I75,Y75="N/A",""))</f>
        <v>-0.16224</v>
      </c>
      <c r="R75" s="82" t="s">
        <v>5</v>
      </c>
      <c r="S75" s="164" t="s">
        <v>377</v>
      </c>
      <c r="T75" s="47">
        <v>2028</v>
      </c>
      <c r="U75" s="47" t="s">
        <v>28</v>
      </c>
      <c r="V75" s="47" t="s">
        <v>191</v>
      </c>
      <c r="X75" s="180" t="s">
        <v>543</v>
      </c>
      <c r="Y75" s="47" t="s">
        <v>15</v>
      </c>
      <c r="Z75" s="47">
        <v>0.25</v>
      </c>
      <c r="AA75" s="52">
        <f t="shared" si="17"/>
        <v>13.159000000000001</v>
      </c>
      <c r="AB75" s="52">
        <v>12.9</v>
      </c>
      <c r="AC75" s="52">
        <f>0+0.259</f>
        <v>0.25900000000000001</v>
      </c>
      <c r="AD75" s="52">
        <v>-0.70699999999999996</v>
      </c>
      <c r="AE75" s="52">
        <v>-1.04</v>
      </c>
      <c r="AG75" s="74" t="str">
        <f>AH75&amp;" "&amp;AI75</f>
        <v>A2 s1
d0</v>
      </c>
      <c r="AH75" s="75" t="s">
        <v>214</v>
      </c>
      <c r="AI75" s="83" t="s">
        <v>176</v>
      </c>
      <c r="AJ75" s="103"/>
      <c r="AL75" s="47">
        <v>60</v>
      </c>
      <c r="AM75" s="47">
        <v>3.9E-2</v>
      </c>
      <c r="AN75" s="47" t="s">
        <v>191</v>
      </c>
      <c r="AP75" s="80" t="s">
        <v>17</v>
      </c>
      <c r="AQ75" s="73"/>
      <c r="AU75" s="67" cm="1">
        <f t="array" ref="AU75">_xlfn.IFS(Y75="m2",(AB75*(1/(Z75/AM75))),Y75="m3",(AB75*(1/(Z75/AM75))),Y75="kg",(AB75*AL75*(1/(Z75/AM75))),Y75="N/A",0)</f>
        <v>2.0124</v>
      </c>
    </row>
    <row r="76" spans="1:47" ht="25.2" customHeight="1" x14ac:dyDescent="0.15">
      <c r="A76" s="25" t="s">
        <v>1019</v>
      </c>
      <c r="B76" s="47" t="s">
        <v>210</v>
      </c>
      <c r="C76" s="47"/>
      <c r="D76" s="47" t="s">
        <v>209</v>
      </c>
      <c r="E76" s="186" t="s">
        <v>146</v>
      </c>
      <c r="F76" s="47" t="s">
        <v>296</v>
      </c>
      <c r="G76" s="69" t="s">
        <v>370</v>
      </c>
      <c r="I76" s="107">
        <v>1</v>
      </c>
      <c r="J76" s="70">
        <f t="shared" si="13"/>
        <v>2.0559600000000002</v>
      </c>
      <c r="K76" s="143" cm="1">
        <f t="array" ref="K76">IF(AC76="N/A","",_xlfn.IFS(Y76="m2",(AA76*(1/(Z76/AM76)))*I76,Y76="m3",(AA76*(1/(Z76/AM76)))*I76,Y76="kg",(AA76*AL76*(1/(1/AM76)))*I76,Y76="N/A",""))</f>
        <v>2.0559600000000002</v>
      </c>
      <c r="L76" s="71">
        <f t="shared" si="14"/>
        <v>2.016</v>
      </c>
      <c r="M76" s="146" cm="1">
        <f t="array" ref="M76">_xlfn.IFS(Y76="m2",(AB76*(1/(Z76/AM76)))*I76,Y76="m3",(AB76*(1/(Z76/AM76)))*I76,Y76="kg",(AB76*AL76*(1/(1/AM76)))*I76,Y76="N/A","")</f>
        <v>2.016</v>
      </c>
      <c r="N76" s="52">
        <f t="shared" si="15"/>
        <v>3.9960000000000002E-2</v>
      </c>
      <c r="O76" s="148" cm="1">
        <f t="array" ref="O76">IF(AC76="N/A","",_xlfn.IFS(Y76="m2",(AC76*(1/(Z76/AM76)))*I76,Y76="m3",(AC76*(1/(Z76/AM76)))*I76,Y76="kg",(AC76*AL76*(1/(1/AM76)))*I76,Y76="N/A",""))</f>
        <v>3.9960000000000002E-2</v>
      </c>
      <c r="P76" s="72">
        <f t="shared" si="16"/>
        <v>-0.15</v>
      </c>
      <c r="Q76" s="150" cm="1">
        <f t="array" ref="Q76">IF(AE76="N/A","",_xlfn.IFS(Y76="m2",(AE76*(1/(Z76/AM76)))*I76,Y76="m3",(AE76*(1/(Z76/AM76)))*I76,Y76="kg",(AE76*AL76*(1/(1/AM76)))*I76,Y76="N/A",""))</f>
        <v>-0.15</v>
      </c>
      <c r="R76" s="186" t="s">
        <v>5</v>
      </c>
      <c r="S76" s="47"/>
      <c r="T76" s="47">
        <v>2028</v>
      </c>
      <c r="U76" s="47" t="s">
        <v>28</v>
      </c>
      <c r="V76" s="47">
        <v>60</v>
      </c>
      <c r="X76" s="254" t="s">
        <v>1045</v>
      </c>
      <c r="Y76" s="47" t="s">
        <v>15</v>
      </c>
      <c r="Z76" s="47">
        <v>3.5999999999999997E-2</v>
      </c>
      <c r="AA76" s="52">
        <f t="shared" si="17"/>
        <v>2.0559600000000002</v>
      </c>
      <c r="AB76" s="52">
        <f>(1.68)*1.2</f>
        <v>2.016</v>
      </c>
      <c r="AC76" s="52">
        <f>(0+0.0333)*1.2</f>
        <v>3.9960000000000002E-2</v>
      </c>
      <c r="AD76" s="52">
        <f>(-0.0663)*1.2</f>
        <v>-7.9559999999999992E-2</v>
      </c>
      <c r="AE76" s="52">
        <f>(-0.125)*1.2</f>
        <v>-0.15</v>
      </c>
      <c r="AG76" s="251"/>
      <c r="AH76" s="122" t="s">
        <v>214</v>
      </c>
      <c r="AI76" s="210" t="s">
        <v>176</v>
      </c>
      <c r="AJ76" s="47"/>
      <c r="AL76" s="47">
        <v>80</v>
      </c>
      <c r="AM76" s="47">
        <v>3.5999999999999997E-2</v>
      </c>
      <c r="AN76" s="47" t="s">
        <v>191</v>
      </c>
      <c r="AP76" s="69"/>
      <c r="AQ76" s="73"/>
      <c r="AU76" s="67" cm="1">
        <f t="array" ref="AU76">_xlfn.IFS(Y76="m2",(AB76*(1/(Z76/AM76))),Y76="m3",(AB76*(1/(Z76/AM76))),Y76="kg",(AB76*AL76*(1/(Z76/AM76))),Y76="N/A",0)</f>
        <v>2.016</v>
      </c>
    </row>
    <row r="77" spans="1:47" ht="25.2" customHeight="1" x14ac:dyDescent="0.15">
      <c r="A77" s="25" t="s">
        <v>1094</v>
      </c>
      <c r="B77" s="47" t="s">
        <v>210</v>
      </c>
      <c r="C77" s="47"/>
      <c r="D77" s="47" t="s">
        <v>255</v>
      </c>
      <c r="E77" s="186" t="s">
        <v>146</v>
      </c>
      <c r="F77" s="47" t="s">
        <v>259</v>
      </c>
      <c r="G77" s="69" t="s">
        <v>370</v>
      </c>
      <c r="I77" s="111">
        <v>1</v>
      </c>
      <c r="J77" s="70">
        <f t="shared" si="13"/>
        <v>2.71</v>
      </c>
      <c r="K77" s="143" cm="1">
        <f t="array" ref="K77">IF(AC77="N/A","",_xlfn.IFS(Y77="m2",(AA77*(1/(Z77/AM77)))*I77,Y77="m3",(AA77*(1/(Z77/AM77)))*I77,Y77="kg",(AA77*AL77*(1/(1/AM77)))*I77,Y77="N/A",""))</f>
        <v>2.71</v>
      </c>
      <c r="L77" s="71">
        <f t="shared" si="14"/>
        <v>1.1200000000000001</v>
      </c>
      <c r="M77" s="146" cm="1">
        <f t="array" ref="M77">_xlfn.IFS(Y77="m2",(AB77*(1/(Z77/AM77)))*I77,Y77="m3",(AB77*(1/(Z77/AM77)))*I77,Y77="kg",(AB77*AL77*(1/(1/AM77)))*I77,Y77="N/A","")</f>
        <v>1.1200000000000001</v>
      </c>
      <c r="N77" s="52">
        <f t="shared" si="15"/>
        <v>1.59</v>
      </c>
      <c r="O77" s="148" cm="1">
        <f t="array" ref="O77">IF(AC77="N/A","",_xlfn.IFS(Y77="m2",(AC77*(1/(Z77/AM77)))*I77,Y77="m3",(AC77*(1/(Z77/AM77)))*I77,Y77="kg",(AC77*AL77*(1/(1/AM77)))*I77,Y77="N/A",""))</f>
        <v>1.59</v>
      </c>
      <c r="P77" s="72">
        <f t="shared" si="16"/>
        <v>1.65E-3</v>
      </c>
      <c r="Q77" s="150" cm="1">
        <f t="array" ref="Q77">IF(AE77="N/A","",_xlfn.IFS(Y77="m2",(AE77*(1/(Z77/AM77)))*I77,Y77="m3",(AE77*(1/(Z77/AM77)))*I77,Y77="kg",(AE77*AL77*(1/(1/AM77)))*I77,Y77="N/A",""))</f>
        <v>1.65E-3</v>
      </c>
      <c r="R77" s="186" t="s">
        <v>5</v>
      </c>
      <c r="S77" s="47" t="s">
        <v>377</v>
      </c>
      <c r="T77" s="47">
        <v>2028</v>
      </c>
      <c r="U77" s="47" t="s">
        <v>28</v>
      </c>
      <c r="V77" s="52" t="s">
        <v>191</v>
      </c>
      <c r="X77" s="180" t="s">
        <v>1096</v>
      </c>
      <c r="Y77" s="47" t="s">
        <v>15</v>
      </c>
      <c r="Z77" s="47">
        <v>3.1E-2</v>
      </c>
      <c r="AA77" s="52">
        <f t="shared" si="17"/>
        <v>2.71</v>
      </c>
      <c r="AB77" s="52">
        <v>1.1200000000000001</v>
      </c>
      <c r="AC77" s="52">
        <f>1.59+0</f>
        <v>1.59</v>
      </c>
      <c r="AD77" s="52">
        <v>-0.55600000000000005</v>
      </c>
      <c r="AE77" s="52">
        <v>1.65E-3</v>
      </c>
      <c r="AG77" s="251"/>
      <c r="AH77" s="122" t="s">
        <v>82</v>
      </c>
      <c r="AI77" s="123"/>
      <c r="AJ77" s="47"/>
      <c r="AL77" s="47">
        <v>16</v>
      </c>
      <c r="AM77" s="47">
        <v>3.1E-2</v>
      </c>
      <c r="AN77" s="47" t="s">
        <v>191</v>
      </c>
      <c r="AP77" s="173" t="s">
        <v>17</v>
      </c>
      <c r="AQ77" s="73"/>
      <c r="AU77" s="67" cm="1">
        <f t="array" ref="AU77">_xlfn.IFS(Y77="m2",(AB77*(1/(Z77/AM77))),Y77="m3",(AB77*(1/(Z77/AM77))),Y77="kg",(AB77*AL77*(1/(Z77/AM77))),Y77="N/A",0)</f>
        <v>1.1200000000000001</v>
      </c>
    </row>
    <row r="78" spans="1:47" ht="25.2" customHeight="1" x14ac:dyDescent="0.15">
      <c r="A78" s="25" t="s">
        <v>1061</v>
      </c>
      <c r="B78" s="47" t="s">
        <v>210</v>
      </c>
      <c r="C78" s="47"/>
      <c r="D78" s="47" t="s">
        <v>218</v>
      </c>
      <c r="E78" s="186" t="s">
        <v>146</v>
      </c>
      <c r="F78" s="47" t="s">
        <v>307</v>
      </c>
      <c r="G78" s="69" t="s">
        <v>370</v>
      </c>
      <c r="I78" s="107">
        <v>1</v>
      </c>
      <c r="J78" s="70">
        <f t="shared" si="13"/>
        <v>2.1151999999999997</v>
      </c>
      <c r="K78" s="143" cm="1">
        <f t="array" ref="K78">IF(AC78="N/A","",_xlfn.IFS(Y78="m2",(AA78*(1/(Z78/AM78)))*I78,Y78="m3",(AA78*(1/(Z78/AM78)))*I78,Y78="kg",(AA78*AL78*(1/(1/AM78)))*I78,Y78="N/A",""))</f>
        <v>2.1151999999999997</v>
      </c>
      <c r="L78" s="71">
        <f t="shared" si="14"/>
        <v>2.0699999999999998</v>
      </c>
      <c r="M78" s="146" cm="1">
        <f t="array" ref="M78">_xlfn.IFS(Y78="m2",(AB78*(1/(Z78/AM78)))*I78,Y78="m3",(AB78*(1/(Z78/AM78)))*I78,Y78="kg",(AB78*AL78*(1/(1/AM78)))*I78,Y78="N/A","")</f>
        <v>2.0699999999999998</v>
      </c>
      <c r="N78" s="52">
        <f t="shared" si="15"/>
        <v>4.5199999999999997E-2</v>
      </c>
      <c r="O78" s="148" cm="1">
        <f t="array" ref="O78">IF(AC78="N/A","",_xlfn.IFS(Y78="m2",(AC78*(1/(Z78/AM78)))*I78,Y78="m3",(AC78*(1/(Z78/AM78)))*I78,Y78="kg",(AC78*AL78*(1/(1/AM78)))*I78,Y78="N/A",""))</f>
        <v>4.5199999999999997E-2</v>
      </c>
      <c r="P78" s="72" t="str">
        <f t="shared" si="16"/>
        <v>N/A</v>
      </c>
      <c r="Q78" s="150" t="str" cm="1">
        <f t="array" ref="Q78">IF(AE78="N/A","",_xlfn.IFS(Y78="m2",(AE78*(1/(Z78/AM78)))*I78,Y78="m3",(AE78*(1/(Z78/AM78)))*I78,Y78="kg",(AE78*AL78*(1/(1/AM78)))*I78,Y78="N/A",""))</f>
        <v/>
      </c>
      <c r="R78" s="186" t="s">
        <v>5</v>
      </c>
      <c r="S78" s="164" t="s">
        <v>377</v>
      </c>
      <c r="T78" s="47">
        <v>2025</v>
      </c>
      <c r="U78" s="47" t="s">
        <v>14</v>
      </c>
      <c r="V78" s="47">
        <v>60</v>
      </c>
      <c r="X78" s="180" t="s">
        <v>1053</v>
      </c>
      <c r="Y78" s="47" t="s">
        <v>15</v>
      </c>
      <c r="Z78" s="47">
        <v>3.6999999999999998E-2</v>
      </c>
      <c r="AA78" s="52">
        <f t="shared" si="17"/>
        <v>2.1151999999999997</v>
      </c>
      <c r="AB78" s="52">
        <v>2.0699999999999998</v>
      </c>
      <c r="AC78" s="52">
        <f>0+0.0452</f>
        <v>4.5199999999999997E-2</v>
      </c>
      <c r="AD78" s="52">
        <v>0</v>
      </c>
      <c r="AE78" s="52" t="s">
        <v>191</v>
      </c>
      <c r="AG78" s="251"/>
      <c r="AH78" s="75" t="s">
        <v>214</v>
      </c>
      <c r="AI78" s="83" t="s">
        <v>176</v>
      </c>
      <c r="AJ78" s="47"/>
      <c r="AL78" s="47">
        <v>78</v>
      </c>
      <c r="AM78" s="47">
        <v>3.6999999999999998E-2</v>
      </c>
      <c r="AN78" s="47" t="s">
        <v>191</v>
      </c>
      <c r="AP78" s="173" t="s">
        <v>17</v>
      </c>
      <c r="AQ78" s="73"/>
      <c r="AU78" s="67" cm="1">
        <f t="array" ref="AU78">_xlfn.IFS(Y78="m2",(AB78*(1/(Z78/AM78))),Y78="m3",(AB78*(1/(Z78/AM78))),Y78="kg",(AB78*AL78*(1/(Z78/AM78))),Y78="N/A",0)</f>
        <v>2.0699999999999998</v>
      </c>
    </row>
    <row r="79" spans="1:47" ht="25.2" customHeight="1" x14ac:dyDescent="0.15">
      <c r="A79" s="25" t="s">
        <v>1041</v>
      </c>
      <c r="B79" s="47" t="s">
        <v>210</v>
      </c>
      <c r="C79" s="47"/>
      <c r="D79" s="47" t="s">
        <v>209</v>
      </c>
      <c r="E79" s="186" t="s">
        <v>146</v>
      </c>
      <c r="F79" s="47" t="s">
        <v>296</v>
      </c>
      <c r="G79" s="47" t="s">
        <v>370</v>
      </c>
      <c r="I79" s="107">
        <v>1</v>
      </c>
      <c r="J79" s="70">
        <f t="shared" si="13"/>
        <v>2.1518999999999999</v>
      </c>
      <c r="K79" s="143" cm="1">
        <f t="array" ref="K79">IF(AC79="N/A","",_xlfn.IFS(Y79="m2",(AA79*(1/(Z79/AM79)))*I79,Y79="m3",(AA79*(1/(Z79/AM79)))*I79,Y79="kg",(AA79*AL79*(1/(1/AM79)))*I79,Y79="N/A",""))</f>
        <v>2.1518999999999999</v>
      </c>
      <c r="L79" s="71">
        <f t="shared" si="14"/>
        <v>2.11</v>
      </c>
      <c r="M79" s="146" cm="1">
        <f t="array" ref="M79">_xlfn.IFS(Y79="m2",(AB79*(1/(Z79/AM79)))*I79,Y79="m3",(AB79*(1/(Z79/AM79)))*I79,Y79="kg",(AB79*AL79*(1/(1/AM79)))*I79,Y79="N/A","")</f>
        <v>2.11</v>
      </c>
      <c r="N79" s="52">
        <f t="shared" si="15"/>
        <v>4.19E-2</v>
      </c>
      <c r="O79" s="148" cm="1">
        <f t="array" ref="O79">IF(AC79="N/A","",_xlfn.IFS(Y79="m2",(AC79*(1/(Z79/AM79)))*I79,Y79="m3",(AC79*(1/(Z79/AM79)))*I79,Y79="kg",(AC79*AL79*(1/(1/AM79)))*I79,Y79="N/A",""))</f>
        <v>4.19E-2</v>
      </c>
      <c r="P79" s="72">
        <f t="shared" si="16"/>
        <v>-0.156</v>
      </c>
      <c r="Q79" s="150" cm="1">
        <f t="array" ref="Q79">IF(AE79="N/A","",_xlfn.IFS(Y79="m2",(AE79*(1/(Z79/AM79)))*I79,Y79="m3",(AE79*(1/(Z79/AM79)))*I79,Y79="kg",(AE79*AL79*(1/(1/AM79)))*I79,Y79="N/A",""))</f>
        <v>-0.156</v>
      </c>
      <c r="R79" s="186" t="s">
        <v>5</v>
      </c>
      <c r="S79" s="47"/>
      <c r="T79" s="47">
        <v>2028</v>
      </c>
      <c r="U79" s="47" t="s">
        <v>28</v>
      </c>
      <c r="V79" s="47">
        <v>60</v>
      </c>
      <c r="X79" s="180" t="s">
        <v>1044</v>
      </c>
      <c r="Y79" s="47" t="s">
        <v>15</v>
      </c>
      <c r="Z79" s="47">
        <v>0.04</v>
      </c>
      <c r="AA79" s="52">
        <f t="shared" si="17"/>
        <v>2.1518999999999999</v>
      </c>
      <c r="AB79" s="52">
        <f>(2.11)*1</f>
        <v>2.11</v>
      </c>
      <c r="AC79" s="52">
        <f>(0+0.0419)*1</f>
        <v>4.19E-2</v>
      </c>
      <c r="AD79" s="52">
        <f>(-0.0833)*1</f>
        <v>-8.3299999999999999E-2</v>
      </c>
      <c r="AE79" s="52">
        <f>(-0.156)*1</f>
        <v>-0.156</v>
      </c>
      <c r="AG79" s="251"/>
      <c r="AH79" s="122" t="s">
        <v>214</v>
      </c>
      <c r="AI79" s="210" t="s">
        <v>176</v>
      </c>
      <c r="AJ79" s="47"/>
      <c r="AL79" s="47">
        <v>73</v>
      </c>
      <c r="AM79" s="47">
        <v>0.04</v>
      </c>
      <c r="AN79" s="47" t="s">
        <v>191</v>
      </c>
      <c r="AP79" s="173" t="s">
        <v>17</v>
      </c>
      <c r="AQ79" s="73"/>
      <c r="AU79" s="67" cm="1">
        <f t="array" ref="AU79">_xlfn.IFS(Y79="m2",(AB79*(1/(Z79/AM79))),Y79="m3",(AB79*(1/(Z79/AM79))),Y79="kg",(AB79*AL79*(1/(Z79/AM79))),Y79="N/A",0)</f>
        <v>2.11</v>
      </c>
    </row>
    <row r="80" spans="1:47" ht="25.2" customHeight="1" x14ac:dyDescent="0.15">
      <c r="A80" s="25" t="s">
        <v>1060</v>
      </c>
      <c r="B80" s="47" t="s">
        <v>210</v>
      </c>
      <c r="C80" s="47"/>
      <c r="D80" s="47" t="s">
        <v>218</v>
      </c>
      <c r="E80" s="186" t="s">
        <v>146</v>
      </c>
      <c r="F80" s="47" t="s">
        <v>307</v>
      </c>
      <c r="G80" s="47" t="s">
        <v>370</v>
      </c>
      <c r="I80" s="107">
        <v>1</v>
      </c>
      <c r="J80" s="70">
        <f t="shared" si="13"/>
        <v>2.2010000000000001</v>
      </c>
      <c r="K80" s="143" cm="1">
        <f t="array" ref="K80">IF(AC80="N/A","",_xlfn.IFS(Y80="m2",(AA80*(1/(Z80/AM80)))*I80,Y80="m3",(AA80*(1/(Z80/AM80)))*I80,Y80="kg",(AA80*AL80*(1/(1/AM80)))*I80,Y80="N/A",""))</f>
        <v>2.2010000000000001</v>
      </c>
      <c r="L80" s="71">
        <f t="shared" si="14"/>
        <v>2.13</v>
      </c>
      <c r="M80" s="146" cm="1">
        <f t="array" ref="M80">_xlfn.IFS(Y80="m2",(AB80*(1/(Z80/AM80)))*I80,Y80="m3",(AB80*(1/(Z80/AM80)))*I80,Y80="kg",(AB80*AL80*(1/(1/AM80)))*I80,Y80="N/A","")</f>
        <v>2.13</v>
      </c>
      <c r="N80" s="52">
        <f t="shared" si="15"/>
        <v>7.0999999999999994E-2</v>
      </c>
      <c r="O80" s="148" cm="1">
        <f t="array" ref="O80">IF(AC80="N/A","",_xlfn.IFS(Y80="m2",(AC80*(1/(Z80/AM80)))*I80,Y80="m3",(AC80*(1/(Z80/AM80)))*I80,Y80="kg",(AC80*AL80*(1/(1/AM80)))*I80,Y80="N/A",""))</f>
        <v>7.0999999999999994E-2</v>
      </c>
      <c r="P80" s="72" t="str">
        <f t="shared" si="16"/>
        <v>N/A</v>
      </c>
      <c r="Q80" s="150" t="str" cm="1">
        <f t="array" ref="Q80">IF(AE80="N/A","",_xlfn.IFS(Y80="m2",(AE80*(1/(Z80/AM80)))*I80,Y80="m3",(AE80*(1/(Z80/AM80)))*I80,Y80="kg",(AE80*AL80*(1/(1/AM80)))*I80,Y80="N/A",""))</f>
        <v/>
      </c>
      <c r="R80" s="186" t="s">
        <v>5</v>
      </c>
      <c r="S80" s="164" t="s">
        <v>377</v>
      </c>
      <c r="T80" s="47">
        <v>2025</v>
      </c>
      <c r="U80" s="47" t="s">
        <v>14</v>
      </c>
      <c r="V80" s="47">
        <v>60</v>
      </c>
      <c r="X80" s="180" t="s">
        <v>1052</v>
      </c>
      <c r="Y80" s="47" t="s">
        <v>15</v>
      </c>
      <c r="Z80" s="47">
        <v>3.7999999999999999E-2</v>
      </c>
      <c r="AA80" s="52">
        <f t="shared" si="17"/>
        <v>2.2010000000000001</v>
      </c>
      <c r="AB80" s="52">
        <v>2.13</v>
      </c>
      <c r="AC80" s="52">
        <f>0+0.071</f>
        <v>7.0999999999999994E-2</v>
      </c>
      <c r="AD80" s="52">
        <v>0</v>
      </c>
      <c r="AE80" s="52" t="s">
        <v>191</v>
      </c>
      <c r="AG80" s="251"/>
      <c r="AH80" s="75" t="s">
        <v>214</v>
      </c>
      <c r="AI80" s="83" t="s">
        <v>176</v>
      </c>
      <c r="AJ80" s="47"/>
      <c r="AL80" s="47">
        <v>78</v>
      </c>
      <c r="AM80" s="47">
        <v>3.7999999999999999E-2</v>
      </c>
      <c r="AN80" s="47" t="s">
        <v>191</v>
      </c>
      <c r="AP80" s="173" t="s">
        <v>17</v>
      </c>
      <c r="AQ80" s="73"/>
      <c r="AU80" s="67" cm="1">
        <f t="array" ref="AU80">_xlfn.IFS(Y80="m2",(AB80*(1/(Z80/AM80))),Y80="m3",(AB80*(1/(Z80/AM80))),Y80="kg",(AB80*AL80*(1/(Z80/AM80))),Y80="N/A",0)</f>
        <v>2.13</v>
      </c>
    </row>
    <row r="81" spans="1:47" ht="25.2" customHeight="1" x14ac:dyDescent="0.15">
      <c r="A81" s="25" t="s">
        <v>261</v>
      </c>
      <c r="B81" s="47" t="s">
        <v>208</v>
      </c>
      <c r="C81" s="47"/>
      <c r="D81" s="47" t="s">
        <v>260</v>
      </c>
      <c r="E81" s="88" t="s">
        <v>262</v>
      </c>
      <c r="F81" s="47" t="s">
        <v>132</v>
      </c>
      <c r="G81" s="47" t="s">
        <v>376</v>
      </c>
      <c r="I81" s="111">
        <v>1</v>
      </c>
      <c r="J81" s="70">
        <f t="shared" si="13"/>
        <v>0.8691479999999997</v>
      </c>
      <c r="K81" s="143" cm="1">
        <f t="array" ref="K81">IF(AC81="N/A","",_xlfn.IFS(Y81="m2",(AA81*(1/(Z81/AM81)))*I81,Y81="m3",(AA81*(1/(Z81/AM81)))*I81,Y81="kg",(AA81*AL81*(1/(1/AM81)))*I81,Y81="N/A",""))</f>
        <v>0.8691479999999997</v>
      </c>
      <c r="L81" s="71">
        <f t="shared" si="14"/>
        <v>-2.1998879999999996</v>
      </c>
      <c r="M81" s="146" cm="1">
        <f t="array" ref="M81">_xlfn.IFS(Y81="m2",(AB81*(1/(Z81/AM81)))*I81,Y81="m3",(AB81*(1/(Z81/AM81)))*I81,Y81="kg",(AB81*AL81*(1/(1/AM81)))*I81,Y81="N/A","")</f>
        <v>-2.1998879999999996</v>
      </c>
      <c r="N81" s="52">
        <f t="shared" si="15"/>
        <v>3.0690359999999992</v>
      </c>
      <c r="O81" s="148" cm="1">
        <f t="array" ref="O81">IF(AC81="N/A","",_xlfn.IFS(Y81="m2",(AC81*(1/(Z81/AM81)))*I81,Y81="m3",(AC81*(1/(Z81/AM81)))*I81,Y81="kg",(AC81*AL81*(1/(1/AM81)))*I81,Y81="N/A",""))</f>
        <v>3.0690359999999992</v>
      </c>
      <c r="P81" s="72" t="str">
        <f t="shared" si="16"/>
        <v>N/A</v>
      </c>
      <c r="Q81" s="150" t="str" cm="1">
        <f t="array" ref="Q81">IF(AE81="N/A","",_xlfn.IFS(Y81="m2",(AE81*(1/(Z81/AM81)))*I81,Y81="m3",(AE81*(1/(Z81/AM81)))*I81,Y81="kg",(AE81*AL81*(1/(1/AM81)))*I81,Y81="N/A",""))</f>
        <v/>
      </c>
      <c r="R81" s="88" t="s">
        <v>5</v>
      </c>
      <c r="S81" s="164"/>
      <c r="T81" s="47">
        <v>2025</v>
      </c>
      <c r="U81" s="47" t="s">
        <v>14</v>
      </c>
      <c r="V81" s="47" t="s">
        <v>191</v>
      </c>
      <c r="X81" s="180" t="s">
        <v>557</v>
      </c>
      <c r="Y81" s="47" t="s">
        <v>20</v>
      </c>
      <c r="Z81" s="47">
        <v>1</v>
      </c>
      <c r="AA81" s="52">
        <f t="shared" si="17"/>
        <v>24.142999999999994</v>
      </c>
      <c r="AB81" s="52">
        <f>-79+0.792+17.1</f>
        <v>-61.107999999999997</v>
      </c>
      <c r="AC81" s="52">
        <f>0.151+85.1</f>
        <v>85.250999999999991</v>
      </c>
      <c r="AD81" s="52">
        <f>-32.7</f>
        <v>-32.700000000000003</v>
      </c>
      <c r="AE81" s="52" t="s">
        <v>191</v>
      </c>
      <c r="AG81" s="74" t="str">
        <f t="shared" ref="AG81:AG86" si="18">AH81&amp;" "&amp;AI81</f>
        <v xml:space="preserve">E </v>
      </c>
      <c r="AH81" s="75" t="s">
        <v>16</v>
      </c>
      <c r="AI81" s="76"/>
      <c r="AJ81" s="103"/>
      <c r="AL81" s="47">
        <v>51.7</v>
      </c>
      <c r="AM81" s="47">
        <v>3.5999999999999997E-2</v>
      </c>
      <c r="AN81" s="47">
        <v>2100</v>
      </c>
      <c r="AP81" s="255" t="s">
        <v>17</v>
      </c>
      <c r="AQ81" s="256"/>
      <c r="AU81" s="67" cm="1">
        <f t="array" ref="AU81">_xlfn.IFS(Y81="m2",(AB81*(1/(Z81/AM81))),Y81="m3",(AB81*(1/(Z81/AM81))),Y81="kg",(AB81*AL81*(1/(Z81/AM81))),Y81="N/A",0)</f>
        <v>-2.1998879999999996</v>
      </c>
    </row>
    <row r="82" spans="1:47" ht="25.2" customHeight="1" x14ac:dyDescent="0.15">
      <c r="A82" s="25" t="s">
        <v>983</v>
      </c>
      <c r="B82" s="47" t="s">
        <v>208</v>
      </c>
      <c r="C82" s="47"/>
      <c r="D82" s="47" t="s">
        <v>260</v>
      </c>
      <c r="E82" s="82" t="s">
        <v>142</v>
      </c>
      <c r="F82" s="47" t="s">
        <v>95</v>
      </c>
      <c r="G82" s="47" t="s">
        <v>292</v>
      </c>
      <c r="H82" s="17"/>
      <c r="I82" s="113">
        <v>1</v>
      </c>
      <c r="J82" s="70" t="str">
        <f t="shared" si="13"/>
        <v>N/A</v>
      </c>
      <c r="K82" s="143" t="str" cm="1">
        <f t="array" ref="K82">IF(AC82="N/A","",_xlfn.IFS(Y82="m2",(AA82*(1/(Z82/AM82)))*I82,Y82="m3",(AA82*(1/(Z82/AM82)))*I82,Y82="kg",(AA82*AL82*(1/(1/AM82)))*I82,Y82="N/A",""))</f>
        <v/>
      </c>
      <c r="L82" s="71" t="str">
        <f t="shared" si="14"/>
        <v>N/A</v>
      </c>
      <c r="M82" s="146" t="str" cm="1">
        <f t="array" ref="M82">_xlfn.IFS(Y82="m2",(AB82*(1/(Z82/AM82)))*I82,Y82="m3",(AB82*(1/(Z82/AM82)))*I82,Y82="kg",(AB82*AL82*(1/(1/AM82)))*I82,Y82="N/A","")</f>
        <v/>
      </c>
      <c r="N82" s="52" t="str">
        <f t="shared" si="15"/>
        <v>N/A</v>
      </c>
      <c r="O82" s="148" t="str" cm="1">
        <f t="array" ref="O82">IF(AC82="N/A","",_xlfn.IFS(Y82="m2",(AC82*(1/(Z82/AM82)))*I82,Y82="m3",(AC82*(1/(Z82/AM82)))*I82,Y82="kg",(AC82*AL82*(1/(1/AM82)))*I82,Y82="N/A",""))</f>
        <v/>
      </c>
      <c r="P82" s="72" t="str">
        <f t="shared" si="16"/>
        <v>N/A</v>
      </c>
      <c r="Q82" s="150" t="str" cm="1">
        <f t="array" ref="Q82">IF(AE82="N/A","",_xlfn.IFS(Y82="m2",(AE82*(1/(Z82/AM82)))*I82,Y82="m3",(AE82*(1/(Z82/AM82)))*I82,Y82="kg",(AE82*AL82*(1/(1/AM82)))*I82,Y82="N/A",""))</f>
        <v/>
      </c>
      <c r="R82" s="47" t="s">
        <v>191</v>
      </c>
      <c r="S82" s="47"/>
      <c r="T82" s="47" t="s">
        <v>191</v>
      </c>
      <c r="U82" s="86" t="s">
        <v>191</v>
      </c>
      <c r="V82" s="86" t="s">
        <v>191</v>
      </c>
      <c r="X82" s="180" t="s">
        <v>191</v>
      </c>
      <c r="Y82" s="47" t="s">
        <v>191</v>
      </c>
      <c r="Z82" s="47" t="s">
        <v>191</v>
      </c>
      <c r="AA82" s="52" t="str">
        <f t="shared" si="17"/>
        <v>N/A</v>
      </c>
      <c r="AB82" s="52" t="s">
        <v>191</v>
      </c>
      <c r="AC82" s="52" t="s">
        <v>191</v>
      </c>
      <c r="AD82" s="52" t="s">
        <v>191</v>
      </c>
      <c r="AE82" s="52" t="s">
        <v>191</v>
      </c>
      <c r="AG82" s="74" t="str">
        <f t="shared" si="18"/>
        <v>B s2
d0</v>
      </c>
      <c r="AH82" s="75" t="s">
        <v>178</v>
      </c>
      <c r="AI82" s="83" t="s">
        <v>177</v>
      </c>
      <c r="AJ82" s="84"/>
      <c r="AL82" s="47">
        <f>60</f>
        <v>60</v>
      </c>
      <c r="AM82" s="47">
        <v>3.7999999999999999E-2</v>
      </c>
      <c r="AN82" s="86">
        <v>2100</v>
      </c>
      <c r="AP82" s="80" t="s">
        <v>17</v>
      </c>
      <c r="AQ82" s="106" t="s">
        <v>17</v>
      </c>
      <c r="AU82" s="26"/>
    </row>
    <row r="83" spans="1:47" ht="25.2" customHeight="1" x14ac:dyDescent="0.15">
      <c r="A83" s="25" t="s">
        <v>978</v>
      </c>
      <c r="B83" s="47" t="s">
        <v>208</v>
      </c>
      <c r="C83" s="47"/>
      <c r="D83" s="47" t="s">
        <v>260</v>
      </c>
      <c r="E83" s="82" t="s">
        <v>142</v>
      </c>
      <c r="F83" s="47" t="s">
        <v>95</v>
      </c>
      <c r="G83" s="47" t="s">
        <v>292</v>
      </c>
      <c r="H83" s="17"/>
      <c r="I83" s="113">
        <v>1</v>
      </c>
      <c r="J83" s="70" t="str">
        <f t="shared" si="13"/>
        <v>N/A</v>
      </c>
      <c r="K83" s="143" t="str" cm="1">
        <f t="array" ref="K83">IF(AC83="N/A","",_xlfn.IFS(Y83="m2",(AA83*(1/(Z83/AM83)))*I83,Y83="m3",(AA83*(1/(Z83/AM83)))*I83,Y83="kg",(AA83*AL83*(1/(1/AM83)))*I83,Y83="N/A",""))</f>
        <v/>
      </c>
      <c r="L83" s="71" t="str">
        <f t="shared" si="14"/>
        <v>N/A</v>
      </c>
      <c r="M83" s="146" t="str" cm="1">
        <f t="array" ref="M83">_xlfn.IFS(Y83="m2",(AB83*(1/(Z83/AM83)))*I83,Y83="m3",(AB83*(1/(Z83/AM83)))*I83,Y83="kg",(AB83*AL83*(1/(1/AM83)))*I83,Y83="N/A","")</f>
        <v/>
      </c>
      <c r="N83" s="52" t="str">
        <f t="shared" si="15"/>
        <v>N/A</v>
      </c>
      <c r="O83" s="148" t="str" cm="1">
        <f t="array" ref="O83">IF(AC83="N/A","",_xlfn.IFS(Y83="m2",(AC83*(1/(Z83/AM83)))*I83,Y83="m3",(AC83*(1/(Z83/AM83)))*I83,Y83="kg",(AC83*AL83*(1/(1/AM83)))*I83,Y83="N/A",""))</f>
        <v/>
      </c>
      <c r="P83" s="72" t="str">
        <f t="shared" si="16"/>
        <v>N/A</v>
      </c>
      <c r="Q83" s="150" t="str" cm="1">
        <f t="array" ref="Q83">IF(AE83="N/A","",_xlfn.IFS(Y83="m2",(AE83*(1/(Z83/AM83)))*I83,Y83="m3",(AE83*(1/(Z83/AM83)))*I83,Y83="kg",(AE83*AL83*(1/(1/AM83)))*I83,Y83="N/A",""))</f>
        <v/>
      </c>
      <c r="R83" s="47" t="s">
        <v>191</v>
      </c>
      <c r="S83" s="47"/>
      <c r="T83" s="47" t="s">
        <v>191</v>
      </c>
      <c r="U83" s="86" t="s">
        <v>191</v>
      </c>
      <c r="V83" s="86" t="s">
        <v>191</v>
      </c>
      <c r="X83" s="180" t="s">
        <v>191</v>
      </c>
      <c r="Y83" s="47" t="s">
        <v>191</v>
      </c>
      <c r="Z83" s="47" t="s">
        <v>191</v>
      </c>
      <c r="AA83" s="52" t="str">
        <f t="shared" si="17"/>
        <v>N/A</v>
      </c>
      <c r="AB83" s="52" t="s">
        <v>191</v>
      </c>
      <c r="AC83" s="52" t="s">
        <v>191</v>
      </c>
      <c r="AD83" s="52" t="s">
        <v>191</v>
      </c>
      <c r="AE83" s="52" t="s">
        <v>191</v>
      </c>
      <c r="AG83" s="74" t="str">
        <f t="shared" si="18"/>
        <v>B s2
d0</v>
      </c>
      <c r="AH83" s="75" t="s">
        <v>178</v>
      </c>
      <c r="AI83" s="83" t="s">
        <v>177</v>
      </c>
      <c r="AJ83" s="84"/>
      <c r="AL83" s="47">
        <f>27</f>
        <v>27</v>
      </c>
      <c r="AM83" s="47">
        <v>3.7999999999999999E-2</v>
      </c>
      <c r="AN83" s="86">
        <v>2100</v>
      </c>
      <c r="AP83" s="80" t="s">
        <v>17</v>
      </c>
      <c r="AQ83" s="106" t="s">
        <v>17</v>
      </c>
      <c r="AU83" s="26"/>
    </row>
    <row r="84" spans="1:47" ht="25.2" customHeight="1" x14ac:dyDescent="0.15">
      <c r="A84" s="25" t="s">
        <v>272</v>
      </c>
      <c r="B84" s="47" t="s">
        <v>210</v>
      </c>
      <c r="C84" s="47"/>
      <c r="D84" s="47" t="s">
        <v>256</v>
      </c>
      <c r="E84" s="88" t="s">
        <v>146</v>
      </c>
      <c r="F84" s="47" t="s">
        <v>259</v>
      </c>
      <c r="G84" s="69" t="s">
        <v>370</v>
      </c>
      <c r="I84" s="111">
        <v>1</v>
      </c>
      <c r="J84" s="70">
        <f t="shared" si="13"/>
        <v>2.7610353000000001</v>
      </c>
      <c r="K84" s="143" cm="1">
        <f t="array" ref="K84">IF(AC84="N/A","",_xlfn.IFS(Y84="m2",(AA84*(1/(Z84/AM84)))*I84,Y84="m3",(AA84*(1/(Z84/AM84)))*I84,Y84="kg",(AA84*AL84*(1/(1/AM84)))*I84,Y84="N/A",""))</f>
        <v>2.7610353000000001</v>
      </c>
      <c r="L84" s="71">
        <f t="shared" si="14"/>
        <v>0.95099999999999996</v>
      </c>
      <c r="M84" s="146" cm="1">
        <f t="array" ref="M84">_xlfn.IFS(Y84="m2",(AB84*(1/(Z84/AM84)))*I84,Y84="m3",(AB84*(1/(Z84/AM84)))*I84,Y84="kg",(AB84*AL84*(1/(1/AM84)))*I84,Y84="N/A","")</f>
        <v>0.95099999999999996</v>
      </c>
      <c r="N84" s="52">
        <f t="shared" si="15"/>
        <v>1.8100353</v>
      </c>
      <c r="O84" s="148" cm="1">
        <f t="array" ref="O84">IF(AC84="N/A","",_xlfn.IFS(Y84="m2",(AC84*(1/(Z84/AM84)))*I84,Y84="m3",(AC84*(1/(Z84/AM84)))*I84,Y84="kg",(AC84*AL84*(1/(1/AM84)))*I84,Y84="N/A",""))</f>
        <v>1.8100353</v>
      </c>
      <c r="P84" s="72" t="str">
        <f t="shared" si="16"/>
        <v>N/A</v>
      </c>
      <c r="Q84" s="150" t="str" cm="1">
        <f t="array" ref="Q84">IF(AE84="N/A","",_xlfn.IFS(Y84="m2",(AE84*(1/(Z84/AM84)))*I84,Y84="m3",(AE84*(1/(Z84/AM84)))*I84,Y84="kg",(AE84*AL84*(1/(1/AM84)))*I84,Y84="N/A",""))</f>
        <v/>
      </c>
      <c r="R84" s="88" t="s">
        <v>5</v>
      </c>
      <c r="S84" s="164"/>
      <c r="T84" s="47">
        <v>2026</v>
      </c>
      <c r="U84" s="47" t="s">
        <v>14</v>
      </c>
      <c r="V84" s="47" t="s">
        <v>191</v>
      </c>
      <c r="X84" s="180" t="s">
        <v>565</v>
      </c>
      <c r="Y84" s="47" t="s">
        <v>15</v>
      </c>
      <c r="Z84" s="47">
        <v>3.7999999999999999E-2</v>
      </c>
      <c r="AA84" s="52">
        <f t="shared" si="17"/>
        <v>2.7610353000000001</v>
      </c>
      <c r="AB84" s="52">
        <v>0.95099999999999996</v>
      </c>
      <c r="AC84" s="52">
        <f>1.81+0.0000353</f>
        <v>1.8100353</v>
      </c>
      <c r="AD84" s="52">
        <v>-0.13400000000000001</v>
      </c>
      <c r="AE84" s="47" t="s">
        <v>191</v>
      </c>
      <c r="AG84" s="74" t="str">
        <f t="shared" si="18"/>
        <v xml:space="preserve">F </v>
      </c>
      <c r="AH84" s="75" t="s">
        <v>82</v>
      </c>
      <c r="AI84" s="76"/>
      <c r="AJ84" s="103"/>
      <c r="AL84" s="47" t="s">
        <v>191</v>
      </c>
      <c r="AM84" s="47">
        <v>3.7999999999999999E-2</v>
      </c>
      <c r="AN84" s="47" t="s">
        <v>191</v>
      </c>
      <c r="AP84" s="105" t="s">
        <v>17</v>
      </c>
      <c r="AQ84" s="73"/>
      <c r="AU84" s="67" cm="1">
        <f t="array" ref="AU84">_xlfn.IFS(Y84="m2",(AB84*(1/(Z84/AM84))),Y84="m3",(AB84*(1/(Z84/AM84))),Y84="kg",(AB84*AL84*(1/(Z84/AM84))),Y84="N/A",0)</f>
        <v>0.95099999999999996</v>
      </c>
    </row>
    <row r="85" spans="1:47" ht="25.2" customHeight="1" x14ac:dyDescent="0.15">
      <c r="A85" s="25" t="s">
        <v>979</v>
      </c>
      <c r="B85" s="47" t="s">
        <v>208</v>
      </c>
      <c r="C85" s="47"/>
      <c r="D85" s="47" t="s">
        <v>260</v>
      </c>
      <c r="E85" s="82" t="s">
        <v>142</v>
      </c>
      <c r="F85" s="47" t="s">
        <v>132</v>
      </c>
      <c r="G85" s="47" t="s">
        <v>292</v>
      </c>
      <c r="I85" s="111">
        <v>1</v>
      </c>
      <c r="J85" s="70">
        <f t="shared" si="13"/>
        <v>18.963899999999999</v>
      </c>
      <c r="K85" s="143" cm="1">
        <f t="array" ref="K85">IF(AC85="N/A","",_xlfn.IFS(Y85="m2",(AA85*(1/(Z85/AM85)))*I85,Y85="m3",(AA85*(1/(Z85/AM85)))*I85,Y85="kg",(AA85*AL85*(1/(1/AM85)))*I85,Y85="N/A",""))</f>
        <v>18.963899999999999</v>
      </c>
      <c r="L85" s="71">
        <f t="shared" si="14"/>
        <v>16.467299999999998</v>
      </c>
      <c r="M85" s="146" cm="1">
        <f t="array" ref="M85">_xlfn.IFS(Y85="m2",(AB85*(1/(Z85/AM85)))*I85,Y85="m3",(AB85*(1/(Z85/AM85)))*I85,Y85="kg",(AB85*AL85*(1/(1/AM85)))*I85,Y85="N/A","")</f>
        <v>16.467299999999998</v>
      </c>
      <c r="N85" s="52">
        <f t="shared" si="15"/>
        <v>2.4965999999999999</v>
      </c>
      <c r="O85" s="148" cm="1">
        <f t="array" ref="O85">IF(AC85="N/A","",_xlfn.IFS(Y85="m2",(AC85*(1/(Z85/AM85)))*I85,Y85="m3",(AC85*(1/(Z85/AM85)))*I85,Y85="kg",(AC85*AL85*(1/(1/AM85)))*I85,Y85="N/A",""))</f>
        <v>2.4965999999999999</v>
      </c>
      <c r="P85" s="72" t="str">
        <f t="shared" si="16"/>
        <v>N/A</v>
      </c>
      <c r="Q85" s="150" t="str" cm="1">
        <f t="array" ref="Q85">IF(AE85="N/A","",_xlfn.IFS(Y85="m2",(AE85*(1/(Z85/AM85)))*I85,Y85="m3",(AE85*(1/(Z85/AM85)))*I85,Y85="kg",(AE85*AL85*(1/(1/AM85)))*I85,Y85="N/A",""))</f>
        <v/>
      </c>
      <c r="R85" s="88" t="s">
        <v>5</v>
      </c>
      <c r="S85" s="164"/>
      <c r="T85" s="47">
        <v>2025</v>
      </c>
      <c r="U85" s="47" t="s">
        <v>14</v>
      </c>
      <c r="V85" s="86" t="s">
        <v>191</v>
      </c>
      <c r="X85" s="180" t="s">
        <v>530</v>
      </c>
      <c r="Y85" s="47" t="s">
        <v>61</v>
      </c>
      <c r="Z85" s="47" t="s">
        <v>191</v>
      </c>
      <c r="AA85" s="52">
        <f t="shared" si="17"/>
        <v>11.09</v>
      </c>
      <c r="AB85" s="52">
        <f>-1.36+1.54+9.45</f>
        <v>9.629999999999999</v>
      </c>
      <c r="AC85" s="52">
        <f>1.46+0</f>
        <v>1.46</v>
      </c>
      <c r="AD85" s="52">
        <v>-6.55</v>
      </c>
      <c r="AE85" s="52" t="s">
        <v>191</v>
      </c>
      <c r="AG85" s="74" t="str">
        <f t="shared" si="18"/>
        <v>B s2
d0</v>
      </c>
      <c r="AH85" s="75" t="s">
        <v>178</v>
      </c>
      <c r="AI85" s="83" t="s">
        <v>177</v>
      </c>
      <c r="AJ85" s="84"/>
      <c r="AL85" s="47">
        <f>45</f>
        <v>45</v>
      </c>
      <c r="AM85" s="47">
        <v>3.7999999999999999E-2</v>
      </c>
      <c r="AN85" s="86">
        <v>2100</v>
      </c>
      <c r="AP85" s="80" t="s">
        <v>17</v>
      </c>
      <c r="AQ85" s="106" t="s">
        <v>17</v>
      </c>
      <c r="AU85" s="67" t="e" cm="1">
        <f t="array" ref="AU85">_xlfn.IFS(Y85="m2",(AB85*(1/(Z85/AM85))),Y85="m3",(AB85*(1/(Z85/AM85))),Y85="kg",(AB85*AL85*(1/(Z85/AM85))),Y85="N/A",0)</f>
        <v>#VALUE!</v>
      </c>
    </row>
    <row r="86" spans="1:47" ht="25.2" customHeight="1" x14ac:dyDescent="0.15">
      <c r="A86" s="25" t="s">
        <v>980</v>
      </c>
      <c r="B86" s="47" t="s">
        <v>208</v>
      </c>
      <c r="C86" s="47"/>
      <c r="D86" s="47" t="s">
        <v>260</v>
      </c>
      <c r="E86" s="82" t="s">
        <v>142</v>
      </c>
      <c r="F86" s="47" t="s">
        <v>132</v>
      </c>
      <c r="G86" s="47" t="s">
        <v>292</v>
      </c>
      <c r="I86" s="111">
        <v>1</v>
      </c>
      <c r="J86" s="70">
        <f t="shared" si="13"/>
        <v>13.485439999999999</v>
      </c>
      <c r="K86" s="143" cm="1">
        <f t="array" ref="K86">IF(AC86="N/A","",_xlfn.IFS(Y86="m2",(AA86*(1/(Z86/AM86)))*I86,Y86="m3",(AA86*(1/(Z86/AM86)))*I86,Y86="kg",(AA86*AL86*(1/(1/AM86)))*I86,Y86="N/A",""))</f>
        <v>13.485439999999999</v>
      </c>
      <c r="L86" s="71">
        <f t="shared" si="14"/>
        <v>11.710079999999998</v>
      </c>
      <c r="M86" s="146" cm="1">
        <f t="array" ref="M86">_xlfn.IFS(Y86="m2",(AB86*(1/(Z86/AM86)))*I86,Y86="m3",(AB86*(1/(Z86/AM86)))*I86,Y86="kg",(AB86*AL86*(1/(1/AM86)))*I86,Y86="N/A","")</f>
        <v>11.710079999999998</v>
      </c>
      <c r="N86" s="52">
        <f t="shared" si="15"/>
        <v>1.7753599999999998</v>
      </c>
      <c r="O86" s="148" cm="1">
        <f t="array" ref="O86">IF(AC86="N/A","",_xlfn.IFS(Y86="m2",(AC86*(1/(Z86/AM86)))*I86,Y86="m3",(AC86*(1/(Z86/AM86)))*I86,Y86="kg",(AC86*AL86*(1/(1/AM86)))*I86,Y86="N/A",""))</f>
        <v>1.7753599999999998</v>
      </c>
      <c r="P86" s="72" t="str">
        <f t="shared" si="16"/>
        <v>N/A</v>
      </c>
      <c r="Q86" s="150" t="str" cm="1">
        <f t="array" ref="Q86">IF(AE86="N/A","",_xlfn.IFS(Y86="m2",(AE86*(1/(Z86/AM86)))*I86,Y86="m3",(AE86*(1/(Z86/AM86)))*I86,Y86="kg",(AE86*AL86*(1/(1/AM86)))*I86,Y86="N/A",""))</f>
        <v/>
      </c>
      <c r="R86" s="88" t="s">
        <v>5</v>
      </c>
      <c r="S86" s="164"/>
      <c r="T86" s="47">
        <v>2025</v>
      </c>
      <c r="U86" s="47" t="s">
        <v>14</v>
      </c>
      <c r="V86" s="86" t="s">
        <v>191</v>
      </c>
      <c r="X86" s="180" t="s">
        <v>530</v>
      </c>
      <c r="Y86" s="47" t="s">
        <v>61</v>
      </c>
      <c r="Z86" s="47" t="s">
        <v>191</v>
      </c>
      <c r="AA86" s="52">
        <f t="shared" si="17"/>
        <v>11.09</v>
      </c>
      <c r="AB86" s="52">
        <f>-1.36+1.54+9.45</f>
        <v>9.629999999999999</v>
      </c>
      <c r="AC86" s="52">
        <f>1.46+0</f>
        <v>1.46</v>
      </c>
      <c r="AD86" s="52">
        <v>-6.55</v>
      </c>
      <c r="AE86" s="52" t="s">
        <v>191</v>
      </c>
      <c r="AG86" s="74" t="str">
        <f t="shared" si="18"/>
        <v>B s2
d0</v>
      </c>
      <c r="AH86" s="75" t="s">
        <v>178</v>
      </c>
      <c r="AI86" s="83" t="s">
        <v>177</v>
      </c>
      <c r="AJ86" s="84"/>
      <c r="AL86" s="47">
        <f>32</f>
        <v>32</v>
      </c>
      <c r="AM86" s="47">
        <v>3.7999999999999999E-2</v>
      </c>
      <c r="AN86" s="86">
        <v>2100</v>
      </c>
      <c r="AP86" s="80" t="s">
        <v>17</v>
      </c>
      <c r="AQ86" s="106" t="s">
        <v>17</v>
      </c>
      <c r="AU86" s="67" t="e" cm="1">
        <f t="array" ref="AU86">_xlfn.IFS(Y86="m2",(AB86*(1/(Z86/AM86))),Y86="m3",(AB86*(1/(Z86/AM86))),Y86="kg",(AB86*AL86*(1/(Z86/AM86))),Y86="N/A",0)</f>
        <v>#VALUE!</v>
      </c>
    </row>
    <row r="87" spans="1:47" ht="25.2" customHeight="1" x14ac:dyDescent="0.15">
      <c r="A87" s="25" t="s">
        <v>1005</v>
      </c>
      <c r="B87" s="47" t="s">
        <v>210</v>
      </c>
      <c r="C87" s="47"/>
      <c r="D87" s="47" t="s">
        <v>209</v>
      </c>
      <c r="E87" s="186" t="s">
        <v>146</v>
      </c>
      <c r="F87" s="47" t="s">
        <v>296</v>
      </c>
      <c r="G87" s="47" t="s">
        <v>370</v>
      </c>
      <c r="I87" s="107">
        <v>1</v>
      </c>
      <c r="J87" s="70">
        <f t="shared" si="13"/>
        <v>2.2615560000000001</v>
      </c>
      <c r="K87" s="143" cm="1">
        <f t="array" ref="K87">IF(AC87="N/A","",_xlfn.IFS(Y87="m2",(AA87*(1/(Z87/AM87)))*I87,Y87="m3",(AA87*(1/(Z87/AM87)))*I87,Y87="kg",(AA87*AL87*(1/(1/AM87)))*I87,Y87="N/A",""))</f>
        <v>2.2615560000000001</v>
      </c>
      <c r="L87" s="71">
        <f t="shared" si="14"/>
        <v>2.2176</v>
      </c>
      <c r="M87" s="146" cm="1">
        <f t="array" ref="M87">_xlfn.IFS(Y87="m2",(AB87*(1/(Z87/AM87)))*I87,Y87="m3",(AB87*(1/(Z87/AM87)))*I87,Y87="kg",(AB87*AL87*(1/(1/AM87)))*I87,Y87="N/A","")</f>
        <v>2.2176</v>
      </c>
      <c r="N87" s="52">
        <f t="shared" si="15"/>
        <v>4.3956000000000009E-2</v>
      </c>
      <c r="O87" s="148" cm="1">
        <f t="array" ref="O87">IF(AC87="N/A","",_xlfn.IFS(Y87="m2",(AC87*(1/(Z87/AM87)))*I87,Y87="m3",(AC87*(1/(Z87/AM87)))*I87,Y87="kg",(AC87*AL87*(1/(1/AM87)))*I87,Y87="N/A",""))</f>
        <v>4.3956000000000009E-2</v>
      </c>
      <c r="P87" s="72">
        <f t="shared" si="16"/>
        <v>-0.16500000000000001</v>
      </c>
      <c r="Q87" s="150" cm="1">
        <f t="array" ref="Q87">IF(AE87="N/A","",_xlfn.IFS(Y87="m2",(AE87*(1/(Z87/AM87)))*I87,Y87="m3",(AE87*(1/(Z87/AM87)))*I87,Y87="kg",(AE87*AL87*(1/(1/AM87)))*I87,Y87="N/A",""))</f>
        <v>-0.16500000000000001</v>
      </c>
      <c r="R87" s="186" t="s">
        <v>5</v>
      </c>
      <c r="S87" s="47"/>
      <c r="T87" s="47">
        <v>2028</v>
      </c>
      <c r="U87" s="47" t="s">
        <v>28</v>
      </c>
      <c r="V87" s="47">
        <v>60</v>
      </c>
      <c r="X87" s="254" t="s">
        <v>1045</v>
      </c>
      <c r="Y87" s="47" t="s">
        <v>15</v>
      </c>
      <c r="Z87" s="47">
        <v>3.5000000000000003E-2</v>
      </c>
      <c r="AA87" s="52">
        <f t="shared" si="17"/>
        <v>2.2615560000000001</v>
      </c>
      <c r="AB87" s="52">
        <f>(1.68)*1.32</f>
        <v>2.2176</v>
      </c>
      <c r="AC87" s="52">
        <f>(0+0.0333)*1.32</f>
        <v>4.3956000000000009E-2</v>
      </c>
      <c r="AD87" s="52">
        <f>(-0.0663)*1.32</f>
        <v>-8.7515999999999997E-2</v>
      </c>
      <c r="AE87" s="52">
        <f>(-0.125)*1.32</f>
        <v>-0.16500000000000001</v>
      </c>
      <c r="AG87" s="251"/>
      <c r="AH87" s="122" t="s">
        <v>214</v>
      </c>
      <c r="AI87" s="210" t="s">
        <v>176</v>
      </c>
      <c r="AJ87" s="47"/>
      <c r="AL87" s="47">
        <v>88</v>
      </c>
      <c r="AM87" s="47">
        <v>3.5000000000000003E-2</v>
      </c>
      <c r="AN87" s="47" t="s">
        <v>191</v>
      </c>
      <c r="AP87" s="69"/>
      <c r="AQ87" s="73"/>
      <c r="AU87" s="67" cm="1">
        <f t="array" ref="AU87">_xlfn.IFS(Y87="m2",(AB87*(1/(Z87/AM87))),Y87="m3",(AB87*(1/(Z87/AM87))),Y87="kg",(AB87*AL87*(1/(Z87/AM87))),Y87="N/A",0)</f>
        <v>2.2176</v>
      </c>
    </row>
    <row r="88" spans="1:47" ht="25.2" customHeight="1" x14ac:dyDescent="0.15">
      <c r="A88" s="25" t="s">
        <v>1027</v>
      </c>
      <c r="B88" s="47" t="s">
        <v>210</v>
      </c>
      <c r="C88" s="47"/>
      <c r="D88" s="47" t="s">
        <v>209</v>
      </c>
      <c r="E88" s="186" t="s">
        <v>146</v>
      </c>
      <c r="F88" s="47" t="s">
        <v>296</v>
      </c>
      <c r="G88" s="47" t="s">
        <v>370</v>
      </c>
      <c r="I88" s="107">
        <v>1</v>
      </c>
      <c r="J88" s="70">
        <f t="shared" si="13"/>
        <v>2.2615560000000001</v>
      </c>
      <c r="K88" s="143" cm="1">
        <f t="array" ref="K88">IF(AC88="N/A","",_xlfn.IFS(Y88="m2",(AA88*(1/(Z88/AM88)))*I88,Y88="m3",(AA88*(1/(Z88/AM88)))*I88,Y88="kg",(AA88*AL88*(1/(1/AM88)))*I88,Y88="N/A",""))</f>
        <v>2.2615560000000001</v>
      </c>
      <c r="L88" s="71">
        <f t="shared" si="14"/>
        <v>2.2176</v>
      </c>
      <c r="M88" s="146" cm="1">
        <f t="array" ref="M88">_xlfn.IFS(Y88="m2",(AB88*(1/(Z88/AM88)))*I88,Y88="m3",(AB88*(1/(Z88/AM88)))*I88,Y88="kg",(AB88*AL88*(1/(1/AM88)))*I88,Y88="N/A","")</f>
        <v>2.2176</v>
      </c>
      <c r="N88" s="52">
        <f t="shared" si="15"/>
        <v>4.3956000000000009E-2</v>
      </c>
      <c r="O88" s="148" cm="1">
        <f t="array" ref="O88">IF(AC88="N/A","",_xlfn.IFS(Y88="m2",(AC88*(1/(Z88/AM88)))*I88,Y88="m3",(AC88*(1/(Z88/AM88)))*I88,Y88="kg",(AC88*AL88*(1/(1/AM88)))*I88,Y88="N/A",""))</f>
        <v>4.3956000000000009E-2</v>
      </c>
      <c r="P88" s="72">
        <f t="shared" si="16"/>
        <v>-0.16500000000000001</v>
      </c>
      <c r="Q88" s="150" cm="1">
        <f t="array" ref="Q88">IF(AE88="N/A","",_xlfn.IFS(Y88="m2",(AE88*(1/(Z88/AM88)))*I88,Y88="m3",(AE88*(1/(Z88/AM88)))*I88,Y88="kg",(AE88*AL88*(1/(1/AM88)))*I88,Y88="N/A",""))</f>
        <v>-0.16500000000000001</v>
      </c>
      <c r="R88" s="186" t="s">
        <v>5</v>
      </c>
      <c r="S88" s="47"/>
      <c r="T88" s="47">
        <v>2028</v>
      </c>
      <c r="U88" s="47" t="s">
        <v>28</v>
      </c>
      <c r="V88" s="47">
        <v>60</v>
      </c>
      <c r="X88" s="254" t="s">
        <v>1045</v>
      </c>
      <c r="Y88" s="47" t="s">
        <v>15</v>
      </c>
      <c r="Z88" s="47">
        <v>3.5000000000000003E-2</v>
      </c>
      <c r="AA88" s="52">
        <f t="shared" si="17"/>
        <v>2.2615560000000001</v>
      </c>
      <c r="AB88" s="52">
        <f>(1.68)*1.32</f>
        <v>2.2176</v>
      </c>
      <c r="AC88" s="52">
        <f>(0+0.0333)*1.32</f>
        <v>4.3956000000000009E-2</v>
      </c>
      <c r="AD88" s="52">
        <f>(-0.0663)*1.32</f>
        <v>-8.7515999999999997E-2</v>
      </c>
      <c r="AE88" s="52">
        <f>(-0.125)*1.32</f>
        <v>-0.16500000000000001</v>
      </c>
      <c r="AG88" s="251"/>
      <c r="AH88" s="122" t="s">
        <v>214</v>
      </c>
      <c r="AI88" s="210" t="s">
        <v>176</v>
      </c>
      <c r="AJ88" s="47"/>
      <c r="AL88" s="47">
        <v>88</v>
      </c>
      <c r="AM88" s="47">
        <v>3.5000000000000003E-2</v>
      </c>
      <c r="AN88" s="47">
        <v>1030</v>
      </c>
      <c r="AP88" s="173" t="s">
        <v>17</v>
      </c>
      <c r="AQ88" s="73"/>
    </row>
    <row r="89" spans="1:47" ht="25.2" customHeight="1" x14ac:dyDescent="0.15">
      <c r="A89" s="25" t="s">
        <v>1066</v>
      </c>
      <c r="B89" s="47" t="s">
        <v>210</v>
      </c>
      <c r="C89" s="47"/>
      <c r="D89" s="47" t="s">
        <v>218</v>
      </c>
      <c r="E89" s="88" t="s">
        <v>146</v>
      </c>
      <c r="F89" s="47" t="s">
        <v>307</v>
      </c>
      <c r="G89" s="47" t="s">
        <v>370</v>
      </c>
      <c r="I89" s="111">
        <v>1</v>
      </c>
      <c r="J89" s="70">
        <f t="shared" si="13"/>
        <v>2.3069999999999999</v>
      </c>
      <c r="K89" s="143" cm="1">
        <f t="array" ref="K89">IF(AC89="N/A","",_xlfn.IFS(Y89="m2",(AA89*(1/(Z89/AM89)))*I89,Y89="m3",(AA89*(1/(Z89/AM89)))*I89,Y89="kg",(AA89*AL89*(1/(1/AM89)))*I89,Y89="N/A",""))</f>
        <v>2.3069999999999999</v>
      </c>
      <c r="L89" s="71">
        <f t="shared" si="14"/>
        <v>2.2599999999999998</v>
      </c>
      <c r="M89" s="146" cm="1">
        <f t="array" ref="M89">_xlfn.IFS(Y89="m2",(AB89*(1/(Z89/AM89)))*I89,Y89="m3",(AB89*(1/(Z89/AM89)))*I89,Y89="kg",(AB89*AL89*(1/(1/AM89)))*I89,Y89="N/A","")</f>
        <v>2.2599999999999998</v>
      </c>
      <c r="N89" s="52">
        <f t="shared" si="15"/>
        <v>4.7E-2</v>
      </c>
      <c r="O89" s="148" cm="1">
        <f t="array" ref="O89">IF(AC89="N/A","",_xlfn.IFS(Y89="m2",(AC89*(1/(Z89/AM89)))*I89,Y89="m3",(AC89*(1/(Z89/AM89)))*I89,Y89="kg",(AC89*AL89*(1/(1/AM89)))*I89,Y89="N/A",""))</f>
        <v>4.7E-2</v>
      </c>
      <c r="P89" s="72" t="str">
        <f t="shared" si="16"/>
        <v>N/A</v>
      </c>
      <c r="Q89" s="150" t="str" cm="1">
        <f t="array" ref="Q89">IF(AE89="N/A","",_xlfn.IFS(Y89="m2",(AE89*(1/(Z89/AM89)))*I89,Y89="m3",(AE89*(1/(Z89/AM89)))*I89,Y89="kg",(AE89*AL89*(1/(1/AM89)))*I89,Y89="N/A",""))</f>
        <v/>
      </c>
      <c r="R89" s="88" t="s">
        <v>5</v>
      </c>
      <c r="S89" s="164" t="s">
        <v>377</v>
      </c>
      <c r="T89" s="47">
        <v>2025</v>
      </c>
      <c r="U89" s="47" t="s">
        <v>14</v>
      </c>
      <c r="V89" s="47">
        <v>60</v>
      </c>
      <c r="X89" s="180" t="s">
        <v>1067</v>
      </c>
      <c r="Y89" s="47" t="s">
        <v>15</v>
      </c>
      <c r="Z89" s="47">
        <v>3.7999999999999999E-2</v>
      </c>
      <c r="AA89" s="52">
        <f t="shared" si="17"/>
        <v>2.3069999999999999</v>
      </c>
      <c r="AB89" s="52">
        <v>2.2599999999999998</v>
      </c>
      <c r="AC89" s="52">
        <f>0+0.047</f>
        <v>4.7E-2</v>
      </c>
      <c r="AD89" s="52">
        <v>0</v>
      </c>
      <c r="AE89" s="52" t="s">
        <v>191</v>
      </c>
      <c r="AG89" s="74" t="str">
        <f>AH89&amp;" "&amp;AI89</f>
        <v>A2 s1
d0</v>
      </c>
      <c r="AH89" s="75" t="s">
        <v>214</v>
      </c>
      <c r="AI89" s="83" t="s">
        <v>176</v>
      </c>
      <c r="AJ89" s="103"/>
      <c r="AL89" s="47">
        <v>79</v>
      </c>
      <c r="AM89" s="47">
        <v>3.7999999999999999E-2</v>
      </c>
      <c r="AN89" s="47" t="s">
        <v>191</v>
      </c>
      <c r="AP89" s="105" t="s">
        <v>17</v>
      </c>
      <c r="AQ89" s="73"/>
    </row>
    <row r="90" spans="1:47" ht="25.2" customHeight="1" x14ac:dyDescent="0.15">
      <c r="A90" s="25" t="s">
        <v>112</v>
      </c>
      <c r="B90" s="47" t="s">
        <v>208</v>
      </c>
      <c r="C90" s="47"/>
      <c r="D90" s="47" t="s">
        <v>113</v>
      </c>
      <c r="E90" s="47" t="s">
        <v>191</v>
      </c>
      <c r="F90" s="47" t="s">
        <v>132</v>
      </c>
      <c r="G90" s="47" t="s">
        <v>376</v>
      </c>
      <c r="I90" s="111">
        <v>1</v>
      </c>
      <c r="J90" s="70" t="str">
        <f t="shared" si="13"/>
        <v>N/A</v>
      </c>
      <c r="K90" s="143" t="str" cm="1">
        <f t="array" ref="K90">IF(AC90="N/A","",_xlfn.IFS(Y90="m2",(AA90*(1/(Z90/AM90)))*I90,Y90="m3",(AA90*(1/(Z90/AM90)))*I90,Y90="kg",(AA90*AL90*(1/(1/AM90)))*I90,Y90="N/A",""))</f>
        <v/>
      </c>
      <c r="L90" s="71" t="str">
        <f t="shared" si="14"/>
        <v>N/A</v>
      </c>
      <c r="M90" s="146" t="str" cm="1">
        <f t="array" ref="M90">_xlfn.IFS(Y90="m2",(AB90*(1/(Z90/AM90)))*I90,Y90="m3",(AB90*(1/(Z90/AM90)))*I90,Y90="kg",(AB90*AL90*(1/(1/AM90)))*I90,Y90="N/A","")</f>
        <v/>
      </c>
      <c r="N90" s="52" t="str">
        <f t="shared" si="15"/>
        <v>N/A</v>
      </c>
      <c r="O90" s="148" t="str" cm="1">
        <f t="array" ref="O90">IF(AC90="N/A","",_xlfn.IFS(Y90="m2",(AC90*(1/(Z90/AM90)))*I90,Y90="m3",(AC90*(1/(Z90/AM90)))*I90,Y90="kg",(AC90*AL90*(1/(1/AM90)))*I90,Y90="N/A",""))</f>
        <v/>
      </c>
      <c r="P90" s="72" t="str">
        <f t="shared" si="16"/>
        <v>N/A</v>
      </c>
      <c r="Q90" s="150" t="str" cm="1">
        <f t="array" ref="Q90">IF(AE90="N/A","",_xlfn.IFS(Y90="m2",(AE90*(1/(Z90/AM90)))*I90,Y90="m3",(AE90*(1/(Z90/AM90)))*I90,Y90="kg",(AE90*AL90*(1/(1/AM90)))*I90,Y90="N/A",""))</f>
        <v/>
      </c>
      <c r="R90" s="47" t="s">
        <v>191</v>
      </c>
      <c r="S90" s="47"/>
      <c r="T90" s="47" t="s">
        <v>191</v>
      </c>
      <c r="U90" s="86" t="s">
        <v>191</v>
      </c>
      <c r="V90" s="86" t="s">
        <v>191</v>
      </c>
      <c r="X90" s="180" t="s">
        <v>191</v>
      </c>
      <c r="Y90" s="47" t="s">
        <v>191</v>
      </c>
      <c r="Z90" s="47" t="s">
        <v>191</v>
      </c>
      <c r="AA90" s="52" t="str">
        <f t="shared" si="17"/>
        <v>N/A</v>
      </c>
      <c r="AB90" s="52" t="s">
        <v>191</v>
      </c>
      <c r="AC90" s="52" t="s">
        <v>191</v>
      </c>
      <c r="AD90" s="52" t="s">
        <v>191</v>
      </c>
      <c r="AE90" s="52" t="s">
        <v>191</v>
      </c>
      <c r="AG90" s="74" t="str">
        <f>AH90&amp;" "&amp;AI90</f>
        <v xml:space="preserve">E </v>
      </c>
      <c r="AH90" s="75" t="s">
        <v>16</v>
      </c>
      <c r="AI90" s="76"/>
      <c r="AJ90" s="77"/>
      <c r="AL90" s="47">
        <v>50</v>
      </c>
      <c r="AM90" s="47">
        <v>3.6999999999999998E-2</v>
      </c>
      <c r="AN90" s="86">
        <v>2100</v>
      </c>
      <c r="AP90" s="80" t="s">
        <v>17</v>
      </c>
      <c r="AQ90" s="256"/>
    </row>
    <row r="91" spans="1:47" ht="25.2" customHeight="1" x14ac:dyDescent="0.15">
      <c r="A91" s="25" t="s">
        <v>381</v>
      </c>
      <c r="B91" s="47" t="s">
        <v>210</v>
      </c>
      <c r="C91" s="47"/>
      <c r="D91" s="47" t="s">
        <v>218</v>
      </c>
      <c r="E91" s="88" t="s">
        <v>146</v>
      </c>
      <c r="F91" s="47" t="s">
        <v>307</v>
      </c>
      <c r="G91" s="69" t="s">
        <v>370</v>
      </c>
      <c r="I91" s="111">
        <v>1</v>
      </c>
      <c r="J91" s="70">
        <f t="shared" si="13"/>
        <v>2.3274999999999997</v>
      </c>
      <c r="K91" s="143" cm="1">
        <f t="array" ref="K91">IF(AC91="N/A","",_xlfn.IFS(Y91="m2",(AA91*(1/(Z91/AM91)))*I91,Y91="m3",(AA91*(1/(Z91/AM91)))*I91,Y91="kg",(AA91*AL91*(1/(1/AM91)))*I91,Y91="N/A",""))</f>
        <v>2.3274999999999997</v>
      </c>
      <c r="L91" s="71">
        <f t="shared" si="14"/>
        <v>2.2799999999999998</v>
      </c>
      <c r="M91" s="146" cm="1">
        <f t="array" ref="M91">_xlfn.IFS(Y91="m2",(AB91*(1/(Z91/AM91)))*I91,Y91="m3",(AB91*(1/(Z91/AM91)))*I91,Y91="kg",(AB91*AL91*(1/(1/AM91)))*I91,Y91="N/A","")</f>
        <v>2.2799999999999998</v>
      </c>
      <c r="N91" s="52">
        <f t="shared" si="15"/>
        <v>4.7500000000000001E-2</v>
      </c>
      <c r="O91" s="148" cm="1">
        <f t="array" ref="O91">IF(AC91="N/A","",_xlfn.IFS(Y91="m2",(AC91*(1/(Z91/AM91)))*I91,Y91="m3",(AC91*(1/(Z91/AM91)))*I91,Y91="kg",(AC91*AL91*(1/(1/AM91)))*I91,Y91="N/A",""))</f>
        <v>4.7500000000000001E-2</v>
      </c>
      <c r="P91" s="72" t="str">
        <f t="shared" si="16"/>
        <v>N/A</v>
      </c>
      <c r="Q91" s="150" t="str" cm="1">
        <f t="array" ref="Q91">IF(AE91="N/A","",_xlfn.IFS(Y91="m2",(AE91*(1/(Z91/AM91)))*I91,Y91="m3",(AE91*(1/(Z91/AM91)))*I91,Y91="kg",(AE91*AL91*(1/(1/AM91)))*I91,Y91="N/A",""))</f>
        <v/>
      </c>
      <c r="R91" s="88" t="s">
        <v>5</v>
      </c>
      <c r="S91" s="164" t="s">
        <v>377</v>
      </c>
      <c r="T91" s="47">
        <v>2025</v>
      </c>
      <c r="U91" s="47" t="s">
        <v>14</v>
      </c>
      <c r="V91" s="47">
        <v>60</v>
      </c>
      <c r="X91" s="180" t="s">
        <v>547</v>
      </c>
      <c r="Y91" s="47" t="s">
        <v>15</v>
      </c>
      <c r="Z91" s="47">
        <v>3.6999999999999998E-2</v>
      </c>
      <c r="AA91" s="52">
        <f t="shared" si="17"/>
        <v>2.3274999999999997</v>
      </c>
      <c r="AB91" s="52">
        <f>2.28</f>
        <v>2.2799999999999998</v>
      </c>
      <c r="AC91" s="52">
        <f>0+4.75*10^-2</f>
        <v>4.7500000000000001E-2</v>
      </c>
      <c r="AD91" s="52">
        <v>0</v>
      </c>
      <c r="AE91" s="52" t="s">
        <v>191</v>
      </c>
      <c r="AG91" s="74" t="str">
        <f>AH91&amp;" "&amp;AI91</f>
        <v>A2 s1
d0</v>
      </c>
      <c r="AH91" s="75" t="s">
        <v>214</v>
      </c>
      <c r="AI91" s="83" t="s">
        <v>176</v>
      </c>
      <c r="AJ91" s="103"/>
      <c r="AL91" s="47">
        <v>55</v>
      </c>
      <c r="AM91" s="47">
        <v>3.6999999999999998E-2</v>
      </c>
      <c r="AN91" s="47" t="s">
        <v>191</v>
      </c>
      <c r="AP91" s="80" t="s">
        <v>17</v>
      </c>
      <c r="AQ91" s="73"/>
    </row>
    <row r="92" spans="1:47" ht="25.2" customHeight="1" x14ac:dyDescent="0.15">
      <c r="A92" s="17" t="s">
        <v>1030</v>
      </c>
      <c r="B92" s="47" t="s">
        <v>210</v>
      </c>
      <c r="C92" s="47"/>
      <c r="D92" s="47" t="s">
        <v>209</v>
      </c>
      <c r="E92" s="186" t="s">
        <v>146</v>
      </c>
      <c r="F92" s="47" t="s">
        <v>296</v>
      </c>
      <c r="G92" s="69" t="s">
        <v>370</v>
      </c>
      <c r="I92" s="107">
        <v>1</v>
      </c>
      <c r="J92" s="70">
        <f t="shared" si="13"/>
        <v>2.3472210000000002</v>
      </c>
      <c r="K92" s="143" cm="1">
        <f t="array" ref="K92">IF(AC92="N/A","",_xlfn.IFS(Y92="m2",(AA92*(1/(Z92/AM92)))*I92,Y92="m3",(AA92*(1/(Z92/AM92)))*I92,Y92="kg",(AA92*AL92*(1/(1/AM92)))*I92,Y92="N/A",""))</f>
        <v>2.3472210000000002</v>
      </c>
      <c r="L92" s="71">
        <f t="shared" si="14"/>
        <v>2.3016000000000001</v>
      </c>
      <c r="M92" s="146" cm="1">
        <f t="array" ref="M92">_xlfn.IFS(Y92="m2",(AB92*(1/(Z92/AM92)))*I92,Y92="m3",(AB92*(1/(Z92/AM92)))*I92,Y92="kg",(AB92*AL92*(1/(1/AM92)))*I92,Y92="N/A","")</f>
        <v>2.3016000000000001</v>
      </c>
      <c r="N92" s="52">
        <f t="shared" si="15"/>
        <v>4.5621000000000009E-2</v>
      </c>
      <c r="O92" s="148" cm="1">
        <f t="array" ref="O92">IF(AC92="N/A","",_xlfn.IFS(Y92="m2",(AC92*(1/(Z92/AM92)))*I92,Y92="m3",(AC92*(1/(Z92/AM92)))*I92,Y92="kg",(AC92*AL92*(1/(1/AM92)))*I92,Y92="N/A",""))</f>
        <v>4.5621000000000009E-2</v>
      </c>
      <c r="P92" s="72">
        <f t="shared" si="16"/>
        <v>-0.17125000000000001</v>
      </c>
      <c r="Q92" s="150" cm="1">
        <f t="array" ref="Q92">IF(AE92="N/A","",_xlfn.IFS(Y92="m2",(AE92*(1/(Z92/AM92)))*I92,Y92="m3",(AE92*(1/(Z92/AM92)))*I92,Y92="kg",(AE92*AL92*(1/(1/AM92)))*I92,Y92="N/A",""))</f>
        <v>-0.17125000000000001</v>
      </c>
      <c r="R92" s="186" t="s">
        <v>5</v>
      </c>
      <c r="S92" s="47"/>
      <c r="T92" s="47">
        <v>2028</v>
      </c>
      <c r="U92" s="47" t="s">
        <v>28</v>
      </c>
      <c r="V92" s="47">
        <v>60</v>
      </c>
      <c r="X92" s="254" t="s">
        <v>1045</v>
      </c>
      <c r="Y92" s="47" t="s">
        <v>15</v>
      </c>
      <c r="Z92" s="47">
        <v>0.04</v>
      </c>
      <c r="AA92" s="52">
        <f t="shared" si="17"/>
        <v>2.3472210000000002</v>
      </c>
      <c r="AB92" s="52">
        <f>(1.68)*1.37</f>
        <v>2.3016000000000001</v>
      </c>
      <c r="AC92" s="52">
        <f>(0+0.0333)*1.37</f>
        <v>4.5621000000000009E-2</v>
      </c>
      <c r="AD92" s="52">
        <f>(-0.0663)*1.37</f>
        <v>-9.0831000000000009E-2</v>
      </c>
      <c r="AE92" s="52">
        <f>(-0.125)*1.37</f>
        <v>-0.17125000000000001</v>
      </c>
      <c r="AG92" s="251"/>
      <c r="AH92" s="122" t="s">
        <v>214</v>
      </c>
      <c r="AI92" s="210" t="s">
        <v>176</v>
      </c>
      <c r="AJ92" s="47"/>
      <c r="AL92" s="47">
        <v>80</v>
      </c>
      <c r="AM92" s="47">
        <v>0.04</v>
      </c>
      <c r="AN92" s="47" t="s">
        <v>191</v>
      </c>
      <c r="AP92" s="173" t="s">
        <v>17</v>
      </c>
      <c r="AQ92" s="73"/>
    </row>
    <row r="93" spans="1:47" ht="25.2" customHeight="1" x14ac:dyDescent="0.15">
      <c r="A93" s="25" t="s">
        <v>987</v>
      </c>
      <c r="B93" s="47" t="s">
        <v>208</v>
      </c>
      <c r="C93" s="47"/>
      <c r="D93" s="47" t="s">
        <v>118</v>
      </c>
      <c r="E93" s="47" t="s">
        <v>191</v>
      </c>
      <c r="F93" s="47" t="s">
        <v>132</v>
      </c>
      <c r="G93" s="47" t="s">
        <v>292</v>
      </c>
      <c r="I93" s="112">
        <v>1</v>
      </c>
      <c r="J93" s="70" t="str">
        <f t="shared" si="13"/>
        <v>N/A</v>
      </c>
      <c r="K93" s="143" t="str" cm="1">
        <f t="array" ref="K93">IF(AC93="N/A","",_xlfn.IFS(Y93="m2",(AA93*(1/(Z93/AM93)))*I93,Y93="m3",(AA93*(1/(Z93/AM93)))*I93,Y93="kg",(AA93*AL93*(1/(1/AM93)))*I93,Y93="N/A",""))</f>
        <v/>
      </c>
      <c r="L93" s="71" t="str">
        <f t="shared" si="14"/>
        <v>N/A</v>
      </c>
      <c r="M93" s="146" t="str" cm="1">
        <f t="array" ref="M93">_xlfn.IFS(Y93="m2",(AB93*(1/(Z93/AM93)))*I93,Y93="m3",(AB93*(1/(Z93/AM93)))*I93,Y93="kg",(AB93*AL93*(1/(1/AM93)))*I93,Y93="N/A","")</f>
        <v/>
      </c>
      <c r="N93" s="52" t="str">
        <f t="shared" si="15"/>
        <v>N/A</v>
      </c>
      <c r="O93" s="148" t="str" cm="1">
        <f t="array" ref="O93">IF(AC93="N/A","",_xlfn.IFS(Y93="m2",(AC93*(1/(Z93/AM93)))*I93,Y93="m3",(AC93*(1/(Z93/AM93)))*I93,Y93="kg",(AC93*AL93*(1/(1/AM93)))*I93,Y93="N/A",""))</f>
        <v/>
      </c>
      <c r="P93" s="72" t="str">
        <f t="shared" si="16"/>
        <v>N/A</v>
      </c>
      <c r="Q93" s="150" t="str" cm="1">
        <f t="array" ref="Q93">IF(AE93="N/A","",_xlfn.IFS(Y93="m2",(AE93*(1/(Z93/AM93)))*I93,Y93="m3",(AE93*(1/(Z93/AM93)))*I93,Y93="kg",(AE93*AL93*(1/(1/AM93)))*I93,Y93="N/A",""))</f>
        <v/>
      </c>
      <c r="R93" s="47" t="s">
        <v>191</v>
      </c>
      <c r="S93" s="47"/>
      <c r="T93" s="47" t="s">
        <v>191</v>
      </c>
      <c r="U93" s="86" t="s">
        <v>191</v>
      </c>
      <c r="V93" s="86" t="s">
        <v>191</v>
      </c>
      <c r="X93" s="180" t="s">
        <v>191</v>
      </c>
      <c r="Y93" s="47" t="s">
        <v>191</v>
      </c>
      <c r="Z93" s="47" t="s">
        <v>191</v>
      </c>
      <c r="AA93" s="52" t="str">
        <f t="shared" si="17"/>
        <v>N/A</v>
      </c>
      <c r="AB93" s="52" t="s">
        <v>191</v>
      </c>
      <c r="AC93" s="52" t="s">
        <v>191</v>
      </c>
      <c r="AD93" s="52" t="s">
        <v>191</v>
      </c>
      <c r="AE93" s="52" t="s">
        <v>191</v>
      </c>
      <c r="AG93" s="74" t="str">
        <f>AH93&amp;" "&amp;AI93</f>
        <v>D s2
d0</v>
      </c>
      <c r="AH93" s="75" t="s">
        <v>8</v>
      </c>
      <c r="AI93" s="83" t="s">
        <v>177</v>
      </c>
      <c r="AJ93" s="84"/>
      <c r="AL93" s="47">
        <f>46</f>
        <v>46</v>
      </c>
      <c r="AM93" s="47">
        <f>(0.036+0.038)/2</f>
        <v>3.6999999999999998E-2</v>
      </c>
      <c r="AN93" s="86" t="s">
        <v>191</v>
      </c>
      <c r="AP93" s="80" t="s">
        <v>17</v>
      </c>
      <c r="AQ93" s="73"/>
    </row>
    <row r="94" spans="1:47" ht="25.2" customHeight="1" x14ac:dyDescent="0.15">
      <c r="A94" s="25" t="s">
        <v>986</v>
      </c>
      <c r="B94" s="47" t="s">
        <v>208</v>
      </c>
      <c r="C94" s="47"/>
      <c r="D94" s="47" t="s">
        <v>118</v>
      </c>
      <c r="E94" s="47" t="s">
        <v>191</v>
      </c>
      <c r="F94" s="47" t="s">
        <v>132</v>
      </c>
      <c r="G94" s="47" t="s">
        <v>292</v>
      </c>
      <c r="I94" s="112">
        <v>1</v>
      </c>
      <c r="J94" s="70" t="str">
        <f t="shared" si="13"/>
        <v>N/A</v>
      </c>
      <c r="K94" s="143" t="str" cm="1">
        <f t="array" ref="K94">IF(AC94="N/A","",_xlfn.IFS(Y94="m2",(AA94*(1/(Z94/AM94)))*I94,Y94="m3",(AA94*(1/(Z94/AM94)))*I94,Y94="kg",(AA94*AL94*(1/(1/AM94)))*I94,Y94="N/A",""))</f>
        <v/>
      </c>
      <c r="L94" s="71" t="str">
        <f t="shared" si="14"/>
        <v>N/A</v>
      </c>
      <c r="M94" s="146" t="str" cm="1">
        <f t="array" ref="M94">_xlfn.IFS(Y94="m2",(AB94*(1/(Z94/AM94)))*I94,Y94="m3",(AB94*(1/(Z94/AM94)))*I94,Y94="kg",(AB94*AL94*(1/(1/AM94)))*I94,Y94="N/A","")</f>
        <v/>
      </c>
      <c r="N94" s="52" t="str">
        <f t="shared" si="15"/>
        <v>N/A</v>
      </c>
      <c r="O94" s="148" t="str" cm="1">
        <f t="array" ref="O94">IF(AC94="N/A","",_xlfn.IFS(Y94="m2",(AC94*(1/(Z94/AM94)))*I94,Y94="m3",(AC94*(1/(Z94/AM94)))*I94,Y94="kg",(AC94*AL94*(1/(1/AM94)))*I94,Y94="N/A",""))</f>
        <v/>
      </c>
      <c r="P94" s="72" t="str">
        <f t="shared" si="16"/>
        <v>N/A</v>
      </c>
      <c r="Q94" s="150" t="str" cm="1">
        <f t="array" ref="Q94">IF(AE94="N/A","",_xlfn.IFS(Y94="m2",(AE94*(1/(Z94/AM94)))*I94,Y94="m3",(AE94*(1/(Z94/AM94)))*I94,Y94="kg",(AE94*AL94*(1/(1/AM94)))*I94,Y94="N/A",""))</f>
        <v/>
      </c>
      <c r="R94" s="47" t="s">
        <v>191</v>
      </c>
      <c r="S94" s="47"/>
      <c r="T94" s="47" t="s">
        <v>191</v>
      </c>
      <c r="U94" s="86" t="s">
        <v>191</v>
      </c>
      <c r="V94" s="86" t="s">
        <v>191</v>
      </c>
      <c r="X94" s="180" t="s">
        <v>191</v>
      </c>
      <c r="Y94" s="47" t="s">
        <v>191</v>
      </c>
      <c r="Z94" s="47" t="s">
        <v>191</v>
      </c>
      <c r="AA94" s="52" t="str">
        <f t="shared" si="17"/>
        <v>N/A</v>
      </c>
      <c r="AB94" s="52" t="s">
        <v>191</v>
      </c>
      <c r="AC94" s="52" t="s">
        <v>191</v>
      </c>
      <c r="AD94" s="52" t="s">
        <v>191</v>
      </c>
      <c r="AE94" s="52" t="s">
        <v>191</v>
      </c>
      <c r="AG94" s="74" t="str">
        <f>AH94&amp;" "&amp;AI94</f>
        <v>D s2
d0</v>
      </c>
      <c r="AH94" s="75" t="s">
        <v>8</v>
      </c>
      <c r="AI94" s="83" t="s">
        <v>177</v>
      </c>
      <c r="AJ94" s="84"/>
      <c r="AL94" s="47">
        <f>26</f>
        <v>26</v>
      </c>
      <c r="AM94" s="47">
        <f>(0.036+0.038)/2</f>
        <v>3.6999999999999998E-2</v>
      </c>
      <c r="AN94" s="86" t="s">
        <v>191</v>
      </c>
      <c r="AP94" s="80" t="s">
        <v>17</v>
      </c>
      <c r="AQ94" s="73"/>
    </row>
    <row r="95" spans="1:47" ht="25.2" customHeight="1" x14ac:dyDescent="0.15">
      <c r="A95" s="25" t="s">
        <v>989</v>
      </c>
      <c r="B95" s="47" t="s">
        <v>208</v>
      </c>
      <c r="C95" s="47"/>
      <c r="D95" s="47" t="s">
        <v>87</v>
      </c>
      <c r="E95" s="82" t="s">
        <v>144</v>
      </c>
      <c r="F95" s="47" t="s">
        <v>132</v>
      </c>
      <c r="G95" s="47" t="s">
        <v>292</v>
      </c>
      <c r="H95" s="17"/>
      <c r="I95" s="111">
        <v>1</v>
      </c>
      <c r="J95" s="70">
        <f t="shared" si="13"/>
        <v>0.65250000000000008</v>
      </c>
      <c r="K95" s="143" cm="1">
        <f t="array" ref="K95">IF(AC95="N/A","",_xlfn.IFS(Y95="m2",(AA95*(1/(Z95/AM95)))*I95,Y95="m3",(AA95*(1/(Z95/AM95)))*I95,Y95="kg",(AA95*AL95*(1/(1/AM95)))*I95,Y95="N/A",""))</f>
        <v>0.65250000000000008</v>
      </c>
      <c r="L95" s="71">
        <f t="shared" si="14"/>
        <v>-2.9925000000000002</v>
      </c>
      <c r="M95" s="146" cm="1">
        <f t="array" ref="M95">_xlfn.IFS(Y95="m2",(AB95*(1/(Z95/AM95)))*I95,Y95="m3",(AB95*(1/(Z95/AM95)))*I95,Y95="kg",(AB95*AL95*(1/(1/AM95)))*I95,Y95="N/A","")</f>
        <v>-2.9925000000000002</v>
      </c>
      <c r="N95" s="52">
        <f t="shared" si="15"/>
        <v>3.645</v>
      </c>
      <c r="O95" s="148" cm="1">
        <f t="array" ref="O95">IF(AC95="N/A","",_xlfn.IFS(Y95="m2",(AC95*(1/(Z95/AM95)))*I95,Y95="m3",(AC95*(1/(Z95/AM95)))*I95,Y95="kg",(AC95*AL95*(1/(1/AM95)))*I95,Y95="N/A",""))</f>
        <v>3.645</v>
      </c>
      <c r="P95" s="72" t="str">
        <f t="shared" si="16"/>
        <v>N/A</v>
      </c>
      <c r="Q95" s="150" t="str" cm="1">
        <f t="array" ref="Q95">IF(AE95="N/A","",_xlfn.IFS(Y95="m2",(AE95*(1/(Z95/AM95)))*I95,Y95="m3",(AE95*(1/(Z95/AM95)))*I95,Y95="kg",(AE95*AL95*(1/(1/AM95)))*I95,Y95="N/A",""))</f>
        <v/>
      </c>
      <c r="R95" s="82" t="s">
        <v>5</v>
      </c>
      <c r="S95" s="164"/>
      <c r="T95" s="47">
        <v>2026</v>
      </c>
      <c r="U95" s="47" t="s">
        <v>14</v>
      </c>
      <c r="V95" s="47" t="s">
        <v>191</v>
      </c>
      <c r="X95" s="180" t="s">
        <v>533</v>
      </c>
      <c r="Y95" s="47" t="s">
        <v>61</v>
      </c>
      <c r="Z95" s="47" t="s">
        <v>191</v>
      </c>
      <c r="AA95" s="52">
        <f t="shared" si="17"/>
        <v>0.29000000000000004</v>
      </c>
      <c r="AB95" s="52">
        <v>-1.33</v>
      </c>
      <c r="AC95" s="52">
        <f>1.62+0</f>
        <v>1.62</v>
      </c>
      <c r="AD95" s="52">
        <v>-0.47499999999999998</v>
      </c>
      <c r="AE95" s="52" t="s">
        <v>191</v>
      </c>
      <c r="AG95" s="74" t="str">
        <f>AH95&amp;" "&amp;AI95</f>
        <v>B s2
d0</v>
      </c>
      <c r="AH95" s="75" t="s">
        <v>178</v>
      </c>
      <c r="AI95" s="83" t="s">
        <v>177</v>
      </c>
      <c r="AJ95" s="84"/>
      <c r="AL95" s="47">
        <f>60</f>
        <v>60</v>
      </c>
      <c r="AM95" s="79">
        <f>(0.037+0.038)/2</f>
        <v>3.7499999999999999E-2</v>
      </c>
      <c r="AN95" s="47" t="s">
        <v>191</v>
      </c>
      <c r="AP95" s="80" t="s">
        <v>17</v>
      </c>
      <c r="AQ95" s="81" t="s">
        <v>17</v>
      </c>
      <c r="AU95" s="67" t="e" cm="1">
        <f t="array" ref="AU95">_xlfn.IFS(Y95="m2",(AB95*(1/(Z95/AM95))),Y95="m3",(AB95*(1/(Z95/AM95))),Y95="kg",(AB95*AL95*(1/(Z95/AM95))),Y95="N/A",0)</f>
        <v>#VALUE!</v>
      </c>
    </row>
    <row r="96" spans="1:47" ht="25.2" customHeight="1" x14ac:dyDescent="0.15">
      <c r="A96" s="25" t="s">
        <v>988</v>
      </c>
      <c r="B96" s="47" t="s">
        <v>208</v>
      </c>
      <c r="C96" s="47"/>
      <c r="D96" s="47" t="s">
        <v>87</v>
      </c>
      <c r="E96" s="82" t="s">
        <v>144</v>
      </c>
      <c r="F96" s="47" t="s">
        <v>132</v>
      </c>
      <c r="G96" s="69" t="s">
        <v>292</v>
      </c>
      <c r="H96" s="17"/>
      <c r="I96" s="111">
        <v>1</v>
      </c>
      <c r="J96" s="70">
        <f t="shared" si="13"/>
        <v>0.30450000000000005</v>
      </c>
      <c r="K96" s="143" cm="1">
        <f t="array" ref="K96">IF(AC96="N/A","",_xlfn.IFS(Y96="m2",(AA96*(1/(Z96/AM96)))*I96,Y96="m3",(AA96*(1/(Z96/AM96)))*I96,Y96="kg",(AA96*AL96*(1/(1/AM96)))*I96,Y96="N/A",""))</f>
        <v>0.30450000000000005</v>
      </c>
      <c r="L96" s="71">
        <f t="shared" si="14"/>
        <v>-1.3965000000000001</v>
      </c>
      <c r="M96" s="146" cm="1">
        <f t="array" ref="M96">_xlfn.IFS(Y96="m2",(AB96*(1/(Z96/AM96)))*I96,Y96="m3",(AB96*(1/(Z96/AM96)))*I96,Y96="kg",(AB96*AL96*(1/(1/AM96)))*I96,Y96="N/A","")</f>
        <v>-1.3965000000000001</v>
      </c>
      <c r="N96" s="52">
        <f t="shared" si="15"/>
        <v>1.7009999999999998</v>
      </c>
      <c r="O96" s="148" cm="1">
        <f t="array" ref="O96">IF(AC96="N/A","",_xlfn.IFS(Y96="m2",(AC96*(1/(Z96/AM96)))*I96,Y96="m3",(AC96*(1/(Z96/AM96)))*I96,Y96="kg",(AC96*AL96*(1/(1/AM96)))*I96,Y96="N/A",""))</f>
        <v>1.7009999999999998</v>
      </c>
      <c r="P96" s="72" t="str">
        <f t="shared" si="16"/>
        <v>N/A</v>
      </c>
      <c r="Q96" s="150" t="str" cm="1">
        <f t="array" ref="Q96">IF(AE96="N/A","",_xlfn.IFS(Y96="m2",(AE96*(1/(Z96/AM96)))*I96,Y96="m3",(AE96*(1/(Z96/AM96)))*I96,Y96="kg",(AE96*AL96*(1/(1/AM96)))*I96,Y96="N/A",""))</f>
        <v/>
      </c>
      <c r="R96" s="82" t="s">
        <v>5</v>
      </c>
      <c r="S96" s="164"/>
      <c r="T96" s="47">
        <v>2026</v>
      </c>
      <c r="U96" s="47" t="s">
        <v>14</v>
      </c>
      <c r="V96" s="47" t="s">
        <v>191</v>
      </c>
      <c r="X96" s="180" t="s">
        <v>533</v>
      </c>
      <c r="Y96" s="47" t="s">
        <v>61</v>
      </c>
      <c r="Z96" s="47" t="s">
        <v>191</v>
      </c>
      <c r="AA96" s="52">
        <f t="shared" si="17"/>
        <v>0.29000000000000004</v>
      </c>
      <c r="AB96" s="52">
        <v>-1.33</v>
      </c>
      <c r="AC96" s="52">
        <f>1.62+0</f>
        <v>1.62</v>
      </c>
      <c r="AD96" s="52">
        <v>-0.47499999999999998</v>
      </c>
      <c r="AE96" s="52" t="s">
        <v>191</v>
      </c>
      <c r="AG96" s="74" t="str">
        <f>AH96&amp;" "&amp;AI96</f>
        <v>B s2
d0</v>
      </c>
      <c r="AH96" s="75" t="s">
        <v>178</v>
      </c>
      <c r="AI96" s="83" t="s">
        <v>177</v>
      </c>
      <c r="AJ96" s="84"/>
      <c r="AL96" s="47">
        <f>28</f>
        <v>28</v>
      </c>
      <c r="AM96" s="79">
        <f>(0.037+0.038)/2</f>
        <v>3.7499999999999999E-2</v>
      </c>
      <c r="AN96" s="47" t="s">
        <v>191</v>
      </c>
      <c r="AP96" s="80" t="s">
        <v>17</v>
      </c>
      <c r="AQ96" s="81" t="s">
        <v>17</v>
      </c>
      <c r="AU96" s="67" t="e" cm="1">
        <f t="array" ref="AU96">_xlfn.IFS(Y96="m2",(AB96*(1/(Z96/AM96))),Y96="m3",(AB96*(1/(Z96/AM96))),Y96="kg",(AB96*AL96*(1/(Z96/AM96))),Y96="N/A",0)</f>
        <v>#VALUE!</v>
      </c>
    </row>
    <row r="97" spans="1:48" ht="25.2" customHeight="1" x14ac:dyDescent="0.15">
      <c r="A97" s="25" t="s">
        <v>375</v>
      </c>
      <c r="B97" s="47" t="s">
        <v>208</v>
      </c>
      <c r="C97" s="47"/>
      <c r="D97" s="47" t="s">
        <v>374</v>
      </c>
      <c r="E97" s="88" t="s">
        <v>152</v>
      </c>
      <c r="F97" s="47" t="s">
        <v>40</v>
      </c>
      <c r="G97" s="69" t="s">
        <v>376</v>
      </c>
      <c r="I97" s="107">
        <v>1</v>
      </c>
      <c r="J97" s="70" t="str">
        <f t="shared" si="13"/>
        <v>N/A</v>
      </c>
      <c r="K97" s="143" t="str" cm="1">
        <f t="array" ref="K97">IF(AC97="N/A","",_xlfn.IFS(Y97="m2",(AA97*(1/(Z97/AM97)))*I97,Y97="m3",(AA97*(1/(Z97/AM97)))*I97,Y97="kg",(AA97*AL97*(1/(1/AM97)))*I97,Y97="N/A",""))</f>
        <v/>
      </c>
      <c r="L97" s="71" t="str">
        <f t="shared" si="14"/>
        <v>N/A</v>
      </c>
      <c r="M97" s="146" t="str" cm="1">
        <f t="array" ref="M97">_xlfn.IFS(Y97="m2",(AB97*(1/(Z97/AM97)))*I97,Y97="m3",(AB97*(1/(Z97/AM97)))*I97,Y97="kg",(AB97*AL97*(1/(1/AM97)))*I97,Y97="N/A","")</f>
        <v/>
      </c>
      <c r="N97" s="52" t="str">
        <f t="shared" si="15"/>
        <v>N/A</v>
      </c>
      <c r="O97" s="148" t="str" cm="1">
        <f t="array" ref="O97">IF(AC97="N/A","",_xlfn.IFS(Y97="m2",(AC97*(1/(Z97/AM97)))*I97,Y97="m3",(AC97*(1/(Z97/AM97)))*I97,Y97="kg",(AC97*AL97*(1/(1/AM97)))*I97,Y97="N/A",""))</f>
        <v/>
      </c>
      <c r="P97" s="72" t="str">
        <f t="shared" si="16"/>
        <v>N/A</v>
      </c>
      <c r="Q97" s="150" t="str" cm="1">
        <f t="array" ref="Q97">IF(AE97="N/A","",_xlfn.IFS(Y97="m2",(AE97*(1/(Z97/AM97)))*I97,Y97="m3",(AE97*(1/(Z97/AM97)))*I97,Y97="kg",(AE97*AL97*(1/(1/AM97)))*I97,Y97="N/A",""))</f>
        <v/>
      </c>
      <c r="R97" s="47" t="s">
        <v>191</v>
      </c>
      <c r="S97" s="47"/>
      <c r="T97" s="47" t="s">
        <v>191</v>
      </c>
      <c r="U97" s="47" t="s">
        <v>191</v>
      </c>
      <c r="V97" s="47" t="s">
        <v>191</v>
      </c>
      <c r="X97" s="180" t="s">
        <v>191</v>
      </c>
      <c r="Y97" s="52" t="s">
        <v>191</v>
      </c>
      <c r="Z97" s="47" t="s">
        <v>191</v>
      </c>
      <c r="AA97" s="52" t="str">
        <f t="shared" si="17"/>
        <v>N/A</v>
      </c>
      <c r="AB97" s="52" t="s">
        <v>191</v>
      </c>
      <c r="AC97" s="52" t="s">
        <v>191</v>
      </c>
      <c r="AD97" s="52" t="s">
        <v>191</v>
      </c>
      <c r="AE97" s="52" t="s">
        <v>191</v>
      </c>
      <c r="AG97" s="74" t="str">
        <f>AH97&amp;" "&amp;AI97</f>
        <v xml:space="preserve">F </v>
      </c>
      <c r="AH97" s="75" t="s">
        <v>82</v>
      </c>
      <c r="AI97" s="76"/>
      <c r="AJ97" s="103"/>
      <c r="AL97" s="47" t="s">
        <v>191</v>
      </c>
      <c r="AM97" s="47" t="s">
        <v>191</v>
      </c>
      <c r="AN97" s="47" t="s">
        <v>191</v>
      </c>
      <c r="AP97" s="105" t="s">
        <v>17</v>
      </c>
      <c r="AQ97" s="73"/>
      <c r="AU97" s="67" cm="1">
        <f t="array" ref="AU97">_xlfn.IFS(Y97="m2",(AB97*(1/(Z97/AM97))),Y97="m3",(AB97*(1/(Z97/AM97))),Y97="kg",(AB97*AL97*(1/(Z97/AM97))),Y97="N/A",0)</f>
        <v>0</v>
      </c>
    </row>
    <row r="98" spans="1:48" ht="25.2" customHeight="1" x14ac:dyDescent="0.15">
      <c r="A98" s="25" t="s">
        <v>1014</v>
      </c>
      <c r="B98" s="47" t="s">
        <v>210</v>
      </c>
      <c r="C98" s="47"/>
      <c r="D98" s="47" t="s">
        <v>209</v>
      </c>
      <c r="E98" s="186" t="s">
        <v>146</v>
      </c>
      <c r="F98" s="47" t="s">
        <v>296</v>
      </c>
      <c r="G98" s="69" t="s">
        <v>370</v>
      </c>
      <c r="I98" s="107">
        <v>1</v>
      </c>
      <c r="J98" s="70">
        <f t="shared" si="13"/>
        <v>2.6556150000000001</v>
      </c>
      <c r="K98" s="143" cm="1">
        <f t="array" ref="K98">IF(AC98="N/A","",_xlfn.IFS(Y98="m2",(AA98*(1/(Z98/AM98)))*I98,Y98="m3",(AA98*(1/(Z98/AM98)))*I98,Y98="kg",(AA98*AL98*(1/(1/AM98)))*I98,Y98="N/A",""))</f>
        <v>2.6556150000000001</v>
      </c>
      <c r="L98" s="71">
        <f t="shared" si="14"/>
        <v>2.6040000000000001</v>
      </c>
      <c r="M98" s="146" cm="1">
        <f t="array" ref="M98">_xlfn.IFS(Y98="m2",(AB98*(1/(Z98/AM98)))*I98,Y98="m3",(AB98*(1/(Z98/AM98)))*I98,Y98="kg",(AB98*AL98*(1/(1/AM98)))*I98,Y98="N/A","")</f>
        <v>2.6040000000000001</v>
      </c>
      <c r="N98" s="52">
        <f t="shared" si="15"/>
        <v>5.1615000000000008E-2</v>
      </c>
      <c r="O98" s="148" cm="1">
        <f t="array" ref="O98">IF(AC98="N/A","",_xlfn.IFS(Y98="m2",(AC98*(1/(Z98/AM98)))*I98,Y98="m3",(AC98*(1/(Z98/AM98)))*I98,Y98="kg",(AC98*AL98*(1/(1/AM98)))*I98,Y98="N/A",""))</f>
        <v>5.1615000000000008E-2</v>
      </c>
      <c r="P98" s="72">
        <f t="shared" si="16"/>
        <v>-0.19375000000000001</v>
      </c>
      <c r="Q98" s="150" cm="1">
        <f t="array" ref="Q98">IF(AE98="N/A","",_xlfn.IFS(Y98="m2",(AE98*(1/(Z98/AM98)))*I98,Y98="m3",(AE98*(1/(Z98/AM98)))*I98,Y98="kg",(AE98*AL98*(1/(1/AM98)))*I98,Y98="N/A",""))</f>
        <v>-0.19375000000000001</v>
      </c>
      <c r="R98" s="186" t="s">
        <v>5</v>
      </c>
      <c r="S98" s="47"/>
      <c r="T98" s="47">
        <v>2028</v>
      </c>
      <c r="U98" s="47" t="s">
        <v>28</v>
      </c>
      <c r="V98" s="47">
        <v>60</v>
      </c>
      <c r="X98" s="254" t="s">
        <v>1045</v>
      </c>
      <c r="Y98" s="47" t="s">
        <v>15</v>
      </c>
      <c r="Z98" s="47">
        <v>3.5999999999999997E-2</v>
      </c>
      <c r="AA98" s="52">
        <f t="shared" si="17"/>
        <v>2.6556150000000001</v>
      </c>
      <c r="AB98" s="52">
        <f>(1.68)*1.55</f>
        <v>2.6040000000000001</v>
      </c>
      <c r="AC98" s="52">
        <f>(0+0.0333)*1.55</f>
        <v>5.1615000000000008E-2</v>
      </c>
      <c r="AD98" s="52">
        <f>(-0.0663)*1.55</f>
        <v>-0.102765</v>
      </c>
      <c r="AE98" s="52">
        <f>(-0.125)*1.55</f>
        <v>-0.19375000000000001</v>
      </c>
      <c r="AG98" s="251"/>
      <c r="AH98" s="122" t="s">
        <v>214</v>
      </c>
      <c r="AI98" s="210" t="s">
        <v>176</v>
      </c>
      <c r="AJ98" s="47"/>
      <c r="AL98" s="47">
        <v>101</v>
      </c>
      <c r="AM98" s="47">
        <v>3.5999999999999997E-2</v>
      </c>
      <c r="AN98" s="47">
        <v>1030</v>
      </c>
      <c r="AP98" s="173" t="s">
        <v>17</v>
      </c>
      <c r="AQ98" s="73"/>
      <c r="AU98" s="67" cm="1">
        <f t="array" ref="AU98">_xlfn.IFS(Y98="m2",(AB98*(1/(Z98/AM98))),Y98="m3",(AB98*(1/(Z98/AM98))),Y98="kg",(AB98*AL98*(1/(Z98/AM98))),Y98="N/A",0)</f>
        <v>2.6040000000000001</v>
      </c>
    </row>
    <row r="99" spans="1:48" ht="25.2" customHeight="1" x14ac:dyDescent="0.15">
      <c r="A99" s="25" t="s">
        <v>1013</v>
      </c>
      <c r="B99" s="47" t="s">
        <v>210</v>
      </c>
      <c r="C99" s="47"/>
      <c r="D99" s="47" t="s">
        <v>209</v>
      </c>
      <c r="E99" s="186" t="s">
        <v>146</v>
      </c>
      <c r="F99" s="47" t="s">
        <v>296</v>
      </c>
      <c r="G99" s="69" t="s">
        <v>370</v>
      </c>
      <c r="I99" s="107">
        <v>1</v>
      </c>
      <c r="J99" s="70">
        <f t="shared" si="13"/>
        <v>2.707014</v>
      </c>
      <c r="K99" s="143" cm="1">
        <f t="array" ref="K99">IF(AC99="N/A","",_xlfn.IFS(Y99="m2",(AA99*(1/(Z99/AM99)))*I99,Y99="m3",(AA99*(1/(Z99/AM99)))*I99,Y99="kg",(AA99*AL99*(1/(1/AM99)))*I99,Y99="N/A",""))</f>
        <v>2.707014</v>
      </c>
      <c r="L99" s="71">
        <f t="shared" si="14"/>
        <v>2.6543999999999999</v>
      </c>
      <c r="M99" s="146" cm="1">
        <f t="array" ref="M99">_xlfn.IFS(Y99="m2",(AB99*(1/(Z99/AM99)))*I99,Y99="m3",(AB99*(1/(Z99/AM99)))*I99,Y99="kg",(AB99*AL99*(1/(1/AM99)))*I99,Y99="N/A","")</f>
        <v>2.6543999999999999</v>
      </c>
      <c r="N99" s="52">
        <f t="shared" si="15"/>
        <v>5.2614000000000008E-2</v>
      </c>
      <c r="O99" s="148" cm="1">
        <f t="array" ref="O99">IF(AC99="N/A","",_xlfn.IFS(Y99="m2",(AC99*(1/(Z99/AM99)))*I99,Y99="m3",(AC99*(1/(Z99/AM99)))*I99,Y99="kg",(AC99*AL99*(1/(1/AM99)))*I99,Y99="N/A",""))</f>
        <v>5.2614000000000008E-2</v>
      </c>
      <c r="P99" s="72">
        <f t="shared" si="16"/>
        <v>-0.19750000000000001</v>
      </c>
      <c r="Q99" s="150" cm="1">
        <f t="array" ref="Q99">IF(AE99="N/A","",_xlfn.IFS(Y99="m2",(AE99*(1/(Z99/AM99)))*I99,Y99="m3",(AE99*(1/(Z99/AM99)))*I99,Y99="kg",(AE99*AL99*(1/(1/AM99)))*I99,Y99="N/A",""))</f>
        <v>-0.19750000000000001</v>
      </c>
      <c r="R99" s="186" t="s">
        <v>5</v>
      </c>
      <c r="S99" s="47"/>
      <c r="T99" s="47">
        <v>2028</v>
      </c>
      <c r="U99" s="47" t="s">
        <v>28</v>
      </c>
      <c r="V99" s="47">
        <v>60</v>
      </c>
      <c r="X99" s="254" t="s">
        <v>1045</v>
      </c>
      <c r="Y99" s="47" t="s">
        <v>15</v>
      </c>
      <c r="Z99" s="47">
        <v>3.5999999999999997E-2</v>
      </c>
      <c r="AA99" s="52">
        <f t="shared" si="17"/>
        <v>2.707014</v>
      </c>
      <c r="AB99" s="52">
        <f>(1.68)*1.58</f>
        <v>2.6543999999999999</v>
      </c>
      <c r="AC99" s="52">
        <f>(0+0.0333)*1.58</f>
        <v>5.2614000000000008E-2</v>
      </c>
      <c r="AD99" s="52">
        <f>(-0.0663)*1.58</f>
        <v>-0.104754</v>
      </c>
      <c r="AE99" s="52">
        <f>(-0.125)*1.58</f>
        <v>-0.19750000000000001</v>
      </c>
      <c r="AG99" s="251"/>
      <c r="AH99" s="122" t="s">
        <v>214</v>
      </c>
      <c r="AI99" s="210" t="s">
        <v>176</v>
      </c>
      <c r="AJ99" s="47"/>
      <c r="AL99" s="47">
        <v>103</v>
      </c>
      <c r="AM99" s="47">
        <v>3.5999999999999997E-2</v>
      </c>
      <c r="AN99" s="47">
        <v>1030</v>
      </c>
      <c r="AP99" s="173" t="s">
        <v>17</v>
      </c>
      <c r="AQ99" s="73"/>
      <c r="AU99" s="67" cm="1">
        <f t="array" ref="AU99">_xlfn.IFS(Y99="m2",(AB99*(1/(Z99/AM99))),Y99="m3",(AB99*(1/(Z99/AM99))),Y99="kg",(AB99*AL99*(1/(Z99/AM99))),Y99="N/A",0)</f>
        <v>2.6543999999999999</v>
      </c>
    </row>
    <row r="100" spans="1:48" ht="25.2" customHeight="1" x14ac:dyDescent="0.15">
      <c r="A100" s="25" t="s">
        <v>990</v>
      </c>
      <c r="B100" s="47" t="s">
        <v>208</v>
      </c>
      <c r="C100" s="47"/>
      <c r="D100" s="47" t="s">
        <v>27</v>
      </c>
      <c r="E100" s="47" t="s">
        <v>142</v>
      </c>
      <c r="F100" s="47" t="s">
        <v>95</v>
      </c>
      <c r="G100" s="69" t="s">
        <v>292</v>
      </c>
      <c r="I100" s="111">
        <v>1</v>
      </c>
      <c r="J100" s="70" t="str">
        <f t="shared" si="13"/>
        <v>N/A</v>
      </c>
      <c r="K100" s="143" t="str" cm="1">
        <f t="array" ref="K100">IF(AC100="N/A","",_xlfn.IFS(Y100="m2",(AA100*(1/(Z100/AM100)))*I100,Y100="m3",(AA100*(1/(Z100/AM100)))*I100,Y100="kg",(AA100*AL100*(1/(1/AM100)))*I100,Y100="N/A",""))</f>
        <v/>
      </c>
      <c r="L100" s="71" t="str">
        <f t="shared" si="14"/>
        <v>N/A</v>
      </c>
      <c r="M100" s="146" t="str" cm="1">
        <f t="array" ref="M100">_xlfn.IFS(Y100="m2",(AB100*(1/(Z100/AM100)))*I100,Y100="m3",(AB100*(1/(Z100/AM100)))*I100,Y100="kg",(AB100*AL100*(1/(1/AM100)))*I100,Y100="N/A","")</f>
        <v/>
      </c>
      <c r="N100" s="52" t="str">
        <f t="shared" si="15"/>
        <v>N/A</v>
      </c>
      <c r="O100" s="148" t="str" cm="1">
        <f t="array" ref="O100">IF(AC100="N/A","",_xlfn.IFS(Y100="m2",(AC100*(1/(Z100/AM100)))*I100,Y100="m3",(AC100*(1/(Z100/AM100)))*I100,Y100="kg",(AC100*AL100*(1/(1/AM100)))*I100,Y100="N/A",""))</f>
        <v/>
      </c>
      <c r="P100" s="72" t="str">
        <f t="shared" si="16"/>
        <v>N/A</v>
      </c>
      <c r="Q100" s="150" t="str" cm="1">
        <f t="array" ref="Q100">IF(AE100="N/A","",_xlfn.IFS(Y100="m2",(AE100*(1/(Z100/AM100)))*I100,Y100="m3",(AE100*(1/(Z100/AM100)))*I100,Y100="kg",(AE100*AL100*(1/(1/AM100)))*I100,Y100="N/A",""))</f>
        <v/>
      </c>
      <c r="R100" s="47" t="s">
        <v>191</v>
      </c>
      <c r="S100" s="47"/>
      <c r="T100" s="47" t="s">
        <v>191</v>
      </c>
      <c r="U100" s="47" t="s">
        <v>191</v>
      </c>
      <c r="V100" s="47" t="s">
        <v>191</v>
      </c>
      <c r="X100" s="180" t="s">
        <v>191</v>
      </c>
      <c r="Y100" s="47" t="s">
        <v>191</v>
      </c>
      <c r="Z100" s="47" t="s">
        <v>191</v>
      </c>
      <c r="AA100" s="52" t="str">
        <f t="shared" si="17"/>
        <v>N/A</v>
      </c>
      <c r="AB100" s="52" t="s">
        <v>191</v>
      </c>
      <c r="AC100" s="52" t="s">
        <v>191</v>
      </c>
      <c r="AD100" s="52" t="s">
        <v>191</v>
      </c>
      <c r="AE100" s="52" t="s">
        <v>191</v>
      </c>
      <c r="AG100" s="74" t="str">
        <f t="shared" ref="AG100:AG105" si="19">AH100&amp;" "&amp;AI100</f>
        <v>B s1
d0</v>
      </c>
      <c r="AH100" s="75" t="s">
        <v>178</v>
      </c>
      <c r="AI100" s="83" t="s">
        <v>176</v>
      </c>
      <c r="AJ100" s="84"/>
      <c r="AL100" s="47">
        <v>60</v>
      </c>
      <c r="AM100" s="47">
        <v>3.9E-2</v>
      </c>
      <c r="AN100" s="47">
        <v>1920</v>
      </c>
      <c r="AP100" s="80" t="s">
        <v>17</v>
      </c>
      <c r="AQ100" s="256"/>
      <c r="AU100" s="67" cm="1">
        <f t="array" ref="AU100">_xlfn.IFS(Y100="m2",(AB100*(1/(Z100/AM100))),Y100="m3",(AB100*(1/(Z100/AM100))),Y100="kg",(AB100*AL100*(1/(Z100/AM100))),Y100="N/A",0)</f>
        <v>0</v>
      </c>
    </row>
    <row r="101" spans="1:48" ht="25.2" customHeight="1" x14ac:dyDescent="0.15">
      <c r="A101" s="25" t="s">
        <v>991</v>
      </c>
      <c r="B101" s="47" t="s">
        <v>208</v>
      </c>
      <c r="C101" s="47"/>
      <c r="D101" s="47" t="s">
        <v>27</v>
      </c>
      <c r="E101" s="47" t="s">
        <v>142</v>
      </c>
      <c r="F101" s="47" t="s">
        <v>95</v>
      </c>
      <c r="G101" s="69" t="s">
        <v>292</v>
      </c>
      <c r="I101" s="111">
        <v>1</v>
      </c>
      <c r="J101" s="70" t="str">
        <f t="shared" si="13"/>
        <v>N/A</v>
      </c>
      <c r="K101" s="143" t="str" cm="1">
        <f t="array" ref="K101">IF(AC101="N/A","",_xlfn.IFS(Y101="m2",(AA101*(1/(Z101/AM101)))*I101,Y101="m3",(AA101*(1/(Z101/AM101)))*I101,Y101="kg",(AA101*AL101*(1/(1/AM101)))*I101,Y101="N/A",""))</f>
        <v/>
      </c>
      <c r="L101" s="71" t="str">
        <f t="shared" si="14"/>
        <v>N/A</v>
      </c>
      <c r="M101" s="146" t="str" cm="1">
        <f t="array" ref="M101">_xlfn.IFS(Y101="m2",(AB101*(1/(Z101/AM101)))*I101,Y101="m3",(AB101*(1/(Z101/AM101)))*I101,Y101="kg",(AB101*AL101*(1/(1/AM101)))*I101,Y101="N/A","")</f>
        <v/>
      </c>
      <c r="N101" s="52" t="str">
        <f t="shared" si="15"/>
        <v>N/A</v>
      </c>
      <c r="O101" s="148" t="str" cm="1">
        <f t="array" ref="O101">IF(AC101="N/A","",_xlfn.IFS(Y101="m2",(AC101*(1/(Z101/AM101)))*I101,Y101="m3",(AC101*(1/(Z101/AM101)))*I101,Y101="kg",(AC101*AL101*(1/(1/AM101)))*I101,Y101="N/A",""))</f>
        <v/>
      </c>
      <c r="P101" s="72" t="str">
        <f t="shared" si="16"/>
        <v>N/A</v>
      </c>
      <c r="Q101" s="150" t="str" cm="1">
        <f t="array" ref="Q101">IF(AE101="N/A","",_xlfn.IFS(Y101="m2",(AE101*(1/(Z101/AM101)))*I101,Y101="m3",(AE101*(1/(Z101/AM101)))*I101,Y101="kg",(AE101*AL101*(1/(1/AM101)))*I101,Y101="N/A",""))</f>
        <v/>
      </c>
      <c r="R101" s="47" t="s">
        <v>191</v>
      </c>
      <c r="S101" s="47"/>
      <c r="T101" s="47" t="s">
        <v>191</v>
      </c>
      <c r="U101" s="47" t="s">
        <v>191</v>
      </c>
      <c r="V101" s="47" t="s">
        <v>191</v>
      </c>
      <c r="X101" s="180" t="s">
        <v>191</v>
      </c>
      <c r="Y101" s="47" t="s">
        <v>191</v>
      </c>
      <c r="Z101" s="47" t="s">
        <v>191</v>
      </c>
      <c r="AA101" s="52" t="str">
        <f t="shared" si="17"/>
        <v>N/A</v>
      </c>
      <c r="AB101" s="52" t="s">
        <v>191</v>
      </c>
      <c r="AC101" s="52" t="s">
        <v>191</v>
      </c>
      <c r="AD101" s="52" t="s">
        <v>191</v>
      </c>
      <c r="AE101" s="52" t="s">
        <v>191</v>
      </c>
      <c r="AG101" s="74" t="str">
        <f t="shared" si="19"/>
        <v>B s1
d0</v>
      </c>
      <c r="AH101" s="75" t="s">
        <v>178</v>
      </c>
      <c r="AI101" s="83" t="s">
        <v>176</v>
      </c>
      <c r="AJ101" s="84"/>
      <c r="AL101" s="47">
        <f>30</f>
        <v>30</v>
      </c>
      <c r="AM101" s="47">
        <v>3.9E-2</v>
      </c>
      <c r="AN101" s="47">
        <v>1920</v>
      </c>
      <c r="AP101" s="80" t="s">
        <v>17</v>
      </c>
      <c r="AQ101" s="256"/>
      <c r="AU101" s="67" cm="1">
        <f t="array" ref="AU101">_xlfn.IFS(Y101="m2",(AB101*(1/(Z101/AM101))),Y101="m3",(AB101*(1/(Z101/AM101))),Y101="kg",(AB101*AL101*(1/(Z101/AM101))),Y101="N/A",0)</f>
        <v>0</v>
      </c>
    </row>
    <row r="102" spans="1:48" ht="25.2" customHeight="1" x14ac:dyDescent="0.15">
      <c r="A102" s="25" t="s">
        <v>992</v>
      </c>
      <c r="B102" s="47" t="s">
        <v>208</v>
      </c>
      <c r="C102" s="47"/>
      <c r="D102" s="47" t="s">
        <v>27</v>
      </c>
      <c r="E102" s="47" t="s">
        <v>142</v>
      </c>
      <c r="F102" s="47" t="s">
        <v>24</v>
      </c>
      <c r="G102" s="69" t="s">
        <v>292</v>
      </c>
      <c r="I102" s="111">
        <v>1</v>
      </c>
      <c r="J102" s="70" t="str">
        <f t="shared" ref="J102:J133" si="20">IF(AC102="N/A","N/A",IF(K102="","N/A",K102))</f>
        <v>N/A</v>
      </c>
      <c r="K102" s="143" t="str" cm="1">
        <f t="array" ref="K102">IF(AC102="N/A","",_xlfn.IFS(Y102="m2",(AA102*(1/(Z102/AM102)))*I102,Y102="m3",(AA102*(1/(Z102/AM102)))*I102,Y102="kg",(AA102*AL102*(1/(1/AM102)))*I102,Y102="N/A",""))</f>
        <v/>
      </c>
      <c r="L102" s="71" t="str">
        <f t="shared" ref="L102:L133" si="21">IF(M102="","N/A",M102)</f>
        <v>N/A</v>
      </c>
      <c r="M102" s="146" t="str" cm="1">
        <f t="array" ref="M102">_xlfn.IFS(Y102="m2",(AB102*(1/(Z102/AM102)))*I102,Y102="m3",(AB102*(1/(Z102/AM102)))*I102,Y102="kg",(AB102*AL102*(1/(1/AM102)))*I102,Y102="N/A","")</f>
        <v/>
      </c>
      <c r="N102" s="52" t="str">
        <f t="shared" ref="N102:N133" si="22">IF(O102="","N/A",O102)</f>
        <v>N/A</v>
      </c>
      <c r="O102" s="148" t="str" cm="1">
        <f t="array" ref="O102">IF(AC102="N/A","",_xlfn.IFS(Y102="m2",(AC102*(1/(Z102/AM102)))*I102,Y102="m3",(AC102*(1/(Z102/AM102)))*I102,Y102="kg",(AC102*AL102*(1/(1/AM102)))*I102,Y102="N/A",""))</f>
        <v/>
      </c>
      <c r="P102" s="72" t="str">
        <f t="shared" ref="P102:P133" si="23">IF(Q102="","N/A",Q102)</f>
        <v>N/A</v>
      </c>
      <c r="Q102" s="150" t="str" cm="1">
        <f t="array" ref="Q102">IF(AE102="N/A","",_xlfn.IFS(Y102="m2",(AE102*(1/(Z102/AM102)))*I102,Y102="m3",(AE102*(1/(Z102/AM102)))*I102,Y102="kg",(AE102*AL102*(1/(1/AM102)))*I102,Y102="N/A",""))</f>
        <v/>
      </c>
      <c r="R102" s="47" t="s">
        <v>191</v>
      </c>
      <c r="S102" s="47"/>
      <c r="T102" s="47" t="s">
        <v>191</v>
      </c>
      <c r="U102" s="47" t="s">
        <v>191</v>
      </c>
      <c r="V102" s="47" t="s">
        <v>191</v>
      </c>
      <c r="X102" s="180" t="s">
        <v>191</v>
      </c>
      <c r="Y102" s="47" t="s">
        <v>191</v>
      </c>
      <c r="Z102" s="47" t="s">
        <v>191</v>
      </c>
      <c r="AA102" s="52" t="str">
        <f t="shared" ref="AA102:AA133" si="24">IF(AC102="N/A","N/A",SUM(AB102:AC102))</f>
        <v>N/A</v>
      </c>
      <c r="AB102" s="52" t="s">
        <v>191</v>
      </c>
      <c r="AC102" s="52" t="s">
        <v>191</v>
      </c>
      <c r="AD102" s="52" t="s">
        <v>191</v>
      </c>
      <c r="AE102" s="52" t="s">
        <v>191</v>
      </c>
      <c r="AG102" s="74" t="str">
        <f t="shared" si="19"/>
        <v xml:space="preserve">E </v>
      </c>
      <c r="AH102" s="75" t="s">
        <v>16</v>
      </c>
      <c r="AI102" s="76"/>
      <c r="AJ102" s="77"/>
      <c r="AL102" s="47">
        <f>70</f>
        <v>70</v>
      </c>
      <c r="AM102" s="47">
        <v>4.2000000000000003E-2</v>
      </c>
      <c r="AN102" s="47">
        <v>2100</v>
      </c>
      <c r="AP102" s="80" t="s">
        <v>17</v>
      </c>
      <c r="AQ102" s="256"/>
      <c r="AU102" s="67" cm="1">
        <f t="array" ref="AU102">_xlfn.IFS(Y102="m2",(AB102*(1/(Z102/AM102))),Y102="m3",(AB102*(1/(Z102/AM102))),Y102="kg",(AB102*AL102*(1/(Z102/AM102))),Y102="N/A",0)</f>
        <v>0</v>
      </c>
    </row>
    <row r="103" spans="1:48" ht="25.2" customHeight="1" x14ac:dyDescent="0.15">
      <c r="A103" s="25" t="s">
        <v>993</v>
      </c>
      <c r="B103" s="47" t="s">
        <v>208</v>
      </c>
      <c r="C103" s="47"/>
      <c r="D103" s="47" t="s">
        <v>27</v>
      </c>
      <c r="E103" s="47" t="s">
        <v>142</v>
      </c>
      <c r="F103" s="47" t="s">
        <v>24</v>
      </c>
      <c r="G103" s="69" t="s">
        <v>292</v>
      </c>
      <c r="I103" s="111">
        <v>1</v>
      </c>
      <c r="J103" s="70" t="str">
        <f t="shared" si="20"/>
        <v>N/A</v>
      </c>
      <c r="K103" s="143" t="str" cm="1">
        <f t="array" ref="K103">IF(AC103="N/A","",_xlfn.IFS(Y103="m2",(AA103*(1/(Z103/AM103)))*I103,Y103="m3",(AA103*(1/(Z103/AM103)))*I103,Y103="kg",(AA103*AL103*(1/(1/AM103)))*I103,Y103="N/A",""))</f>
        <v/>
      </c>
      <c r="L103" s="71" t="str">
        <f t="shared" si="21"/>
        <v>N/A</v>
      </c>
      <c r="M103" s="146" t="str" cm="1">
        <f t="array" ref="M103">_xlfn.IFS(Y103="m2",(AB103*(1/(Z103/AM103)))*I103,Y103="m3",(AB103*(1/(Z103/AM103)))*I103,Y103="kg",(AB103*AL103*(1/(1/AM103)))*I103,Y103="N/A","")</f>
        <v/>
      </c>
      <c r="N103" s="52" t="str">
        <f t="shared" si="22"/>
        <v>N/A</v>
      </c>
      <c r="O103" s="148" t="str" cm="1">
        <f t="array" ref="O103">IF(AC103="N/A","",_xlfn.IFS(Y103="m2",(AC103*(1/(Z103/AM103)))*I103,Y103="m3",(AC103*(1/(Z103/AM103)))*I103,Y103="kg",(AC103*AL103*(1/(1/AM103)))*I103,Y103="N/A",""))</f>
        <v/>
      </c>
      <c r="P103" s="72" t="str">
        <f t="shared" si="23"/>
        <v>N/A</v>
      </c>
      <c r="Q103" s="150" t="str" cm="1">
        <f t="array" ref="Q103">IF(AE103="N/A","",_xlfn.IFS(Y103="m2",(AE103*(1/(Z103/AM103)))*I103,Y103="m3",(AE103*(1/(Z103/AM103)))*I103,Y103="kg",(AE103*AL103*(1/(1/AM103)))*I103,Y103="N/A",""))</f>
        <v/>
      </c>
      <c r="R103" s="47" t="s">
        <v>191</v>
      </c>
      <c r="S103" s="47"/>
      <c r="T103" s="47" t="s">
        <v>191</v>
      </c>
      <c r="U103" s="47" t="s">
        <v>191</v>
      </c>
      <c r="V103" s="47" t="s">
        <v>191</v>
      </c>
      <c r="X103" s="180" t="s">
        <v>191</v>
      </c>
      <c r="Y103" s="47" t="s">
        <v>191</v>
      </c>
      <c r="Z103" s="47" t="s">
        <v>191</v>
      </c>
      <c r="AA103" s="52" t="str">
        <f t="shared" si="24"/>
        <v>N/A</v>
      </c>
      <c r="AB103" s="52" t="s">
        <v>191</v>
      </c>
      <c r="AC103" s="52" t="s">
        <v>191</v>
      </c>
      <c r="AD103" s="52" t="s">
        <v>191</v>
      </c>
      <c r="AE103" s="52" t="s">
        <v>191</v>
      </c>
      <c r="AG103" s="74" t="str">
        <f t="shared" si="19"/>
        <v xml:space="preserve">E </v>
      </c>
      <c r="AH103" s="75" t="s">
        <v>16</v>
      </c>
      <c r="AI103" s="76"/>
      <c r="AJ103" s="77"/>
      <c r="AL103" s="47">
        <f>45</f>
        <v>45</v>
      </c>
      <c r="AM103" s="47">
        <v>4.2000000000000003E-2</v>
      </c>
      <c r="AN103" s="47">
        <v>2100</v>
      </c>
      <c r="AP103" s="80" t="s">
        <v>17</v>
      </c>
      <c r="AQ103" s="256"/>
      <c r="AU103" s="67" cm="1">
        <f t="array" ref="AU103">_xlfn.IFS(Y103="m2",(AB103*(1/(Z103/AM103))),Y103="m3",(AB103*(1/(Z103/AM103))),Y103="kg",(AB103*AL103*(1/(Z103/AM103))),Y103="N/A",0)</f>
        <v>0</v>
      </c>
    </row>
    <row r="104" spans="1:48" ht="25.2" customHeight="1" x14ac:dyDescent="0.15">
      <c r="A104" s="25" t="s">
        <v>1082</v>
      </c>
      <c r="B104" s="47" t="s">
        <v>210</v>
      </c>
      <c r="C104" s="47"/>
      <c r="D104" s="47" t="s">
        <v>218</v>
      </c>
      <c r="E104" s="186" t="s">
        <v>146</v>
      </c>
      <c r="F104" s="47" t="s">
        <v>307</v>
      </c>
      <c r="G104" s="69" t="s">
        <v>376</v>
      </c>
      <c r="I104" s="111">
        <v>1</v>
      </c>
      <c r="J104" s="70">
        <f t="shared" si="20"/>
        <v>2.7518000000000002</v>
      </c>
      <c r="K104" s="143" cm="1">
        <f t="array" ref="K104">IF(AC104="N/A","",_xlfn.IFS(Y104="m2",(AA104*(1/(Z104/AM104)))*I104,Y104="m3",(AA104*(1/(Z104/AM104)))*I104,Y104="kg",(AA104*AL104*(1/(1/AM104)))*I104,Y104="N/A",""))</f>
        <v>2.7518000000000002</v>
      </c>
      <c r="L104" s="71">
        <f t="shared" si="21"/>
        <v>2.72</v>
      </c>
      <c r="M104" s="146" cm="1">
        <f t="array" ref="M104">_xlfn.IFS(Y104="m2",(AB104*(1/(Z104/AM104)))*I104,Y104="m3",(AB104*(1/(Z104/AM104)))*I104,Y104="kg",(AB104*AL104*(1/(1/AM104)))*I104,Y104="N/A","")</f>
        <v>2.72</v>
      </c>
      <c r="N104" s="52">
        <f t="shared" si="22"/>
        <v>3.1800000000000002E-2</v>
      </c>
      <c r="O104" s="148" cm="1">
        <f t="array" ref="O104">IF(AC104="N/A","",_xlfn.IFS(Y104="m2",(AC104*(1/(Z104/AM104)))*I104,Y104="m3",(AC104*(1/(Z104/AM104)))*I104,Y104="kg",(AC104*AL104*(1/(1/AM104)))*I104,Y104="N/A",""))</f>
        <v>3.1800000000000002E-2</v>
      </c>
      <c r="P104" s="72" t="str">
        <f t="shared" si="23"/>
        <v>N/A</v>
      </c>
      <c r="Q104" s="150" t="str" cm="1">
        <f t="array" ref="Q104">IF(AE104="N/A","",_xlfn.IFS(Y104="m2",(AE104*(1/(Z104/AM104)))*I104,Y104="m3",(AE104*(1/(Z104/AM104)))*I104,Y104="kg",(AE104*AL104*(1/(1/AM104)))*I104,Y104="N/A",""))</f>
        <v/>
      </c>
      <c r="R104" s="186" t="s">
        <v>5</v>
      </c>
      <c r="S104" s="164" t="s">
        <v>377</v>
      </c>
      <c r="T104" s="47">
        <v>2026</v>
      </c>
      <c r="U104" s="47" t="s">
        <v>14</v>
      </c>
      <c r="V104" s="47">
        <v>60</v>
      </c>
      <c r="X104" s="180" t="s">
        <v>1088</v>
      </c>
      <c r="Y104" s="47" t="s">
        <v>15</v>
      </c>
      <c r="Z104" s="47">
        <v>3.3000000000000002E-2</v>
      </c>
      <c r="AA104" s="52">
        <f t="shared" si="24"/>
        <v>2.7518000000000002</v>
      </c>
      <c r="AB104" s="52">
        <v>2.72</v>
      </c>
      <c r="AC104" s="52">
        <f>0+0.0318</f>
        <v>3.1800000000000002E-2</v>
      </c>
      <c r="AD104" s="52">
        <v>0</v>
      </c>
      <c r="AE104" s="52" t="s">
        <v>191</v>
      </c>
      <c r="AG104" s="251" t="str">
        <f t="shared" si="19"/>
        <v>A2 s1
d0</v>
      </c>
      <c r="AH104" s="75" t="s">
        <v>214</v>
      </c>
      <c r="AI104" s="83" t="s">
        <v>176</v>
      </c>
      <c r="AJ104" s="47"/>
      <c r="AL104" s="47">
        <v>55</v>
      </c>
      <c r="AM104" s="47">
        <v>3.3000000000000002E-2</v>
      </c>
      <c r="AN104" s="47" t="s">
        <v>191</v>
      </c>
      <c r="AP104" s="173" t="s">
        <v>17</v>
      </c>
      <c r="AQ104" s="73"/>
      <c r="AU104" s="67" cm="1">
        <f t="array" ref="AU104">_xlfn.IFS(Y104="m2",(AB104*(1/(Z104/AM104))),Y104="m3",(AB104*(1/(Z104/AM104))),Y104="kg",(AB104*AL104*(1/(Z104/AM104))),Y104="N/A",0)</f>
        <v>2.72</v>
      </c>
    </row>
    <row r="105" spans="1:48" ht="25.2" customHeight="1" x14ac:dyDescent="0.15">
      <c r="A105" s="25" t="s">
        <v>29</v>
      </c>
      <c r="B105" s="47" t="s">
        <v>208</v>
      </c>
      <c r="C105" s="47"/>
      <c r="D105" s="47" t="s">
        <v>27</v>
      </c>
      <c r="E105" s="82" t="s">
        <v>142</v>
      </c>
      <c r="F105" s="47" t="s">
        <v>24</v>
      </c>
      <c r="G105" s="69" t="s">
        <v>376</v>
      </c>
      <c r="I105" s="111">
        <v>1</v>
      </c>
      <c r="J105" s="70">
        <f t="shared" si="20"/>
        <v>5.4554999999999989</v>
      </c>
      <c r="K105" s="143" cm="1">
        <f t="array" ref="K105">IF(AC105="N/A","",_xlfn.IFS(Y105="m2",(AA105*(1/(Z105/AM105)))*I105,Y105="m3",(AA105*(1/(Z105/AM105)))*I105,Y105="kg",(AA105*AL105*(1/(1/AM105)))*I105,Y105="N/A",""))</f>
        <v>5.4554999999999989</v>
      </c>
      <c r="L105" s="71">
        <f t="shared" si="21"/>
        <v>-3.8685000000000005</v>
      </c>
      <c r="M105" s="146" cm="1">
        <f t="array" ref="M105">_xlfn.IFS(Y105="m2",(AB105*(1/(Z105/AM105)))*I105,Y105="m3",(AB105*(1/(Z105/AM105)))*I105,Y105="kg",(AB105*AL105*(1/(1/AM105)))*I105,Y105="N/A","")</f>
        <v>-3.8685000000000005</v>
      </c>
      <c r="N105" s="52">
        <f t="shared" si="22"/>
        <v>9.3239999999999998</v>
      </c>
      <c r="O105" s="148" cm="1">
        <f t="array" ref="O105">IF(AC105="N/A","",_xlfn.IFS(Y105="m2",(AC105*(1/(Z105/AM105)))*I105,Y105="m3",(AC105*(1/(Z105/AM105)))*I105,Y105="kg",(AC105*AL105*(1/(1/AM105)))*I105,Y105="N/A",""))</f>
        <v>9.3239999999999998</v>
      </c>
      <c r="P105" s="72">
        <f t="shared" si="23"/>
        <v>-9.5299671999999997</v>
      </c>
      <c r="Q105" s="150" cm="1">
        <f t="array" ref="Q105">IF(AE105="N/A","",_xlfn.IFS(Y105="m2",(AE105*(1/(Z105/AM105)))*I105,Y105="m3",(AE105*(1/(Z105/AM105)))*I105,Y105="kg",(AE105*AL105*(1/(1/AM105)))*I105,Y105="N/A",""))</f>
        <v>-9.5299671999999997</v>
      </c>
      <c r="R105" s="82" t="s">
        <v>5</v>
      </c>
      <c r="S105" s="164"/>
      <c r="T105" s="47">
        <v>2026</v>
      </c>
      <c r="U105" s="47" t="s">
        <v>28</v>
      </c>
      <c r="V105" s="47">
        <v>60</v>
      </c>
      <c r="X105" s="180" t="s">
        <v>535</v>
      </c>
      <c r="Y105" s="47" t="s">
        <v>15</v>
      </c>
      <c r="Z105" s="47">
        <v>4.2999999999999997E-2</v>
      </c>
      <c r="AA105" s="52">
        <f t="shared" si="24"/>
        <v>5.4554999999999989</v>
      </c>
      <c r="AB105" s="52">
        <f>-5.99+0.0615+2.06</f>
        <v>-3.8685000000000005</v>
      </c>
      <c r="AC105" s="52">
        <f>8.86+0.464</f>
        <v>9.3239999999999998</v>
      </c>
      <c r="AD105" s="52">
        <v>-3.06</v>
      </c>
      <c r="AE105" s="52">
        <f>-8.53+0.0000328+-1</f>
        <v>-9.5299671999999997</v>
      </c>
      <c r="AG105" s="74" t="str">
        <f t="shared" si="19"/>
        <v xml:space="preserve">E </v>
      </c>
      <c r="AH105" s="75" t="s">
        <v>16</v>
      </c>
      <c r="AI105" s="76"/>
      <c r="AJ105" s="77"/>
      <c r="AL105" s="47">
        <v>140</v>
      </c>
      <c r="AM105" s="47">
        <v>4.2999999999999997E-2</v>
      </c>
      <c r="AN105" s="47">
        <v>2100</v>
      </c>
      <c r="AP105" s="80" t="s">
        <v>17</v>
      </c>
      <c r="AQ105" s="256"/>
      <c r="AU105" s="67" cm="1">
        <f t="array" ref="AU105">_xlfn.IFS(Y105="m2",(AB105*(1/(Z105/AM105))),Y105="m3",(AB105*(1/(Z105/AM105))),Y105="kg",(AB105*AL105*(1/(Z105/AM105))),Y105="N/A",0)</f>
        <v>-3.8685000000000005</v>
      </c>
    </row>
    <row r="106" spans="1:48" ht="25.2" customHeight="1" x14ac:dyDescent="0.15">
      <c r="A106" s="25" t="s">
        <v>1092</v>
      </c>
      <c r="B106" s="47" t="s">
        <v>210</v>
      </c>
      <c r="C106" s="47"/>
      <c r="D106" s="47" t="s">
        <v>255</v>
      </c>
      <c r="E106" s="186" t="s">
        <v>153</v>
      </c>
      <c r="F106" s="47" t="s">
        <v>259</v>
      </c>
      <c r="G106" s="69" t="s">
        <v>370</v>
      </c>
      <c r="I106" s="111">
        <v>1</v>
      </c>
      <c r="J106" s="70">
        <f t="shared" si="20"/>
        <v>2.890028</v>
      </c>
      <c r="K106" s="143" cm="1">
        <f t="array" ref="K106">IF(AC106="N/A","",_xlfn.IFS(Y106="m2",(AA106*(1/(Z106/AM106)))*I106,Y106="m3",(AA106*(1/(Z106/AM106)))*I106,Y106="kg",(AA106*AL106*(1/(1/AM106)))*I106,Y106="N/A",""))</f>
        <v>2.890028</v>
      </c>
      <c r="L106" s="71">
        <f t="shared" si="21"/>
        <v>1.44</v>
      </c>
      <c r="M106" s="146" cm="1">
        <f t="array" ref="M106">_xlfn.IFS(Y106="m2",(AB106*(1/(Z106/AM106)))*I106,Y106="m3",(AB106*(1/(Z106/AM106)))*I106,Y106="kg",(AB106*AL106*(1/(1/AM106)))*I106,Y106="N/A","")</f>
        <v>1.44</v>
      </c>
      <c r="N106" s="52">
        <f t="shared" si="22"/>
        <v>1.4500279999999999</v>
      </c>
      <c r="O106" s="148" cm="1">
        <f t="array" ref="O106">IF(AC106="N/A","",_xlfn.IFS(Y106="m2",(AC106*(1/(Z106/AM106)))*I106,Y106="m3",(AC106*(1/(Z106/AM106)))*I106,Y106="kg",(AC106*AL106*(1/(1/AM106)))*I106,Y106="N/A",""))</f>
        <v>1.4500279999999999</v>
      </c>
      <c r="P106" s="72">
        <f t="shared" si="23"/>
        <v>2.8199999999999999E-2</v>
      </c>
      <c r="Q106" s="150" cm="1">
        <f t="array" ref="Q106">IF(AE106="N/A","",_xlfn.IFS(Y106="m2",(AE106*(1/(Z106/AM106)))*I106,Y106="m3",(AE106*(1/(Z106/AM106)))*I106,Y106="kg",(AE106*AL106*(1/(1/AM106)))*I106,Y106="N/A",""))</f>
        <v>2.8199999999999999E-2</v>
      </c>
      <c r="R106" s="186" t="s">
        <v>5</v>
      </c>
      <c r="S106" s="47"/>
      <c r="T106" s="47">
        <v>2027</v>
      </c>
      <c r="U106" s="47" t="s">
        <v>28</v>
      </c>
      <c r="V106" s="47">
        <v>60</v>
      </c>
      <c r="X106" s="180" t="s">
        <v>1093</v>
      </c>
      <c r="Y106" s="47" t="s">
        <v>15</v>
      </c>
      <c r="Z106" s="47">
        <v>3.1E-2</v>
      </c>
      <c r="AA106" s="52">
        <f t="shared" si="24"/>
        <v>2.890028</v>
      </c>
      <c r="AB106" s="52">
        <v>1.44</v>
      </c>
      <c r="AC106" s="52">
        <f>1.45+0.000028</f>
        <v>1.4500279999999999</v>
      </c>
      <c r="AD106" s="52">
        <f>-0.00845</f>
        <v>-8.4499999999999992E-3</v>
      </c>
      <c r="AE106" s="52">
        <v>2.8199999999999999E-2</v>
      </c>
      <c r="AG106" s="251"/>
      <c r="AH106" s="122" t="s">
        <v>82</v>
      </c>
      <c r="AI106" s="123"/>
      <c r="AJ106" s="47"/>
      <c r="AL106" s="47">
        <v>14.7</v>
      </c>
      <c r="AM106" s="47">
        <v>3.1E-2</v>
      </c>
      <c r="AN106" s="47" t="s">
        <v>191</v>
      </c>
      <c r="AP106" s="173" t="s">
        <v>17</v>
      </c>
      <c r="AQ106" s="73"/>
      <c r="AU106" s="67" cm="1">
        <f t="array" ref="AU106">_xlfn.IFS(Y106="m2",(AB106*(1/(Z106/AM106))),Y106="m3",(AB106*(1/(Z106/AM106))),Y106="kg",(AB106*AL106*(1/(Z106/AM106))),Y106="N/A",0)</f>
        <v>1.44</v>
      </c>
    </row>
    <row r="107" spans="1:48" s="25" customFormat="1" ht="25.2" customHeight="1" x14ac:dyDescent="0.15">
      <c r="A107" s="25" t="s">
        <v>273</v>
      </c>
      <c r="B107" s="47" t="s">
        <v>210</v>
      </c>
      <c r="C107" s="47"/>
      <c r="D107" s="47" t="s">
        <v>256</v>
      </c>
      <c r="E107" s="88" t="s">
        <v>146</v>
      </c>
      <c r="F107" s="47" t="s">
        <v>259</v>
      </c>
      <c r="G107" s="69" t="s">
        <v>370</v>
      </c>
      <c r="H107" s="16"/>
      <c r="I107" s="111">
        <v>1</v>
      </c>
      <c r="J107" s="70">
        <f t="shared" si="20"/>
        <v>2.8900307999999999</v>
      </c>
      <c r="K107" s="143" cm="1">
        <f t="array" ref="K107">IF(AC107="N/A","",_xlfn.IFS(Y107="m2",(AA107*(1/(Z107/AM107)))*I107,Y107="m3",(AA107*(1/(Z107/AM107)))*I107,Y107="kg",(AA107*AL107*(1/(1/AM107)))*I107,Y107="N/A",""))</f>
        <v>2.8900307999999999</v>
      </c>
      <c r="L107" s="71">
        <f t="shared" si="21"/>
        <v>1.32</v>
      </c>
      <c r="M107" s="146" cm="1">
        <f t="array" ref="M107">_xlfn.IFS(Y107="m2",(AB107*(1/(Z107/AM107)))*I107,Y107="m3",(AB107*(1/(Z107/AM107)))*I107,Y107="kg",(AB107*AL107*(1/(1/AM107)))*I107,Y107="N/A","")</f>
        <v>1.32</v>
      </c>
      <c r="N107" s="52">
        <f t="shared" si="22"/>
        <v>1.5700308000000001</v>
      </c>
      <c r="O107" s="148" cm="1">
        <f t="array" ref="O107">IF(AC107="N/A","",_xlfn.IFS(Y107="m2",(AC107*(1/(Z107/AM107)))*I107,Y107="m3",(AC107*(1/(Z107/AM107)))*I107,Y107="kg",(AC107*AL107*(1/(1/AM107)))*I107,Y107="N/A",""))</f>
        <v>1.5700308000000001</v>
      </c>
      <c r="P107" s="72" t="str">
        <f t="shared" si="23"/>
        <v>N/A</v>
      </c>
      <c r="Q107" s="150" t="str" cm="1">
        <f t="array" ref="Q107">IF(AE107="N/A","",_xlfn.IFS(Y107="m2",(AE107*(1/(Z107/AM107)))*I107,Y107="m3",(AE107*(1/(Z107/AM107)))*I107,Y107="kg",(AE107*AL107*(1/(1/AM107)))*I107,Y107="N/A",""))</f>
        <v/>
      </c>
      <c r="R107" s="88" t="s">
        <v>5</v>
      </c>
      <c r="S107" s="164"/>
      <c r="T107" s="47">
        <v>2026</v>
      </c>
      <c r="U107" s="47" t="s">
        <v>14</v>
      </c>
      <c r="V107" s="69" t="s">
        <v>191</v>
      </c>
      <c r="W107" s="17"/>
      <c r="X107" s="178" t="s">
        <v>566</v>
      </c>
      <c r="Y107" s="95" t="s">
        <v>15</v>
      </c>
      <c r="Z107" s="73">
        <v>3.1E-2</v>
      </c>
      <c r="AA107" s="52">
        <f t="shared" si="24"/>
        <v>2.8900307999999999</v>
      </c>
      <c r="AB107" s="52">
        <v>1.32</v>
      </c>
      <c r="AC107" s="52">
        <f>1.57+0.0000308</f>
        <v>1.5700308000000001</v>
      </c>
      <c r="AD107" s="52">
        <v>-0.11700000000000001</v>
      </c>
      <c r="AE107" s="72" t="s">
        <v>191</v>
      </c>
      <c r="AF107" s="17"/>
      <c r="AG107" s="74" t="str">
        <f>AH107&amp;" "&amp;AI107</f>
        <v xml:space="preserve">F </v>
      </c>
      <c r="AH107" s="75" t="s">
        <v>82</v>
      </c>
      <c r="AI107" s="76"/>
      <c r="AJ107" s="103"/>
      <c r="AL107" s="73" t="s">
        <v>191</v>
      </c>
      <c r="AM107" s="47">
        <v>3.1E-2</v>
      </c>
      <c r="AN107" s="47" t="s">
        <v>191</v>
      </c>
      <c r="AP107" s="105" t="s">
        <v>17</v>
      </c>
      <c r="AQ107" s="264"/>
      <c r="AR107" s="26"/>
      <c r="AU107" s="65" cm="1">
        <f t="array" ref="AU107">_xlfn.IFS(Y107="m2",(AB107*(1/(Z107/AM107))),Y107="m3",(AB107*(1/(Z107/AM107))),Y107="kg",(AB107*AL107*(1/(Z107/AM107))),Y107="N/A",0)</f>
        <v>1.32</v>
      </c>
      <c r="AV107" s="66"/>
    </row>
    <row r="108" spans="1:48" s="25" customFormat="1" ht="25.2" customHeight="1" x14ac:dyDescent="0.15">
      <c r="A108" s="25" t="s">
        <v>1062</v>
      </c>
      <c r="B108" s="47" t="s">
        <v>210</v>
      </c>
      <c r="C108" s="47"/>
      <c r="D108" s="47" t="s">
        <v>218</v>
      </c>
      <c r="E108" s="186" t="s">
        <v>146</v>
      </c>
      <c r="F108" s="47" t="s">
        <v>307</v>
      </c>
      <c r="G108" s="69" t="s">
        <v>370</v>
      </c>
      <c r="H108" s="16"/>
      <c r="I108" s="107">
        <v>1</v>
      </c>
      <c r="J108" s="70">
        <f t="shared" si="20"/>
        <v>2.7594000000000003</v>
      </c>
      <c r="K108" s="143" cm="1">
        <f t="array" ref="K108">IF(AC108="N/A","",_xlfn.IFS(Y108="m2",(AA108*(1/(Z108/AM108)))*I108,Y108="m3",(AA108*(1/(Z108/AM108)))*I108,Y108="kg",(AA108*AL108*(1/(1/AM108)))*I108,Y108="N/A",""))</f>
        <v>2.7594000000000003</v>
      </c>
      <c r="L108" s="71">
        <f t="shared" si="21"/>
        <v>2.7</v>
      </c>
      <c r="M108" s="146" cm="1">
        <f t="array" ref="M108">_xlfn.IFS(Y108="m2",(AB108*(1/(Z108/AM108)))*I108,Y108="m3",(AB108*(1/(Z108/AM108)))*I108,Y108="kg",(AB108*AL108*(1/(1/AM108)))*I108,Y108="N/A","")</f>
        <v>2.7</v>
      </c>
      <c r="N108" s="52">
        <f t="shared" si="22"/>
        <v>5.9400000000000001E-2</v>
      </c>
      <c r="O108" s="148" cm="1">
        <f t="array" ref="O108">IF(AC108="N/A","",_xlfn.IFS(Y108="m2",(AC108*(1/(Z108/AM108)))*I108,Y108="m3",(AC108*(1/(Z108/AM108)))*I108,Y108="kg",(AC108*AL108*(1/(1/AM108)))*I108,Y108="N/A",""))</f>
        <v>5.9400000000000001E-2</v>
      </c>
      <c r="P108" s="72" t="str">
        <f t="shared" si="23"/>
        <v>N/A</v>
      </c>
      <c r="Q108" s="150" t="str" cm="1">
        <f t="array" ref="Q108">IF(AE108="N/A","",_xlfn.IFS(Y108="m2",(AE108*(1/(Z108/AM108)))*I108,Y108="m3",(AE108*(1/(Z108/AM108)))*I108,Y108="kg",(AE108*AL108*(1/(1/AM108)))*I108,Y108="N/A",""))</f>
        <v/>
      </c>
      <c r="R108" s="186" t="s">
        <v>5</v>
      </c>
      <c r="S108" s="164" t="s">
        <v>377</v>
      </c>
      <c r="T108" s="47">
        <v>2026</v>
      </c>
      <c r="U108" s="47" t="s">
        <v>14</v>
      </c>
      <c r="V108" s="69">
        <v>60</v>
      </c>
      <c r="W108" s="17"/>
      <c r="X108" s="178" t="s">
        <v>1055</v>
      </c>
      <c r="Y108" s="73" t="s">
        <v>15</v>
      </c>
      <c r="Z108" s="73">
        <v>3.3000000000000002E-2</v>
      </c>
      <c r="AA108" s="52">
        <f t="shared" si="24"/>
        <v>2.7594000000000003</v>
      </c>
      <c r="AB108" s="52">
        <v>2.7</v>
      </c>
      <c r="AC108" s="52">
        <f>0+0.0594</f>
        <v>5.9400000000000001E-2</v>
      </c>
      <c r="AD108" s="52">
        <v>0</v>
      </c>
      <c r="AE108" s="72" t="s">
        <v>191</v>
      </c>
      <c r="AF108" s="17"/>
      <c r="AG108" s="251"/>
      <c r="AH108" s="75" t="s">
        <v>214</v>
      </c>
      <c r="AI108" s="83" t="s">
        <v>176</v>
      </c>
      <c r="AJ108" s="47"/>
      <c r="AL108" s="73">
        <v>115</v>
      </c>
      <c r="AM108" s="47">
        <v>3.3000000000000002E-2</v>
      </c>
      <c r="AN108" s="47" t="s">
        <v>191</v>
      </c>
      <c r="AP108" s="173" t="s">
        <v>17</v>
      </c>
      <c r="AQ108" s="73"/>
      <c r="AR108" s="26"/>
      <c r="AU108" s="67" cm="1">
        <f t="array" ref="AU108">_xlfn.IFS(Y108="m2",(AB108*(1/(Z108/AM108))),Y108="m3",(AB108*(1/(Z108/AM108))),Y108="kg",(AB108*AL108*(1/(Z108/AM108))),Y108="N/A",0)</f>
        <v>2.7</v>
      </c>
      <c r="AV108" s="66"/>
    </row>
    <row r="109" spans="1:48" s="25" customFormat="1" ht="25.2" customHeight="1" x14ac:dyDescent="0.15">
      <c r="A109" s="25" t="s">
        <v>1022</v>
      </c>
      <c r="B109" s="47" t="s">
        <v>210</v>
      </c>
      <c r="C109" s="47"/>
      <c r="D109" s="47" t="s">
        <v>209</v>
      </c>
      <c r="E109" s="186" t="s">
        <v>146</v>
      </c>
      <c r="F109" s="47" t="s">
        <v>296</v>
      </c>
      <c r="G109" s="69" t="s">
        <v>370</v>
      </c>
      <c r="H109" s="16"/>
      <c r="I109" s="107">
        <v>1</v>
      </c>
      <c r="J109" s="70">
        <f t="shared" si="20"/>
        <v>2.7755459999999998</v>
      </c>
      <c r="K109" s="143" cm="1">
        <f t="array" ref="K109">IF(AC109="N/A","",_xlfn.IFS(Y109="m2",(AA109*(1/(Z109/AM109)))*I109,Y109="m3",(AA109*(1/(Z109/AM109)))*I109,Y109="kg",(AA109*AL109*(1/(1/AM109)))*I109,Y109="N/A",""))</f>
        <v>2.7755459999999998</v>
      </c>
      <c r="L109" s="71">
        <f t="shared" si="21"/>
        <v>2.7216</v>
      </c>
      <c r="M109" s="146" cm="1">
        <f t="array" ref="M109">_xlfn.IFS(Y109="m2",(AB109*(1/(Z109/AM109)))*I109,Y109="m3",(AB109*(1/(Z109/AM109)))*I109,Y109="kg",(AB109*AL109*(1/(1/AM109)))*I109,Y109="N/A","")</f>
        <v>2.7216</v>
      </c>
      <c r="N109" s="52">
        <f t="shared" si="22"/>
        <v>5.3946000000000008E-2</v>
      </c>
      <c r="O109" s="148" cm="1">
        <f t="array" ref="O109">IF(AC109="N/A","",_xlfn.IFS(Y109="m2",(AC109*(1/(Z109/AM109)))*I109,Y109="m3",(AC109*(1/(Z109/AM109)))*I109,Y109="kg",(AC109*AL109*(1/(1/AM109)))*I109,Y109="N/A",""))</f>
        <v>5.3946000000000008E-2</v>
      </c>
      <c r="P109" s="72">
        <f t="shared" si="23"/>
        <v>-0.20250000000000001</v>
      </c>
      <c r="Q109" s="150" cm="1">
        <f t="array" ref="Q109">IF(AE109="N/A","",_xlfn.IFS(Y109="m2",(AE109*(1/(Z109/AM109)))*I109,Y109="m3",(AE109*(1/(Z109/AM109)))*I109,Y109="kg",(AE109*AL109*(1/(1/AM109)))*I109,Y109="N/A",""))</f>
        <v>-0.20250000000000001</v>
      </c>
      <c r="R109" s="186" t="s">
        <v>5</v>
      </c>
      <c r="S109" s="47"/>
      <c r="T109" s="47">
        <v>2028</v>
      </c>
      <c r="U109" s="47" t="s">
        <v>28</v>
      </c>
      <c r="V109" s="69">
        <v>60</v>
      </c>
      <c r="W109" s="17"/>
      <c r="X109" s="261" t="s">
        <v>1045</v>
      </c>
      <c r="Y109" s="73" t="s">
        <v>15</v>
      </c>
      <c r="Z109" s="73">
        <v>3.5999999999999997E-2</v>
      </c>
      <c r="AA109" s="52">
        <f t="shared" si="24"/>
        <v>2.7755459999999998</v>
      </c>
      <c r="AB109" s="52">
        <f>(1.68)*1.62</f>
        <v>2.7216</v>
      </c>
      <c r="AC109" s="52">
        <f>(0+0.0333)*1.62</f>
        <v>5.3946000000000008E-2</v>
      </c>
      <c r="AD109" s="52">
        <f>(-0.0663)*1.62</f>
        <v>-0.107406</v>
      </c>
      <c r="AE109" s="72">
        <f>(-0.125)*1.62</f>
        <v>-0.20250000000000001</v>
      </c>
      <c r="AF109" s="17"/>
      <c r="AG109" s="251"/>
      <c r="AH109" s="122" t="s">
        <v>214</v>
      </c>
      <c r="AI109" s="210" t="s">
        <v>176</v>
      </c>
      <c r="AJ109" s="47"/>
      <c r="AL109" s="73">
        <v>105</v>
      </c>
      <c r="AM109" s="47">
        <v>3.5999999999999997E-2</v>
      </c>
      <c r="AN109" s="47">
        <v>1030</v>
      </c>
      <c r="AP109" s="173" t="s">
        <v>17</v>
      </c>
      <c r="AQ109" s="73"/>
      <c r="AR109" s="26"/>
      <c r="AU109" s="67" cm="1">
        <f t="array" ref="AU109">_xlfn.IFS(Y109="m2",(AB109*(1/(Z109/AM109))),Y109="m3",(AB109*(1/(Z109/AM109))),Y109="kg",(AB109*AL109*(1/(Z109/AM109))),Y109="N/A",0)</f>
        <v>2.7216</v>
      </c>
      <c r="AV109" s="66"/>
    </row>
    <row r="110" spans="1:48" s="25" customFormat="1" ht="25.2" customHeight="1" x14ac:dyDescent="0.15">
      <c r="A110" s="25" t="s">
        <v>1000</v>
      </c>
      <c r="B110" s="47" t="s">
        <v>210</v>
      </c>
      <c r="C110" s="47"/>
      <c r="D110" s="47" t="s">
        <v>1001</v>
      </c>
      <c r="E110" s="186" t="s">
        <v>153</v>
      </c>
      <c r="F110" s="47" t="s">
        <v>259</v>
      </c>
      <c r="G110" s="69" t="s">
        <v>370</v>
      </c>
      <c r="H110" s="16"/>
      <c r="I110" s="107">
        <v>1</v>
      </c>
      <c r="J110" s="70">
        <f t="shared" si="20"/>
        <v>2.9600000287999997</v>
      </c>
      <c r="K110" s="143" cm="1">
        <f t="array" ref="K110">IF(AC110="N/A","",_xlfn.IFS(Y110="m2",(AA110*(1/(Z110/AM110)))*I110,Y110="m3",(AA110*(1/(Z110/AM110)))*I110,Y110="kg",(AA110*AL110*(1/(1/AM110)))*I110,Y110="N/A",""))</f>
        <v>2.9600000287999997</v>
      </c>
      <c r="L110" s="71">
        <f t="shared" si="21"/>
        <v>1.46</v>
      </c>
      <c r="M110" s="146" cm="1">
        <f t="array" ref="M110">_xlfn.IFS(Y110="m2",(AB110*(1/(Z110/AM110)))*I110,Y110="m3",(AB110*(1/(Z110/AM110)))*I110,Y110="kg",(AB110*AL110*(1/(1/AM110)))*I110,Y110="N/A","")</f>
        <v>1.46</v>
      </c>
      <c r="N110" s="52">
        <f t="shared" si="22"/>
        <v>1.5000000287999999</v>
      </c>
      <c r="O110" s="148" cm="1">
        <f t="array" ref="O110">IF(AC110="N/A","",_xlfn.IFS(Y110="m2",(AC110*(1/(Z110/AM110)))*I110,Y110="m3",(AC110*(1/(Z110/AM110)))*I110,Y110="kg",(AC110*AL110*(1/(1/AM110)))*I110,Y110="N/A",""))</f>
        <v>1.5000000287999999</v>
      </c>
      <c r="P110" s="72" t="str">
        <f t="shared" si="23"/>
        <v>N/A</v>
      </c>
      <c r="Q110" s="150" t="str" cm="1">
        <f t="array" ref="Q110">IF(AE110="N/A","",_xlfn.IFS(Y110="m2",(AE110*(1/(Z110/AM110)))*I110,Y110="m3",(AE110*(1/(Z110/AM110)))*I110,Y110="kg",(AE110*AL110*(1/(1/AM110)))*I110,Y110="N/A",""))</f>
        <v/>
      </c>
      <c r="R110" s="186" t="s">
        <v>5</v>
      </c>
      <c r="S110" s="47"/>
      <c r="T110" s="47">
        <v>2026</v>
      </c>
      <c r="U110" s="47" t="s">
        <v>14</v>
      </c>
      <c r="V110" s="69">
        <v>60</v>
      </c>
      <c r="W110" s="17"/>
      <c r="X110" s="178" t="s">
        <v>1002</v>
      </c>
      <c r="Y110" s="73" t="s">
        <v>15</v>
      </c>
      <c r="Z110" s="73">
        <v>3.1E-2</v>
      </c>
      <c r="AA110" s="52">
        <f t="shared" si="24"/>
        <v>2.9600000287999997</v>
      </c>
      <c r="AB110" s="52">
        <v>1.46</v>
      </c>
      <c r="AC110" s="52">
        <f>1.5+0.0000000288</f>
        <v>1.5000000287999999</v>
      </c>
      <c r="AD110" s="52">
        <v>-7.0000000000000001E-3</v>
      </c>
      <c r="AE110" s="72" t="s">
        <v>191</v>
      </c>
      <c r="AF110" s="17"/>
      <c r="AG110" s="251" t="str">
        <f t="shared" ref="AG110:AG115" si="25">AH110&amp;" "&amp;AI110</f>
        <v xml:space="preserve">E </v>
      </c>
      <c r="AH110" s="122" t="s">
        <v>16</v>
      </c>
      <c r="AI110" s="123"/>
      <c r="AJ110" s="47"/>
      <c r="AL110" s="73">
        <v>15.25</v>
      </c>
      <c r="AM110" s="47">
        <v>3.1E-2</v>
      </c>
      <c r="AN110" s="47" t="s">
        <v>191</v>
      </c>
      <c r="AP110" s="173" t="s">
        <v>17</v>
      </c>
      <c r="AQ110" s="73"/>
      <c r="AR110" s="26"/>
      <c r="AU110" s="67" cm="1">
        <f t="array" ref="AU110">_xlfn.IFS(Y110="m2",(AB110*(1/(Z110/AM110))),Y110="m3",(AB110*(1/(Z110/AM110))),Y110="kg",(AB110*AL110*(1/(Z110/AM110))),Y110="N/A",0)</f>
        <v>1.46</v>
      </c>
      <c r="AV110" s="66"/>
    </row>
    <row r="111" spans="1:48" s="25" customFormat="1" ht="25.2" customHeight="1" x14ac:dyDescent="0.15">
      <c r="A111" s="25" t="s">
        <v>30</v>
      </c>
      <c r="B111" s="47" t="s">
        <v>208</v>
      </c>
      <c r="C111" s="47"/>
      <c r="D111" s="47" t="s">
        <v>27</v>
      </c>
      <c r="E111" s="47" t="s">
        <v>142</v>
      </c>
      <c r="F111" s="47" t="s">
        <v>24</v>
      </c>
      <c r="G111" s="69" t="s">
        <v>376</v>
      </c>
      <c r="H111" s="16"/>
      <c r="I111" s="111">
        <v>1</v>
      </c>
      <c r="J111" s="70" t="str">
        <f t="shared" si="20"/>
        <v>N/A</v>
      </c>
      <c r="K111" s="143" t="str" cm="1">
        <f t="array" ref="K111">IF(AC111="N/A","",_xlfn.IFS(Y111="m2",(AA111*(1/(Z111/AM111)))*I111,Y111="m3",(AA111*(1/(Z111/AM111)))*I111,Y111="kg",(AA111*AL111*(1/(1/AM111)))*I111,Y111="N/A",""))</f>
        <v/>
      </c>
      <c r="L111" s="71" t="str">
        <f t="shared" si="21"/>
        <v>N/A</v>
      </c>
      <c r="M111" s="146" t="str" cm="1">
        <f t="array" ref="M111">_xlfn.IFS(Y111="m2",(AB111*(1/(Z111/AM111)))*I111,Y111="m3",(AB111*(1/(Z111/AM111)))*I111,Y111="kg",(AB111*AL111*(1/(1/AM111)))*I111,Y111="N/A","")</f>
        <v/>
      </c>
      <c r="N111" s="52" t="str">
        <f t="shared" si="22"/>
        <v>N/A</v>
      </c>
      <c r="O111" s="148" t="str" cm="1">
        <f t="array" ref="O111">IF(AC111="N/A","",_xlfn.IFS(Y111="m2",(AC111*(1/(Z111/AM111)))*I111,Y111="m3",(AC111*(1/(Z111/AM111)))*I111,Y111="kg",(AC111*AL111*(1/(1/AM111)))*I111,Y111="N/A",""))</f>
        <v/>
      </c>
      <c r="P111" s="72" t="str">
        <f t="shared" si="23"/>
        <v>N/A</v>
      </c>
      <c r="Q111" s="150" t="str" cm="1">
        <f t="array" ref="Q111">IF(AE111="N/A","",_xlfn.IFS(Y111="m2",(AE111*(1/(Z111/AM111)))*I111,Y111="m3",(AE111*(1/(Z111/AM111)))*I111,Y111="kg",(AE111*AL111*(1/(1/AM111)))*I111,Y111="N/A",""))</f>
        <v/>
      </c>
      <c r="R111" s="47" t="s">
        <v>191</v>
      </c>
      <c r="S111" s="47"/>
      <c r="T111" s="47" t="s">
        <v>191</v>
      </c>
      <c r="U111" s="47" t="s">
        <v>191</v>
      </c>
      <c r="V111" s="69" t="s">
        <v>191</v>
      </c>
      <c r="W111" s="17"/>
      <c r="X111" s="178" t="s">
        <v>191</v>
      </c>
      <c r="Y111" s="73" t="s">
        <v>191</v>
      </c>
      <c r="Z111" s="73" t="s">
        <v>191</v>
      </c>
      <c r="AA111" s="52" t="str">
        <f t="shared" si="24"/>
        <v>N/A</v>
      </c>
      <c r="AB111" s="52" t="s">
        <v>191</v>
      </c>
      <c r="AC111" s="52" t="s">
        <v>191</v>
      </c>
      <c r="AD111" s="52" t="s">
        <v>191</v>
      </c>
      <c r="AE111" s="72" t="s">
        <v>191</v>
      </c>
      <c r="AF111" s="17"/>
      <c r="AG111" s="74" t="str">
        <f t="shared" si="25"/>
        <v xml:space="preserve">E </v>
      </c>
      <c r="AH111" s="75" t="s">
        <v>16</v>
      </c>
      <c r="AI111" s="76"/>
      <c r="AJ111" s="77"/>
      <c r="AL111" s="73">
        <v>140</v>
      </c>
      <c r="AM111" s="47">
        <v>4.5999999999999999E-2</v>
      </c>
      <c r="AN111" s="47">
        <v>2100</v>
      </c>
      <c r="AP111" s="80" t="s">
        <v>17</v>
      </c>
      <c r="AQ111" s="256"/>
      <c r="AR111" s="26"/>
      <c r="AU111" s="67" cm="1">
        <f t="array" ref="AU111">_xlfn.IFS(Y111="m2",(AB111*(1/(Z111/AM111))),Y111="m3",(AB111*(1/(Z111/AM111))),Y111="kg",(AB111*AL111*(1/(Z111/AM111))),Y111="N/A",0)</f>
        <v>0</v>
      </c>
      <c r="AV111" s="66"/>
    </row>
    <row r="112" spans="1:48" s="25" customFormat="1" ht="25.2" customHeight="1" x14ac:dyDescent="0.15">
      <c r="A112" s="25" t="s">
        <v>26</v>
      </c>
      <c r="B112" s="47" t="s">
        <v>208</v>
      </c>
      <c r="C112" s="47"/>
      <c r="D112" s="47" t="s">
        <v>27</v>
      </c>
      <c r="E112" s="82" t="s">
        <v>142</v>
      </c>
      <c r="F112" s="47" t="s">
        <v>24</v>
      </c>
      <c r="G112" s="69" t="s">
        <v>376</v>
      </c>
      <c r="H112" s="16"/>
      <c r="I112" s="111">
        <v>1</v>
      </c>
      <c r="J112" s="70">
        <f t="shared" si="20"/>
        <v>5.4554999999999989</v>
      </c>
      <c r="K112" s="143" cm="1">
        <f t="array" ref="K112">IF(AC112="N/A","",_xlfn.IFS(Y112="m2",(AA112*(1/(Z112/AM112)))*I112,Y112="m3",(AA112*(1/(Z112/AM112)))*I112,Y112="kg",(AA112*AL112*(1/(1/AM112)))*I112,Y112="N/A",""))</f>
        <v>5.4554999999999989</v>
      </c>
      <c r="L112" s="71">
        <f t="shared" si="21"/>
        <v>-3.8685000000000005</v>
      </c>
      <c r="M112" s="146" cm="1">
        <f t="array" ref="M112">_xlfn.IFS(Y112="m2",(AB112*(1/(Z112/AM112)))*I112,Y112="m3",(AB112*(1/(Z112/AM112)))*I112,Y112="kg",(AB112*AL112*(1/(1/AM112)))*I112,Y112="N/A","")</f>
        <v>-3.8685000000000005</v>
      </c>
      <c r="N112" s="52">
        <f t="shared" si="22"/>
        <v>9.3239999999999998</v>
      </c>
      <c r="O112" s="148" cm="1">
        <f t="array" ref="O112">IF(AC112="N/A","",_xlfn.IFS(Y112="m2",(AC112*(1/(Z112/AM112)))*I112,Y112="m3",(AC112*(1/(Z112/AM112)))*I112,Y112="kg",(AC112*AL112*(1/(1/AM112)))*I112,Y112="N/A",""))</f>
        <v>9.3239999999999998</v>
      </c>
      <c r="P112" s="72">
        <f t="shared" si="23"/>
        <v>-9.5299671999999997</v>
      </c>
      <c r="Q112" s="150" cm="1">
        <f t="array" ref="Q112">IF(AE112="N/A","",_xlfn.IFS(Y112="m2",(AE112*(1/(Z112/AM112)))*I112,Y112="m3",(AE112*(1/(Z112/AM112)))*I112,Y112="kg",(AE112*AL112*(1/(1/AM112)))*I112,Y112="N/A",""))</f>
        <v>-9.5299671999999997</v>
      </c>
      <c r="R112" s="82" t="s">
        <v>5</v>
      </c>
      <c r="S112" s="164"/>
      <c r="T112" s="47">
        <v>2026</v>
      </c>
      <c r="U112" s="47" t="s">
        <v>28</v>
      </c>
      <c r="V112" s="69">
        <v>60</v>
      </c>
      <c r="W112" s="17"/>
      <c r="X112" s="178" t="s">
        <v>535</v>
      </c>
      <c r="Y112" s="73" t="s">
        <v>15</v>
      </c>
      <c r="Z112" s="73">
        <v>4.2999999999999997E-2</v>
      </c>
      <c r="AA112" s="52">
        <f t="shared" si="24"/>
        <v>5.4554999999999989</v>
      </c>
      <c r="AB112" s="52">
        <f>-5.99+0.0615+2.06</f>
        <v>-3.8685000000000005</v>
      </c>
      <c r="AC112" s="52">
        <f>8.86+0.464</f>
        <v>9.3239999999999998</v>
      </c>
      <c r="AD112" s="52">
        <v>-3.06</v>
      </c>
      <c r="AE112" s="72">
        <f>-8.53+0.0000328+-1</f>
        <v>-9.5299671999999997</v>
      </c>
      <c r="AF112" s="17"/>
      <c r="AG112" s="74" t="str">
        <f t="shared" si="25"/>
        <v xml:space="preserve">E </v>
      </c>
      <c r="AH112" s="75" t="s">
        <v>16</v>
      </c>
      <c r="AI112" s="76"/>
      <c r="AJ112" s="77"/>
      <c r="AL112" s="73">
        <v>140</v>
      </c>
      <c r="AM112" s="47">
        <v>4.2999999999999997E-2</v>
      </c>
      <c r="AN112" s="47">
        <v>2100</v>
      </c>
      <c r="AP112" s="80" t="s">
        <v>17</v>
      </c>
      <c r="AQ112" s="256"/>
      <c r="AR112" s="26"/>
      <c r="AU112" s="67" cm="1">
        <f t="array" ref="AU112">_xlfn.IFS(Y112="m2",(AB112*(1/(Z112/AM112))),Y112="m3",(AB112*(1/(Z112/AM112))),Y112="kg",(AB112*AL112*(1/(Z112/AM112))),Y112="N/A",0)</f>
        <v>-3.8685000000000005</v>
      </c>
      <c r="AV112" s="66"/>
    </row>
    <row r="113" spans="1:48" s="25" customFormat="1" ht="25.2" customHeight="1" x14ac:dyDescent="0.15">
      <c r="A113" s="25" t="s">
        <v>995</v>
      </c>
      <c r="B113" s="47" t="s">
        <v>208</v>
      </c>
      <c r="C113" s="47"/>
      <c r="D113" s="92" t="s">
        <v>89</v>
      </c>
      <c r="E113" s="82" t="s">
        <v>149</v>
      </c>
      <c r="F113" s="47" t="s">
        <v>132</v>
      </c>
      <c r="G113" s="93" t="s">
        <v>292</v>
      </c>
      <c r="H113" s="28"/>
      <c r="I113" s="111">
        <v>1</v>
      </c>
      <c r="J113" s="70">
        <f t="shared" si="20"/>
        <v>0.86073100000000002</v>
      </c>
      <c r="K113" s="143" cm="1">
        <f t="array" ref="K113">IF(AC113="N/A","",_xlfn.IFS(Y113="m2",(AA113*(1/(Z113/AM113)))*I113,Y113="m3",(AA113*(1/(Z113/AM113)))*I113,Y113="kg",(AA113*AL113*(1/(1/AM113)))*I113,Y113="N/A",""))</f>
        <v>0.86073100000000002</v>
      </c>
      <c r="L113" s="71">
        <f t="shared" si="21"/>
        <v>-1.573499</v>
      </c>
      <c r="M113" s="146" cm="1">
        <f t="array" ref="M113">_xlfn.IFS(Y113="m2",(AB113*(1/(Z113/AM113)))*I113,Y113="m3",(AB113*(1/(Z113/AM113)))*I113,Y113="kg",(AB113*AL113*(1/(1/AM113)))*I113,Y113="N/A","")</f>
        <v>-1.573499</v>
      </c>
      <c r="N113" s="52">
        <f t="shared" si="22"/>
        <v>2.4342299999999999</v>
      </c>
      <c r="O113" s="148" cm="1">
        <f t="array" ref="O113">IF(AC113="N/A","",_xlfn.IFS(Y113="m2",(AC113*(1/(Z113/AM113)))*I113,Y113="m3",(AC113*(1/(Z113/AM113)))*I113,Y113="kg",(AC113*AL113*(1/(1/AM113)))*I113,Y113="N/A",""))</f>
        <v>2.4342299999999999</v>
      </c>
      <c r="P113" s="72">
        <f t="shared" si="23"/>
        <v>-2.41832</v>
      </c>
      <c r="Q113" s="150" cm="1">
        <f t="array" ref="Q113">IF(AE113="N/A","",_xlfn.IFS(Y113="m2",(AE113*(1/(Z113/AM113)))*I113,Y113="m3",(AE113*(1/(Z113/AM113)))*I113,Y113="kg",(AE113*AL113*(1/(1/AM113)))*I113,Y113="N/A",""))</f>
        <v>-2.41832</v>
      </c>
      <c r="R113" s="82" t="s">
        <v>5</v>
      </c>
      <c r="S113" s="164" t="s">
        <v>377</v>
      </c>
      <c r="T113" s="47">
        <v>2027</v>
      </c>
      <c r="U113" s="47" t="s">
        <v>28</v>
      </c>
      <c r="V113" s="69" t="s">
        <v>191</v>
      </c>
      <c r="W113" s="17"/>
      <c r="X113" s="178" t="s">
        <v>536</v>
      </c>
      <c r="Y113" s="73" t="s">
        <v>61</v>
      </c>
      <c r="Z113" s="73" t="s">
        <v>191</v>
      </c>
      <c r="AA113" s="52">
        <f t="shared" si="24"/>
        <v>0.54100000000000004</v>
      </c>
      <c r="AB113" s="52">
        <v>-0.98899999999999999</v>
      </c>
      <c r="AC113" s="52">
        <v>1.53</v>
      </c>
      <c r="AD113" s="52">
        <v>-0.46600000000000003</v>
      </c>
      <c r="AE113" s="72">
        <v>-1.52</v>
      </c>
      <c r="AF113" s="17"/>
      <c r="AG113" s="74" t="str">
        <f t="shared" si="25"/>
        <v>B s2
d0</v>
      </c>
      <c r="AH113" s="75" t="s">
        <v>178</v>
      </c>
      <c r="AI113" s="83" t="s">
        <v>177</v>
      </c>
      <c r="AJ113" s="84"/>
      <c r="AL113" s="73">
        <f>43</f>
        <v>43</v>
      </c>
      <c r="AM113" s="47">
        <f>(0.036+0.038)/2</f>
        <v>3.6999999999999998E-2</v>
      </c>
      <c r="AN113" s="47">
        <v>1400</v>
      </c>
      <c r="AP113" s="80" t="s">
        <v>17</v>
      </c>
      <c r="AQ113" s="106" t="s">
        <v>17</v>
      </c>
      <c r="AR113" s="26"/>
      <c r="AU113" s="67" t="e" cm="1">
        <f t="array" ref="AU113">_xlfn.IFS(Y113="m2",(AB113*(1/(Z113/AM113))),Y113="m3",(AB113*(1/(Z113/AM113))),Y113="kg",(AB113*AL113*(1/(Z113/AM113))),Y113="N/A",0)</f>
        <v>#VALUE!</v>
      </c>
      <c r="AV113" s="66"/>
    </row>
    <row r="114" spans="1:48" s="25" customFormat="1" ht="25.2" customHeight="1" x14ac:dyDescent="0.15">
      <c r="A114" s="25" t="s">
        <v>994</v>
      </c>
      <c r="B114" s="47" t="s">
        <v>208</v>
      </c>
      <c r="C114" s="47"/>
      <c r="D114" s="92" t="s">
        <v>89</v>
      </c>
      <c r="E114" s="82" t="s">
        <v>149</v>
      </c>
      <c r="F114" s="47" t="s">
        <v>132</v>
      </c>
      <c r="G114" s="93" t="s">
        <v>292</v>
      </c>
      <c r="H114" s="28"/>
      <c r="I114" s="111">
        <v>1</v>
      </c>
      <c r="J114" s="70">
        <f t="shared" si="20"/>
        <v>0.52044199999999996</v>
      </c>
      <c r="K114" s="143" cm="1">
        <f t="array" ref="K114">IF(AC114="N/A","",_xlfn.IFS(Y114="m2",(AA114*(1/(Z114/AM114)))*I114,Y114="m3",(AA114*(1/(Z114/AM114)))*I114,Y114="kg",(AA114*AL114*(1/(1/AM114)))*I114,Y114="N/A",""))</f>
        <v>0.52044199999999996</v>
      </c>
      <c r="L114" s="71">
        <f t="shared" si="21"/>
        <v>-0.95141799999999987</v>
      </c>
      <c r="M114" s="146" cm="1">
        <f t="array" ref="M114">_xlfn.IFS(Y114="m2",(AB114*(1/(Z114/AM114)))*I114,Y114="m3",(AB114*(1/(Z114/AM114)))*I114,Y114="kg",(AB114*AL114*(1/(1/AM114)))*I114,Y114="N/A","")</f>
        <v>-0.95141799999999987</v>
      </c>
      <c r="N114" s="52">
        <f t="shared" si="22"/>
        <v>1.4718599999999999</v>
      </c>
      <c r="O114" s="148" cm="1">
        <f t="array" ref="O114">IF(AC114="N/A","",_xlfn.IFS(Y114="m2",(AC114*(1/(Z114/AM114)))*I114,Y114="m3",(AC114*(1/(Z114/AM114)))*I114,Y114="kg",(AC114*AL114*(1/(1/AM114)))*I114,Y114="N/A",""))</f>
        <v>1.4718599999999999</v>
      </c>
      <c r="P114" s="72">
        <f t="shared" si="23"/>
        <v>-1.46224</v>
      </c>
      <c r="Q114" s="150" cm="1">
        <f t="array" ref="Q114">IF(AE114="N/A","",_xlfn.IFS(Y114="m2",(AE114*(1/(Z114/AM114)))*I114,Y114="m3",(AE114*(1/(Z114/AM114)))*I114,Y114="kg",(AE114*AL114*(1/(1/AM114)))*I114,Y114="N/A",""))</f>
        <v>-1.46224</v>
      </c>
      <c r="R114" s="82" t="s">
        <v>5</v>
      </c>
      <c r="S114" s="164" t="s">
        <v>377</v>
      </c>
      <c r="T114" s="47">
        <v>2027</v>
      </c>
      <c r="U114" s="47" t="s">
        <v>28</v>
      </c>
      <c r="V114" s="69" t="s">
        <v>191</v>
      </c>
      <c r="W114" s="17"/>
      <c r="X114" s="178" t="s">
        <v>536</v>
      </c>
      <c r="Y114" s="73" t="s">
        <v>61</v>
      </c>
      <c r="Z114" s="73" t="s">
        <v>191</v>
      </c>
      <c r="AA114" s="52">
        <f t="shared" si="24"/>
        <v>0.54100000000000004</v>
      </c>
      <c r="AB114" s="52">
        <v>-0.98899999999999999</v>
      </c>
      <c r="AC114" s="52">
        <v>1.53</v>
      </c>
      <c r="AD114" s="52">
        <v>-0.46600000000000003</v>
      </c>
      <c r="AE114" s="72">
        <v>-1.52</v>
      </c>
      <c r="AF114" s="17"/>
      <c r="AG114" s="74" t="str">
        <f t="shared" si="25"/>
        <v>B s2
d0</v>
      </c>
      <c r="AH114" s="75" t="s">
        <v>178</v>
      </c>
      <c r="AI114" s="83" t="s">
        <v>177</v>
      </c>
      <c r="AJ114" s="84"/>
      <c r="AL114" s="73">
        <f>26</f>
        <v>26</v>
      </c>
      <c r="AM114" s="47">
        <f>(0.036+0.038)/2</f>
        <v>3.6999999999999998E-2</v>
      </c>
      <c r="AN114" s="47">
        <v>1400</v>
      </c>
      <c r="AP114" s="80" t="s">
        <v>17</v>
      </c>
      <c r="AQ114" s="106" t="s">
        <v>17</v>
      </c>
      <c r="AR114" s="26"/>
      <c r="AU114" s="67" t="e" cm="1">
        <f t="array" ref="AU114">_xlfn.IFS(Y114="m2",(AB114*(1/(Z114/AM114))),Y114="m3",(AB114*(1/(Z114/AM114))),Y114="kg",(AB114*AL114*(1/(Z114/AM114))),Y114="N/A",0)</f>
        <v>#VALUE!</v>
      </c>
      <c r="AV114" s="66"/>
    </row>
    <row r="115" spans="1:48" s="25" customFormat="1" ht="25.2" customHeight="1" x14ac:dyDescent="0.15">
      <c r="A115" s="25" t="s">
        <v>88</v>
      </c>
      <c r="B115" s="47" t="s">
        <v>208</v>
      </c>
      <c r="C115" s="47"/>
      <c r="D115" s="92" t="s">
        <v>89</v>
      </c>
      <c r="E115" s="92" t="s">
        <v>149</v>
      </c>
      <c r="F115" s="47" t="s">
        <v>132</v>
      </c>
      <c r="G115" s="93" t="s">
        <v>376</v>
      </c>
      <c r="H115" s="28"/>
      <c r="I115" s="111">
        <v>1</v>
      </c>
      <c r="J115" s="70">
        <f t="shared" si="20"/>
        <v>0.47520000000000007</v>
      </c>
      <c r="K115" s="143" cm="1">
        <f t="array" ref="K115">IF(AC115="N/A","",_xlfn.IFS(Y115="m2",(AA115*(1/(Z115/AM115)))*I115,Y115="m3",(AA115*(1/(Z115/AM115)))*I115,Y115="kg",(AA115*AL115*(1/(1/AM115)))*I115,Y115="N/A",""))</f>
        <v>0.47520000000000007</v>
      </c>
      <c r="L115" s="71">
        <f t="shared" si="21"/>
        <v>-2.4299999999999997</v>
      </c>
      <c r="M115" s="146" cm="1">
        <f t="array" ref="M115">_xlfn.IFS(Y115="m2",(AB115*(1/(Z115/AM115)))*I115,Y115="m3",(AB115*(1/(Z115/AM115)))*I115,Y115="kg",(AB115*AL115*(1/(1/AM115)))*I115,Y115="N/A","")</f>
        <v>-2.4299999999999997</v>
      </c>
      <c r="N115" s="52">
        <f t="shared" si="22"/>
        <v>2.9051999999999998</v>
      </c>
      <c r="O115" s="148" cm="1">
        <f t="array" ref="O115">IF(AC115="N/A","",_xlfn.IFS(Y115="m2",(AC115*(1/(Z115/AM115)))*I115,Y115="m3",(AC115*(1/(Z115/AM115)))*I115,Y115="kg",(AC115*AL115*(1/(1/AM115)))*I115,Y115="N/A",""))</f>
        <v>2.9051999999999998</v>
      </c>
      <c r="P115" s="72" t="str">
        <f t="shared" si="23"/>
        <v>N/A</v>
      </c>
      <c r="Q115" s="150"/>
      <c r="R115" s="47" t="s">
        <v>5</v>
      </c>
      <c r="S115" s="47"/>
      <c r="T115" s="47">
        <v>2023</v>
      </c>
      <c r="U115" s="47" t="s">
        <v>14</v>
      </c>
      <c r="V115" s="69">
        <v>50</v>
      </c>
      <c r="W115" s="17"/>
      <c r="X115" s="178" t="s">
        <v>846</v>
      </c>
      <c r="Y115" s="73" t="s">
        <v>20</v>
      </c>
      <c r="Z115" s="73">
        <v>1</v>
      </c>
      <c r="AA115" s="52">
        <f t="shared" si="24"/>
        <v>13.200000000000003</v>
      </c>
      <c r="AB115" s="52">
        <f>-67.5</f>
        <v>-67.5</v>
      </c>
      <c r="AC115" s="52">
        <f>80.7+0</f>
        <v>80.7</v>
      </c>
      <c r="AD115" s="52">
        <v>-42.6</v>
      </c>
      <c r="AE115" s="72" t="s">
        <v>191</v>
      </c>
      <c r="AF115" s="17"/>
      <c r="AG115" s="74" t="str">
        <f t="shared" si="25"/>
        <v xml:space="preserve">E </v>
      </c>
      <c r="AH115" s="75" t="s">
        <v>16</v>
      </c>
      <c r="AI115" s="76"/>
      <c r="AJ115" s="77"/>
      <c r="AL115" s="73">
        <v>50</v>
      </c>
      <c r="AM115" s="47">
        <v>3.5999999999999997E-2</v>
      </c>
      <c r="AN115" s="47">
        <v>2100</v>
      </c>
      <c r="AP115" s="80" t="s">
        <v>17</v>
      </c>
      <c r="AQ115" s="81"/>
      <c r="AR115" s="26"/>
      <c r="AU115" s="67" cm="1">
        <f t="array" ref="AU115">_xlfn.IFS(Y115="m2",(AB115*(1/(Z115/AM115))),Y115="m3",(AB115*(1/(Z115/AM115))),Y115="kg",(AB115*AL115*(1/(Z115/AM115))),Y115="N/A",0)</f>
        <v>-2.4299999999999997</v>
      </c>
      <c r="AV115" s="66"/>
    </row>
    <row r="116" spans="1:48" s="25" customFormat="1" ht="25.2" customHeight="1" x14ac:dyDescent="0.15">
      <c r="A116" s="25" t="s">
        <v>1038</v>
      </c>
      <c r="B116" s="47" t="s">
        <v>210</v>
      </c>
      <c r="C116" s="47"/>
      <c r="D116" s="47" t="s">
        <v>209</v>
      </c>
      <c r="E116" s="186" t="s">
        <v>146</v>
      </c>
      <c r="F116" s="47" t="s">
        <v>296</v>
      </c>
      <c r="G116" s="69" t="s">
        <v>370</v>
      </c>
      <c r="H116" s="16"/>
      <c r="I116" s="107">
        <v>1</v>
      </c>
      <c r="J116" s="70">
        <f t="shared" si="20"/>
        <v>2.7974699999999997</v>
      </c>
      <c r="K116" s="143" cm="1">
        <f t="array" ref="K116">IF(AC116="N/A","",_xlfn.IFS(Y116="m2",(AA116*(1/(Z116/AM116)))*I116,Y116="m3",(AA116*(1/(Z116/AM116)))*I116,Y116="kg",(AA116*AL116*(1/(1/AM116)))*I116,Y116="N/A",""))</f>
        <v>2.7974699999999997</v>
      </c>
      <c r="L116" s="71">
        <f t="shared" si="21"/>
        <v>2.7429999999999999</v>
      </c>
      <c r="M116" s="146" cm="1">
        <f t="array" ref="M116">_xlfn.IFS(Y116="m2",(AB116*(1/(Z116/AM116)))*I116,Y116="m3",(AB116*(1/(Z116/AM116)))*I116,Y116="kg",(AB116*AL116*(1/(1/AM116)))*I116,Y116="N/A","")</f>
        <v>2.7429999999999999</v>
      </c>
      <c r="N116" s="52">
        <f t="shared" si="22"/>
        <v>5.4470000000000005E-2</v>
      </c>
      <c r="O116" s="148" cm="1">
        <f t="array" ref="O116">IF(AC116="N/A","",_xlfn.IFS(Y116="m2",(AC116*(1/(Z116/AM116)))*I116,Y116="m3",(AC116*(1/(Z116/AM116)))*I116,Y116="kg",(AC116*AL116*(1/(1/AM116)))*I116,Y116="N/A",""))</f>
        <v>5.4470000000000005E-2</v>
      </c>
      <c r="P116" s="72">
        <f t="shared" si="23"/>
        <v>-0.20280000000000001</v>
      </c>
      <c r="Q116" s="150" cm="1">
        <f t="array" ref="Q116">IF(AE116="N/A","",_xlfn.IFS(Y116="m2",(AE116*(1/(Z116/AM116)))*I116,Y116="m3",(AE116*(1/(Z116/AM116)))*I116,Y116="kg",(AE116*AL116*(1/(1/AM116)))*I116,Y116="N/A",""))</f>
        <v>-0.20280000000000001</v>
      </c>
      <c r="R116" s="186" t="s">
        <v>5</v>
      </c>
      <c r="S116" s="47"/>
      <c r="T116" s="47">
        <v>2028</v>
      </c>
      <c r="U116" s="47" t="s">
        <v>28</v>
      </c>
      <c r="V116" s="69">
        <v>60</v>
      </c>
      <c r="W116" s="17"/>
      <c r="X116" s="178" t="s">
        <v>1044</v>
      </c>
      <c r="Y116" s="73" t="s">
        <v>15</v>
      </c>
      <c r="Z116" s="73">
        <v>3.6999999999999998E-2</v>
      </c>
      <c r="AA116" s="52">
        <f t="shared" si="24"/>
        <v>2.7974699999999997</v>
      </c>
      <c r="AB116" s="52">
        <f>(2.11)*1.3</f>
        <v>2.7429999999999999</v>
      </c>
      <c r="AC116" s="52">
        <f>(0+0.0419)*1.3</f>
        <v>5.4470000000000005E-2</v>
      </c>
      <c r="AD116" s="52">
        <f>(-0.0833)*1.3</f>
        <v>-0.10829</v>
      </c>
      <c r="AE116" s="72">
        <f>(-0.156)*1.3</f>
        <v>-0.20280000000000001</v>
      </c>
      <c r="AF116" s="17"/>
      <c r="AG116" s="251"/>
      <c r="AH116" s="122" t="s">
        <v>58</v>
      </c>
      <c r="AI116" s="123"/>
      <c r="AJ116" s="47"/>
      <c r="AL116" s="73">
        <v>105</v>
      </c>
      <c r="AM116" s="47">
        <v>3.6999999999999998E-2</v>
      </c>
      <c r="AN116" s="47" t="s">
        <v>191</v>
      </c>
      <c r="AP116" s="173" t="s">
        <v>17</v>
      </c>
      <c r="AQ116" s="73"/>
      <c r="AR116" s="26"/>
      <c r="AU116" s="67" cm="1">
        <f t="array" ref="AU116">_xlfn.IFS(Y116="m2",(AB116*(1/(Z116/AM116))),Y116="m3",(AB116*(1/(Z116/AM116))),Y116="kg",(AB116*AL116*(1/(Z116/AM116))),Y116="N/A",0)</f>
        <v>2.7429999999999999</v>
      </c>
      <c r="AV116" s="66"/>
    </row>
    <row r="117" spans="1:48" ht="25.2" customHeight="1" x14ac:dyDescent="0.15">
      <c r="A117" s="25" t="s">
        <v>1039</v>
      </c>
      <c r="B117" s="47" t="s">
        <v>210</v>
      </c>
      <c r="C117" s="47"/>
      <c r="D117" s="47" t="s">
        <v>209</v>
      </c>
      <c r="E117" s="186" t="s">
        <v>146</v>
      </c>
      <c r="F117" s="47" t="s">
        <v>296</v>
      </c>
      <c r="G117" s="69" t="s">
        <v>370</v>
      </c>
      <c r="I117" s="107">
        <v>1</v>
      </c>
      <c r="J117" s="70">
        <f t="shared" si="20"/>
        <v>2.7974699999999997</v>
      </c>
      <c r="K117" s="143" cm="1">
        <f t="array" ref="K117">IF(AC117="N/A","",_xlfn.IFS(Y117="m2",(AA117*(1/(Z117/AM117)))*I117,Y117="m3",(AA117*(1/(Z117/AM117)))*I117,Y117="kg",(AA117*AL117*(1/(1/AM117)))*I117,Y117="N/A",""))</f>
        <v>2.7974699999999997</v>
      </c>
      <c r="L117" s="71">
        <f t="shared" si="21"/>
        <v>2.7429999999999999</v>
      </c>
      <c r="M117" s="146" cm="1">
        <f t="array" ref="M117">_xlfn.IFS(Y117="m2",(AB117*(1/(Z117/AM117)))*I117,Y117="m3",(AB117*(1/(Z117/AM117)))*I117,Y117="kg",(AB117*AL117*(1/(1/AM117)))*I117,Y117="N/A","")</f>
        <v>2.7429999999999999</v>
      </c>
      <c r="N117" s="52">
        <f t="shared" si="22"/>
        <v>5.4470000000000005E-2</v>
      </c>
      <c r="O117" s="148" cm="1">
        <f t="array" ref="O117">IF(AC117="N/A","",_xlfn.IFS(Y117="m2",(AC117*(1/(Z117/AM117)))*I117,Y117="m3",(AC117*(1/(Z117/AM117)))*I117,Y117="kg",(AC117*AL117*(1/(1/AM117)))*I117,Y117="N/A",""))</f>
        <v>5.4470000000000005E-2</v>
      </c>
      <c r="P117" s="72">
        <f t="shared" si="23"/>
        <v>-0.20280000000000001</v>
      </c>
      <c r="Q117" s="150" cm="1">
        <f t="array" ref="Q117">IF(AE117="N/A","",_xlfn.IFS(Y117="m2",(AE117*(1/(Z117/AM117)))*I117,Y117="m3",(AE117*(1/(Z117/AM117)))*I117,Y117="kg",(AE117*AL117*(1/(1/AM117)))*I117,Y117="N/A",""))</f>
        <v>-0.20280000000000001</v>
      </c>
      <c r="R117" s="186" t="s">
        <v>5</v>
      </c>
      <c r="S117" s="47"/>
      <c r="T117" s="47">
        <v>2028</v>
      </c>
      <c r="U117" s="47" t="s">
        <v>28</v>
      </c>
      <c r="V117" s="47">
        <v>60</v>
      </c>
      <c r="X117" s="180" t="s">
        <v>1044</v>
      </c>
      <c r="Y117" s="47" t="s">
        <v>15</v>
      </c>
      <c r="Z117" s="47">
        <v>3.6999999999999998E-2</v>
      </c>
      <c r="AA117" s="52">
        <f t="shared" si="24"/>
        <v>2.7974699999999997</v>
      </c>
      <c r="AB117" s="52">
        <f>(2.11)*1.3</f>
        <v>2.7429999999999999</v>
      </c>
      <c r="AC117" s="52">
        <f>(0+0.0419)*1.3</f>
        <v>5.4470000000000005E-2</v>
      </c>
      <c r="AD117" s="52">
        <f>(-0.0833)*1.3</f>
        <v>-0.10829</v>
      </c>
      <c r="AE117" s="52">
        <f>(-0.156)*1.3</f>
        <v>-0.20280000000000001</v>
      </c>
      <c r="AG117" s="251"/>
      <c r="AH117" s="122" t="s">
        <v>58</v>
      </c>
      <c r="AI117" s="123"/>
      <c r="AJ117" s="69"/>
      <c r="AL117" s="47">
        <v>103</v>
      </c>
      <c r="AM117" s="47">
        <v>3.6999999999999998E-2</v>
      </c>
      <c r="AN117" s="47" t="s">
        <v>191</v>
      </c>
      <c r="AP117" s="173" t="s">
        <v>17</v>
      </c>
      <c r="AQ117" s="73"/>
      <c r="AU117" s="67" cm="1">
        <f t="array" ref="AU117">_xlfn.IFS(Y117="m2",(AB117*(1/(Z117/AM117))),Y117="m3",(AB117*(1/(Z117/AM117))),Y117="kg",(AB117*AL117*(1/(Z117/AM117))),Y117="N/A",0)</f>
        <v>2.7429999999999999</v>
      </c>
    </row>
    <row r="118" spans="1:48" ht="25.2" customHeight="1" x14ac:dyDescent="0.15">
      <c r="A118" s="29" t="s">
        <v>1040</v>
      </c>
      <c r="B118" s="97" t="s">
        <v>210</v>
      </c>
      <c r="C118" s="97"/>
      <c r="D118" s="97" t="s">
        <v>209</v>
      </c>
      <c r="E118" s="260" t="s">
        <v>146</v>
      </c>
      <c r="F118" s="97" t="s">
        <v>296</v>
      </c>
      <c r="G118" s="69" t="s">
        <v>370</v>
      </c>
      <c r="I118" s="107">
        <v>1</v>
      </c>
      <c r="J118" s="70">
        <f t="shared" si="20"/>
        <v>2.7974699999999997</v>
      </c>
      <c r="K118" s="143" cm="1">
        <f t="array" ref="K118">IF(AC118="N/A","",_xlfn.IFS(Y118="m2",(AA118*(1/(Z118/AM118)))*I118,Y118="m3",(AA118*(1/(Z118/AM118)))*I118,Y118="kg",(AA118*AL118*(1/(1/AM118)))*I118,Y118="N/A",""))</f>
        <v>2.7974699999999997</v>
      </c>
      <c r="L118" s="71">
        <f t="shared" si="21"/>
        <v>2.7429999999999999</v>
      </c>
      <c r="M118" s="146" cm="1">
        <f t="array" ref="M118">_xlfn.IFS(Y118="m2",(AB118*(1/(Z118/AM118)))*I118,Y118="m3",(AB118*(1/(Z118/AM118)))*I118,Y118="kg",(AB118*AL118*(1/(1/AM118)))*I118,Y118="N/A","")</f>
        <v>2.7429999999999999</v>
      </c>
      <c r="N118" s="52">
        <f t="shared" si="22"/>
        <v>5.4470000000000005E-2</v>
      </c>
      <c r="O118" s="148" cm="1">
        <f t="array" ref="O118">IF(AC118="N/A","",_xlfn.IFS(Y118="m2",(AC118*(1/(Z118/AM118)))*I118,Y118="m3",(AC118*(1/(Z118/AM118)))*I118,Y118="kg",(AC118*AL118*(1/(1/AM118)))*I118,Y118="N/A",""))</f>
        <v>5.4470000000000005E-2</v>
      </c>
      <c r="P118" s="72">
        <f t="shared" si="23"/>
        <v>-0.20280000000000001</v>
      </c>
      <c r="Q118" s="150" cm="1">
        <f t="array" ref="Q118">IF(AE118="N/A","",_xlfn.IFS(Y118="m2",(AE118*(1/(Z118/AM118)))*I118,Y118="m3",(AE118*(1/(Z118/AM118)))*I118,Y118="kg",(AE118*AL118*(1/(1/AM118)))*I118,Y118="N/A",""))</f>
        <v>-0.20280000000000001</v>
      </c>
      <c r="R118" s="260" t="s">
        <v>5</v>
      </c>
      <c r="S118" s="97"/>
      <c r="T118" s="97">
        <v>2028</v>
      </c>
      <c r="U118" s="97" t="s">
        <v>28</v>
      </c>
      <c r="V118" s="97">
        <v>60</v>
      </c>
      <c r="X118" s="244" t="s">
        <v>1044</v>
      </c>
      <c r="Y118" s="97" t="s">
        <v>15</v>
      </c>
      <c r="Z118" s="97">
        <v>3.6999999999999998E-2</v>
      </c>
      <c r="AA118" s="240">
        <f t="shared" si="24"/>
        <v>2.7974699999999997</v>
      </c>
      <c r="AB118" s="240">
        <f>(2.11)*1.3</f>
        <v>2.7429999999999999</v>
      </c>
      <c r="AC118" s="240">
        <f>(0+0.0419)*1.3</f>
        <v>5.4470000000000005E-2</v>
      </c>
      <c r="AD118" s="240">
        <f>(-0.0833)*1.3</f>
        <v>-0.10829</v>
      </c>
      <c r="AE118" s="240">
        <f>(-0.156)*1.3</f>
        <v>-0.20280000000000001</v>
      </c>
      <c r="AF118" s="252"/>
      <c r="AG118" s="262"/>
      <c r="AH118" s="232" t="s">
        <v>58</v>
      </c>
      <c r="AI118" s="263"/>
      <c r="AJ118" s="98"/>
      <c r="AL118" s="97">
        <v>100</v>
      </c>
      <c r="AM118" s="97">
        <v>3.6999999999999998E-2</v>
      </c>
      <c r="AN118" s="97" t="s">
        <v>191</v>
      </c>
      <c r="AP118" s="173" t="s">
        <v>17</v>
      </c>
      <c r="AQ118" s="73"/>
      <c r="AU118" s="61" cm="1">
        <f t="array" ref="AU118">_xlfn.IFS(Y118="m2",(AB118*(1/(Z118/AM118))),Y118="m3",(AB118*(1/(Z118/AM118))),Y118="kg",(AB118*AL118*(1/(Z118/AM118))),Y118="N/A",0)</f>
        <v>2.7429999999999999</v>
      </c>
    </row>
    <row r="119" spans="1:48" s="25" customFormat="1" ht="25.2" customHeight="1" x14ac:dyDescent="0.15">
      <c r="A119" s="25" t="s">
        <v>1012</v>
      </c>
      <c r="B119" s="97" t="s">
        <v>210</v>
      </c>
      <c r="C119" s="97"/>
      <c r="D119" s="47" t="s">
        <v>209</v>
      </c>
      <c r="E119" s="186" t="s">
        <v>146</v>
      </c>
      <c r="F119" s="47" t="s">
        <v>296</v>
      </c>
      <c r="G119" s="69" t="s">
        <v>370</v>
      </c>
      <c r="H119" s="47"/>
      <c r="I119" s="107">
        <v>1</v>
      </c>
      <c r="J119" s="236">
        <f t="shared" si="20"/>
        <v>2.8269449999999998</v>
      </c>
      <c r="K119" s="237" cm="1">
        <f t="array" ref="K119">IF(AC119="N/A","",_xlfn.IFS(Y119="m2",(AA119*(1/(Z119/AM119)))*I119,Y119="m3",(AA119*(1/(Z119/AM119)))*I119,Y119="kg",(AA119*AL119*(1/(1/AM119)))*I119,Y119="N/A",""))</f>
        <v>2.8269449999999998</v>
      </c>
      <c r="L119" s="238">
        <f t="shared" si="21"/>
        <v>2.7719999999999998</v>
      </c>
      <c r="M119" s="239" cm="1">
        <f t="array" ref="M119">_xlfn.IFS(Y119="m2",(AB119*(1/(Z119/AM119)))*I119,Y119="m3",(AB119*(1/(Z119/AM119)))*I119,Y119="kg",(AB119*AL119*(1/(1/AM119)))*I119,Y119="N/A","")</f>
        <v>2.7719999999999998</v>
      </c>
      <c r="N119" s="240">
        <f t="shared" si="22"/>
        <v>5.4945000000000001E-2</v>
      </c>
      <c r="O119" s="241" cm="1">
        <f t="array" ref="O119">IF(AC119="N/A","",_xlfn.IFS(Y119="m2",(AC119*(1/(Z119/AM119)))*I119,Y119="m3",(AC119*(1/(Z119/AM119)))*I119,Y119="kg",(AC119*AL119*(1/(1/AM119)))*I119,Y119="N/A",""))</f>
        <v>5.4945000000000001E-2</v>
      </c>
      <c r="P119" s="242">
        <f t="shared" si="23"/>
        <v>-0.20624999999999999</v>
      </c>
      <c r="Q119" s="243" cm="1">
        <f t="array" ref="Q119">IF(AE119="N/A","",_xlfn.IFS(Y119="m2",(AE119*(1/(Z119/AM119)))*I119,Y119="m3",(AE119*(1/(Z119/AM119)))*I119,Y119="kg",(AE119*AL119*(1/(1/AM119)))*I119,Y119="N/A",""))</f>
        <v>-0.20624999999999999</v>
      </c>
      <c r="R119" s="186" t="s">
        <v>5</v>
      </c>
      <c r="S119" s="47"/>
      <c r="T119" s="47">
        <v>2028</v>
      </c>
      <c r="U119" s="97" t="s">
        <v>28</v>
      </c>
      <c r="V119" s="47">
        <v>60</v>
      </c>
      <c r="X119" s="254" t="s">
        <v>1045</v>
      </c>
      <c r="Y119" s="47" t="s">
        <v>15</v>
      </c>
      <c r="Z119" s="47">
        <v>3.5999999999999997E-2</v>
      </c>
      <c r="AA119" s="240">
        <f t="shared" si="24"/>
        <v>2.8269449999999998</v>
      </c>
      <c r="AB119" s="52">
        <f>(1.68)*1.65</f>
        <v>2.7719999999999998</v>
      </c>
      <c r="AC119" s="52">
        <f>(0+0.0333)*1.65</f>
        <v>5.4945000000000001E-2</v>
      </c>
      <c r="AD119" s="52">
        <f>(-0.0663)*1.65</f>
        <v>-0.10939499999999999</v>
      </c>
      <c r="AE119" s="240">
        <f>(-0.125)*1.65</f>
        <v>-0.20624999999999999</v>
      </c>
      <c r="AF119" s="26"/>
      <c r="AG119" s="251"/>
      <c r="AH119" s="122" t="s">
        <v>214</v>
      </c>
      <c r="AI119" s="210" t="s">
        <v>176</v>
      </c>
      <c r="AJ119" s="69"/>
      <c r="AK119" s="66"/>
      <c r="AL119" s="47">
        <v>107</v>
      </c>
      <c r="AM119" s="47">
        <v>3.5999999999999997E-2</v>
      </c>
      <c r="AN119" s="47">
        <v>1030</v>
      </c>
      <c r="AP119" s="173" t="s">
        <v>17</v>
      </c>
      <c r="AQ119" s="73"/>
      <c r="AS119" s="250"/>
      <c r="AT119" s="67"/>
      <c r="AU119" s="67"/>
    </row>
    <row r="120" spans="1:48" s="25" customFormat="1" ht="25.2" customHeight="1" x14ac:dyDescent="0.15">
      <c r="A120" s="25" t="s">
        <v>1011</v>
      </c>
      <c r="B120" s="97" t="s">
        <v>210</v>
      </c>
      <c r="C120" s="97"/>
      <c r="D120" s="47" t="s">
        <v>209</v>
      </c>
      <c r="E120" s="186" t="s">
        <v>146</v>
      </c>
      <c r="F120" s="47" t="s">
        <v>296</v>
      </c>
      <c r="G120" s="69" t="s">
        <v>370</v>
      </c>
      <c r="H120" s="47"/>
      <c r="I120" s="107">
        <v>1</v>
      </c>
      <c r="J120" s="236">
        <f t="shared" si="20"/>
        <v>2.8954770000000001</v>
      </c>
      <c r="K120" s="143" cm="1">
        <f t="array" ref="K120">IF(AC120="N/A","",_xlfn.IFS(Y120="m2",(AA120*(1/(Z120/AM120)))*I120,Y120="m3",(AA120*(1/(Z120/AM120)))*I120,Y120="kg",(AA120*AL120*(1/(1/AM120)))*I120,Y120="N/A",""))</f>
        <v>2.8954770000000001</v>
      </c>
      <c r="L120" s="238">
        <f t="shared" si="21"/>
        <v>2.8391999999999999</v>
      </c>
      <c r="M120" s="239" cm="1">
        <f t="array" ref="M120">_xlfn.IFS(Y120="m2",(AB120*(1/(Z120/AM120)))*I120,Y120="m3",(AB120*(1/(Z120/AM120)))*I120,Y120="kg",(AB120*AL120*(1/(1/AM120)))*I120,Y120="N/A","")</f>
        <v>2.8391999999999999</v>
      </c>
      <c r="N120" s="240">
        <f t="shared" si="22"/>
        <v>5.6277000000000001E-2</v>
      </c>
      <c r="O120" s="241" cm="1">
        <f t="array" ref="O120">IF(AC120="N/A","",_xlfn.IFS(Y120="m2",(AC120*(1/(Z120/AM120)))*I120,Y120="m3",(AC120*(1/(Z120/AM120)))*I120,Y120="kg",(AC120*AL120*(1/(1/AM120)))*I120,Y120="N/A",""))</f>
        <v>5.6277000000000001E-2</v>
      </c>
      <c r="P120" s="242">
        <f t="shared" si="23"/>
        <v>-0.21124999999999999</v>
      </c>
      <c r="Q120" s="243" cm="1">
        <f t="array" ref="Q120">IF(AE120="N/A","",_xlfn.IFS(Y120="m2",(AE120*(1/(Z120/AM120)))*I120,Y120="m3",(AE120*(1/(Z120/AM120)))*I120,Y120="kg",(AE120*AL120*(1/(1/AM120)))*I120,Y120="N/A",""))</f>
        <v>-0.21124999999999999</v>
      </c>
      <c r="R120" s="186" t="s">
        <v>5</v>
      </c>
      <c r="S120" s="47"/>
      <c r="T120" s="47">
        <v>2028</v>
      </c>
      <c r="U120" s="47" t="s">
        <v>28</v>
      </c>
      <c r="V120" s="47">
        <v>60</v>
      </c>
      <c r="X120" s="254" t="s">
        <v>1045</v>
      </c>
      <c r="Y120" s="47" t="s">
        <v>15</v>
      </c>
      <c r="Z120" s="47">
        <v>3.5999999999999997E-2</v>
      </c>
      <c r="AA120" s="240">
        <f t="shared" si="24"/>
        <v>2.8954770000000001</v>
      </c>
      <c r="AB120" s="52">
        <f>(1.68)*1.69</f>
        <v>2.8391999999999999</v>
      </c>
      <c r="AC120" s="52">
        <f>(0+0.0333)*1.69</f>
        <v>5.6277000000000001E-2</v>
      </c>
      <c r="AD120" s="52">
        <f>(-0.0663)*1.69</f>
        <v>-0.11204699999999999</v>
      </c>
      <c r="AE120" s="52">
        <f>(-0.125)*1.69</f>
        <v>-0.21124999999999999</v>
      </c>
      <c r="AF120" s="26"/>
      <c r="AG120" s="251"/>
      <c r="AH120" s="122" t="s">
        <v>214</v>
      </c>
      <c r="AI120" s="210" t="s">
        <v>176</v>
      </c>
      <c r="AJ120" s="69"/>
      <c r="AK120" s="66"/>
      <c r="AL120" s="47">
        <v>110</v>
      </c>
      <c r="AM120" s="47">
        <v>3.5999999999999997E-2</v>
      </c>
      <c r="AN120" s="47">
        <v>1030</v>
      </c>
      <c r="AP120" s="173" t="s">
        <v>17</v>
      </c>
      <c r="AQ120" s="73"/>
      <c r="AS120" s="250"/>
      <c r="AT120" s="67"/>
      <c r="AU120" s="67"/>
    </row>
    <row r="121" spans="1:48" s="25" customFormat="1" ht="25.2" customHeight="1" x14ac:dyDescent="0.15">
      <c r="A121" s="25" t="s">
        <v>1095</v>
      </c>
      <c r="B121" s="97" t="s">
        <v>210</v>
      </c>
      <c r="C121" s="97"/>
      <c r="D121" s="47" t="s">
        <v>255</v>
      </c>
      <c r="E121" s="186" t="s">
        <v>146</v>
      </c>
      <c r="F121" s="47" t="s">
        <v>259</v>
      </c>
      <c r="G121" s="69" t="s">
        <v>370</v>
      </c>
      <c r="H121" s="47"/>
      <c r="I121" s="111">
        <v>1</v>
      </c>
      <c r="J121" s="236">
        <f t="shared" si="20"/>
        <v>3.02</v>
      </c>
      <c r="K121" s="237" cm="1">
        <f t="array" ref="K121">IF(AC121="N/A","",_xlfn.IFS(Y121="m2",(AA121*(1/(Z121/AM121)))*I121,Y121="m3",(AA121*(1/(Z121/AM121)))*I121,Y121="kg",(AA121*AL121*(1/(1/AM121)))*I121,Y121="N/A",""))</f>
        <v>3.02</v>
      </c>
      <c r="L121" s="238">
        <f t="shared" si="21"/>
        <v>1.23</v>
      </c>
      <c r="M121" s="239" cm="1">
        <f t="array" ref="M121">_xlfn.IFS(Y121="m2",(AB121*(1/(Z121/AM121)))*I121,Y121="m3",(AB121*(1/(Z121/AM121)))*I121,Y121="kg",(AB121*AL121*(1/(1/AM121)))*I121,Y121="N/A","")</f>
        <v>1.23</v>
      </c>
      <c r="N121" s="240">
        <f t="shared" si="22"/>
        <v>1.79</v>
      </c>
      <c r="O121" s="241" cm="1">
        <f t="array" ref="O121">IF(AC121="N/A","",_xlfn.IFS(Y121="m2",(AC121*(1/(Z121/AM121)))*I121,Y121="m3",(AC121*(1/(Z121/AM121)))*I121,Y121="kg",(AC121*AL121*(1/(1/AM121)))*I121,Y121="N/A",""))</f>
        <v>1.79</v>
      </c>
      <c r="P121" s="242">
        <f t="shared" si="23"/>
        <v>2.5000000000000001E-3</v>
      </c>
      <c r="Q121" s="243" cm="1">
        <f t="array" ref="Q121">IF(AE121="N/A","",_xlfn.IFS(Y121="m2",(AE121*(1/(Z121/AM121)))*I121,Y121="m3",(AE121*(1/(Z121/AM121)))*I121,Y121="kg",(AE121*AL121*(1/(1/AM121)))*I121,Y121="N/A",""))</f>
        <v>2.5000000000000001E-3</v>
      </c>
      <c r="R121" s="186" t="s">
        <v>5</v>
      </c>
      <c r="S121" s="47" t="s">
        <v>377</v>
      </c>
      <c r="T121" s="47">
        <v>2028</v>
      </c>
      <c r="U121" s="47" t="s">
        <v>28</v>
      </c>
      <c r="V121" s="52" t="s">
        <v>191</v>
      </c>
      <c r="X121" s="180" t="s">
        <v>1096</v>
      </c>
      <c r="Y121" s="47" t="s">
        <v>15</v>
      </c>
      <c r="Z121" s="47">
        <v>3.7999999999999999E-2</v>
      </c>
      <c r="AA121" s="240">
        <f t="shared" si="24"/>
        <v>3.02</v>
      </c>
      <c r="AB121" s="52">
        <v>1.23</v>
      </c>
      <c r="AC121" s="52">
        <f>1.79+0</f>
        <v>1.79</v>
      </c>
      <c r="AD121" s="52">
        <v>-0.63100000000000001</v>
      </c>
      <c r="AE121" s="52">
        <f>0.0025</f>
        <v>2.5000000000000001E-3</v>
      </c>
      <c r="AF121" s="26"/>
      <c r="AG121" s="251"/>
      <c r="AH121" s="122" t="s">
        <v>82</v>
      </c>
      <c r="AI121" s="123"/>
      <c r="AJ121" s="69"/>
      <c r="AK121" s="66"/>
      <c r="AL121" s="47">
        <v>15</v>
      </c>
      <c r="AM121" s="47">
        <v>3.7999999999999999E-2</v>
      </c>
      <c r="AN121" s="47" t="s">
        <v>191</v>
      </c>
      <c r="AP121" s="173" t="s">
        <v>17</v>
      </c>
      <c r="AQ121" s="73"/>
      <c r="AS121" s="250"/>
      <c r="AT121" s="67"/>
      <c r="AU121" s="67"/>
    </row>
    <row r="122" spans="1:48" s="25" customFormat="1" ht="25.2" customHeight="1" x14ac:dyDescent="0.15">
      <c r="A122" s="25" t="s">
        <v>1017</v>
      </c>
      <c r="B122" s="97" t="s">
        <v>210</v>
      </c>
      <c r="C122" s="97"/>
      <c r="D122" s="47" t="s">
        <v>209</v>
      </c>
      <c r="E122" s="186" t="s">
        <v>146</v>
      </c>
      <c r="F122" s="47" t="s">
        <v>296</v>
      </c>
      <c r="G122" s="69" t="s">
        <v>370</v>
      </c>
      <c r="H122" s="47"/>
      <c r="I122" s="107">
        <v>1</v>
      </c>
      <c r="J122" s="236">
        <f t="shared" si="20"/>
        <v>2.8954770000000001</v>
      </c>
      <c r="K122" s="237" cm="1">
        <f t="array" ref="K122">IF(AC122="N/A","",_xlfn.IFS(Y122="m2",(AA122*(1/(Z122/AM122)))*I122,Y122="m3",(AA122*(1/(Z122/AM122)))*I122,Y122="kg",(AA122*AL122*(1/(1/AM122)))*I122,Y122="N/A",""))</f>
        <v>2.8954770000000001</v>
      </c>
      <c r="L122" s="238">
        <f t="shared" si="21"/>
        <v>2.8391999999999999</v>
      </c>
      <c r="M122" s="239" cm="1">
        <f t="array" ref="M122">_xlfn.IFS(Y122="m2",(AB122*(1/(Z122/AM122)))*I122,Y122="m3",(AB122*(1/(Z122/AM122)))*I122,Y122="kg",(AB122*AL122*(1/(1/AM122)))*I122,Y122="N/A","")</f>
        <v>2.8391999999999999</v>
      </c>
      <c r="N122" s="240">
        <f t="shared" si="22"/>
        <v>5.6277000000000001E-2</v>
      </c>
      <c r="O122" s="241" cm="1">
        <f t="array" ref="O122">IF(AC122="N/A","",_xlfn.IFS(Y122="m2",(AC122*(1/(Z122/AM122)))*I122,Y122="m3",(AC122*(1/(Z122/AM122)))*I122,Y122="kg",(AC122*AL122*(1/(1/AM122)))*I122,Y122="N/A",""))</f>
        <v>5.6277000000000001E-2</v>
      </c>
      <c r="P122" s="242">
        <f t="shared" si="23"/>
        <v>-0.21124999999999999</v>
      </c>
      <c r="Q122" s="243" cm="1">
        <f t="array" ref="Q122">IF(AE122="N/A","",_xlfn.IFS(Y122="m2",(AE122*(1/(Z122/AM122)))*I122,Y122="m3",(AE122*(1/(Z122/AM122)))*I122,Y122="kg",(AE122*AL122*(1/(1/AM122)))*I122,Y122="N/A",""))</f>
        <v>-0.21124999999999999</v>
      </c>
      <c r="R122" s="259" t="s">
        <v>5</v>
      </c>
      <c r="S122" s="47"/>
      <c r="T122" s="47">
        <v>2028</v>
      </c>
      <c r="U122" s="47" t="s">
        <v>28</v>
      </c>
      <c r="V122" s="47">
        <v>60</v>
      </c>
      <c r="X122" s="254" t="s">
        <v>1045</v>
      </c>
      <c r="Y122" s="47" t="s">
        <v>15</v>
      </c>
      <c r="Z122" s="47">
        <v>3.6999999999999998E-2</v>
      </c>
      <c r="AA122" s="240">
        <f t="shared" si="24"/>
        <v>2.8954770000000001</v>
      </c>
      <c r="AB122" s="52">
        <f>(1.68)*1.69</f>
        <v>2.8391999999999999</v>
      </c>
      <c r="AC122" s="52">
        <f>(0+0.0333)*1.69</f>
        <v>5.6277000000000001E-2</v>
      </c>
      <c r="AD122" s="52">
        <f>(-0.0663)*1.69</f>
        <v>-0.11204699999999999</v>
      </c>
      <c r="AE122" s="52">
        <f>(-0.125)*1.69</f>
        <v>-0.21124999999999999</v>
      </c>
      <c r="AF122" s="26"/>
      <c r="AG122" s="251"/>
      <c r="AH122" s="122" t="s">
        <v>214</v>
      </c>
      <c r="AI122" s="210" t="s">
        <v>176</v>
      </c>
      <c r="AJ122" s="69"/>
      <c r="AK122" s="66"/>
      <c r="AL122" s="47">
        <v>110</v>
      </c>
      <c r="AM122" s="47">
        <v>3.6999999999999998E-2</v>
      </c>
      <c r="AN122" s="47" t="s">
        <v>191</v>
      </c>
      <c r="AP122" s="173" t="s">
        <v>17</v>
      </c>
      <c r="AQ122" s="73"/>
      <c r="AS122" s="250"/>
      <c r="AT122" s="67"/>
      <c r="AU122" s="67"/>
    </row>
    <row r="123" spans="1:48" s="25" customFormat="1" ht="25.2" customHeight="1" x14ac:dyDescent="0.15">
      <c r="A123" s="25" t="s">
        <v>1018</v>
      </c>
      <c r="B123" s="97" t="s">
        <v>210</v>
      </c>
      <c r="C123" s="97"/>
      <c r="D123" s="47" t="s">
        <v>209</v>
      </c>
      <c r="E123" s="186" t="s">
        <v>146</v>
      </c>
      <c r="F123" s="47" t="s">
        <v>296</v>
      </c>
      <c r="G123" s="69" t="s">
        <v>370</v>
      </c>
      <c r="H123" s="47"/>
      <c r="I123" s="107">
        <v>1</v>
      </c>
      <c r="J123" s="236">
        <f t="shared" si="20"/>
        <v>2.9811420000000002</v>
      </c>
      <c r="K123" s="143" cm="1">
        <f t="array" ref="K123">IF(AC123="N/A","",_xlfn.IFS(Y123="m2",(AA123*(1/(Z123/AM123)))*I123,Y123="m3",(AA123*(1/(Z123/AM123)))*I123,Y123="kg",(AA123*AL123*(1/(1/AM123)))*I123,Y123="N/A",""))</f>
        <v>2.9811420000000002</v>
      </c>
      <c r="L123" s="238">
        <f t="shared" si="21"/>
        <v>2.9232</v>
      </c>
      <c r="M123" s="239" cm="1">
        <f t="array" ref="M123">_xlfn.IFS(Y123="m2",(AB123*(1/(Z123/AM123)))*I123,Y123="m3",(AB123*(1/(Z123/AM123)))*I123,Y123="kg",(AB123*AL123*(1/(1/AM123)))*I123,Y123="N/A","")</f>
        <v>2.9232</v>
      </c>
      <c r="N123" s="240">
        <f t="shared" si="22"/>
        <v>5.7942000000000007E-2</v>
      </c>
      <c r="O123" s="241" cm="1">
        <f t="array" ref="O123">IF(AC123="N/A","",_xlfn.IFS(Y123="m2",(AC123*(1/(Z123/AM123)))*I123,Y123="m3",(AC123*(1/(Z123/AM123)))*I123,Y123="kg",(AC123*AL123*(1/(1/AM123)))*I123,Y123="N/A",""))</f>
        <v>5.7942000000000007E-2</v>
      </c>
      <c r="P123" s="242">
        <f t="shared" si="23"/>
        <v>-0.2175</v>
      </c>
      <c r="Q123" s="243" cm="1">
        <f t="array" ref="Q123">IF(AE123="N/A","",_xlfn.IFS(Y123="m2",(AE123*(1/(Z123/AM123)))*I123,Y123="m3",(AE123*(1/(Z123/AM123)))*I123,Y123="kg",(AE123*AL123*(1/(1/AM123)))*I123,Y123="N/A",""))</f>
        <v>-0.2175</v>
      </c>
      <c r="R123" s="259" t="s">
        <v>5</v>
      </c>
      <c r="S123" s="47"/>
      <c r="T123" s="47">
        <v>2028</v>
      </c>
      <c r="U123" s="47" t="s">
        <v>28</v>
      </c>
      <c r="V123" s="47">
        <v>60</v>
      </c>
      <c r="X123" s="254" t="s">
        <v>1045</v>
      </c>
      <c r="Y123" s="47" t="s">
        <v>15</v>
      </c>
      <c r="Z123" s="47">
        <v>3.5000000000000003E-2</v>
      </c>
      <c r="AA123" s="240">
        <f t="shared" si="24"/>
        <v>2.9811420000000002</v>
      </c>
      <c r="AB123" s="52">
        <f>(1.68)*1.74</f>
        <v>2.9232</v>
      </c>
      <c r="AC123" s="52">
        <f>(0+0.0333)*1.74</f>
        <v>5.7942000000000007E-2</v>
      </c>
      <c r="AD123" s="52">
        <f>(-0.0663)*1.74</f>
        <v>-0.11536199999999999</v>
      </c>
      <c r="AE123" s="52">
        <f>(-0.125)*1.74</f>
        <v>-0.2175</v>
      </c>
      <c r="AF123" s="26"/>
      <c r="AG123" s="251"/>
      <c r="AH123" s="122" t="s">
        <v>214</v>
      </c>
      <c r="AI123" s="210" t="s">
        <v>176</v>
      </c>
      <c r="AJ123" s="69"/>
      <c r="AK123" s="66"/>
      <c r="AL123" s="47">
        <v>110</v>
      </c>
      <c r="AM123" s="47">
        <v>3.5000000000000003E-2</v>
      </c>
      <c r="AN123" s="47" t="s">
        <v>191</v>
      </c>
      <c r="AP123" s="173" t="s">
        <v>17</v>
      </c>
      <c r="AQ123" s="73"/>
      <c r="AS123" s="250"/>
      <c r="AT123" s="67"/>
      <c r="AU123" s="67"/>
    </row>
    <row r="124" spans="1:48" s="25" customFormat="1" ht="25.2" customHeight="1" x14ac:dyDescent="0.3">
      <c r="A124" s="25" t="s">
        <v>383</v>
      </c>
      <c r="B124" s="97" t="s">
        <v>210</v>
      </c>
      <c r="C124" s="97"/>
      <c r="D124" s="47" t="s">
        <v>270</v>
      </c>
      <c r="E124" s="47" t="s">
        <v>191</v>
      </c>
      <c r="F124" s="47" t="s">
        <v>259</v>
      </c>
      <c r="G124" s="69" t="s">
        <v>370</v>
      </c>
      <c r="H124" s="47"/>
      <c r="I124" s="111">
        <v>1</v>
      </c>
      <c r="J124" s="236">
        <f t="shared" si="20"/>
        <v>3.1001249999999998</v>
      </c>
      <c r="K124" s="237" cm="1">
        <f t="array" ref="K124">IF(AC124="N/A","",_xlfn.IFS(Y124="m2",(AA124*(1/(Z124/AM124)))*I124,Y124="m3",(AA124*(1/(Z124/AM124)))*I124,Y124="kg",(AA124*AL124*(1/(1/AM124)))*I124,Y124="N/A",""))</f>
        <v>3.1001249999999998</v>
      </c>
      <c r="L124" s="238">
        <f t="shared" si="21"/>
        <v>1.477875</v>
      </c>
      <c r="M124" s="239" cm="1">
        <f t="array" ref="M124">_xlfn.IFS(Y124="m2",(AB124*(1/(Z124/AM124)))*I124,Y124="m3",(AB124*(1/(Z124/AM124)))*I124,Y124="kg",(AB124*AL124*(1/(1/AM124)))*I124,Y124="N/A","")</f>
        <v>1.477875</v>
      </c>
      <c r="N124" s="240">
        <f t="shared" si="22"/>
        <v>1.62225</v>
      </c>
      <c r="O124" s="241" cm="1">
        <f t="array" ref="O124">IF(AC124="N/A","",_xlfn.IFS(Y124="m2",(AC124*(1/(Z124/AM124)))*I124,Y124="m3",(AC124*(1/(Z124/AM124)))*I124,Y124="kg",(AC124*AL124*(1/(1/AM124)))*I124,Y124="N/A",""))</f>
        <v>1.62225</v>
      </c>
      <c r="P124" s="242">
        <f t="shared" si="23"/>
        <v>-7.8750000000000001E-3</v>
      </c>
      <c r="Q124" s="243" cm="1">
        <f t="array" ref="Q124">IF(AE124="N/A","",_xlfn.IFS(Y124="m2",(AE124*(1/(Z124/AM124)))*I124,Y124="m3",(AE124*(1/(Z124/AM124)))*I124,Y124="kg",(AE124*AL124*(1/(1/AM124)))*I124,Y124="N/A",""))</f>
        <v>-7.8750000000000001E-3</v>
      </c>
      <c r="R124" s="271" t="s">
        <v>5</v>
      </c>
      <c r="S124" s="164" t="s">
        <v>377</v>
      </c>
      <c r="T124" s="47">
        <v>2026</v>
      </c>
      <c r="U124" s="47" t="s">
        <v>28</v>
      </c>
      <c r="V124" s="47" t="s">
        <v>191</v>
      </c>
      <c r="X124" s="180" t="s">
        <v>563</v>
      </c>
      <c r="Y124" s="52" t="s">
        <v>15</v>
      </c>
      <c r="Z124" s="47">
        <v>0.08</v>
      </c>
      <c r="AA124" s="240">
        <f t="shared" si="24"/>
        <v>11.809999999999999</v>
      </c>
      <c r="AB124" s="52">
        <v>5.63</v>
      </c>
      <c r="AC124" s="52">
        <f>6.18+0</f>
        <v>6.18</v>
      </c>
      <c r="AD124" s="52">
        <v>-2.66</v>
      </c>
      <c r="AE124" s="52">
        <v>-0.03</v>
      </c>
      <c r="AF124" s="26"/>
      <c r="AG124" s="74" t="str">
        <f>AH124&amp;" "&amp;AI124</f>
        <v>C s1
d0</v>
      </c>
      <c r="AH124" s="75" t="s">
        <v>184</v>
      </c>
      <c r="AI124" s="83" t="s">
        <v>176</v>
      </c>
      <c r="AJ124" s="253"/>
      <c r="AK124" s="66"/>
      <c r="AL124" s="47">
        <v>35</v>
      </c>
      <c r="AM124" s="47">
        <v>2.1000000000000001E-2</v>
      </c>
      <c r="AN124" s="47" t="s">
        <v>191</v>
      </c>
      <c r="AP124" s="105" t="s">
        <v>17</v>
      </c>
      <c r="AQ124" s="73"/>
      <c r="AS124" s="250"/>
      <c r="AT124" s="67"/>
      <c r="AU124" s="67"/>
    </row>
    <row r="125" spans="1:48" s="25" customFormat="1" ht="25.2" customHeight="1" x14ac:dyDescent="0.3">
      <c r="A125" s="25" t="s">
        <v>384</v>
      </c>
      <c r="B125" s="97" t="s">
        <v>210</v>
      </c>
      <c r="C125" s="97"/>
      <c r="D125" s="47" t="s">
        <v>270</v>
      </c>
      <c r="E125" s="47" t="s">
        <v>191</v>
      </c>
      <c r="F125" s="47" t="s">
        <v>259</v>
      </c>
      <c r="G125" s="69" t="s">
        <v>370</v>
      </c>
      <c r="H125" s="47"/>
      <c r="I125" s="111">
        <v>1</v>
      </c>
      <c r="J125" s="236">
        <f t="shared" si="20"/>
        <v>3.1919999999999997</v>
      </c>
      <c r="K125" s="237" cm="1">
        <f t="array" ref="K125">IF(AC125="N/A","",_xlfn.IFS(Y125="m2",(AA125*(1/(Z125/AM125)))*I125,Y125="m3",(AA125*(1/(Z125/AM125)))*I125,Y125="kg",(AA125*AL125*(1/(1/AM125)))*I125,Y125="N/A",""))</f>
        <v>3.1919999999999997</v>
      </c>
      <c r="L125" s="238">
        <f t="shared" si="21"/>
        <v>1.5687</v>
      </c>
      <c r="M125" s="239" cm="1">
        <f t="array" ref="M125">_xlfn.IFS(Y125="m2",(AB125*(1/(Z125/AM125)))*I125,Y125="m3",(AB125*(1/(Z125/AM125)))*I125,Y125="kg",(AB125*AL125*(1/(1/AM125)))*I125,Y125="N/A","")</f>
        <v>1.5687</v>
      </c>
      <c r="N125" s="240">
        <f t="shared" si="22"/>
        <v>1.6233</v>
      </c>
      <c r="O125" s="241" cm="1">
        <f t="array" ref="O125">IF(AC125="N/A","",_xlfn.IFS(Y125="m2",(AC125*(1/(Z125/AM125)))*I125,Y125="m3",(AC125*(1/(Z125/AM125)))*I125,Y125="kg",(AC125*AL125*(1/(1/AM125)))*I125,Y125="N/A",""))</f>
        <v>1.6233</v>
      </c>
      <c r="P125" s="242">
        <f t="shared" si="23"/>
        <v>-4.8719999999999999E-2</v>
      </c>
      <c r="Q125" s="243" cm="1">
        <f t="array" ref="Q125">IF(AE125="N/A","",_xlfn.IFS(Y125="m2",(AE125*(1/(Z125/AM125)))*I125,Y125="m3",(AE125*(1/(Z125/AM125)))*I125,Y125="kg",(AE125*AL125*(1/(1/AM125)))*I125,Y125="N/A",""))</f>
        <v>-4.8719999999999999E-2</v>
      </c>
      <c r="R125" s="271" t="s">
        <v>5</v>
      </c>
      <c r="S125" s="164" t="s">
        <v>377</v>
      </c>
      <c r="T125" s="47">
        <v>2026</v>
      </c>
      <c r="U125" s="47" t="s">
        <v>28</v>
      </c>
      <c r="V125" s="47" t="s">
        <v>191</v>
      </c>
      <c r="X125" s="180" t="s">
        <v>564</v>
      </c>
      <c r="Y125" s="52" t="s">
        <v>15</v>
      </c>
      <c r="Z125" s="47">
        <v>0.1</v>
      </c>
      <c r="AA125" s="240">
        <f t="shared" si="24"/>
        <v>15.2</v>
      </c>
      <c r="AB125" s="52">
        <v>7.47</v>
      </c>
      <c r="AC125" s="52">
        <f xml:space="preserve"> 7.73 +0</f>
        <v>7.73</v>
      </c>
      <c r="AD125" s="52">
        <f>-3.33</f>
        <v>-3.33</v>
      </c>
      <c r="AE125" s="52">
        <f>-0.232</f>
        <v>-0.23200000000000001</v>
      </c>
      <c r="AG125" s="115" t="str">
        <f>AH125&amp;" "&amp;AI125</f>
        <v>C s1
d0</v>
      </c>
      <c r="AH125" s="75" t="s">
        <v>184</v>
      </c>
      <c r="AI125" s="83" t="s">
        <v>176</v>
      </c>
      <c r="AJ125" s="103"/>
      <c r="AL125" s="47">
        <v>35</v>
      </c>
      <c r="AM125" s="47">
        <v>2.1000000000000001E-2</v>
      </c>
      <c r="AN125" s="47" t="s">
        <v>191</v>
      </c>
      <c r="AP125" s="105" t="s">
        <v>17</v>
      </c>
      <c r="AQ125" s="73"/>
      <c r="AS125" s="250"/>
      <c r="AT125" s="67"/>
      <c r="AU125" s="67"/>
    </row>
    <row r="126" spans="1:48" s="25" customFormat="1" ht="25.2" customHeight="1" x14ac:dyDescent="0.15">
      <c r="A126" s="25" t="s">
        <v>1021</v>
      </c>
      <c r="B126" s="97" t="s">
        <v>210</v>
      </c>
      <c r="C126" s="97"/>
      <c r="D126" s="47" t="s">
        <v>209</v>
      </c>
      <c r="E126" s="186" t="s">
        <v>146</v>
      </c>
      <c r="F126" s="47" t="s">
        <v>296</v>
      </c>
      <c r="G126" s="69" t="s">
        <v>370</v>
      </c>
      <c r="H126" s="47"/>
      <c r="I126" s="107">
        <v>1</v>
      </c>
      <c r="J126" s="236">
        <f t="shared" si="20"/>
        <v>2.9811420000000002</v>
      </c>
      <c r="K126" s="143" cm="1">
        <f t="array" ref="K126">IF(AC126="N/A","",_xlfn.IFS(Y126="m2",(AA126*(1/(Z126/AM126)))*I126,Y126="m3",(AA126*(1/(Z126/AM126)))*I126,Y126="kg",(AA126*AL126*(1/(1/AM126)))*I126,Y126="N/A",""))</f>
        <v>2.9811420000000002</v>
      </c>
      <c r="L126" s="238">
        <f t="shared" si="21"/>
        <v>2.9232</v>
      </c>
      <c r="M126" s="239" cm="1">
        <f t="array" ref="M126">_xlfn.IFS(Y126="m2",(AB126*(1/(Z126/AM126)))*I126,Y126="m3",(AB126*(1/(Z126/AM126)))*I126,Y126="kg",(AB126*AL126*(1/(1/AM126)))*I126,Y126="N/A","")</f>
        <v>2.9232</v>
      </c>
      <c r="N126" s="240">
        <f t="shared" si="22"/>
        <v>5.7942000000000007E-2</v>
      </c>
      <c r="O126" s="241" cm="1">
        <f t="array" ref="O126">IF(AC126="N/A","",_xlfn.IFS(Y126="m2",(AC126*(1/(Z126/AM126)))*I126,Y126="m3",(AC126*(1/(Z126/AM126)))*I126,Y126="kg",(AC126*AL126*(1/(1/AM126)))*I126,Y126="N/A",""))</f>
        <v>5.7942000000000007E-2</v>
      </c>
      <c r="P126" s="242">
        <f t="shared" si="23"/>
        <v>-0.2175</v>
      </c>
      <c r="Q126" s="243" cm="1">
        <f t="array" ref="Q126">IF(AE126="N/A","",_xlfn.IFS(Y126="m2",(AE126*(1/(Z126/AM126)))*I126,Y126="m3",(AE126*(1/(Z126/AM126)))*I126,Y126="kg",(AE126*AL126*(1/(1/AM126)))*I126,Y126="N/A",""))</f>
        <v>-0.2175</v>
      </c>
      <c r="R126" s="259" t="s">
        <v>5</v>
      </c>
      <c r="S126" s="47"/>
      <c r="T126" s="47">
        <v>2028</v>
      </c>
      <c r="U126" s="47" t="s">
        <v>28</v>
      </c>
      <c r="V126" s="47">
        <v>60</v>
      </c>
      <c r="X126" s="254" t="s">
        <v>1045</v>
      </c>
      <c r="Y126" s="47" t="s">
        <v>15</v>
      </c>
      <c r="Z126" s="47">
        <v>3.5999999999999997E-2</v>
      </c>
      <c r="AA126" s="240">
        <f t="shared" si="24"/>
        <v>2.9811420000000002</v>
      </c>
      <c r="AB126" s="52">
        <f>(1.68)*1.74</f>
        <v>2.9232</v>
      </c>
      <c r="AC126" s="52">
        <f>(0+0.0333)*1.74</f>
        <v>5.7942000000000007E-2</v>
      </c>
      <c r="AD126" s="52">
        <f>(-0.0663)*1.74</f>
        <v>-0.11536199999999999</v>
      </c>
      <c r="AE126" s="52">
        <f>(-0.125)*1.74</f>
        <v>-0.2175</v>
      </c>
      <c r="AG126" s="103"/>
      <c r="AH126" s="122" t="s">
        <v>214</v>
      </c>
      <c r="AI126" s="210" t="s">
        <v>176</v>
      </c>
      <c r="AJ126" s="47"/>
      <c r="AL126" s="47">
        <v>113</v>
      </c>
      <c r="AM126" s="47">
        <v>3.5999999999999997E-2</v>
      </c>
      <c r="AN126" s="47">
        <v>1030</v>
      </c>
      <c r="AP126" s="173" t="s">
        <v>17</v>
      </c>
      <c r="AQ126" s="73"/>
      <c r="AS126" s="250"/>
      <c r="AT126" s="67"/>
      <c r="AU126" s="67"/>
    </row>
    <row r="127" spans="1:48" s="25" customFormat="1" ht="25.2" customHeight="1" x14ac:dyDescent="0.15">
      <c r="A127" s="25" t="s">
        <v>1035</v>
      </c>
      <c r="B127" s="97" t="s">
        <v>210</v>
      </c>
      <c r="C127" s="97"/>
      <c r="D127" s="47" t="s">
        <v>209</v>
      </c>
      <c r="E127" s="186" t="s">
        <v>146</v>
      </c>
      <c r="F127" s="47" t="s">
        <v>296</v>
      </c>
      <c r="G127" s="69" t="s">
        <v>370</v>
      </c>
      <c r="H127" s="47"/>
      <c r="I127" s="107">
        <v>1</v>
      </c>
      <c r="J127" s="236">
        <f t="shared" si="20"/>
        <v>3.0126599999999999</v>
      </c>
      <c r="K127" s="237" cm="1">
        <f t="array" ref="K127">IF(AC127="N/A","",_xlfn.IFS(Y127="m2",(AA127*(1/(Z127/AM127)))*I127,Y127="m3",(AA127*(1/(Z127/AM127)))*I127,Y127="kg",(AA127*AL127*(1/(1/AM127)))*I127,Y127="N/A",""))</f>
        <v>3.0126599999999999</v>
      </c>
      <c r="L127" s="238">
        <f t="shared" si="21"/>
        <v>2.9539999999999997</v>
      </c>
      <c r="M127" s="239" cm="1">
        <f t="array" ref="M127">_xlfn.IFS(Y127="m2",(AB127*(1/(Z127/AM127)))*I127,Y127="m3",(AB127*(1/(Z127/AM127)))*I127,Y127="kg",(AB127*AL127*(1/(1/AM127)))*I127,Y127="N/A","")</f>
        <v>2.9539999999999997</v>
      </c>
      <c r="N127" s="240">
        <f t="shared" si="22"/>
        <v>5.8659999999999997E-2</v>
      </c>
      <c r="O127" s="241" cm="1">
        <f t="array" ref="O127">IF(AC127="N/A","",_xlfn.IFS(Y127="m2",(AC127*(1/(Z127/AM127)))*I127,Y127="m3",(AC127*(1/(Z127/AM127)))*I127,Y127="kg",(AC127*AL127*(1/(1/AM127)))*I127,Y127="N/A",""))</f>
        <v>5.8659999999999997E-2</v>
      </c>
      <c r="P127" s="242">
        <f t="shared" si="23"/>
        <v>-0.21839999999999998</v>
      </c>
      <c r="Q127" s="243" cm="1">
        <f t="array" ref="Q127">IF(AE127="N/A","",_xlfn.IFS(Y127="m2",(AE127*(1/(Z127/AM127)))*I127,Y127="m3",(AE127*(1/(Z127/AM127)))*I127,Y127="kg",(AE127*AL127*(1/(1/AM127)))*I127,Y127="N/A",""))</f>
        <v>-0.21839999999999998</v>
      </c>
      <c r="R127" s="259" t="s">
        <v>5</v>
      </c>
      <c r="S127" s="47"/>
      <c r="T127" s="47">
        <v>2028</v>
      </c>
      <c r="U127" s="47" t="s">
        <v>28</v>
      </c>
      <c r="V127" s="47">
        <v>60</v>
      </c>
      <c r="X127" s="180" t="s">
        <v>1044</v>
      </c>
      <c r="Y127" s="47" t="s">
        <v>15</v>
      </c>
      <c r="Z127" s="47">
        <v>3.6999999999999998E-2</v>
      </c>
      <c r="AA127" s="240">
        <f t="shared" si="24"/>
        <v>3.0126599999999999</v>
      </c>
      <c r="AB127" s="52">
        <f>(2.11)*1.4</f>
        <v>2.9539999999999997</v>
      </c>
      <c r="AC127" s="52">
        <f>(0+0.0419)*1.4</f>
        <v>5.8659999999999997E-2</v>
      </c>
      <c r="AD127" s="52">
        <f>(-0.0833)*1.4</f>
        <v>-0.11661999999999999</v>
      </c>
      <c r="AE127" s="52">
        <f>(-0.156)*1.4</f>
        <v>-0.21839999999999998</v>
      </c>
      <c r="AG127" s="103"/>
      <c r="AH127" s="122" t="s">
        <v>58</v>
      </c>
      <c r="AI127" s="123"/>
      <c r="AJ127" s="47"/>
      <c r="AL127" s="47">
        <v>110</v>
      </c>
      <c r="AM127" s="47">
        <v>3.6999999999999998E-2</v>
      </c>
      <c r="AN127" s="47" t="s">
        <v>191</v>
      </c>
      <c r="AP127" s="69"/>
      <c r="AQ127" s="73"/>
      <c r="AS127" s="250"/>
      <c r="AT127" s="67"/>
      <c r="AU127" s="67"/>
    </row>
    <row r="128" spans="1:48" s="25" customFormat="1" ht="25.2" customHeight="1" x14ac:dyDescent="0.15">
      <c r="A128" s="25" t="s">
        <v>1036</v>
      </c>
      <c r="B128" s="97" t="s">
        <v>210</v>
      </c>
      <c r="C128" s="97"/>
      <c r="D128" s="47" t="s">
        <v>209</v>
      </c>
      <c r="E128" s="186" t="s">
        <v>146</v>
      </c>
      <c r="F128" s="47" t="s">
        <v>296</v>
      </c>
      <c r="G128" s="69" t="s">
        <v>370</v>
      </c>
      <c r="H128" s="47"/>
      <c r="I128" s="107">
        <v>1</v>
      </c>
      <c r="J128" s="236">
        <f t="shared" si="20"/>
        <v>3.0126599999999999</v>
      </c>
      <c r="K128" s="237" cm="1">
        <f t="array" ref="K128">IF(AC128="N/A","",_xlfn.IFS(Y128="m2",(AA128*(1/(Z128/AM128)))*I128,Y128="m3",(AA128*(1/(Z128/AM128)))*I128,Y128="kg",(AA128*AL128*(1/(1/AM128)))*I128,Y128="N/A",""))</f>
        <v>3.0126599999999999</v>
      </c>
      <c r="L128" s="238">
        <f t="shared" si="21"/>
        <v>2.9539999999999997</v>
      </c>
      <c r="M128" s="239" cm="1">
        <f t="array" ref="M128">_xlfn.IFS(Y128="m2",(AB128*(1/(Z128/AM128)))*I128,Y128="m3",(AB128*(1/(Z128/AM128)))*I128,Y128="kg",(AB128*AL128*(1/(1/AM128)))*I128,Y128="N/A","")</f>
        <v>2.9539999999999997</v>
      </c>
      <c r="N128" s="240">
        <f t="shared" si="22"/>
        <v>5.8659999999999997E-2</v>
      </c>
      <c r="O128" s="241" cm="1">
        <f t="array" ref="O128">IF(AC128="N/A","",_xlfn.IFS(Y128="m2",(AC128*(1/(Z128/AM128)))*I128,Y128="m3",(AC128*(1/(Z128/AM128)))*I128,Y128="kg",(AC128*AL128*(1/(1/AM128)))*I128,Y128="N/A",""))</f>
        <v>5.8659999999999997E-2</v>
      </c>
      <c r="P128" s="242">
        <f t="shared" si="23"/>
        <v>-0.21839999999999998</v>
      </c>
      <c r="Q128" s="243" cm="1">
        <f t="array" ref="Q128">IF(AE128="N/A","",_xlfn.IFS(Y128="m2",(AE128*(1/(Z128/AM128)))*I128,Y128="m3",(AE128*(1/(Z128/AM128)))*I128,Y128="kg",(AE128*AL128*(1/(1/AM128)))*I128,Y128="N/A",""))</f>
        <v>-0.21839999999999998</v>
      </c>
      <c r="R128" s="259" t="s">
        <v>5</v>
      </c>
      <c r="S128" s="47"/>
      <c r="T128" s="47">
        <v>2028</v>
      </c>
      <c r="U128" s="47" t="s">
        <v>28</v>
      </c>
      <c r="V128" s="47">
        <v>60</v>
      </c>
      <c r="X128" s="180" t="s">
        <v>1044</v>
      </c>
      <c r="Y128" s="47" t="s">
        <v>15</v>
      </c>
      <c r="Z128" s="47">
        <v>3.6999999999999998E-2</v>
      </c>
      <c r="AA128" s="240">
        <f t="shared" si="24"/>
        <v>3.0126599999999999</v>
      </c>
      <c r="AB128" s="52">
        <f>(2.11)*1.4</f>
        <v>2.9539999999999997</v>
      </c>
      <c r="AC128" s="52">
        <f>(0+0.0419)*1.4</f>
        <v>5.8659999999999997E-2</v>
      </c>
      <c r="AD128" s="52">
        <f>(-0.0833)*1.4</f>
        <v>-0.11661999999999999</v>
      </c>
      <c r="AE128" s="52">
        <f>(-0.156)*1.4</f>
        <v>-0.21839999999999998</v>
      </c>
      <c r="AG128" s="103"/>
      <c r="AH128" s="122" t="s">
        <v>58</v>
      </c>
      <c r="AI128" s="123"/>
      <c r="AJ128" s="47"/>
      <c r="AL128" s="47">
        <v>110</v>
      </c>
      <c r="AM128" s="47">
        <v>3.6999999999999998E-2</v>
      </c>
      <c r="AN128" s="47" t="s">
        <v>191</v>
      </c>
      <c r="AP128" s="173" t="s">
        <v>17</v>
      </c>
      <c r="AQ128" s="73"/>
      <c r="AS128" s="250"/>
      <c r="AT128" s="67"/>
      <c r="AU128" s="67"/>
    </row>
    <row r="129" spans="1:47" s="25" customFormat="1" ht="25.2" customHeight="1" x14ac:dyDescent="0.15">
      <c r="A129" s="25" t="s">
        <v>1037</v>
      </c>
      <c r="B129" s="97" t="s">
        <v>210</v>
      </c>
      <c r="C129" s="97"/>
      <c r="D129" s="47" t="s">
        <v>209</v>
      </c>
      <c r="E129" s="186" t="s">
        <v>146</v>
      </c>
      <c r="F129" s="47" t="s">
        <v>296</v>
      </c>
      <c r="G129" s="69" t="s">
        <v>370</v>
      </c>
      <c r="H129" s="47"/>
      <c r="I129" s="107">
        <v>1</v>
      </c>
      <c r="J129" s="236">
        <f t="shared" si="20"/>
        <v>3.0126599999999999</v>
      </c>
      <c r="K129" s="143" cm="1">
        <f t="array" ref="K129">IF(AC129="N/A","",_xlfn.IFS(Y129="m2",(AA129*(1/(Z129/AM129)))*I129,Y129="m3",(AA129*(1/(Z129/AM129)))*I129,Y129="kg",(AA129*AL129*(1/(1/AM129)))*I129,Y129="N/A",""))</f>
        <v>3.0126599999999999</v>
      </c>
      <c r="L129" s="238">
        <f t="shared" si="21"/>
        <v>2.9539999999999997</v>
      </c>
      <c r="M129" s="239" cm="1">
        <f t="array" ref="M129">_xlfn.IFS(Y129="m2",(AB129*(1/(Z129/AM129)))*I129,Y129="m3",(AB129*(1/(Z129/AM129)))*I129,Y129="kg",(AB129*AL129*(1/(1/AM129)))*I129,Y129="N/A","")</f>
        <v>2.9539999999999997</v>
      </c>
      <c r="N129" s="240">
        <f t="shared" si="22"/>
        <v>5.8659999999999997E-2</v>
      </c>
      <c r="O129" s="241" cm="1">
        <f t="array" ref="O129">IF(AC129="N/A","",_xlfn.IFS(Y129="m2",(AC129*(1/(Z129/AM129)))*I129,Y129="m3",(AC129*(1/(Z129/AM129)))*I129,Y129="kg",(AC129*AL129*(1/(1/AM129)))*I129,Y129="N/A",""))</f>
        <v>5.8659999999999997E-2</v>
      </c>
      <c r="P129" s="242">
        <f t="shared" si="23"/>
        <v>-0.21839999999999998</v>
      </c>
      <c r="Q129" s="243" cm="1">
        <f t="array" ref="Q129">IF(AE129="N/A","",_xlfn.IFS(Y129="m2",(AE129*(1/(Z129/AM129)))*I129,Y129="m3",(AE129*(1/(Z129/AM129)))*I129,Y129="kg",(AE129*AL129*(1/(1/AM129)))*I129,Y129="N/A",""))</f>
        <v>-0.21839999999999998</v>
      </c>
      <c r="R129" s="259" t="s">
        <v>5</v>
      </c>
      <c r="S129" s="47"/>
      <c r="T129" s="47">
        <v>2028</v>
      </c>
      <c r="U129" s="47" t="s">
        <v>28</v>
      </c>
      <c r="V129" s="47">
        <v>60</v>
      </c>
      <c r="X129" s="180" t="s">
        <v>1044</v>
      </c>
      <c r="Y129" s="47" t="s">
        <v>15</v>
      </c>
      <c r="Z129" s="47">
        <v>3.6999999999999998E-2</v>
      </c>
      <c r="AA129" s="240">
        <f t="shared" si="24"/>
        <v>3.0126599999999999</v>
      </c>
      <c r="AB129" s="52">
        <f>(2.11)*1.4</f>
        <v>2.9539999999999997</v>
      </c>
      <c r="AC129" s="52">
        <f>(0+0.0419)*1.4</f>
        <v>5.8659999999999997E-2</v>
      </c>
      <c r="AD129" s="52">
        <f>(-0.0833)*1.4</f>
        <v>-0.11661999999999999</v>
      </c>
      <c r="AE129" s="52">
        <f>(-0.156)*1.4</f>
        <v>-0.21839999999999998</v>
      </c>
      <c r="AG129" s="103"/>
      <c r="AH129" s="122" t="s">
        <v>58</v>
      </c>
      <c r="AI129" s="123"/>
      <c r="AJ129" s="47"/>
      <c r="AL129" s="47">
        <v>107</v>
      </c>
      <c r="AM129" s="47">
        <v>3.6999999999999998E-2</v>
      </c>
      <c r="AN129" s="47" t="s">
        <v>191</v>
      </c>
      <c r="AP129" s="173" t="s">
        <v>17</v>
      </c>
      <c r="AQ129" s="73"/>
      <c r="AS129" s="250"/>
      <c r="AT129" s="67"/>
      <c r="AU129" s="67"/>
    </row>
    <row r="130" spans="1:47" s="25" customFormat="1" ht="25.2" customHeight="1" x14ac:dyDescent="0.3">
      <c r="A130" s="25" t="s">
        <v>254</v>
      </c>
      <c r="B130" s="97" t="s">
        <v>210</v>
      </c>
      <c r="C130" s="97"/>
      <c r="D130" s="47" t="s">
        <v>255</v>
      </c>
      <c r="E130" s="271" t="s">
        <v>153</v>
      </c>
      <c r="F130" s="47" t="s">
        <v>259</v>
      </c>
      <c r="G130" s="69" t="s">
        <v>370</v>
      </c>
      <c r="H130" s="47"/>
      <c r="I130" s="111">
        <v>1</v>
      </c>
      <c r="J130" s="236">
        <f t="shared" si="20"/>
        <v>3.4900352999999997</v>
      </c>
      <c r="K130" s="237" cm="1">
        <f t="array" ref="K130">IF(AC130="N/A","",_xlfn.IFS(Y130="m2",(AA130*(1/(Z130/AM130)))*I130,Y130="m3",(AA130*(1/(Z130/AM130)))*I130,Y130="kg",(AA130*AL130*(1/(1/AM130)))*I130,Y130="N/A",""))</f>
        <v>3.4900352999999997</v>
      </c>
      <c r="L130" s="238">
        <f t="shared" si="21"/>
        <v>1.68</v>
      </c>
      <c r="M130" s="239" cm="1">
        <f t="array" ref="M130">_xlfn.IFS(Y130="m2",(AB130*(1/(Z130/AM130)))*I130,Y130="m3",(AB130*(1/(Z130/AM130)))*I130,Y130="kg",(AB130*AL130*(1/(1/AM130)))*I130,Y130="N/A","")</f>
        <v>1.68</v>
      </c>
      <c r="N130" s="240">
        <f t="shared" si="22"/>
        <v>1.8100353</v>
      </c>
      <c r="O130" s="241" cm="1">
        <f t="array" ref="O130">IF(AC130="N/A","",_xlfn.IFS(Y130="m2",(AC130*(1/(Z130/AM130)))*I130,Y130="m3",(AC130*(1/(Z130/AM130)))*I130,Y130="kg",(AC130*AL130*(1/(1/AM130)))*I130,Y130="N/A",""))</f>
        <v>1.8100353</v>
      </c>
      <c r="P130" s="242" t="str">
        <f t="shared" si="23"/>
        <v>N/A</v>
      </c>
      <c r="Q130" s="243" t="str" cm="1">
        <f t="array" ref="Q130">IF(AE130="N/A","",_xlfn.IFS(Y130="m2",(AE130*(1/(Z130/AM130)))*I130,Y130="m3",(AE130*(1/(Z130/AM130)))*I130,Y130="kg",(AE130*AL130*(1/(1/AM130)))*I130,Y130="N/A",""))</f>
        <v/>
      </c>
      <c r="R130" s="271" t="s">
        <v>5</v>
      </c>
      <c r="S130" s="164"/>
      <c r="T130" s="47">
        <v>2026</v>
      </c>
      <c r="U130" s="47" t="s">
        <v>14</v>
      </c>
      <c r="V130" s="47">
        <v>60</v>
      </c>
      <c r="X130" s="180" t="s">
        <v>554</v>
      </c>
      <c r="Y130" s="47" t="s">
        <v>15</v>
      </c>
      <c r="Z130" s="47">
        <v>3.7999999999999999E-2</v>
      </c>
      <c r="AA130" s="240">
        <f t="shared" si="24"/>
        <v>3.4900352999999997</v>
      </c>
      <c r="AB130" s="52">
        <v>1.68</v>
      </c>
      <c r="AC130" s="52">
        <f>1.81+0.0000353</f>
        <v>1.8100353</v>
      </c>
      <c r="AD130" s="52">
        <v>-8.94E-3</v>
      </c>
      <c r="AE130" s="47" t="s">
        <v>191</v>
      </c>
      <c r="AG130" s="115" t="str">
        <f>AH130&amp;" "&amp;AI130</f>
        <v xml:space="preserve">F </v>
      </c>
      <c r="AH130" s="75" t="s">
        <v>82</v>
      </c>
      <c r="AI130" s="76"/>
      <c r="AJ130" s="103"/>
      <c r="AL130" s="47">
        <v>15</v>
      </c>
      <c r="AM130" s="47">
        <v>3.7999999999999999E-2</v>
      </c>
      <c r="AN130" s="47" t="s">
        <v>191</v>
      </c>
      <c r="AP130" s="105" t="s">
        <v>17</v>
      </c>
      <c r="AQ130" s="73"/>
      <c r="AS130" s="250"/>
      <c r="AT130" s="67"/>
      <c r="AU130" s="67"/>
    </row>
    <row r="131" spans="1:47" s="25" customFormat="1" ht="25.2" customHeight="1" x14ac:dyDescent="0.3">
      <c r="A131" s="25" t="s">
        <v>271</v>
      </c>
      <c r="B131" s="97" t="s">
        <v>210</v>
      </c>
      <c r="C131" s="97"/>
      <c r="D131" s="47" t="s">
        <v>256</v>
      </c>
      <c r="E131" s="271" t="s">
        <v>146</v>
      </c>
      <c r="F131" s="47" t="s">
        <v>259</v>
      </c>
      <c r="G131" s="69" t="s">
        <v>370</v>
      </c>
      <c r="H131" s="47"/>
      <c r="I131" s="111">
        <v>1</v>
      </c>
      <c r="J131" s="236">
        <f t="shared" si="20"/>
        <v>3.5800353</v>
      </c>
      <c r="K131" s="237" cm="1">
        <f t="array" ref="K131">IF(AC131="N/A","",_xlfn.IFS(Y131="m2",(AA131*(1/(Z131/AM131)))*I131,Y131="m3",(AA131*(1/(Z131/AM131)))*I131,Y131="kg",(AA131*AL131*(1/(1/AM131)))*I131,Y131="N/A",""))</f>
        <v>3.5800353</v>
      </c>
      <c r="L131" s="238">
        <f t="shared" si="21"/>
        <v>1.77</v>
      </c>
      <c r="M131" s="239" cm="1">
        <f t="array" ref="M131">_xlfn.IFS(Y131="m2",(AB131*(1/(Z131/AM131)))*I131,Y131="m3",(AB131*(1/(Z131/AM131)))*I131,Y131="kg",(AB131*AL131*(1/(1/AM131)))*I131,Y131="N/A","")</f>
        <v>1.77</v>
      </c>
      <c r="N131" s="240">
        <f t="shared" si="22"/>
        <v>1.8100353</v>
      </c>
      <c r="O131" s="241" cm="1">
        <f t="array" ref="O131">IF(AC131="N/A","",_xlfn.IFS(Y131="m2",(AC131*(1/(Z131/AM131)))*I131,Y131="m3",(AC131*(1/(Z131/AM131)))*I131,Y131="kg",(AC131*AL131*(1/(1/AM131)))*I131,Y131="N/A",""))</f>
        <v>1.8100353</v>
      </c>
      <c r="P131" s="242" t="str">
        <f t="shared" si="23"/>
        <v>N/A</v>
      </c>
      <c r="Q131" s="243" t="str" cm="1">
        <f t="array" ref="Q131">IF(AE131="N/A","",_xlfn.IFS(Y131="m2",(AE131*(1/(Z131/AM131)))*I131,Y131="m3",(AE131*(1/(Z131/AM131)))*I131,Y131="kg",(AE131*AL131*(1/(1/AM131)))*I131,Y131="N/A",""))</f>
        <v/>
      </c>
      <c r="R131" s="271" t="s">
        <v>5</v>
      </c>
      <c r="S131" s="164"/>
      <c r="T131" s="47">
        <v>2026</v>
      </c>
      <c r="U131" s="47" t="s">
        <v>14</v>
      </c>
      <c r="V131" s="47" t="s">
        <v>191</v>
      </c>
      <c r="X131" s="180" t="s">
        <v>555</v>
      </c>
      <c r="Y131" s="47" t="s">
        <v>15</v>
      </c>
      <c r="Z131" s="47">
        <v>3.7999999999999999E-2</v>
      </c>
      <c r="AA131" s="240">
        <f t="shared" si="24"/>
        <v>3.5800353</v>
      </c>
      <c r="AB131" s="52">
        <v>1.77</v>
      </c>
      <c r="AC131" s="52">
        <f>1.81+0.0000353</f>
        <v>1.8100353</v>
      </c>
      <c r="AD131" s="52">
        <v>-0.13400000000000001</v>
      </c>
      <c r="AE131" s="47" t="s">
        <v>191</v>
      </c>
      <c r="AG131" s="115" t="str">
        <f>AH131&amp;" "&amp;AI131</f>
        <v xml:space="preserve">F </v>
      </c>
      <c r="AH131" s="75" t="s">
        <v>82</v>
      </c>
      <c r="AI131" s="76"/>
      <c r="AJ131" s="103"/>
      <c r="AL131" s="47" t="s">
        <v>191</v>
      </c>
      <c r="AM131" s="47">
        <v>3.7999999999999999E-2</v>
      </c>
      <c r="AN131" s="47" t="s">
        <v>191</v>
      </c>
      <c r="AP131" s="105" t="s">
        <v>17</v>
      </c>
      <c r="AQ131" s="73"/>
      <c r="AS131" s="250"/>
      <c r="AT131" s="67"/>
      <c r="AU131" s="67"/>
    </row>
    <row r="132" spans="1:47" s="25" customFormat="1" ht="25.2" customHeight="1" x14ac:dyDescent="0.3">
      <c r="A132" s="25" t="s">
        <v>1010</v>
      </c>
      <c r="B132" s="97" t="s">
        <v>210</v>
      </c>
      <c r="C132" s="97"/>
      <c r="D132" s="47" t="s">
        <v>209</v>
      </c>
      <c r="E132" s="259" t="s">
        <v>146</v>
      </c>
      <c r="F132" s="47" t="s">
        <v>296</v>
      </c>
      <c r="G132" s="69" t="s">
        <v>370</v>
      </c>
      <c r="H132" s="47"/>
      <c r="I132" s="107">
        <v>1</v>
      </c>
      <c r="J132" s="236">
        <f t="shared" si="20"/>
        <v>3.0325409999999997</v>
      </c>
      <c r="K132" s="143" cm="1">
        <f t="array" ref="K132">IF(AC132="N/A","",_xlfn.IFS(Y132="m2",(AA132*(1/(Z132/AM132)))*I132,Y132="m3",(AA132*(1/(Z132/AM132)))*I132,Y132="kg",(AA132*AL132*(1/(1/AM132)))*I132,Y132="N/A",""))</f>
        <v>3.0325409999999997</v>
      </c>
      <c r="L132" s="238">
        <f t="shared" si="21"/>
        <v>2.9735999999999998</v>
      </c>
      <c r="M132" s="239" cm="1">
        <f t="array" ref="M132">_xlfn.IFS(Y132="m2",(AB132*(1/(Z132/AM132)))*I132,Y132="m3",(AB132*(1/(Z132/AM132)))*I132,Y132="kg",(AB132*AL132*(1/(1/AM132)))*I132,Y132="N/A","")</f>
        <v>2.9735999999999998</v>
      </c>
      <c r="N132" s="240">
        <f t="shared" si="22"/>
        <v>5.8941000000000007E-2</v>
      </c>
      <c r="O132" s="241" cm="1">
        <f t="array" ref="O132">IF(AC132="N/A","",_xlfn.IFS(Y132="m2",(AC132*(1/(Z132/AM132)))*I132,Y132="m3",(AC132*(1/(Z132/AM132)))*I132,Y132="kg",(AC132*AL132*(1/(1/AM132)))*I132,Y132="N/A",""))</f>
        <v>5.8941000000000007E-2</v>
      </c>
      <c r="P132" s="242">
        <f t="shared" si="23"/>
        <v>-0.22125</v>
      </c>
      <c r="Q132" s="243" cm="1">
        <f t="array" ref="Q132">IF(AE132="N/A","",_xlfn.IFS(Y132="m2",(AE132*(1/(Z132/AM132)))*I132,Y132="m3",(AE132*(1/(Z132/AM132)))*I132,Y132="kg",(AE132*AL132*(1/(1/AM132)))*I132,Y132="N/A",""))</f>
        <v>-0.22125</v>
      </c>
      <c r="R132" t="s">
        <v>5</v>
      </c>
      <c r="S132" s="47"/>
      <c r="T132" s="47">
        <v>2028</v>
      </c>
      <c r="U132" s="47" t="s">
        <v>28</v>
      </c>
      <c r="V132" s="47">
        <v>60</v>
      </c>
      <c r="X132" s="254" t="s">
        <v>1045</v>
      </c>
      <c r="Y132" s="47" t="s">
        <v>15</v>
      </c>
      <c r="Z132" s="47">
        <v>3.5999999999999997E-2</v>
      </c>
      <c r="AA132" s="240">
        <f t="shared" si="24"/>
        <v>3.0325409999999997</v>
      </c>
      <c r="AB132" s="52">
        <f>(1.68)*1.77</f>
        <v>2.9735999999999998</v>
      </c>
      <c r="AC132" s="52">
        <f>(0+0.0333)*1.77</f>
        <v>5.8941000000000007E-2</v>
      </c>
      <c r="AD132" s="52">
        <f>(-0.0663)*1.77</f>
        <v>-0.117351</v>
      </c>
      <c r="AE132" s="52">
        <f>(-0.125)*1.77</f>
        <v>-0.22125</v>
      </c>
      <c r="AG132" s="103"/>
      <c r="AH132" s="122" t="s">
        <v>214</v>
      </c>
      <c r="AI132" s="210" t="s">
        <v>176</v>
      </c>
      <c r="AJ132" s="47"/>
      <c r="AL132" s="47">
        <v>115</v>
      </c>
      <c r="AM132" s="47">
        <v>3.5999999999999997E-2</v>
      </c>
      <c r="AN132" s="47">
        <v>1030</v>
      </c>
      <c r="AP132" s="173" t="s">
        <v>17</v>
      </c>
      <c r="AQ132" s="73"/>
      <c r="AS132" s="250"/>
      <c r="AT132" s="67"/>
      <c r="AU132" s="67"/>
    </row>
    <row r="133" spans="1:47" s="25" customFormat="1" ht="25.2" customHeight="1" x14ac:dyDescent="0.3">
      <c r="A133" s="25" t="s">
        <v>1020</v>
      </c>
      <c r="B133" s="97" t="s">
        <v>210</v>
      </c>
      <c r="C133" s="97"/>
      <c r="D133" s="47" t="s">
        <v>209</v>
      </c>
      <c r="E133" s="259" t="s">
        <v>146</v>
      </c>
      <c r="F133" s="47" t="s">
        <v>296</v>
      </c>
      <c r="G133" s="69" t="s">
        <v>370</v>
      </c>
      <c r="H133" s="47"/>
      <c r="I133" s="107">
        <v>1</v>
      </c>
      <c r="J133" s="236">
        <f t="shared" si="20"/>
        <v>3.0839400000000001</v>
      </c>
      <c r="K133" s="237" cm="1">
        <f t="array" ref="K133">IF(AC133="N/A","",_xlfn.IFS(Y133="m2",(AA133*(1/(Z133/AM133)))*I133,Y133="m3",(AA133*(1/(Z133/AM133)))*I133,Y133="kg",(AA133*AL133*(1/(1/AM133)))*I133,Y133="N/A",""))</f>
        <v>3.0839400000000001</v>
      </c>
      <c r="L133" s="238">
        <f t="shared" si="21"/>
        <v>3.024</v>
      </c>
      <c r="M133" s="239" cm="1">
        <f t="array" ref="M133">_xlfn.IFS(Y133="m2",(AB133*(1/(Z133/AM133)))*I133,Y133="m3",(AB133*(1/(Z133/AM133)))*I133,Y133="kg",(AB133*AL133*(1/(1/AM133)))*I133,Y133="N/A","")</f>
        <v>3.024</v>
      </c>
      <c r="N133" s="240">
        <f t="shared" si="22"/>
        <v>5.9940000000000007E-2</v>
      </c>
      <c r="O133" s="241" cm="1">
        <f t="array" ref="O133">IF(AC133="N/A","",_xlfn.IFS(Y133="m2",(AC133*(1/(Z133/AM133)))*I133,Y133="m3",(AC133*(1/(Z133/AM133)))*I133,Y133="kg",(AC133*AL133*(1/(1/AM133)))*I133,Y133="N/A",""))</f>
        <v>5.9940000000000007E-2</v>
      </c>
      <c r="P133" s="242">
        <f t="shared" si="23"/>
        <v>-0.22500000000000001</v>
      </c>
      <c r="Q133" s="243" cm="1">
        <f t="array" ref="Q133">IF(AE133="N/A","",_xlfn.IFS(Y133="m2",(AE133*(1/(Z133/AM133)))*I133,Y133="m3",(AE133*(1/(Z133/AM133)))*I133,Y133="kg",(AE133*AL133*(1/(1/AM133)))*I133,Y133="N/A",""))</f>
        <v>-0.22500000000000001</v>
      </c>
      <c r="R133" t="s">
        <v>5</v>
      </c>
      <c r="S133" s="47"/>
      <c r="T133" s="47">
        <v>2028</v>
      </c>
      <c r="U133" s="47" t="s">
        <v>28</v>
      </c>
      <c r="V133" s="47">
        <v>60</v>
      </c>
      <c r="X133" s="254" t="s">
        <v>1045</v>
      </c>
      <c r="Y133" s="47" t="s">
        <v>15</v>
      </c>
      <c r="Z133" s="47">
        <v>3.5999999999999997E-2</v>
      </c>
      <c r="AA133" s="240">
        <f t="shared" si="24"/>
        <v>3.0839400000000001</v>
      </c>
      <c r="AB133" s="52">
        <f>(1.68)*1.8</f>
        <v>3.024</v>
      </c>
      <c r="AC133" s="52">
        <f>(0+0.0333)*1.8</f>
        <v>5.9940000000000007E-2</v>
      </c>
      <c r="AD133" s="52">
        <f>(-0.0663)*1.8</f>
        <v>-0.11934</v>
      </c>
      <c r="AE133" s="52">
        <f>(-0.125)*1.8</f>
        <v>-0.22500000000000001</v>
      </c>
      <c r="AG133" s="103"/>
      <c r="AH133" s="122" t="s">
        <v>214</v>
      </c>
      <c r="AI133" s="210" t="s">
        <v>176</v>
      </c>
      <c r="AJ133" s="47"/>
      <c r="AL133" s="47">
        <v>117</v>
      </c>
      <c r="AM133" s="47">
        <v>3.5999999999999997E-2</v>
      </c>
      <c r="AN133" s="47">
        <v>1030</v>
      </c>
      <c r="AP133" s="173" t="s">
        <v>17</v>
      </c>
      <c r="AQ133" s="73"/>
      <c r="AS133" s="250"/>
      <c r="AT133" s="67"/>
      <c r="AU133" s="67"/>
    </row>
    <row r="134" spans="1:47" s="25" customFormat="1" ht="25.2" customHeight="1" x14ac:dyDescent="0.3">
      <c r="A134" s="25" t="s">
        <v>1007</v>
      </c>
      <c r="B134" s="97" t="s">
        <v>210</v>
      </c>
      <c r="C134" s="97"/>
      <c r="D134" s="47" t="s">
        <v>209</v>
      </c>
      <c r="E134" s="259" t="s">
        <v>146</v>
      </c>
      <c r="F134" s="47" t="s">
        <v>296</v>
      </c>
      <c r="G134" s="69" t="s">
        <v>370</v>
      </c>
      <c r="H134" s="47"/>
      <c r="I134" s="107">
        <v>1</v>
      </c>
      <c r="J134" s="236">
        <f t="shared" ref="J134:J165" si="26">IF(AC134="N/A","N/A",IF(K134="","N/A",K134))</f>
        <v>3.2038709999999999</v>
      </c>
      <c r="K134" s="237" cm="1">
        <f t="array" ref="K134">IF(AC134="N/A","",_xlfn.IFS(Y134="m2",(AA134*(1/(Z134/AM134)))*I134,Y134="m3",(AA134*(1/(Z134/AM134)))*I134,Y134="kg",(AA134*AL134*(1/(1/AM134)))*I134,Y134="N/A",""))</f>
        <v>3.2038709999999999</v>
      </c>
      <c r="L134" s="238">
        <f t="shared" ref="L134:L165" si="27">IF(M134="","N/A",M134)</f>
        <v>3.1415999999999999</v>
      </c>
      <c r="M134" s="239" cm="1">
        <f t="array" ref="M134">_xlfn.IFS(Y134="m2",(AB134*(1/(Z134/AM134)))*I134,Y134="m3",(AB134*(1/(Z134/AM134)))*I134,Y134="kg",(AB134*AL134*(1/(1/AM134)))*I134,Y134="N/A","")</f>
        <v>3.1415999999999999</v>
      </c>
      <c r="N134" s="240">
        <f t="shared" ref="N134:N165" si="28">IF(O134="","N/A",O134)</f>
        <v>6.2271000000000007E-2</v>
      </c>
      <c r="O134" s="241" cm="1">
        <f t="array" ref="O134">IF(AC134="N/A","",_xlfn.IFS(Y134="m2",(AC134*(1/(Z134/AM134)))*I134,Y134="m3",(AC134*(1/(Z134/AM134)))*I134,Y134="kg",(AC134*AL134*(1/(1/AM134)))*I134,Y134="N/A",""))</f>
        <v>6.2271000000000007E-2</v>
      </c>
      <c r="P134" s="242">
        <f t="shared" ref="P134:P165" si="29">IF(Q134="","N/A",Q134)</f>
        <v>-0.23375000000000001</v>
      </c>
      <c r="Q134" s="243" cm="1">
        <f t="array" ref="Q134">IF(AE134="N/A","",_xlfn.IFS(Y134="m2",(AE134*(1/(Z134/AM134)))*I134,Y134="m3",(AE134*(1/(Z134/AM134)))*I134,Y134="kg",(AE134*AL134*(1/(1/AM134)))*I134,Y134="N/A",""))</f>
        <v>-0.23375000000000001</v>
      </c>
      <c r="R134" t="s">
        <v>5</v>
      </c>
      <c r="S134" s="47"/>
      <c r="T134" s="47">
        <v>2028</v>
      </c>
      <c r="U134" s="47" t="s">
        <v>28</v>
      </c>
      <c r="V134" s="47">
        <v>60</v>
      </c>
      <c r="X134" s="254" t="s">
        <v>1045</v>
      </c>
      <c r="Y134" s="47" t="s">
        <v>15</v>
      </c>
      <c r="Z134" s="47">
        <v>3.9E-2</v>
      </c>
      <c r="AA134" s="240">
        <f t="shared" ref="AA134:AA165" si="30">IF(AC134="N/A","N/A",SUM(AB134:AC134))</f>
        <v>3.2038709999999999</v>
      </c>
      <c r="AB134" s="52">
        <f>(1.68)*1.87</f>
        <v>3.1415999999999999</v>
      </c>
      <c r="AC134" s="52">
        <f>(0+0.0333)*1.87</f>
        <v>6.2271000000000007E-2</v>
      </c>
      <c r="AD134" s="52">
        <f>(-0.0663)*1.87</f>
        <v>-0.12398100000000001</v>
      </c>
      <c r="AE134" s="52">
        <f>(-0.125)*1.87</f>
        <v>-0.23375000000000001</v>
      </c>
      <c r="AG134" s="103"/>
      <c r="AH134" s="122" t="s">
        <v>214</v>
      </c>
      <c r="AI134" s="210" t="s">
        <v>176</v>
      </c>
      <c r="AJ134" s="47"/>
      <c r="AL134" s="47">
        <v>112</v>
      </c>
      <c r="AM134" s="47">
        <v>3.9E-2</v>
      </c>
      <c r="AN134" s="47">
        <v>1030</v>
      </c>
      <c r="AP134" s="173" t="s">
        <v>17</v>
      </c>
      <c r="AQ134" s="73"/>
      <c r="AS134" s="250"/>
      <c r="AT134" s="67"/>
      <c r="AU134" s="67"/>
    </row>
    <row r="135" spans="1:47" s="25" customFormat="1" ht="25.2" customHeight="1" x14ac:dyDescent="0.3">
      <c r="A135" s="25" t="s">
        <v>1006</v>
      </c>
      <c r="B135" s="97" t="s">
        <v>210</v>
      </c>
      <c r="C135" s="97"/>
      <c r="D135" s="47" t="s">
        <v>209</v>
      </c>
      <c r="E135" s="259" t="s">
        <v>146</v>
      </c>
      <c r="F135" s="47" t="s">
        <v>296</v>
      </c>
      <c r="G135" s="69" t="s">
        <v>370</v>
      </c>
      <c r="H135" s="47"/>
      <c r="I135" s="107">
        <v>1</v>
      </c>
      <c r="J135" s="236">
        <f t="shared" si="26"/>
        <v>3.2895359999999996</v>
      </c>
      <c r="K135" s="143" cm="1">
        <f t="array" ref="K135">IF(AC135="N/A","",_xlfn.IFS(Y135="m2",(AA135*(1/(Z135/AM135)))*I135,Y135="m3",(AA135*(1/(Z135/AM135)))*I135,Y135="kg",(AA135*AL135*(1/(1/AM135)))*I135,Y135="N/A",""))</f>
        <v>3.2895359999999996</v>
      </c>
      <c r="L135" s="238">
        <f t="shared" si="27"/>
        <v>3.2255999999999996</v>
      </c>
      <c r="M135" s="239" cm="1">
        <f t="array" ref="M135">_xlfn.IFS(Y135="m2",(AB135*(1/(Z135/AM135)))*I135,Y135="m3",(AB135*(1/(Z135/AM135)))*I135,Y135="kg",(AB135*AL135*(1/(1/AM135)))*I135,Y135="N/A","")</f>
        <v>3.2255999999999996</v>
      </c>
      <c r="N135" s="240">
        <f t="shared" si="28"/>
        <v>6.3936000000000007E-2</v>
      </c>
      <c r="O135" s="241" cm="1">
        <f t="array" ref="O135">IF(AC135="N/A","",_xlfn.IFS(Y135="m2",(AC135*(1/(Z135/AM135)))*I135,Y135="m3",(AC135*(1/(Z135/AM135)))*I135,Y135="kg",(AC135*AL135*(1/(1/AM135)))*I135,Y135="N/A",""))</f>
        <v>6.3936000000000007E-2</v>
      </c>
      <c r="P135" s="242">
        <f t="shared" si="29"/>
        <v>-0.24</v>
      </c>
      <c r="Q135" s="243" cm="1">
        <f t="array" ref="Q135">IF(AE135="N/A","",_xlfn.IFS(Y135="m2",(AE135*(1/(Z135/AM135)))*I135,Y135="m3",(AE135*(1/(Z135/AM135)))*I135,Y135="kg",(AE135*AL135*(1/(1/AM135)))*I135,Y135="N/A",""))</f>
        <v>-0.24</v>
      </c>
      <c r="R135" s="276" t="s">
        <v>5</v>
      </c>
      <c r="S135" s="47"/>
      <c r="T135" s="47">
        <v>2028</v>
      </c>
      <c r="U135" s="47" t="s">
        <v>28</v>
      </c>
      <c r="V135" s="47">
        <v>60</v>
      </c>
      <c r="X135" s="254" t="s">
        <v>1045</v>
      </c>
      <c r="Y135" s="47" t="s">
        <v>15</v>
      </c>
      <c r="Z135" s="47">
        <v>3.9E-2</v>
      </c>
      <c r="AA135" s="240">
        <f t="shared" si="30"/>
        <v>3.2895359999999996</v>
      </c>
      <c r="AB135" s="52">
        <f>(1.68)*1.92</f>
        <v>3.2255999999999996</v>
      </c>
      <c r="AC135" s="52">
        <f>(0+0.0333)*1.92</f>
        <v>6.3936000000000007E-2</v>
      </c>
      <c r="AD135" s="52">
        <f>(-0.0663)*1.92</f>
        <v>-0.12729599999999999</v>
      </c>
      <c r="AE135" s="52">
        <f>(-0.125)*1.92</f>
        <v>-0.24</v>
      </c>
      <c r="AG135" s="103"/>
      <c r="AH135" s="122" t="s">
        <v>214</v>
      </c>
      <c r="AI135" s="210" t="s">
        <v>176</v>
      </c>
      <c r="AJ135" s="47"/>
      <c r="AL135" s="47">
        <v>115</v>
      </c>
      <c r="AM135" s="47">
        <v>3.9E-2</v>
      </c>
      <c r="AN135" s="47">
        <v>1030</v>
      </c>
      <c r="AP135" s="173" t="s">
        <v>17</v>
      </c>
      <c r="AQ135" s="73"/>
      <c r="AS135" s="250"/>
      <c r="AT135" s="67"/>
      <c r="AU135" s="67"/>
    </row>
    <row r="136" spans="1:47" s="25" customFormat="1" ht="25.2" customHeight="1" x14ac:dyDescent="0.3">
      <c r="A136" s="25" t="s">
        <v>1009</v>
      </c>
      <c r="B136" s="97" t="s">
        <v>210</v>
      </c>
      <c r="C136" s="97"/>
      <c r="D136" s="47" t="s">
        <v>209</v>
      </c>
      <c r="E136" s="259" t="s">
        <v>146</v>
      </c>
      <c r="F136" s="47" t="s">
        <v>296</v>
      </c>
      <c r="G136" s="69" t="s">
        <v>370</v>
      </c>
      <c r="H136" s="47"/>
      <c r="I136" s="107">
        <v>1</v>
      </c>
      <c r="J136" s="236">
        <f t="shared" si="26"/>
        <v>3.4266000000000001</v>
      </c>
      <c r="K136" s="237" cm="1">
        <f t="array" ref="K136">IF(AC136="N/A","",_xlfn.IFS(Y136="m2",(AA136*(1/(Z136/AM136)))*I136,Y136="m3",(AA136*(1/(Z136/AM136)))*I136,Y136="kg",(AA136*AL136*(1/(1/AM136)))*I136,Y136="N/A",""))</f>
        <v>3.4266000000000001</v>
      </c>
      <c r="L136" s="238">
        <f t="shared" si="27"/>
        <v>3.36</v>
      </c>
      <c r="M136" s="239" cm="1">
        <f t="array" ref="M136">_xlfn.IFS(Y136="m2",(AB136*(1/(Z136/AM136)))*I136,Y136="m3",(AB136*(1/(Z136/AM136)))*I136,Y136="kg",(AB136*AL136*(1/(1/AM136)))*I136,Y136="N/A","")</f>
        <v>3.36</v>
      </c>
      <c r="N136" s="240">
        <f t="shared" si="28"/>
        <v>6.6600000000000006E-2</v>
      </c>
      <c r="O136" s="241" cm="1">
        <f t="array" ref="O136">IF(AC136="N/A","",_xlfn.IFS(Y136="m2",(AC136*(1/(Z136/AM136)))*I136,Y136="m3",(AC136*(1/(Z136/AM136)))*I136,Y136="kg",(AC136*AL136*(1/(1/AM136)))*I136,Y136="N/A",""))</f>
        <v>6.6600000000000006E-2</v>
      </c>
      <c r="P136" s="242">
        <f t="shared" si="29"/>
        <v>-0.25</v>
      </c>
      <c r="Q136" s="243" cm="1">
        <f t="array" ref="Q136">IF(AE136="N/A","",_xlfn.IFS(Y136="m2",(AE136*(1/(Z136/AM136)))*I136,Y136="m3",(AE136*(1/(Z136/AM136)))*I136,Y136="kg",(AE136*AL136*(1/(1/AM136)))*I136,Y136="N/A",""))</f>
        <v>-0.25</v>
      </c>
      <c r="R136" t="s">
        <v>5</v>
      </c>
      <c r="S136" s="47"/>
      <c r="T136" s="47">
        <v>2028</v>
      </c>
      <c r="U136" s="47" t="s">
        <v>28</v>
      </c>
      <c r="V136" s="47">
        <v>60</v>
      </c>
      <c r="X136" s="254" t="s">
        <v>1045</v>
      </c>
      <c r="Y136" s="47" t="s">
        <v>15</v>
      </c>
      <c r="Z136" s="47">
        <v>3.5999999999999997E-2</v>
      </c>
      <c r="AA136" s="240">
        <f t="shared" si="30"/>
        <v>3.4266000000000001</v>
      </c>
      <c r="AB136" s="52">
        <f>(1.68)*2</f>
        <v>3.36</v>
      </c>
      <c r="AC136" s="52">
        <f>(0+0.0333)*2</f>
        <v>6.6600000000000006E-2</v>
      </c>
      <c r="AD136" s="52">
        <f>(-0.0663)*2</f>
        <v>-0.1326</v>
      </c>
      <c r="AE136" s="52">
        <f>(-0.125)*2</f>
        <v>-0.25</v>
      </c>
      <c r="AG136" s="103"/>
      <c r="AH136" s="122" t="s">
        <v>214</v>
      </c>
      <c r="AI136" s="210" t="s">
        <v>176</v>
      </c>
      <c r="AJ136" s="47"/>
      <c r="AL136" s="47">
        <v>130</v>
      </c>
      <c r="AM136" s="47">
        <v>3.5999999999999997E-2</v>
      </c>
      <c r="AN136" s="47">
        <v>1030</v>
      </c>
      <c r="AP136" s="173" t="s">
        <v>17</v>
      </c>
      <c r="AQ136" s="73"/>
      <c r="AS136" s="250"/>
      <c r="AT136" s="67"/>
      <c r="AU136" s="67"/>
    </row>
    <row r="137" spans="1:47" s="25" customFormat="1" ht="25.2" customHeight="1" x14ac:dyDescent="0.3">
      <c r="A137" s="25" t="s">
        <v>1043</v>
      </c>
      <c r="B137" s="97" t="s">
        <v>210</v>
      </c>
      <c r="C137" s="97"/>
      <c r="D137" s="47" t="s">
        <v>209</v>
      </c>
      <c r="E137" s="186" t="s">
        <v>146</v>
      </c>
      <c r="F137" s="47" t="s">
        <v>296</v>
      </c>
      <c r="G137" s="69" t="s">
        <v>370</v>
      </c>
      <c r="H137" s="47"/>
      <c r="I137" s="107">
        <v>1</v>
      </c>
      <c r="J137" s="236">
        <f t="shared" si="26"/>
        <v>3.4430399999999999</v>
      </c>
      <c r="K137" s="237" cm="1">
        <f t="array" ref="K137">IF(AC137="N/A","",_xlfn.IFS(Y137="m2",(AA137*(1/(Z137/AM137)))*I137,Y137="m3",(AA137*(1/(Z137/AM137)))*I137,Y137="kg",(AA137*AL137*(1/(1/AM137)))*I137,Y137="N/A",""))</f>
        <v>3.4430399999999999</v>
      </c>
      <c r="L137" s="238">
        <f t="shared" si="27"/>
        <v>3.3759999999999999</v>
      </c>
      <c r="M137" s="239" cm="1">
        <f t="array" ref="M137">_xlfn.IFS(Y137="m2",(AB137*(1/(Z137/AM137)))*I137,Y137="m3",(AB137*(1/(Z137/AM137)))*I137,Y137="kg",(AB137*AL137*(1/(1/AM137)))*I137,Y137="N/A","")</f>
        <v>3.3759999999999999</v>
      </c>
      <c r="N137" s="240">
        <f t="shared" si="28"/>
        <v>6.7040000000000002E-2</v>
      </c>
      <c r="O137" s="241" cm="1">
        <f t="array" ref="O137">IF(AC137="N/A","",_xlfn.IFS(Y137="m2",(AC137*(1/(Z137/AM137)))*I137,Y137="m3",(AC137*(1/(Z137/AM137)))*I137,Y137="kg",(AC137*AL137*(1/(1/AM137)))*I137,Y137="N/A",""))</f>
        <v>6.7040000000000002E-2</v>
      </c>
      <c r="P137" s="242">
        <f t="shared" si="29"/>
        <v>-0.24960000000000002</v>
      </c>
      <c r="Q137" s="243" cm="1">
        <f t="array" ref="Q137">IF(AE137="N/A","",_xlfn.IFS(Y137="m2",(AE137*(1/(Z137/AM137)))*I137,Y137="m3",(AE137*(1/(Z137/AM137)))*I137,Y137="kg",(AE137*AL137*(1/(1/AM137)))*I137,Y137="N/A",""))</f>
        <v>-0.24960000000000002</v>
      </c>
      <c r="R137" t="s">
        <v>5</v>
      </c>
      <c r="S137" s="47"/>
      <c r="T137" s="47">
        <v>2028</v>
      </c>
      <c r="U137" s="47" t="s">
        <v>28</v>
      </c>
      <c r="V137" s="47">
        <v>60</v>
      </c>
      <c r="X137" s="180" t="s">
        <v>1044</v>
      </c>
      <c r="Y137" s="47" t="s">
        <v>15</v>
      </c>
      <c r="Z137" s="47">
        <v>0.04</v>
      </c>
      <c r="AA137" s="240">
        <f t="shared" si="30"/>
        <v>3.4430399999999999</v>
      </c>
      <c r="AB137" s="52">
        <f>(2.11)*1.6</f>
        <v>3.3759999999999999</v>
      </c>
      <c r="AC137" s="52">
        <f>(0+0.0419)*1.6</f>
        <v>6.7040000000000002E-2</v>
      </c>
      <c r="AD137" s="52">
        <f>(-0.0833)*1.6</f>
        <v>-0.13328000000000001</v>
      </c>
      <c r="AE137" s="52">
        <f>(-0.156)*1.6</f>
        <v>-0.24960000000000002</v>
      </c>
      <c r="AG137" s="103"/>
      <c r="AH137" s="122" t="s">
        <v>58</v>
      </c>
      <c r="AI137" s="123"/>
      <c r="AJ137" s="47"/>
      <c r="AL137" s="47">
        <v>116</v>
      </c>
      <c r="AM137" s="47">
        <v>0.04</v>
      </c>
      <c r="AN137" s="47" t="s">
        <v>191</v>
      </c>
      <c r="AP137" s="173" t="s">
        <v>17</v>
      </c>
      <c r="AQ137" s="73"/>
      <c r="AS137" s="250"/>
      <c r="AT137" s="67"/>
      <c r="AU137" s="67"/>
    </row>
    <row r="138" spans="1:47" s="25" customFormat="1" ht="25.2" customHeight="1" x14ac:dyDescent="0.3">
      <c r="A138" s="25" t="s">
        <v>1026</v>
      </c>
      <c r="B138" s="97" t="s">
        <v>210</v>
      </c>
      <c r="C138" s="97"/>
      <c r="D138" s="47" t="s">
        <v>209</v>
      </c>
      <c r="E138" s="274" t="s">
        <v>146</v>
      </c>
      <c r="F138" s="47" t="s">
        <v>296</v>
      </c>
      <c r="G138" s="69" t="s">
        <v>370</v>
      </c>
      <c r="H138" s="47"/>
      <c r="I138" s="107">
        <v>1</v>
      </c>
      <c r="J138" s="236">
        <f t="shared" si="26"/>
        <v>3.923457</v>
      </c>
      <c r="K138" s="143" cm="1">
        <f t="array" ref="K138">IF(AC138="N/A","",_xlfn.IFS(Y138="m2",(AA138*(1/(Z138/AM138)))*I138,Y138="m3",(AA138*(1/(Z138/AM138)))*I138,Y138="kg",(AA138*AL138*(1/(1/AM138)))*I138,Y138="N/A",""))</f>
        <v>3.923457</v>
      </c>
      <c r="L138" s="238">
        <f t="shared" si="27"/>
        <v>3.8472</v>
      </c>
      <c r="M138" s="239" cm="1">
        <f t="array" ref="M138">_xlfn.IFS(Y138="m2",(AB138*(1/(Z138/AM138)))*I138,Y138="m3",(AB138*(1/(Z138/AM138)))*I138,Y138="kg",(AB138*AL138*(1/(1/AM138)))*I138,Y138="N/A","")</f>
        <v>3.8472</v>
      </c>
      <c r="N138" s="240">
        <f t="shared" si="28"/>
        <v>7.6257000000000005E-2</v>
      </c>
      <c r="O138" s="241" cm="1">
        <f t="array" ref="O138">IF(AC138="N/A","",_xlfn.IFS(Y138="m2",(AC138*(1/(Z138/AM138)))*I138,Y138="m3",(AC138*(1/(Z138/AM138)))*I138,Y138="kg",(AC138*AL138*(1/(1/AM138)))*I138,Y138="N/A",""))</f>
        <v>7.6257000000000005E-2</v>
      </c>
      <c r="P138" s="242">
        <f t="shared" si="29"/>
        <v>-0.28625</v>
      </c>
      <c r="Q138" s="243" cm="1">
        <f t="array" ref="Q138">IF(AE138="N/A","",_xlfn.IFS(Y138="m2",(AE138*(1/(Z138/AM138)))*I138,Y138="m3",(AE138*(1/(Z138/AM138)))*I138,Y138="kg",(AE138*AL138*(1/(1/AM138)))*I138,Y138="N/A",""))</f>
        <v>-0.28625</v>
      </c>
      <c r="R138" t="s">
        <v>5</v>
      </c>
      <c r="S138" s="47"/>
      <c r="T138" s="47">
        <v>2028</v>
      </c>
      <c r="U138" s="47" t="s">
        <v>28</v>
      </c>
      <c r="V138" s="47">
        <v>60</v>
      </c>
      <c r="X138" s="254" t="s">
        <v>1045</v>
      </c>
      <c r="Y138" s="47" t="s">
        <v>15</v>
      </c>
      <c r="Z138" s="47">
        <v>3.6999999999999998E-2</v>
      </c>
      <c r="AA138" s="240">
        <f t="shared" si="30"/>
        <v>3.923457</v>
      </c>
      <c r="AB138" s="52">
        <f>(1.68)*2.29</f>
        <v>3.8472</v>
      </c>
      <c r="AC138" s="52">
        <f>(0+0.0333)*2.29</f>
        <v>7.6257000000000005E-2</v>
      </c>
      <c r="AD138" s="52">
        <f>(-0.0663)*2.29</f>
        <v>-0.15182699999999999</v>
      </c>
      <c r="AE138" s="52">
        <f>(-0.125)*2.29</f>
        <v>-0.28625</v>
      </c>
      <c r="AG138" s="103"/>
      <c r="AH138" s="122" t="s">
        <v>214</v>
      </c>
      <c r="AI138" s="210" t="s">
        <v>176</v>
      </c>
      <c r="AJ138" s="47"/>
      <c r="AL138" s="47">
        <v>145</v>
      </c>
      <c r="AM138" s="47">
        <v>3.6999999999999998E-2</v>
      </c>
      <c r="AN138" s="47" t="s">
        <v>191</v>
      </c>
      <c r="AP138" s="69"/>
      <c r="AQ138" s="73"/>
      <c r="AS138" s="250"/>
      <c r="AT138" s="67"/>
      <c r="AU138" s="67"/>
    </row>
    <row r="139" spans="1:47" s="25" customFormat="1" ht="25.2" customHeight="1" x14ac:dyDescent="0.15">
      <c r="A139" s="25" t="s">
        <v>1222</v>
      </c>
      <c r="B139" s="97" t="s">
        <v>210</v>
      </c>
      <c r="C139" s="97"/>
      <c r="D139" s="47" t="s">
        <v>304</v>
      </c>
      <c r="E139" s="272" t="s">
        <v>143</v>
      </c>
      <c r="F139" s="47" t="s">
        <v>307</v>
      </c>
      <c r="G139" s="69" t="s">
        <v>370</v>
      </c>
      <c r="H139" s="47"/>
      <c r="I139" s="111">
        <v>1</v>
      </c>
      <c r="J139" s="236">
        <f t="shared" si="26"/>
        <v>4.0508000000000006</v>
      </c>
      <c r="K139" s="237" cm="1">
        <f t="array" ref="K139">IF(AC139="N/A","",_xlfn.IFS(Y139="m2",(AA139*(1/(Z139/AM139)))*I139,Y139="m3",(AA139*(1/(Z139/AM139)))*I139,Y139="kg",(AA139*AL139*(1/(1/AM139)))*I139,Y139="N/A",""))</f>
        <v>4.0508000000000006</v>
      </c>
      <c r="L139" s="238">
        <f t="shared" si="27"/>
        <v>4.0508000000000006</v>
      </c>
      <c r="M139" s="239" cm="1">
        <f t="array" ref="M139">_xlfn.IFS(Y139="m2",(AB139*(1/(Z139/AM139)))*I139,Y139="m3",(AB139*(1/(Z139/AM139)))*I139,Y139="kg",(AB139*AL139*(1/(1/AM139)))*I139,Y139="N/A","")</f>
        <v>4.0508000000000006</v>
      </c>
      <c r="N139" s="240">
        <f t="shared" si="28"/>
        <v>0</v>
      </c>
      <c r="O139" s="241" cm="1">
        <f t="array" ref="O139">IF(AC139="N/A","",_xlfn.IFS(Y139="m2",(AC139*(1/(Z139/AM139)))*I139,Y139="m3",(AC139*(1/(Z139/AM139)))*I139,Y139="kg",(AC139*AL139*(1/(1/AM139)))*I139,Y139="N/A",""))</f>
        <v>0</v>
      </c>
      <c r="P139" s="242" t="str">
        <f t="shared" si="29"/>
        <v>N/A</v>
      </c>
      <c r="Q139" s="243" t="str" cm="1">
        <f t="array" ref="Q139">IF(AE139="N/A","",_xlfn.IFS(Y139="m2",(AE139*(1/(Z139/AM139)))*I139,Y139="m3",(AE139*(1/(Z139/AM139)))*I139,Y139="kg",(AE139*AL139*(1/(1/AM139)))*I139,Y139="N/A",""))</f>
        <v/>
      </c>
      <c r="R139" s="275" t="s">
        <v>5</v>
      </c>
      <c r="S139" s="164"/>
      <c r="T139" s="47">
        <v>2022</v>
      </c>
      <c r="U139" s="47" t="s">
        <v>14</v>
      </c>
      <c r="V139" s="47" t="s">
        <v>191</v>
      </c>
      <c r="X139" s="180" t="s">
        <v>1220</v>
      </c>
      <c r="Y139" s="52" t="s">
        <v>20</v>
      </c>
      <c r="Z139" s="47">
        <v>1</v>
      </c>
      <c r="AA139" s="240">
        <f t="shared" si="30"/>
        <v>77.900000000000006</v>
      </c>
      <c r="AB139" s="52">
        <v>77.900000000000006</v>
      </c>
      <c r="AC139" s="52">
        <f>0+0</f>
        <v>0</v>
      </c>
      <c r="AD139" s="52">
        <v>-1.1100000000000001</v>
      </c>
      <c r="AE139" s="52" t="s">
        <v>191</v>
      </c>
      <c r="AG139" s="115" t="str">
        <f>AH139&amp;" "&amp;AI139</f>
        <v xml:space="preserve">A1 </v>
      </c>
      <c r="AH139" s="75" t="s">
        <v>58</v>
      </c>
      <c r="AI139" s="76"/>
      <c r="AJ139" s="103"/>
      <c r="AL139" s="47">
        <v>110</v>
      </c>
      <c r="AM139" s="47">
        <v>5.1999999999999998E-2</v>
      </c>
      <c r="AN139" s="47" t="s">
        <v>191</v>
      </c>
      <c r="AP139" s="105" t="s">
        <v>17</v>
      </c>
      <c r="AQ139" s="106" t="s">
        <v>17</v>
      </c>
      <c r="AS139" s="250"/>
      <c r="AT139" s="67"/>
      <c r="AU139" s="67"/>
    </row>
    <row r="140" spans="1:47" s="25" customFormat="1" ht="25.2" customHeight="1" x14ac:dyDescent="0.3">
      <c r="A140" s="25" t="s">
        <v>1004</v>
      </c>
      <c r="B140" s="97" t="s">
        <v>210</v>
      </c>
      <c r="C140" s="97"/>
      <c r="D140" s="47" t="s">
        <v>209</v>
      </c>
      <c r="E140" s="273" t="s">
        <v>146</v>
      </c>
      <c r="F140" s="47" t="s">
        <v>296</v>
      </c>
      <c r="G140" s="69" t="s">
        <v>370</v>
      </c>
      <c r="H140" s="47"/>
      <c r="I140" s="107">
        <v>1</v>
      </c>
      <c r="J140" s="236">
        <f t="shared" si="26"/>
        <v>4.0776539999999999</v>
      </c>
      <c r="K140" s="237" cm="1">
        <f t="array" ref="K140">IF(AC140="N/A","",_xlfn.IFS(Y140="m2",(AA140*(1/(Z140/AM140)))*I140,Y140="m3",(AA140*(1/(Z140/AM140)))*I140,Y140="kg",(AA140*AL140*(1/(1/AM140)))*I140,Y140="N/A",""))</f>
        <v>4.0776539999999999</v>
      </c>
      <c r="L140" s="238">
        <f t="shared" si="27"/>
        <v>3.9983999999999997</v>
      </c>
      <c r="M140" s="239" cm="1">
        <f t="array" ref="M140">_xlfn.IFS(Y140="m2",(AB140*(1/(Z140/AM140)))*I140,Y140="m3",(AB140*(1/(Z140/AM140)))*I140,Y140="kg",(AB140*AL140*(1/(1/AM140)))*I140,Y140="N/A","")</f>
        <v>3.9983999999999997</v>
      </c>
      <c r="N140" s="240">
        <f t="shared" si="28"/>
        <v>7.9254000000000005E-2</v>
      </c>
      <c r="O140" s="241" cm="1">
        <f t="array" ref="O140">IF(AC140="N/A","",_xlfn.IFS(Y140="m2",(AC140*(1/(Z140/AM140)))*I140,Y140="m3",(AC140*(1/(Z140/AM140)))*I140,Y140="kg",(AC140*AL140*(1/(1/AM140)))*I140,Y140="N/A",""))</f>
        <v>7.9254000000000005E-2</v>
      </c>
      <c r="P140" s="242">
        <f t="shared" si="29"/>
        <v>-0.29749999999999999</v>
      </c>
      <c r="Q140" s="243" cm="1">
        <f t="array" ref="Q140">IF(AE140="N/A","",_xlfn.IFS(Y140="m2",(AE140*(1/(Z140/AM140)))*I140,Y140="m3",(AE140*(1/(Z140/AM140)))*I140,Y140="kg",(AE140*AL140*(1/(1/AM140)))*I140,Y140="N/A",""))</f>
        <v>-0.29749999999999999</v>
      </c>
      <c r="R140" s="271" t="s">
        <v>5</v>
      </c>
      <c r="S140" s="47"/>
      <c r="T140" s="47">
        <v>2028</v>
      </c>
      <c r="U140" s="47" t="s">
        <v>28</v>
      </c>
      <c r="V140" s="47">
        <v>60</v>
      </c>
      <c r="X140" s="254" t="s">
        <v>1045</v>
      </c>
      <c r="Y140" s="47" t="s">
        <v>15</v>
      </c>
      <c r="Z140" s="47">
        <v>3.5999999999999997E-2</v>
      </c>
      <c r="AA140" s="240">
        <f t="shared" si="30"/>
        <v>4.0776539999999999</v>
      </c>
      <c r="AB140" s="52">
        <f>(1.68)*2.38</f>
        <v>3.9983999999999997</v>
      </c>
      <c r="AC140" s="52">
        <f>(0+0.0333)*2.38</f>
        <v>7.9254000000000005E-2</v>
      </c>
      <c r="AD140" s="52">
        <f>(-0.0663)*2.38</f>
        <v>-0.15779399999999999</v>
      </c>
      <c r="AE140" s="52">
        <f>(-0.125)*2.38</f>
        <v>-0.29749999999999999</v>
      </c>
      <c r="AG140" s="103"/>
      <c r="AH140" s="122" t="s">
        <v>214</v>
      </c>
      <c r="AI140" s="210" t="s">
        <v>176</v>
      </c>
      <c r="AJ140" s="47"/>
      <c r="AL140" s="47">
        <v>155</v>
      </c>
      <c r="AM140" s="47">
        <v>3.5999999999999997E-2</v>
      </c>
      <c r="AN140" s="47" t="s">
        <v>191</v>
      </c>
      <c r="AP140" s="173" t="s">
        <v>17</v>
      </c>
      <c r="AQ140" s="73"/>
      <c r="AS140" s="250"/>
      <c r="AT140" s="67"/>
      <c r="AU140" s="67"/>
    </row>
    <row r="141" spans="1:47" s="25" customFormat="1" ht="25.2" customHeight="1" x14ac:dyDescent="0.15">
      <c r="A141" s="25" t="s">
        <v>1221</v>
      </c>
      <c r="B141" s="97" t="s">
        <v>210</v>
      </c>
      <c r="C141" s="97"/>
      <c r="D141" s="47" t="s">
        <v>304</v>
      </c>
      <c r="E141" s="272" t="s">
        <v>143</v>
      </c>
      <c r="F141" s="47" t="s">
        <v>307</v>
      </c>
      <c r="G141" s="69" t="s">
        <v>370</v>
      </c>
      <c r="H141" s="47"/>
      <c r="I141" s="111">
        <v>1</v>
      </c>
      <c r="J141" s="236">
        <f t="shared" si="26"/>
        <v>4.0852240000000011</v>
      </c>
      <c r="K141" s="143" cm="1">
        <f t="array" ref="K141">IF(AC141="N/A","",_xlfn.IFS(Y141="m2",(AA141*(1/(Z141/AM141)))*I141,Y141="m3",(AA141*(1/(Z141/AM141)))*I141,Y141="kg",(AA141*AL141*(1/(1/AM141)))*I141,Y141="N/A",""))</f>
        <v>4.0852240000000011</v>
      </c>
      <c r="L141" s="238">
        <f t="shared" si="27"/>
        <v>4.0508000000000006</v>
      </c>
      <c r="M141" s="239" cm="1">
        <f t="array" ref="M141">_xlfn.IFS(Y141="m2",(AB141*(1/(Z141/AM141)))*I141,Y141="m3",(AB141*(1/(Z141/AM141)))*I141,Y141="kg",(AB141*AL141*(1/(1/AM141)))*I141,Y141="N/A","")</f>
        <v>4.0508000000000006</v>
      </c>
      <c r="N141" s="240">
        <f t="shared" si="28"/>
        <v>3.4424000000000003E-2</v>
      </c>
      <c r="O141" s="241" cm="1">
        <f t="array" ref="O141">IF(AC141="N/A","",_xlfn.IFS(Y141="m2",(AC141*(1/(Z141/AM141)))*I141,Y141="m3",(AC141*(1/(Z141/AM141)))*I141,Y141="kg",(AC141*AL141*(1/(1/AM141)))*I141,Y141="N/A",""))</f>
        <v>3.4424000000000003E-2</v>
      </c>
      <c r="P141" s="242" t="str">
        <f t="shared" si="29"/>
        <v>N/A</v>
      </c>
      <c r="Q141" s="243" t="str" cm="1">
        <f t="array" ref="Q141">IF(AE141="N/A","",_xlfn.IFS(Y141="m2",(AE141*(1/(Z141/AM141)))*I141,Y141="m3",(AE141*(1/(Z141/AM141)))*I141,Y141="kg",(AE141*AL141*(1/(1/AM141)))*I141,Y141="N/A",""))</f>
        <v/>
      </c>
      <c r="R141" s="275" t="s">
        <v>5</v>
      </c>
      <c r="S141" s="164"/>
      <c r="T141" s="47">
        <v>2022</v>
      </c>
      <c r="U141" s="47" t="s">
        <v>14</v>
      </c>
      <c r="V141" s="47" t="s">
        <v>191</v>
      </c>
      <c r="X141" s="180" t="s">
        <v>1220</v>
      </c>
      <c r="Y141" s="52" t="s">
        <v>20</v>
      </c>
      <c r="Z141" s="47">
        <v>1</v>
      </c>
      <c r="AA141" s="240">
        <f t="shared" si="30"/>
        <v>78.562000000000012</v>
      </c>
      <c r="AB141" s="52">
        <v>77.900000000000006</v>
      </c>
      <c r="AC141" s="52">
        <f>0.662+0</f>
        <v>0.66200000000000003</v>
      </c>
      <c r="AD141" s="52">
        <v>-1.34</v>
      </c>
      <c r="AE141" s="52" t="s">
        <v>191</v>
      </c>
      <c r="AG141" s="115" t="str">
        <f>AH141&amp;" "&amp;AI141</f>
        <v xml:space="preserve">A1 </v>
      </c>
      <c r="AH141" s="75" t="s">
        <v>58</v>
      </c>
      <c r="AI141" s="76"/>
      <c r="AJ141" s="103"/>
      <c r="AL141" s="47">
        <v>110</v>
      </c>
      <c r="AM141" s="47">
        <v>5.1999999999999998E-2</v>
      </c>
      <c r="AN141" s="47" t="s">
        <v>191</v>
      </c>
      <c r="AP141" s="105" t="s">
        <v>17</v>
      </c>
      <c r="AQ141" s="106" t="s">
        <v>17</v>
      </c>
      <c r="AS141" s="250"/>
      <c r="AT141" s="67"/>
      <c r="AU141" s="67"/>
    </row>
    <row r="142" spans="1:47" s="25" customFormat="1" ht="25.2" customHeight="1" x14ac:dyDescent="0.3">
      <c r="A142" s="25" t="s">
        <v>1042</v>
      </c>
      <c r="B142" s="97" t="s">
        <v>210</v>
      </c>
      <c r="C142" s="97"/>
      <c r="D142" s="47" t="s">
        <v>209</v>
      </c>
      <c r="E142" s="274" t="s">
        <v>146</v>
      </c>
      <c r="F142" s="47" t="s">
        <v>296</v>
      </c>
      <c r="G142" s="69" t="s">
        <v>370</v>
      </c>
      <c r="H142" s="47"/>
      <c r="I142" s="107">
        <v>1</v>
      </c>
      <c r="J142" s="236">
        <f t="shared" si="26"/>
        <v>4.0886099999999992</v>
      </c>
      <c r="K142" s="237" cm="1">
        <f t="array" ref="K142">IF(AC142="N/A","",_xlfn.IFS(Y142="m2",(AA142*(1/(Z142/AM142)))*I142,Y142="m3",(AA142*(1/(Z142/AM142)))*I142,Y142="kg",(AA142*AL142*(1/(1/AM142)))*I142,Y142="N/A",""))</f>
        <v>4.0886099999999992</v>
      </c>
      <c r="L142" s="238">
        <f t="shared" si="27"/>
        <v>4.0089999999999995</v>
      </c>
      <c r="M142" s="239" cm="1">
        <f t="array" ref="M142">_xlfn.IFS(Y142="m2",(AB142*(1/(Z142/AM142)))*I142,Y142="m3",(AB142*(1/(Z142/AM142)))*I142,Y142="kg",(AB142*AL142*(1/(1/AM142)))*I142,Y142="N/A","")</f>
        <v>4.0089999999999995</v>
      </c>
      <c r="N142" s="240">
        <f t="shared" si="28"/>
        <v>7.961E-2</v>
      </c>
      <c r="O142" s="241" cm="1">
        <f t="array" ref="O142">IF(AC142="N/A","",_xlfn.IFS(Y142="m2",(AC142*(1/(Z142/AM142)))*I142,Y142="m3",(AC142*(1/(Z142/AM142)))*I142,Y142="kg",(AC142*AL142*(1/(1/AM142)))*I142,Y142="N/A",""))</f>
        <v>7.961E-2</v>
      </c>
      <c r="P142" s="242">
        <f t="shared" si="29"/>
        <v>-0.2964</v>
      </c>
      <c r="Q142" s="243" cm="1">
        <f t="array" ref="Q142">IF(AE142="N/A","",_xlfn.IFS(Y142="m2",(AE142*(1/(Z142/AM142)))*I142,Y142="m3",(AE142*(1/(Z142/AM142)))*I142,Y142="kg",(AE142*AL142*(1/(1/AM142)))*I142,Y142="N/A",""))</f>
        <v>-0.2964</v>
      </c>
      <c r="R142" t="s">
        <v>5</v>
      </c>
      <c r="S142" s="47"/>
      <c r="T142" s="47">
        <v>2028</v>
      </c>
      <c r="U142" s="47" t="s">
        <v>28</v>
      </c>
      <c r="V142" s="47">
        <v>60</v>
      </c>
      <c r="X142" s="180" t="s">
        <v>1044</v>
      </c>
      <c r="Y142" s="47" t="s">
        <v>15</v>
      </c>
      <c r="Z142" s="47">
        <v>3.9E-2</v>
      </c>
      <c r="AA142" s="240">
        <f t="shared" si="30"/>
        <v>4.0886099999999992</v>
      </c>
      <c r="AB142" s="52">
        <f>(2.11)*1.9</f>
        <v>4.0089999999999995</v>
      </c>
      <c r="AC142" s="52">
        <f>(0+0.0419)*1.9</f>
        <v>7.961E-2</v>
      </c>
      <c r="AD142" s="52">
        <f>(-0.0833)*1.9</f>
        <v>-0.15826999999999999</v>
      </c>
      <c r="AE142" s="52">
        <f>(-0.156)*1.9</f>
        <v>-0.2964</v>
      </c>
      <c r="AG142" s="103"/>
      <c r="AH142" s="122" t="s">
        <v>58</v>
      </c>
      <c r="AI142" s="123"/>
      <c r="AJ142" s="47"/>
      <c r="AL142" s="47">
        <v>140</v>
      </c>
      <c r="AM142" s="47">
        <v>3.9E-2</v>
      </c>
      <c r="AN142" s="47" t="s">
        <v>191</v>
      </c>
      <c r="AP142" s="173" t="s">
        <v>17</v>
      </c>
      <c r="AQ142" s="73"/>
      <c r="AS142" s="250"/>
      <c r="AT142" s="67"/>
      <c r="AU142" s="67"/>
    </row>
    <row r="143" spans="1:47" s="25" customFormat="1" ht="25.2" customHeight="1" x14ac:dyDescent="0.3">
      <c r="A143" s="25" t="s">
        <v>1023</v>
      </c>
      <c r="B143" s="97" t="s">
        <v>210</v>
      </c>
      <c r="C143" s="97"/>
      <c r="D143" s="47" t="s">
        <v>209</v>
      </c>
      <c r="E143" s="274" t="s">
        <v>146</v>
      </c>
      <c r="F143" s="47" t="s">
        <v>296</v>
      </c>
      <c r="G143" s="69" t="s">
        <v>370</v>
      </c>
      <c r="H143" s="47"/>
      <c r="I143" s="107">
        <v>1</v>
      </c>
      <c r="J143" s="236">
        <f t="shared" si="26"/>
        <v>4.7115749999999998</v>
      </c>
      <c r="K143" s="237" cm="1">
        <f t="array" ref="K143">IF(AC143="N/A","",_xlfn.IFS(Y143="m2",(AA143*(1/(Z143/AM143)))*I143,Y143="m3",(AA143*(1/(Z143/AM143)))*I143,Y143="kg",(AA143*AL143*(1/(1/AM143)))*I143,Y143="N/A",""))</f>
        <v>4.7115749999999998</v>
      </c>
      <c r="L143" s="238">
        <f t="shared" si="27"/>
        <v>4.62</v>
      </c>
      <c r="M143" s="239" cm="1">
        <f t="array" ref="M143">_xlfn.IFS(Y143="m2",(AB143*(1/(Z143/AM143)))*I143,Y143="m3",(AB143*(1/(Z143/AM143)))*I143,Y143="kg",(AB143*AL143*(1/(1/AM143)))*I143,Y143="N/A","")</f>
        <v>4.62</v>
      </c>
      <c r="N143" s="240">
        <f t="shared" si="28"/>
        <v>9.1575000000000004E-2</v>
      </c>
      <c r="O143" s="241" cm="1">
        <f t="array" ref="O143">IF(AC143="N/A","",_xlfn.IFS(Y143="m2",(AC143*(1/(Z143/AM143)))*I143,Y143="m3",(AC143*(1/(Z143/AM143)))*I143,Y143="kg",(AC143*AL143*(1/(1/AM143)))*I143,Y143="N/A",""))</f>
        <v>9.1575000000000004E-2</v>
      </c>
      <c r="P143" s="242">
        <f t="shared" si="29"/>
        <v>-0.34375</v>
      </c>
      <c r="Q143" s="243" cm="1">
        <f t="array" ref="Q143">IF(AE143="N/A","",_xlfn.IFS(Y143="m2",(AE143*(1/(Z143/AM143)))*I143,Y143="m3",(AE143*(1/(Z143/AM143)))*I143,Y143="kg",(AE143*AL143*(1/(1/AM143)))*I143,Y143="N/A",""))</f>
        <v>-0.34375</v>
      </c>
      <c r="R143" t="s">
        <v>5</v>
      </c>
      <c r="S143" s="47"/>
      <c r="T143" s="47">
        <v>2028</v>
      </c>
      <c r="U143" s="47" t="s">
        <v>28</v>
      </c>
      <c r="V143" s="47">
        <v>60</v>
      </c>
      <c r="X143" s="254" t="s">
        <v>1045</v>
      </c>
      <c r="Y143" s="47" t="s">
        <v>15</v>
      </c>
      <c r="Z143" s="47">
        <v>3.9E-2</v>
      </c>
      <c r="AA143" s="240">
        <f t="shared" si="30"/>
        <v>4.7115749999999998</v>
      </c>
      <c r="AB143" s="52">
        <f>(1.68)*2.75</f>
        <v>4.62</v>
      </c>
      <c r="AC143" s="52">
        <f>(0+0.0333)*2.75</f>
        <v>9.1575000000000004E-2</v>
      </c>
      <c r="AD143" s="52">
        <f>(-0.0663)*2.75</f>
        <v>-0.18232499999999999</v>
      </c>
      <c r="AE143" s="52">
        <f>(-0.125)*2.75</f>
        <v>-0.34375</v>
      </c>
      <c r="AG143" s="103"/>
      <c r="AH143" s="122" t="s">
        <v>214</v>
      </c>
      <c r="AI143" s="210" t="s">
        <v>176</v>
      </c>
      <c r="AJ143" s="47"/>
      <c r="AL143" s="47">
        <v>165</v>
      </c>
      <c r="AM143" s="47">
        <v>3.9E-2</v>
      </c>
      <c r="AN143" s="47" t="s">
        <v>191</v>
      </c>
      <c r="AP143" s="173" t="s">
        <v>17</v>
      </c>
      <c r="AQ143" s="73"/>
      <c r="AS143" s="250"/>
      <c r="AT143" s="67"/>
      <c r="AU143" s="67"/>
    </row>
    <row r="144" spans="1:47" s="25" customFormat="1" ht="25.2" customHeight="1" x14ac:dyDescent="0.3">
      <c r="A144" s="25" t="s">
        <v>1032</v>
      </c>
      <c r="B144" s="97" t="s">
        <v>210</v>
      </c>
      <c r="C144" s="97"/>
      <c r="D144" s="47" t="s">
        <v>209</v>
      </c>
      <c r="E144" s="186" t="s">
        <v>146</v>
      </c>
      <c r="F144" s="47" t="s">
        <v>296</v>
      </c>
      <c r="G144" s="69" t="s">
        <v>370</v>
      </c>
      <c r="H144" s="47"/>
      <c r="I144" s="107">
        <v>1</v>
      </c>
      <c r="J144" s="236">
        <f t="shared" si="26"/>
        <v>4.8143729999999998</v>
      </c>
      <c r="K144" s="143" cm="1">
        <f t="array" ref="K144">IF(AC144="N/A","",_xlfn.IFS(Y144="m2",(AA144*(1/(Z144/AM144)))*I144,Y144="m3",(AA144*(1/(Z144/AM144)))*I144,Y144="kg",(AA144*AL144*(1/(1/AM144)))*I144,Y144="N/A",""))</f>
        <v>4.8143729999999998</v>
      </c>
      <c r="L144" s="238">
        <f t="shared" si="27"/>
        <v>4.7207999999999997</v>
      </c>
      <c r="M144" s="239" cm="1">
        <f t="array" ref="M144">_xlfn.IFS(Y144="m2",(AB144*(1/(Z144/AM144)))*I144,Y144="m3",(AB144*(1/(Z144/AM144)))*I144,Y144="kg",(AB144*AL144*(1/(1/AM144)))*I144,Y144="N/A","")</f>
        <v>4.7207999999999997</v>
      </c>
      <c r="N144" s="240">
        <f t="shared" si="28"/>
        <v>9.3573000000000017E-2</v>
      </c>
      <c r="O144" s="241" cm="1">
        <f t="array" ref="O144">IF(AC144="N/A","",_xlfn.IFS(Y144="m2",(AC144*(1/(Z144/AM144)))*I144,Y144="m3",(AC144*(1/(Z144/AM144)))*I144,Y144="kg",(AC144*AL144*(1/(1/AM144)))*I144,Y144="N/A",""))</f>
        <v>9.3573000000000017E-2</v>
      </c>
      <c r="P144" s="242">
        <f t="shared" si="29"/>
        <v>-0.35125000000000001</v>
      </c>
      <c r="Q144" s="243" cm="1">
        <f t="array" ref="Q144">IF(AE144="N/A","",_xlfn.IFS(Y144="m2",(AE144*(1/(Z144/AM144)))*I144,Y144="m3",(AE144*(1/(Z144/AM144)))*I144,Y144="kg",(AE144*AL144*(1/(1/AM144)))*I144,Y144="N/A",""))</f>
        <v>-0.35125000000000001</v>
      </c>
      <c r="R144" t="s">
        <v>5</v>
      </c>
      <c r="S144" s="47"/>
      <c r="T144" s="47">
        <v>2028</v>
      </c>
      <c r="U144" s="47" t="s">
        <v>28</v>
      </c>
      <c r="V144" s="47">
        <v>60</v>
      </c>
      <c r="X144" s="254" t="s">
        <v>1045</v>
      </c>
      <c r="Y144" s="47" t="s">
        <v>15</v>
      </c>
      <c r="Z144" s="47">
        <v>4.7E-2</v>
      </c>
      <c r="AA144" s="240">
        <f t="shared" si="30"/>
        <v>4.8143729999999998</v>
      </c>
      <c r="AB144" s="52">
        <f>(1.68)*2.81</f>
        <v>4.7207999999999997</v>
      </c>
      <c r="AC144" s="52">
        <f>(0+0.0333)*2.81</f>
        <v>9.3573000000000017E-2</v>
      </c>
      <c r="AD144" s="52">
        <f>(-0.0663)*2.81</f>
        <v>-0.186303</v>
      </c>
      <c r="AE144" s="52">
        <f>(-0.125)*2.81</f>
        <v>-0.35125000000000001</v>
      </c>
      <c r="AG144" s="103"/>
      <c r="AH144" s="122" t="s">
        <v>214</v>
      </c>
      <c r="AI144" s="210" t="s">
        <v>176</v>
      </c>
      <c r="AJ144" s="47"/>
      <c r="AL144" s="47">
        <v>140</v>
      </c>
      <c r="AM144" s="47">
        <v>4.7E-2</v>
      </c>
      <c r="AN144" s="47">
        <v>1030</v>
      </c>
      <c r="AP144" s="173" t="s">
        <v>17</v>
      </c>
      <c r="AQ144" s="73"/>
      <c r="AS144" s="250"/>
      <c r="AT144" s="67"/>
      <c r="AU144" s="67"/>
    </row>
    <row r="145" spans="1:47" s="25" customFormat="1" ht="25.2" customHeight="1" x14ac:dyDescent="0.3">
      <c r="A145" s="25" t="s">
        <v>1034</v>
      </c>
      <c r="B145" s="97" t="s">
        <v>210</v>
      </c>
      <c r="C145" s="97"/>
      <c r="D145" s="47" t="s">
        <v>209</v>
      </c>
      <c r="E145" s="186" t="s">
        <v>146</v>
      </c>
      <c r="F145" s="47" t="s">
        <v>296</v>
      </c>
      <c r="G145" s="69" t="s">
        <v>370</v>
      </c>
      <c r="H145" s="47"/>
      <c r="I145" s="107">
        <v>1</v>
      </c>
      <c r="J145" s="236">
        <f t="shared" si="26"/>
        <v>4.8143729999999998</v>
      </c>
      <c r="K145" s="237" cm="1">
        <f t="array" ref="K145">IF(AC145="N/A","",_xlfn.IFS(Y145="m2",(AA145*(1/(Z145/AM145)))*I145,Y145="m3",(AA145*(1/(Z145/AM145)))*I145,Y145="kg",(AA145*AL145*(1/(1/AM145)))*I145,Y145="N/A",""))</f>
        <v>4.8143729999999998</v>
      </c>
      <c r="L145" s="238">
        <f t="shared" si="27"/>
        <v>4.7207999999999997</v>
      </c>
      <c r="M145" s="239" cm="1">
        <f t="array" ref="M145">_xlfn.IFS(Y145="m2",(AB145*(1/(Z145/AM145)))*I145,Y145="m3",(AB145*(1/(Z145/AM145)))*I145,Y145="kg",(AB145*AL145*(1/(1/AM145)))*I145,Y145="N/A","")</f>
        <v>4.7207999999999997</v>
      </c>
      <c r="N145" s="240">
        <f t="shared" si="28"/>
        <v>9.3573000000000017E-2</v>
      </c>
      <c r="O145" s="241" cm="1">
        <f t="array" ref="O145">IF(AC145="N/A","",_xlfn.IFS(Y145="m2",(AC145*(1/(Z145/AM145)))*I145,Y145="m3",(AC145*(1/(Z145/AM145)))*I145,Y145="kg",(AC145*AL145*(1/(1/AM145)))*I145,Y145="N/A",""))</f>
        <v>9.3573000000000017E-2</v>
      </c>
      <c r="P145" s="242">
        <f t="shared" si="29"/>
        <v>-0.35125000000000001</v>
      </c>
      <c r="Q145" s="243" cm="1">
        <f t="array" ref="Q145">IF(AE145="N/A","",_xlfn.IFS(Y145="m2",(AE145*(1/(Z145/AM145)))*I145,Y145="m3",(AE145*(1/(Z145/AM145)))*I145,Y145="kg",(AE145*AL145*(1/(1/AM145)))*I145,Y145="N/A",""))</f>
        <v>-0.35125000000000001</v>
      </c>
      <c r="R145" s="271" t="s">
        <v>5</v>
      </c>
      <c r="S145" s="47"/>
      <c r="T145" s="47">
        <v>2028</v>
      </c>
      <c r="U145" s="47" t="s">
        <v>28</v>
      </c>
      <c r="V145" s="47">
        <v>60</v>
      </c>
      <c r="X145" s="254" t="s">
        <v>1045</v>
      </c>
      <c r="Y145" s="47" t="s">
        <v>15</v>
      </c>
      <c r="Z145" s="47">
        <v>4.7E-2</v>
      </c>
      <c r="AA145" s="240">
        <f t="shared" si="30"/>
        <v>4.8143729999999998</v>
      </c>
      <c r="AB145" s="52">
        <f>(1.68)*2.81</f>
        <v>4.7207999999999997</v>
      </c>
      <c r="AC145" s="52">
        <f>(0+0.0333)*2.81</f>
        <v>9.3573000000000017E-2</v>
      </c>
      <c r="AD145" s="52">
        <f>(-0.0663)*2.81</f>
        <v>-0.186303</v>
      </c>
      <c r="AE145" s="52">
        <f>(-0.125)*2.81</f>
        <v>-0.35125000000000001</v>
      </c>
      <c r="AG145" s="103"/>
      <c r="AH145" s="122" t="s">
        <v>214</v>
      </c>
      <c r="AI145" s="210" t="s">
        <v>176</v>
      </c>
      <c r="AJ145" s="47"/>
      <c r="AL145" s="47">
        <v>140</v>
      </c>
      <c r="AM145" s="47">
        <v>4.7E-2</v>
      </c>
      <c r="AN145" s="47">
        <v>1030</v>
      </c>
      <c r="AP145" s="173" t="s">
        <v>17</v>
      </c>
      <c r="AQ145" s="73"/>
      <c r="AS145" s="250"/>
      <c r="AT145" s="67"/>
      <c r="AU145" s="67"/>
    </row>
    <row r="146" spans="1:47" s="25" customFormat="1" ht="25.2" customHeight="1" x14ac:dyDescent="0.3">
      <c r="A146" s="25" t="s">
        <v>1031</v>
      </c>
      <c r="B146" s="97" t="s">
        <v>210</v>
      </c>
      <c r="C146" s="97"/>
      <c r="D146" s="47" t="s">
        <v>209</v>
      </c>
      <c r="E146" s="186" t="s">
        <v>146</v>
      </c>
      <c r="F146" s="47" t="s">
        <v>296</v>
      </c>
      <c r="G146" s="69" t="s">
        <v>370</v>
      </c>
      <c r="H146" s="47"/>
      <c r="I146" s="107">
        <v>1</v>
      </c>
      <c r="J146" s="236">
        <f t="shared" si="26"/>
        <v>4.8657719999999998</v>
      </c>
      <c r="K146" s="237" cm="1">
        <f t="array" ref="K146">IF(AC146="N/A","",_xlfn.IFS(Y146="m2",(AA146*(1/(Z146/AM146)))*I146,Y146="m3",(AA146*(1/(Z146/AM146)))*I146,Y146="kg",(AA146*AL146*(1/(1/AM146)))*I146,Y146="N/A",""))</f>
        <v>4.8657719999999998</v>
      </c>
      <c r="L146" s="238">
        <f t="shared" si="27"/>
        <v>4.7711999999999994</v>
      </c>
      <c r="M146" s="239" cm="1">
        <f t="array" ref="M146">_xlfn.IFS(Y146="m2",(AB146*(1/(Z146/AM146)))*I146,Y146="m3",(AB146*(1/(Z146/AM146)))*I146,Y146="kg",(AB146*AL146*(1/(1/AM146)))*I146,Y146="N/A","")</f>
        <v>4.7711999999999994</v>
      </c>
      <c r="N146" s="240">
        <f t="shared" si="28"/>
        <v>9.4572000000000003E-2</v>
      </c>
      <c r="O146" s="241" cm="1">
        <f t="array" ref="O146">IF(AC146="N/A","",_xlfn.IFS(Y146="m2",(AC146*(1/(Z146/AM146)))*I146,Y146="m3",(AC146*(1/(Z146/AM146)))*I146,Y146="kg",(AC146*AL146*(1/(1/AM146)))*I146,Y146="N/A",""))</f>
        <v>9.4572000000000003E-2</v>
      </c>
      <c r="P146" s="242">
        <f t="shared" si="29"/>
        <v>-0.35499999999999998</v>
      </c>
      <c r="Q146" s="243" cm="1">
        <f t="array" ref="Q146">IF(AE146="N/A","",_xlfn.IFS(Y146="m2",(AE146*(1/(Z146/AM146)))*I146,Y146="m3",(AE146*(1/(Z146/AM146)))*I146,Y146="kg",(AE146*AL146*(1/(1/AM146)))*I146,Y146="N/A",""))</f>
        <v>-0.35499999999999998</v>
      </c>
      <c r="R146" t="s">
        <v>5</v>
      </c>
      <c r="S146" s="47"/>
      <c r="T146" s="47">
        <v>2028</v>
      </c>
      <c r="U146" s="47" t="s">
        <v>28</v>
      </c>
      <c r="V146" s="47">
        <v>60</v>
      </c>
      <c r="X146" s="254" t="s">
        <v>1045</v>
      </c>
      <c r="Y146" s="47" t="s">
        <v>15</v>
      </c>
      <c r="Z146" s="47">
        <v>3.7999999999999999E-2</v>
      </c>
      <c r="AA146" s="240">
        <f t="shared" si="30"/>
        <v>4.8657719999999998</v>
      </c>
      <c r="AB146" s="52">
        <f>(1.68)*2.84</f>
        <v>4.7711999999999994</v>
      </c>
      <c r="AC146" s="52">
        <f>(0+0.0333)*2.84</f>
        <v>9.4572000000000003E-2</v>
      </c>
      <c r="AD146" s="52">
        <f>(-0.0663)*2.84</f>
        <v>-0.18829199999999999</v>
      </c>
      <c r="AE146" s="52">
        <f>(-0.125)*2.84</f>
        <v>-0.35499999999999998</v>
      </c>
      <c r="AG146" s="103"/>
      <c r="AH146" s="122" t="s">
        <v>214</v>
      </c>
      <c r="AI146" s="210" t="s">
        <v>176</v>
      </c>
      <c r="AJ146" s="47"/>
      <c r="AL146" s="47">
        <v>175</v>
      </c>
      <c r="AM146" s="47">
        <v>3.7999999999999999E-2</v>
      </c>
      <c r="AN146" s="47" t="s">
        <v>191</v>
      </c>
      <c r="AP146" s="173" t="s">
        <v>17</v>
      </c>
      <c r="AQ146" s="73"/>
      <c r="AS146" s="250"/>
      <c r="AT146" s="67"/>
      <c r="AU146" s="67"/>
    </row>
    <row r="147" spans="1:47" s="25" customFormat="1" ht="25.2" customHeight="1" x14ac:dyDescent="0.3">
      <c r="A147" s="25" t="s">
        <v>1063</v>
      </c>
      <c r="B147" s="97" t="s">
        <v>210</v>
      </c>
      <c r="C147" s="97"/>
      <c r="D147" s="47" t="s">
        <v>218</v>
      </c>
      <c r="E147" s="186" t="s">
        <v>149</v>
      </c>
      <c r="F147" s="47" t="s">
        <v>307</v>
      </c>
      <c r="G147" s="69" t="s">
        <v>370</v>
      </c>
      <c r="H147" s="47"/>
      <c r="I147" s="107">
        <v>1</v>
      </c>
      <c r="J147" s="236">
        <f t="shared" si="26"/>
        <v>4.9238</v>
      </c>
      <c r="K147" s="143" cm="1">
        <f t="array" ref="K147">IF(AC147="N/A","",_xlfn.IFS(Y147="m2",(AA147*(1/(Z147/AM147)))*I147,Y147="m3",(AA147*(1/(Z147/AM147)))*I147,Y147="kg",(AA147*AL147*(1/(1/AM147)))*I147,Y147="N/A",""))</f>
        <v>4.9238</v>
      </c>
      <c r="L147" s="238">
        <f t="shared" si="27"/>
        <v>4.8499999999999996</v>
      </c>
      <c r="M147" s="239" cm="1">
        <f t="array" ref="M147">_xlfn.IFS(Y147="m2",(AB147*(1/(Z147/AM147)))*I147,Y147="m3",(AB147*(1/(Z147/AM147)))*I147,Y147="kg",(AB147*AL147*(1/(1/AM147)))*I147,Y147="N/A","")</f>
        <v>4.8499999999999996</v>
      </c>
      <c r="N147" s="240">
        <f t="shared" si="28"/>
        <v>7.3800000000000004E-2</v>
      </c>
      <c r="O147" s="241" cm="1">
        <f t="array" ref="O147">IF(AC147="N/A","",_xlfn.IFS(Y147="m2",(AC147*(1/(Z147/AM147)))*I147,Y147="m3",(AC147*(1/(Z147/AM147)))*I147,Y147="kg",(AC147*AL147*(1/(1/AM147)))*I147,Y147="N/A",""))</f>
        <v>7.3800000000000004E-2</v>
      </c>
      <c r="P147" s="242" t="str">
        <f t="shared" si="29"/>
        <v>N/A</v>
      </c>
      <c r="Q147" s="243" t="str" cm="1">
        <f t="array" ref="Q147">IF(AE147="N/A","",_xlfn.IFS(Y147="m2",(AE147*(1/(Z147/AM147)))*I147,Y147="m3",(AE147*(1/(Z147/AM147)))*I147,Y147="kg",(AE147*AL147*(1/(1/AM147)))*I147,Y147="N/A",""))</f>
        <v/>
      </c>
      <c r="R147" s="271" t="s">
        <v>5</v>
      </c>
      <c r="S147" s="164" t="s">
        <v>377</v>
      </c>
      <c r="T147" s="47">
        <v>2025</v>
      </c>
      <c r="U147" s="47" t="s">
        <v>14</v>
      </c>
      <c r="V147" s="47">
        <v>60</v>
      </c>
      <c r="X147" s="180" t="s">
        <v>1054</v>
      </c>
      <c r="Y147" s="47" t="s">
        <v>15</v>
      </c>
      <c r="Z147" s="47">
        <v>3.3000000000000002E-2</v>
      </c>
      <c r="AA147" s="240">
        <f t="shared" si="30"/>
        <v>4.9238</v>
      </c>
      <c r="AB147" s="52">
        <v>4.8499999999999996</v>
      </c>
      <c r="AC147" s="52">
        <f>0+0.0738</f>
        <v>7.3800000000000004E-2</v>
      </c>
      <c r="AD147" s="52">
        <v>0</v>
      </c>
      <c r="AE147" s="52" t="s">
        <v>191</v>
      </c>
      <c r="AG147" s="103"/>
      <c r="AH147" s="75" t="s">
        <v>214</v>
      </c>
      <c r="AI147" s="83" t="s">
        <v>176</v>
      </c>
      <c r="AJ147" s="47"/>
      <c r="AL147" s="47">
        <v>130</v>
      </c>
      <c r="AM147" s="47">
        <v>3.3000000000000002E-2</v>
      </c>
      <c r="AN147" s="47" t="s">
        <v>191</v>
      </c>
      <c r="AP147" s="173" t="s">
        <v>17</v>
      </c>
      <c r="AQ147" s="73"/>
      <c r="AS147" s="250"/>
      <c r="AT147" s="67"/>
      <c r="AU147" s="67"/>
    </row>
    <row r="148" spans="1:47" s="25" customFormat="1" ht="25.2" customHeight="1" x14ac:dyDescent="0.3">
      <c r="A148" s="25" t="s">
        <v>264</v>
      </c>
      <c r="B148" s="97" t="s">
        <v>208</v>
      </c>
      <c r="C148" s="97"/>
      <c r="D148" s="47" t="s">
        <v>260</v>
      </c>
      <c r="E148" s="88" t="s">
        <v>142</v>
      </c>
      <c r="F148" s="47" t="s">
        <v>132</v>
      </c>
      <c r="G148" s="69" t="s">
        <v>370</v>
      </c>
      <c r="H148" s="47"/>
      <c r="I148" s="111">
        <v>1</v>
      </c>
      <c r="J148" s="236">
        <f t="shared" si="26"/>
        <v>5.6334400000000002</v>
      </c>
      <c r="K148" s="237" cm="1">
        <f t="array" ref="K148">IF(AC148="N/A","",_xlfn.IFS(Y148="m2",(AA148*(1/(Z148/AM148)))*I148,Y148="m3",(AA148*(1/(Z148/AM148)))*I148,Y148="kg",(AA148*AL148*(1/(1/AM148)))*I148,Y148="N/A",""))</f>
        <v>5.6334400000000002</v>
      </c>
      <c r="L148" s="238">
        <f t="shared" si="27"/>
        <v>-3.2627999999999999</v>
      </c>
      <c r="M148" s="239" cm="1">
        <f t="array" ref="M148">_xlfn.IFS(Y148="m2",(AB148*(1/(Z148/AM148)))*I148,Y148="m3",(AB148*(1/(Z148/AM148)))*I148,Y148="kg",(AB148*AL148*(1/(1/AM148)))*I148,Y148="N/A","")</f>
        <v>-3.2627999999999999</v>
      </c>
      <c r="N148" s="240">
        <f t="shared" si="28"/>
        <v>8.8962400000000006</v>
      </c>
      <c r="O148" s="241" cm="1">
        <f t="array" ref="O148">IF(AC148="N/A","",_xlfn.IFS(Y148="m2",(AC148*(1/(Z148/AM148)))*I148,Y148="m3",(AC148*(1/(Z148/AM148)))*I148,Y148="kg",(AC148*AL148*(1/(1/AM148)))*I148,Y148="N/A",""))</f>
        <v>8.8962400000000006</v>
      </c>
      <c r="P148" s="242" t="str">
        <f t="shared" si="29"/>
        <v>N/A</v>
      </c>
      <c r="Q148" s="243" t="str" cm="1">
        <f t="array" ref="Q148">IF(AE148="N/A","",_xlfn.IFS(Y148="m2",(AE148*(1/(Z148/AM148)))*I148,Y148="m3",(AE148*(1/(Z148/AM148)))*I148,Y148="kg",(AE148*AL148*(1/(1/AM148)))*I148,Y148="N/A",""))</f>
        <v/>
      </c>
      <c r="R148" s="271" t="s">
        <v>5</v>
      </c>
      <c r="S148" s="164"/>
      <c r="T148" s="47">
        <v>2025</v>
      </c>
      <c r="U148" s="47" t="s">
        <v>14</v>
      </c>
      <c r="V148" s="47" t="s">
        <v>191</v>
      </c>
      <c r="X148" s="180" t="s">
        <v>558</v>
      </c>
      <c r="Y148" s="52" t="s">
        <v>20</v>
      </c>
      <c r="Z148" s="47">
        <v>1</v>
      </c>
      <c r="AA148" s="240">
        <f t="shared" si="30"/>
        <v>140.83600000000001</v>
      </c>
      <c r="AB148" s="52">
        <f>-185+2.43+101</f>
        <v>-81.569999999999993</v>
      </c>
      <c r="AC148" s="52">
        <f>0.406+222</f>
        <v>222.40600000000001</v>
      </c>
      <c r="AD148" s="52">
        <v>105</v>
      </c>
      <c r="AE148" s="52" t="str">
        <f>IF(SUM(AF148:AG148)=0,"N/A",SUM(AF148:AG148))</f>
        <v>N/A</v>
      </c>
      <c r="AG148" s="115" t="str">
        <f>AH148&amp;" "&amp;AI148</f>
        <v xml:space="preserve">E </v>
      </c>
      <c r="AH148" s="75" t="s">
        <v>16</v>
      </c>
      <c r="AI148" s="76"/>
      <c r="AJ148" s="103"/>
      <c r="AL148" s="47">
        <v>110</v>
      </c>
      <c r="AM148" s="47">
        <v>0.04</v>
      </c>
      <c r="AN148" s="47">
        <v>2100</v>
      </c>
      <c r="AP148" s="105" t="s">
        <v>17</v>
      </c>
      <c r="AQ148" s="73"/>
      <c r="AS148" s="250"/>
      <c r="AT148" s="67"/>
      <c r="AU148" s="67"/>
    </row>
    <row r="149" spans="1:47" s="25" customFormat="1" ht="25.2" customHeight="1" x14ac:dyDescent="0.3">
      <c r="A149" s="25" t="s">
        <v>258</v>
      </c>
      <c r="B149" s="97" t="s">
        <v>210</v>
      </c>
      <c r="C149" s="97"/>
      <c r="D149" s="47" t="s">
        <v>255</v>
      </c>
      <c r="E149" s="88" t="s">
        <v>153</v>
      </c>
      <c r="F149" s="47" t="s">
        <v>259</v>
      </c>
      <c r="G149" s="69" t="s">
        <v>370</v>
      </c>
      <c r="H149" s="47"/>
      <c r="I149" s="111">
        <v>1</v>
      </c>
      <c r="J149" s="236">
        <f t="shared" si="26"/>
        <v>7.1600650000000003</v>
      </c>
      <c r="K149" s="237" cm="1">
        <f t="array" ref="K149">IF(AC149="N/A","",_xlfn.IFS(Y149="m2",(AA149*(1/(Z149/AM149)))*I149,Y149="m3",(AA149*(1/(Z149/AM149)))*I149,Y149="kg",(AA149*AL149*(1/(1/AM149)))*I149,Y149="N/A",""))</f>
        <v>7.1600650000000003</v>
      </c>
      <c r="L149" s="238">
        <f t="shared" si="27"/>
        <v>3.7</v>
      </c>
      <c r="M149" s="239" cm="1">
        <f t="array" ref="M149">_xlfn.IFS(Y149="m2",(AB149*(1/(Z149/AM149)))*I149,Y149="m3",(AB149*(1/(Z149/AM149)))*I149,Y149="kg",(AB149*AL149*(1/(1/AM149)))*I149,Y149="N/A","")</f>
        <v>3.7</v>
      </c>
      <c r="N149" s="240">
        <f t="shared" si="28"/>
        <v>3.4600650000000002</v>
      </c>
      <c r="O149" s="241" cm="1">
        <f t="array" ref="O149">IF(AC149="N/A","",_xlfn.IFS(Y149="m2",(AC149*(1/(Z149/AM149)))*I149,Y149="m3",(AC149*(1/(Z149/AM149)))*I149,Y149="kg",(AC149*AL149*(1/(1/AM149)))*I149,Y149="N/A",""))</f>
        <v>3.4600650000000002</v>
      </c>
      <c r="P149" s="242" t="str">
        <f t="shared" si="29"/>
        <v>N/A</v>
      </c>
      <c r="Q149" s="243" t="str" cm="1">
        <f t="array" ref="Q149">IF(AE149="N/A","",_xlfn.IFS(Y149="m2",(AE149*(1/(Z149/AM149)))*I149,Y149="m3",(AE149*(1/(Z149/AM149)))*I149,Y149="kg",(AE149*AL149*(1/(1/AM149)))*I149,Y149="N/A",""))</f>
        <v/>
      </c>
      <c r="R149" s="271" t="s">
        <v>5</v>
      </c>
      <c r="S149" s="164"/>
      <c r="T149" s="47">
        <v>2027</v>
      </c>
      <c r="U149" s="47" t="s">
        <v>14</v>
      </c>
      <c r="V149" s="47">
        <v>60</v>
      </c>
      <c r="X149" s="180" t="s">
        <v>1097</v>
      </c>
      <c r="Y149" s="47" t="s">
        <v>15</v>
      </c>
      <c r="Z149" s="47">
        <v>3.3000000000000002E-2</v>
      </c>
      <c r="AA149" s="240">
        <f t="shared" si="30"/>
        <v>7.1600650000000003</v>
      </c>
      <c r="AB149" s="52">
        <v>3.7</v>
      </c>
      <c r="AC149" s="52">
        <f>3.46+0.000065</f>
        <v>3.4600650000000002</v>
      </c>
      <c r="AD149" s="52">
        <v>-1.5599999999999999E-2</v>
      </c>
      <c r="AE149" s="52" t="s">
        <v>191</v>
      </c>
      <c r="AG149" s="115" t="str">
        <f>AH149&amp;" "&amp;AI149</f>
        <v xml:space="preserve">F </v>
      </c>
      <c r="AH149" s="75" t="s">
        <v>82</v>
      </c>
      <c r="AI149" s="76"/>
      <c r="AJ149" s="103"/>
      <c r="AL149" s="47">
        <v>33</v>
      </c>
      <c r="AM149" s="47">
        <v>3.3000000000000002E-2</v>
      </c>
      <c r="AN149" s="47">
        <v>2100</v>
      </c>
      <c r="AP149" s="105" t="s">
        <v>17</v>
      </c>
      <c r="AQ149" s="73"/>
      <c r="AS149" s="250"/>
      <c r="AT149" s="67"/>
      <c r="AU149" s="67"/>
    </row>
    <row r="150" spans="1:47" s="25" customFormat="1" ht="25.2" customHeight="1" x14ac:dyDescent="0.3">
      <c r="A150" s="25" t="s">
        <v>1008</v>
      </c>
      <c r="B150" s="97" t="s">
        <v>210</v>
      </c>
      <c r="C150" s="97"/>
      <c r="D150" s="47" t="s">
        <v>209</v>
      </c>
      <c r="E150" s="186" t="s">
        <v>146</v>
      </c>
      <c r="F150" s="47" t="s">
        <v>296</v>
      </c>
      <c r="G150" s="69" t="s">
        <v>370</v>
      </c>
      <c r="H150" s="47"/>
      <c r="I150" s="107">
        <v>1</v>
      </c>
      <c r="J150" s="236">
        <f t="shared" si="26"/>
        <v>5.0028359999999994</v>
      </c>
      <c r="K150" s="143" cm="1">
        <f t="array" ref="K150">IF(AC150="N/A","",_xlfn.IFS(Y150="m2",(AA150*(1/(Z150/AM150)))*I150,Y150="m3",(AA150*(1/(Z150/AM150)))*I150,Y150="kg",(AA150*AL150*(1/(1/AM150)))*I150,Y150="N/A",""))</f>
        <v>5.0028359999999994</v>
      </c>
      <c r="L150" s="238">
        <f t="shared" si="27"/>
        <v>4.9055999999999997</v>
      </c>
      <c r="M150" s="239" cm="1">
        <f t="array" ref="M150">_xlfn.IFS(Y150="m2",(AB150*(1/(Z150/AM150)))*I150,Y150="m3",(AB150*(1/(Z150/AM150)))*I150,Y150="kg",(AB150*AL150*(1/(1/AM150)))*I150,Y150="N/A","")</f>
        <v>4.9055999999999997</v>
      </c>
      <c r="N150" s="240">
        <f t="shared" si="28"/>
        <v>9.7236000000000003E-2</v>
      </c>
      <c r="O150" s="241" cm="1">
        <f t="array" ref="O150">IF(AC150="N/A","",_xlfn.IFS(Y150="m2",(AC150*(1/(Z150/AM150)))*I150,Y150="m3",(AC150*(1/(Z150/AM150)))*I150,Y150="kg",(AC150*AL150*(1/(1/AM150)))*I150,Y150="N/A",""))</f>
        <v>9.7236000000000003E-2</v>
      </c>
      <c r="P150" s="242">
        <f t="shared" si="29"/>
        <v>-0.36499999999999999</v>
      </c>
      <c r="Q150" s="243" cm="1">
        <f t="array" ref="Q150">IF(AE150="N/A","",_xlfn.IFS(Y150="m2",(AE150*(1/(Z150/AM150)))*I150,Y150="m3",(AE150*(1/(Z150/AM150)))*I150,Y150="kg",(AE150*AL150*(1/(1/AM150)))*I150,Y150="N/A",""))</f>
        <v>-0.36499999999999999</v>
      </c>
      <c r="R150" t="s">
        <v>5</v>
      </c>
      <c r="S150" s="47"/>
      <c r="T150" s="47">
        <v>2028</v>
      </c>
      <c r="U150" s="47" t="s">
        <v>28</v>
      </c>
      <c r="V150" s="47">
        <v>60</v>
      </c>
      <c r="X150" s="254" t="s">
        <v>1045</v>
      </c>
      <c r="Y150" s="47" t="s">
        <v>15</v>
      </c>
      <c r="Z150" s="47">
        <v>3.9E-2</v>
      </c>
      <c r="AA150" s="240">
        <f t="shared" si="30"/>
        <v>5.0028359999999994</v>
      </c>
      <c r="AB150" s="52">
        <f>(1.68)*2.92</f>
        <v>4.9055999999999997</v>
      </c>
      <c r="AC150" s="52">
        <f>(0+0.0333)*2.92</f>
        <v>9.7236000000000003E-2</v>
      </c>
      <c r="AD150" s="52">
        <f>(-0.0663)*2.92</f>
        <v>-0.19359599999999999</v>
      </c>
      <c r="AE150" s="52">
        <f>(-0.125)*2.92</f>
        <v>-0.36499999999999999</v>
      </c>
      <c r="AG150" s="103"/>
      <c r="AH150" s="122" t="s">
        <v>214</v>
      </c>
      <c r="AI150" s="210" t="s">
        <v>176</v>
      </c>
      <c r="AJ150" s="47"/>
      <c r="AL150" s="47">
        <v>175</v>
      </c>
      <c r="AM150" s="47">
        <v>3.9E-2</v>
      </c>
      <c r="AN150" s="47" t="s">
        <v>191</v>
      </c>
      <c r="AP150" s="69"/>
      <c r="AQ150" s="73"/>
      <c r="AS150" s="250"/>
      <c r="AT150" s="67"/>
      <c r="AU150" s="67"/>
    </row>
    <row r="151" spans="1:47" s="25" customFormat="1" ht="25.2" customHeight="1" x14ac:dyDescent="0.15">
      <c r="A151" s="25" t="s">
        <v>257</v>
      </c>
      <c r="B151" s="97" t="s">
        <v>210</v>
      </c>
      <c r="C151" s="97"/>
      <c r="D151" s="47" t="s">
        <v>256</v>
      </c>
      <c r="E151" s="88" t="s">
        <v>153</v>
      </c>
      <c r="F151" s="47" t="s">
        <v>259</v>
      </c>
      <c r="G151" s="69" t="s">
        <v>370</v>
      </c>
      <c r="H151" s="47"/>
      <c r="I151" s="111">
        <v>1</v>
      </c>
      <c r="J151" s="236">
        <f t="shared" si="26"/>
        <v>7.4359999999999999</v>
      </c>
      <c r="K151" s="237" cm="1">
        <f t="array" ref="K151">IF(AC151="N/A","",_xlfn.IFS(Y151="m2",(AA151*(1/(Z151/AM151)))*I151,Y151="m3",(AA151*(1/(Z151/AM151)))*I151,Y151="kg",(AA151*AL151*(1/(1/AM151)))*I151,Y151="N/A",""))</f>
        <v>7.4359999999999999</v>
      </c>
      <c r="L151" s="238">
        <f t="shared" si="27"/>
        <v>4.024</v>
      </c>
      <c r="M151" s="239" cm="1">
        <f t="array" ref="M151">_xlfn.IFS(Y151="m2",(AB151*(1/(Z151/AM151)))*I151,Y151="m3",(AB151*(1/(Z151/AM151)))*I151,Y151="kg",(AB151*AL151*(1/(1/AM151)))*I151,Y151="N/A","")</f>
        <v>4.024</v>
      </c>
      <c r="N151" s="240">
        <f t="shared" si="28"/>
        <v>3.4119999999999999</v>
      </c>
      <c r="O151" s="241" cm="1">
        <f t="array" ref="O151">IF(AC151="N/A","",_xlfn.IFS(Y151="m2",(AC151*(1/(Z151/AM151)))*I151,Y151="m3",(AC151*(1/(Z151/AM151)))*I151,Y151="kg",(AC151*AL151*(1/(1/AM151)))*I151,Y151="N/A",""))</f>
        <v>3.4119999999999999</v>
      </c>
      <c r="P151" s="242" t="str">
        <f t="shared" si="29"/>
        <v>N/A</v>
      </c>
      <c r="Q151" s="243" t="str" cm="1">
        <f t="array" ref="Q151">IF(AE151="N/A","",_xlfn.IFS(Y151="m2",(AE151*(1/(Z151/AM151)))*I151,Y151="m3",(AE151*(1/(Z151/AM151)))*I151,Y151="kg",(AE151*AL151*(1/(1/AM151)))*I151,Y151="N/A",""))</f>
        <v/>
      </c>
      <c r="R151" s="88" t="s">
        <v>5</v>
      </c>
      <c r="S151" s="164"/>
      <c r="T151" s="47">
        <v>2025</v>
      </c>
      <c r="U151" s="47" t="s">
        <v>14</v>
      </c>
      <c r="V151" s="47">
        <v>60</v>
      </c>
      <c r="X151" s="180" t="s">
        <v>556</v>
      </c>
      <c r="Y151" s="47" t="s">
        <v>15</v>
      </c>
      <c r="Z151" s="47">
        <v>3.4000000000000002E-2</v>
      </c>
      <c r="AA151" s="240">
        <f t="shared" si="30"/>
        <v>7.4359999999999999</v>
      </c>
      <c r="AB151" s="52">
        <f>3.6+0.044+0.38</f>
        <v>4.024</v>
      </c>
      <c r="AC151" s="52">
        <f>3.4+0.012</f>
        <v>3.4119999999999999</v>
      </c>
      <c r="AD151" s="52">
        <v>-0.22</v>
      </c>
      <c r="AE151" s="52" t="s">
        <v>191</v>
      </c>
      <c r="AG151" s="115" t="str">
        <f>AH151&amp;" "&amp;AI151</f>
        <v xml:space="preserve">F </v>
      </c>
      <c r="AH151" s="75" t="s">
        <v>82</v>
      </c>
      <c r="AI151" s="76"/>
      <c r="AJ151" s="103"/>
      <c r="AL151" s="47">
        <v>31.5</v>
      </c>
      <c r="AM151" s="47">
        <v>3.4000000000000002E-2</v>
      </c>
      <c r="AN151" s="47" t="s">
        <v>191</v>
      </c>
      <c r="AP151" s="105" t="s">
        <v>17</v>
      </c>
      <c r="AQ151" s="73"/>
      <c r="AS151" s="250"/>
      <c r="AT151" s="67"/>
      <c r="AU151" s="67"/>
    </row>
    <row r="152" spans="1:47" s="25" customFormat="1" ht="25.2" customHeight="1" x14ac:dyDescent="0.3">
      <c r="A152" s="25" t="s">
        <v>1015</v>
      </c>
      <c r="B152" s="97" t="s">
        <v>210</v>
      </c>
      <c r="C152" s="97"/>
      <c r="D152" s="47" t="s">
        <v>209</v>
      </c>
      <c r="E152" s="186" t="s">
        <v>146</v>
      </c>
      <c r="F152" s="47" t="s">
        <v>296</v>
      </c>
      <c r="G152" s="69" t="s">
        <v>370</v>
      </c>
      <c r="H152" s="47"/>
      <c r="I152" s="107">
        <v>1</v>
      </c>
      <c r="J152" s="236">
        <f t="shared" si="26"/>
        <v>5.0028359999999994</v>
      </c>
      <c r="K152" s="237" cm="1">
        <f t="array" ref="K152">IF(AC152="N/A","",_xlfn.IFS(Y152="m2",(AA152*(1/(Z152/AM152)))*I152,Y152="m3",(AA152*(1/(Z152/AM152)))*I152,Y152="kg",(AA152*AL152*(1/(1/AM152)))*I152,Y152="N/A",""))</f>
        <v>5.0028359999999994</v>
      </c>
      <c r="L152" s="238">
        <f t="shared" si="27"/>
        <v>4.9055999999999997</v>
      </c>
      <c r="M152" s="239" cm="1">
        <f t="array" ref="M152">_xlfn.IFS(Y152="m2",(AB152*(1/(Z152/AM152)))*I152,Y152="m3",(AB152*(1/(Z152/AM152)))*I152,Y152="kg",(AB152*AL152*(1/(1/AM152)))*I152,Y152="N/A","")</f>
        <v>4.9055999999999997</v>
      </c>
      <c r="N152" s="240">
        <f t="shared" si="28"/>
        <v>9.7236000000000003E-2</v>
      </c>
      <c r="O152" s="241" cm="1">
        <f t="array" ref="O152">IF(AC152="N/A","",_xlfn.IFS(Y152="m2",(AC152*(1/(Z152/AM152)))*I152,Y152="m3",(AC152*(1/(Z152/AM152)))*I152,Y152="kg",(AC152*AL152*(1/(1/AM152)))*I152,Y152="N/A",""))</f>
        <v>9.7236000000000003E-2</v>
      </c>
      <c r="P152" s="242">
        <f t="shared" si="29"/>
        <v>-0.36499999999999999</v>
      </c>
      <c r="Q152" s="243" cm="1">
        <f t="array" ref="Q152">IF(AE152="N/A","",_xlfn.IFS(Y152="m2",(AE152*(1/(Z152/AM152)))*I152,Y152="m3",(AE152*(1/(Z152/AM152)))*I152,Y152="kg",(AE152*AL152*(1/(1/AM152)))*I152,Y152="N/A",""))</f>
        <v>-0.36499999999999999</v>
      </c>
      <c r="R152" s="274" t="s">
        <v>5</v>
      </c>
      <c r="S152" s="47"/>
      <c r="T152" s="47">
        <v>2028</v>
      </c>
      <c r="U152" s="47" t="s">
        <v>28</v>
      </c>
      <c r="V152" s="47">
        <v>60</v>
      </c>
      <c r="X152" s="254" t="s">
        <v>1045</v>
      </c>
      <c r="Y152" s="47" t="s">
        <v>15</v>
      </c>
      <c r="Z152" s="47">
        <v>3.9E-2</v>
      </c>
      <c r="AA152" s="240">
        <f t="shared" si="30"/>
        <v>5.0028359999999994</v>
      </c>
      <c r="AB152" s="52">
        <f>(1.68)*2.92</f>
        <v>4.9055999999999997</v>
      </c>
      <c r="AC152" s="52">
        <f>(0+0.0333)*2.92</f>
        <v>9.7236000000000003E-2</v>
      </c>
      <c r="AD152" s="52">
        <f>(-0.0663)*2.92</f>
        <v>-0.19359599999999999</v>
      </c>
      <c r="AE152" s="52">
        <f>(-0.125)*2.92</f>
        <v>-0.36499999999999999</v>
      </c>
      <c r="AG152" s="103"/>
      <c r="AH152" s="122" t="s">
        <v>214</v>
      </c>
      <c r="AI152" s="210" t="s">
        <v>176</v>
      </c>
      <c r="AJ152" s="47"/>
      <c r="AL152" s="47">
        <v>175</v>
      </c>
      <c r="AM152" s="47">
        <v>3.9E-2</v>
      </c>
      <c r="AN152" s="47">
        <v>1030</v>
      </c>
      <c r="AP152" s="173" t="s">
        <v>17</v>
      </c>
      <c r="AQ152" s="73"/>
      <c r="AS152" s="250"/>
      <c r="AT152" s="67"/>
      <c r="AU152" s="67"/>
    </row>
    <row r="153" spans="1:47" s="25" customFormat="1" ht="25.2" customHeight="1" x14ac:dyDescent="0.3">
      <c r="A153" s="25" t="s">
        <v>85</v>
      </c>
      <c r="B153" s="97" t="s">
        <v>208</v>
      </c>
      <c r="C153" s="97"/>
      <c r="D153" s="47" t="s">
        <v>79</v>
      </c>
      <c r="E153" s="82" t="s">
        <v>153</v>
      </c>
      <c r="F153" s="47" t="s">
        <v>132</v>
      </c>
      <c r="G153" s="69" t="s">
        <v>370</v>
      </c>
      <c r="H153" s="47"/>
      <c r="I153" s="111">
        <v>1</v>
      </c>
      <c r="J153" s="236">
        <f t="shared" si="26"/>
        <v>20.910673611111111</v>
      </c>
      <c r="K153" s="143" cm="1">
        <f t="array" ref="K153">IF(AC153="N/A","",_xlfn.IFS(Y153="m2",(AA153*(1/(Z153/AM153)))*I153,Y153="m3",(AA153*(1/(Z153/AM153)))*I153,Y153="kg",(AA153*AL153*(1/(1/AM153)))*I153,Y153="N/A",""))</f>
        <v>20.910673611111111</v>
      </c>
      <c r="L153" s="238">
        <f t="shared" si="27"/>
        <v>-3.370138888888889</v>
      </c>
      <c r="M153" s="239" cm="1">
        <f t="array" ref="M153">_xlfn.IFS(Y153="m2",(AB153*(1/(Z153/AM153)))*I153,Y153="m3",(AB153*(1/(Z153/AM153)))*I153,Y153="kg",(AB153*AL153*(1/(1/AM153)))*I153,Y153="N/A","")</f>
        <v>-3.370138888888889</v>
      </c>
      <c r="N153" s="240">
        <f t="shared" si="28"/>
        <v>24.2808125</v>
      </c>
      <c r="O153" s="241" cm="1">
        <f t="array" ref="O153">IF(AC153="N/A","",_xlfn.IFS(Y153="m2",(AC153*(1/(Z153/AM153)))*I153,Y153="m3",(AC153*(1/(Z153/AM153)))*I153,Y153="kg",(AC153*AL153*(1/(1/AM153)))*I153,Y153="N/A",""))</f>
        <v>24.2808125</v>
      </c>
      <c r="P153" s="242" t="str">
        <f t="shared" si="29"/>
        <v>N/A</v>
      </c>
      <c r="Q153" s="243" t="str" cm="1">
        <f t="array" ref="Q153">IF(AE153="N/A","",_xlfn.IFS(Y153="m2",(AE153*(1/(Z153/AM153)))*I153,Y153="m3",(AE153*(1/(Z153/AM153)))*I153,Y153="kg",(AE153*AL153*(1/(1/AM153)))*I153,Y153="N/A",""))</f>
        <v/>
      </c>
      <c r="R153" s="271" t="s">
        <v>5</v>
      </c>
      <c r="S153" s="164"/>
      <c r="T153" s="47">
        <v>2026</v>
      </c>
      <c r="U153" s="47" t="s">
        <v>14</v>
      </c>
      <c r="V153" s="47" t="s">
        <v>191</v>
      </c>
      <c r="X153" s="180" t="s">
        <v>559</v>
      </c>
      <c r="Y153" s="47" t="s">
        <v>15</v>
      </c>
      <c r="Z153" s="47">
        <v>3.5999999999999997E-2</v>
      </c>
      <c r="AA153" s="240">
        <f t="shared" si="30"/>
        <v>13.091899999999999</v>
      </c>
      <c r="AB153" s="52">
        <v>-2.11</v>
      </c>
      <c r="AC153" s="52">
        <f>15.2+0.0019</f>
        <v>15.201899999999998</v>
      </c>
      <c r="AD153" s="52">
        <v>-1.06</v>
      </c>
      <c r="AE153" s="52" t="str">
        <f>IF(SUM(AF153:AG153)=0,"N/A",SUM(AF153:AG153))</f>
        <v>N/A</v>
      </c>
      <c r="AG153" s="115" t="str">
        <f>AH153&amp;" "&amp;AI153</f>
        <v xml:space="preserve">E </v>
      </c>
      <c r="AH153" s="75" t="s">
        <v>16</v>
      </c>
      <c r="AI153" s="76"/>
      <c r="AJ153" s="103"/>
      <c r="AL153" s="47">
        <f>(240+280)/2</f>
        <v>260</v>
      </c>
      <c r="AM153" s="79">
        <f>(0.045+0.07)/2</f>
        <v>5.7500000000000002E-2</v>
      </c>
      <c r="AN153" s="47" t="s">
        <v>191</v>
      </c>
      <c r="AP153" s="80" t="s">
        <v>17</v>
      </c>
      <c r="AQ153" s="256"/>
      <c r="AS153" s="250"/>
      <c r="AT153" s="67"/>
      <c r="AU153" s="67"/>
    </row>
    <row r="154" spans="1:47" s="25" customFormat="1" ht="25.2" customHeight="1" x14ac:dyDescent="0.3">
      <c r="A154" s="25" t="s">
        <v>84</v>
      </c>
      <c r="B154" s="97" t="s">
        <v>208</v>
      </c>
      <c r="C154" s="97"/>
      <c r="D154" s="47" t="s">
        <v>79</v>
      </c>
      <c r="E154" s="82" t="s">
        <v>153</v>
      </c>
      <c r="F154" s="47" t="s">
        <v>132</v>
      </c>
      <c r="G154" s="69" t="s">
        <v>370</v>
      </c>
      <c r="H154" s="47"/>
      <c r="I154" s="111">
        <v>1</v>
      </c>
      <c r="J154" s="236">
        <f t="shared" si="26"/>
        <v>20.910673611111111</v>
      </c>
      <c r="K154" s="237" cm="1">
        <f t="array" ref="K154">IF(AC154="N/A","",_xlfn.IFS(Y154="m2",(AA154*(1/(Z154/AM154)))*I154,Y154="m3",(AA154*(1/(Z154/AM154)))*I154,Y154="kg",(AA154*AL154*(1/(1/AM154)))*I154,Y154="N/A",""))</f>
        <v>20.910673611111111</v>
      </c>
      <c r="L154" s="238">
        <f t="shared" si="27"/>
        <v>-3.370138888888889</v>
      </c>
      <c r="M154" s="239" cm="1">
        <f t="array" ref="M154">_xlfn.IFS(Y154="m2",(AB154*(1/(Z154/AM154)))*I154,Y154="m3",(AB154*(1/(Z154/AM154)))*I154,Y154="kg",(AB154*AL154*(1/(1/AM154)))*I154,Y154="N/A","")</f>
        <v>-3.370138888888889</v>
      </c>
      <c r="N154" s="240">
        <f t="shared" si="28"/>
        <v>24.2808125</v>
      </c>
      <c r="O154" s="241" cm="1">
        <f t="array" ref="O154">IF(AC154="N/A","",_xlfn.IFS(Y154="m2",(AC154*(1/(Z154/AM154)))*I154,Y154="m3",(AC154*(1/(Z154/AM154)))*I154,Y154="kg",(AC154*AL154*(1/(1/AM154)))*I154,Y154="N/A",""))</f>
        <v>24.2808125</v>
      </c>
      <c r="P154" s="242" t="str">
        <f t="shared" si="29"/>
        <v>N/A</v>
      </c>
      <c r="Q154" s="243" t="str" cm="1">
        <f t="array" ref="Q154">IF(AE154="N/A","",_xlfn.IFS(Y154="m2",(AE154*(1/(Z154/AM154)))*I154,Y154="m3",(AE154*(1/(Z154/AM154)))*I154,Y154="kg",(AE154*AL154*(1/(1/AM154)))*I154,Y154="N/A",""))</f>
        <v/>
      </c>
      <c r="R154" s="271" t="s">
        <v>5</v>
      </c>
      <c r="S154" s="164"/>
      <c r="T154" s="47">
        <v>2026</v>
      </c>
      <c r="U154" s="47" t="s">
        <v>14</v>
      </c>
      <c r="V154" s="47" t="s">
        <v>191</v>
      </c>
      <c r="X154" s="180" t="s">
        <v>559</v>
      </c>
      <c r="Y154" s="47" t="s">
        <v>15</v>
      </c>
      <c r="Z154" s="47">
        <v>3.5999999999999997E-2</v>
      </c>
      <c r="AA154" s="240">
        <f t="shared" si="30"/>
        <v>13.091899999999999</v>
      </c>
      <c r="AB154" s="52">
        <v>-2.11</v>
      </c>
      <c r="AC154" s="52">
        <f>15.2+0.0019</f>
        <v>15.201899999999998</v>
      </c>
      <c r="AD154" s="52">
        <v>-1.06</v>
      </c>
      <c r="AE154" s="52" t="str">
        <f>IF(SUM(AF154:AG154)=0,"N/A",SUM(AF154:AG154))</f>
        <v>N/A</v>
      </c>
      <c r="AG154" s="115" t="str">
        <f>AH154&amp;" "&amp;AI154</f>
        <v xml:space="preserve">E </v>
      </c>
      <c r="AH154" s="75" t="s">
        <v>16</v>
      </c>
      <c r="AI154" s="76"/>
      <c r="AJ154" s="103"/>
      <c r="AL154" s="47">
        <f>(240+280)/2</f>
        <v>260</v>
      </c>
      <c r="AM154" s="79">
        <f>(0.045+0.07)/2</f>
        <v>5.7500000000000002E-2</v>
      </c>
      <c r="AN154" s="47" t="s">
        <v>191</v>
      </c>
      <c r="AP154" s="80" t="s">
        <v>17</v>
      </c>
      <c r="AQ154" s="256"/>
      <c r="AS154" s="250"/>
      <c r="AT154" s="67"/>
      <c r="AU154" s="67"/>
    </row>
    <row r="155" spans="1:47" s="25" customFormat="1" ht="25.2" customHeight="1" x14ac:dyDescent="0.3">
      <c r="A155" s="25" t="s">
        <v>1016</v>
      </c>
      <c r="B155" s="97" t="s">
        <v>210</v>
      </c>
      <c r="C155" s="97"/>
      <c r="D155" s="47" t="s">
        <v>209</v>
      </c>
      <c r="E155" s="186" t="s">
        <v>146</v>
      </c>
      <c r="F155" s="47" t="s">
        <v>296</v>
      </c>
      <c r="G155" s="69" t="s">
        <v>370</v>
      </c>
      <c r="H155" s="47"/>
      <c r="I155" s="107">
        <v>1</v>
      </c>
      <c r="J155" s="236">
        <f t="shared" si="26"/>
        <v>5.0028359999999994</v>
      </c>
      <c r="K155" s="237" cm="1">
        <f t="array" ref="K155">IF(AC155="N/A","",_xlfn.IFS(Y155="m2",(AA155*(1/(Z155/AM155)))*I155,Y155="m3",(AA155*(1/(Z155/AM155)))*I155,Y155="kg",(AA155*AL155*(1/(1/AM155)))*I155,Y155="N/A",""))</f>
        <v>5.0028359999999994</v>
      </c>
      <c r="L155" s="238">
        <f t="shared" si="27"/>
        <v>4.9055999999999997</v>
      </c>
      <c r="M155" s="239" cm="1">
        <f t="array" ref="M155">_xlfn.IFS(Y155="m2",(AB155*(1/(Z155/AM155)))*I155,Y155="m3",(AB155*(1/(Z155/AM155)))*I155,Y155="kg",(AB155*AL155*(1/(1/AM155)))*I155,Y155="N/A","")</f>
        <v>4.9055999999999997</v>
      </c>
      <c r="N155" s="240">
        <f t="shared" si="28"/>
        <v>9.7236000000000003E-2</v>
      </c>
      <c r="O155" s="241" cm="1">
        <f t="array" ref="O155">IF(AC155="N/A","",_xlfn.IFS(Y155="m2",(AC155*(1/(Z155/AM155)))*I155,Y155="m3",(AC155*(1/(Z155/AM155)))*I155,Y155="kg",(AC155*AL155*(1/(1/AM155)))*I155,Y155="N/A",""))</f>
        <v>9.7236000000000003E-2</v>
      </c>
      <c r="P155" s="242">
        <f t="shared" si="29"/>
        <v>-0.36499999999999999</v>
      </c>
      <c r="Q155" s="243" cm="1">
        <f t="array" ref="Q155">IF(AE155="N/A","",_xlfn.IFS(Y155="m2",(AE155*(1/(Z155/AM155)))*I155,Y155="m3",(AE155*(1/(Z155/AM155)))*I155,Y155="kg",(AE155*AL155*(1/(1/AM155)))*I155,Y155="N/A",""))</f>
        <v>-0.36499999999999999</v>
      </c>
      <c r="R155" s="276" t="s">
        <v>5</v>
      </c>
      <c r="S155" s="47"/>
      <c r="T155" s="47">
        <v>2028</v>
      </c>
      <c r="U155" s="47" t="s">
        <v>28</v>
      </c>
      <c r="V155" s="47">
        <v>60</v>
      </c>
      <c r="X155" s="254" t="s">
        <v>1045</v>
      </c>
      <c r="Y155" s="47" t="s">
        <v>15</v>
      </c>
      <c r="Z155" s="47">
        <v>3.5999999999999997E-2</v>
      </c>
      <c r="AA155" s="240">
        <f t="shared" si="30"/>
        <v>5.0028359999999994</v>
      </c>
      <c r="AB155" s="52">
        <f>(1.68)*2.92</f>
        <v>4.9055999999999997</v>
      </c>
      <c r="AC155" s="52">
        <f>(0+0.0333)*2.92</f>
        <v>9.7236000000000003E-2</v>
      </c>
      <c r="AD155" s="52">
        <f>(-0.0663)*2.92</f>
        <v>-0.19359599999999999</v>
      </c>
      <c r="AE155" s="52">
        <f>(-0.125)*2.92</f>
        <v>-0.36499999999999999</v>
      </c>
      <c r="AG155" s="103"/>
      <c r="AH155" s="122" t="s">
        <v>214</v>
      </c>
      <c r="AI155" s="210" t="s">
        <v>176</v>
      </c>
      <c r="AJ155" s="47"/>
      <c r="AL155" s="47">
        <v>175</v>
      </c>
      <c r="AM155" s="47">
        <v>3.5999999999999997E-2</v>
      </c>
      <c r="AN155" s="47" t="s">
        <v>191</v>
      </c>
      <c r="AP155" s="173" t="s">
        <v>17</v>
      </c>
      <c r="AQ155" s="73"/>
      <c r="AS155" s="250"/>
      <c r="AT155" s="67"/>
      <c r="AU155" s="67"/>
    </row>
    <row r="156" spans="1:47" s="25" customFormat="1" ht="25.2" customHeight="1" x14ac:dyDescent="0.3">
      <c r="A156" s="25" t="s">
        <v>1024</v>
      </c>
      <c r="B156" s="97" t="s">
        <v>210</v>
      </c>
      <c r="C156" s="97"/>
      <c r="D156" s="47" t="s">
        <v>209</v>
      </c>
      <c r="E156" s="186" t="s">
        <v>146</v>
      </c>
      <c r="F156" s="47" t="s">
        <v>296</v>
      </c>
      <c r="G156" s="69" t="s">
        <v>370</v>
      </c>
      <c r="H156" s="47"/>
      <c r="I156" s="107">
        <v>1</v>
      </c>
      <c r="J156" s="236">
        <f t="shared" si="26"/>
        <v>5.0028359999999994</v>
      </c>
      <c r="K156" s="143" cm="1">
        <f t="array" ref="K156">IF(AC156="N/A","",_xlfn.IFS(Y156="m2",(AA156*(1/(Z156/AM156)))*I156,Y156="m3",(AA156*(1/(Z156/AM156)))*I156,Y156="kg",(AA156*AL156*(1/(1/AM156)))*I156,Y156="N/A",""))</f>
        <v>5.0028359999999994</v>
      </c>
      <c r="L156" s="238">
        <f t="shared" si="27"/>
        <v>4.9055999999999997</v>
      </c>
      <c r="M156" s="239" cm="1">
        <f t="array" ref="M156">_xlfn.IFS(Y156="m2",(AB156*(1/(Z156/AM156)))*I156,Y156="m3",(AB156*(1/(Z156/AM156)))*I156,Y156="kg",(AB156*AL156*(1/(1/AM156)))*I156,Y156="N/A","")</f>
        <v>4.9055999999999997</v>
      </c>
      <c r="N156" s="240">
        <f t="shared" si="28"/>
        <v>9.7236000000000003E-2</v>
      </c>
      <c r="O156" s="241" cm="1">
        <f t="array" ref="O156">IF(AC156="N/A","",_xlfn.IFS(Y156="m2",(AC156*(1/(Z156/AM156)))*I156,Y156="m3",(AC156*(1/(Z156/AM156)))*I156,Y156="kg",(AC156*AL156*(1/(1/AM156)))*I156,Y156="N/A",""))</f>
        <v>9.7236000000000003E-2</v>
      </c>
      <c r="P156" s="242">
        <f t="shared" si="29"/>
        <v>-0.36499999999999999</v>
      </c>
      <c r="Q156" s="243" cm="1">
        <f t="array" ref="Q156">IF(AE156="N/A","",_xlfn.IFS(Y156="m2",(AE156*(1/(Z156/AM156)))*I156,Y156="m3",(AE156*(1/(Z156/AM156)))*I156,Y156="kg",(AE156*AL156*(1/(1/AM156)))*I156,Y156="N/A",""))</f>
        <v>-0.36499999999999999</v>
      </c>
      <c r="R156" t="s">
        <v>5</v>
      </c>
      <c r="S156" s="228"/>
      <c r="T156" s="47">
        <v>2028</v>
      </c>
      <c r="U156" s="47" t="s">
        <v>28</v>
      </c>
      <c r="V156" s="47">
        <v>60</v>
      </c>
      <c r="X156" s="254" t="s">
        <v>1045</v>
      </c>
      <c r="Y156" s="47" t="s">
        <v>15</v>
      </c>
      <c r="Z156" s="47">
        <v>3.9E-2</v>
      </c>
      <c r="AA156" s="240">
        <f t="shared" si="30"/>
        <v>5.0028359999999994</v>
      </c>
      <c r="AB156" s="52">
        <f>(1.68)*2.92</f>
        <v>4.9055999999999997</v>
      </c>
      <c r="AC156" s="52">
        <f>(0+0.0333)*2.92</f>
        <v>9.7236000000000003E-2</v>
      </c>
      <c r="AD156" s="52">
        <f>(-0.0663)*2.92</f>
        <v>-0.19359599999999999</v>
      </c>
      <c r="AE156" s="52">
        <f>(-0.125)*2.92</f>
        <v>-0.36499999999999999</v>
      </c>
      <c r="AG156" s="103"/>
      <c r="AH156" s="122" t="s">
        <v>214</v>
      </c>
      <c r="AI156" s="210" t="s">
        <v>176</v>
      </c>
      <c r="AJ156" s="47"/>
      <c r="AL156" s="47">
        <v>175</v>
      </c>
      <c r="AM156" s="47">
        <v>3.9E-2</v>
      </c>
      <c r="AN156" s="47" t="s">
        <v>191</v>
      </c>
      <c r="AP156" s="173" t="s">
        <v>17</v>
      </c>
      <c r="AQ156" s="73"/>
      <c r="AS156" s="250"/>
      <c r="AT156" s="67"/>
      <c r="AU156" s="67"/>
    </row>
    <row r="157" spans="1:47" s="25" customFormat="1" ht="25.2" customHeight="1" x14ac:dyDescent="0.3">
      <c r="A157" s="25" t="s">
        <v>369</v>
      </c>
      <c r="B157" s="97" t="s">
        <v>208</v>
      </c>
      <c r="C157" s="97"/>
      <c r="D157" s="47" t="s">
        <v>362</v>
      </c>
      <c r="E157" s="47" t="s">
        <v>191</v>
      </c>
      <c r="F157" s="47" t="s">
        <v>132</v>
      </c>
      <c r="G157" s="69" t="s">
        <v>370</v>
      </c>
      <c r="H157" s="47"/>
      <c r="I157" s="111">
        <v>1</v>
      </c>
      <c r="J157" s="236" t="str">
        <f t="shared" si="26"/>
        <v>N/A</v>
      </c>
      <c r="K157" s="237" t="str" cm="1">
        <f t="array" ref="K157">IF(AC157="N/A","",_xlfn.IFS(Y157="m2",(AA157*(1/(Z157/AM157)))*I157,Y157="m3",(AA157*(1/(Z157/AM157)))*I157,Y157="kg",(AA157*AL157*(1/(1/AM157)))*I157,Y157="N/A",""))</f>
        <v/>
      </c>
      <c r="L157" s="238" t="str">
        <f t="shared" si="27"/>
        <v>N/A</v>
      </c>
      <c r="M157" s="239" t="str" cm="1">
        <f t="array" ref="M157">_xlfn.IFS(Y157="m2",(AB157*(1/(Z157/AM157)))*I157,Y157="m3",(AB157*(1/(Z157/AM157)))*I157,Y157="kg",(AB157*AL157*(1/(1/AM157)))*I157,Y157="N/A","")</f>
        <v/>
      </c>
      <c r="N157" s="240" t="str">
        <f t="shared" si="28"/>
        <v>N/A</v>
      </c>
      <c r="O157" s="241" t="str" cm="1">
        <f t="array" ref="O157">IF(AC157="N/A","",_xlfn.IFS(Y157="m2",(AC157*(1/(Z157/AM157)))*I157,Y157="m3",(AC157*(1/(Z157/AM157)))*I157,Y157="kg",(AC157*AL157*(1/(1/AM157)))*I157,Y157="N/A",""))</f>
        <v/>
      </c>
      <c r="P157" s="242" t="str">
        <f t="shared" si="29"/>
        <v>N/A</v>
      </c>
      <c r="Q157" s="243" t="str" cm="1">
        <f t="array" ref="Q157">IF(AE157="N/A","",_xlfn.IFS(Y157="m2",(AE157*(1/(Z157/AM157)))*I157,Y157="m3",(AE157*(1/(Z157/AM157)))*I157,Y157="kg",(AE157*AL157*(1/(1/AM157)))*I157,Y157="N/A",""))</f>
        <v/>
      </c>
      <c r="R157" t="s">
        <v>191</v>
      </c>
      <c r="S157" s="47"/>
      <c r="T157" s="47" t="s">
        <v>191</v>
      </c>
      <c r="U157" s="47" t="s">
        <v>191</v>
      </c>
      <c r="V157" s="47" t="s">
        <v>191</v>
      </c>
      <c r="X157" s="180" t="s">
        <v>191</v>
      </c>
      <c r="Y157" s="52" t="s">
        <v>191</v>
      </c>
      <c r="Z157" s="47" t="s">
        <v>191</v>
      </c>
      <c r="AA157" s="240" t="str">
        <f t="shared" si="30"/>
        <v>N/A</v>
      </c>
      <c r="AB157" s="52" t="s">
        <v>191</v>
      </c>
      <c r="AC157" s="52" t="s">
        <v>191</v>
      </c>
      <c r="AD157" s="52" t="s">
        <v>191</v>
      </c>
      <c r="AE157" s="52" t="s">
        <v>191</v>
      </c>
      <c r="AG157" s="115" t="str">
        <f>AH157&amp;" "&amp;AI157</f>
        <v xml:space="preserve">F </v>
      </c>
      <c r="AH157" s="75" t="s">
        <v>82</v>
      </c>
      <c r="AI157" s="76"/>
      <c r="AJ157" s="103"/>
      <c r="AL157" s="47" t="s">
        <v>191</v>
      </c>
      <c r="AM157" s="47">
        <v>3.9E-2</v>
      </c>
      <c r="AN157" s="47" t="s">
        <v>191</v>
      </c>
      <c r="AP157" s="105" t="s">
        <v>17</v>
      </c>
      <c r="AQ157" s="106" t="s">
        <v>17</v>
      </c>
      <c r="AS157" s="250"/>
      <c r="AT157" s="67"/>
      <c r="AU157" s="67"/>
    </row>
    <row r="158" spans="1:47" s="25" customFormat="1" ht="25.2" customHeight="1" x14ac:dyDescent="0.3">
      <c r="A158" s="25" t="s">
        <v>368</v>
      </c>
      <c r="B158" s="97" t="s">
        <v>208</v>
      </c>
      <c r="C158" s="97"/>
      <c r="D158" s="47" t="s">
        <v>362</v>
      </c>
      <c r="E158" s="47" t="s">
        <v>191</v>
      </c>
      <c r="F158" s="47" t="s">
        <v>132</v>
      </c>
      <c r="G158" s="69" t="s">
        <v>370</v>
      </c>
      <c r="H158" s="47"/>
      <c r="I158" s="111">
        <v>1</v>
      </c>
      <c r="J158" s="236" t="str">
        <f t="shared" si="26"/>
        <v>N/A</v>
      </c>
      <c r="K158" s="237" t="str" cm="1">
        <f t="array" ref="K158">IF(AC158="N/A","",_xlfn.IFS(Y158="m2",(AA158*(1/(Z158/AM158)))*I158,Y158="m3",(AA158*(1/(Z158/AM158)))*I158,Y158="kg",(AA158*AL158*(1/(1/AM158)))*I158,Y158="N/A",""))</f>
        <v/>
      </c>
      <c r="L158" s="238" t="str">
        <f t="shared" si="27"/>
        <v>N/A</v>
      </c>
      <c r="M158" s="239" t="str" cm="1">
        <f t="array" ref="M158">_xlfn.IFS(Y158="m2",(AB158*(1/(Z158/AM158)))*I158,Y158="m3",(AB158*(1/(Z158/AM158)))*I158,Y158="kg",(AB158*AL158*(1/(1/AM158)))*I158,Y158="N/A","")</f>
        <v/>
      </c>
      <c r="N158" s="240" t="str">
        <f t="shared" si="28"/>
        <v>N/A</v>
      </c>
      <c r="O158" s="241" t="str" cm="1">
        <f t="array" ref="O158">IF(AC158="N/A","",_xlfn.IFS(Y158="m2",(AC158*(1/(Z158/AM158)))*I158,Y158="m3",(AC158*(1/(Z158/AM158)))*I158,Y158="kg",(AC158*AL158*(1/(1/AM158)))*I158,Y158="N/A",""))</f>
        <v/>
      </c>
      <c r="P158" s="242" t="str">
        <f t="shared" si="29"/>
        <v>N/A</v>
      </c>
      <c r="Q158" s="243" t="str" cm="1">
        <f t="array" ref="Q158">IF(AE158="N/A","",_xlfn.IFS(Y158="m2",(AE158*(1/(Z158/AM158)))*I158,Y158="m3",(AE158*(1/(Z158/AM158)))*I158,Y158="kg",(AE158*AL158*(1/(1/AM158)))*I158,Y158="N/A",""))</f>
        <v/>
      </c>
      <c r="R158" t="s">
        <v>191</v>
      </c>
      <c r="S158" s="47"/>
      <c r="T158" s="47" t="s">
        <v>191</v>
      </c>
      <c r="U158" s="47" t="s">
        <v>191</v>
      </c>
      <c r="V158" s="47" t="s">
        <v>191</v>
      </c>
      <c r="X158" s="180" t="s">
        <v>191</v>
      </c>
      <c r="Y158" s="52" t="s">
        <v>191</v>
      </c>
      <c r="Z158" s="47" t="s">
        <v>191</v>
      </c>
      <c r="AA158" s="240" t="str">
        <f t="shared" si="30"/>
        <v>N/A</v>
      </c>
      <c r="AB158" s="52" t="s">
        <v>191</v>
      </c>
      <c r="AC158" s="52" t="s">
        <v>191</v>
      </c>
      <c r="AD158" s="52" t="s">
        <v>191</v>
      </c>
      <c r="AE158" s="52" t="s">
        <v>191</v>
      </c>
      <c r="AG158" s="115" t="str">
        <f>AH158&amp;" "&amp;AI158</f>
        <v xml:space="preserve">F </v>
      </c>
      <c r="AH158" s="75" t="s">
        <v>82</v>
      </c>
      <c r="AI158" s="76"/>
      <c r="AJ158" s="103"/>
      <c r="AL158" s="47" t="s">
        <v>191</v>
      </c>
      <c r="AM158" s="47">
        <v>3.9E-2</v>
      </c>
      <c r="AN158" s="47" t="s">
        <v>191</v>
      </c>
      <c r="AP158" s="105" t="s">
        <v>17</v>
      </c>
      <c r="AQ158" s="106" t="s">
        <v>17</v>
      </c>
      <c r="AS158" s="250"/>
      <c r="AT158" s="67"/>
      <c r="AU158" s="67"/>
    </row>
    <row r="159" spans="1:47" s="25" customFormat="1" ht="25.2" customHeight="1" x14ac:dyDescent="0.3">
      <c r="A159" s="25" t="s">
        <v>204</v>
      </c>
      <c r="B159" s="97" t="s">
        <v>208</v>
      </c>
      <c r="C159" s="97"/>
      <c r="D159" s="47" t="s">
        <v>18</v>
      </c>
      <c r="E159" s="82" t="s">
        <v>141</v>
      </c>
      <c r="F159" s="47" t="s">
        <v>19</v>
      </c>
      <c r="G159" s="69" t="s">
        <v>370</v>
      </c>
      <c r="H159" s="47"/>
      <c r="I159" s="112">
        <v>1</v>
      </c>
      <c r="J159" s="236" t="str">
        <f t="shared" si="26"/>
        <v>N/A</v>
      </c>
      <c r="K159" s="143" t="str" cm="1">
        <f t="array" ref="K159">IF(AC159="N/A","",_xlfn.IFS(Y159="m2",(AA159*(1/(Z159/AM159)))*I159,Y159="m3",(AA159*(1/(Z159/AM159)))*I159,Y159="kg",(AA159*AL159*(1/(1/AM159)))*I159,Y159="N/A",""))</f>
        <v/>
      </c>
      <c r="L159" s="238">
        <f t="shared" si="27"/>
        <v>-7.7220000000000004</v>
      </c>
      <c r="M159" s="239" cm="1">
        <f t="array" ref="M159">_xlfn.IFS(Y159="m2",(AB159*(1/(Z159/AM159)))*I159,Y159="m3",(AB159*(1/(Z159/AM159)))*I159,Y159="kg",(AB159*AL159*(1/(1/AM159)))*I159,Y159="N/A","")</f>
        <v>-7.7220000000000004</v>
      </c>
      <c r="N159" s="240" t="str">
        <f t="shared" si="28"/>
        <v>N/A</v>
      </c>
      <c r="O159" s="241" t="str" cm="1">
        <f t="array" ref="O159">IF(AC159="N/A","",_xlfn.IFS(Y159="m2",(AC159*(1/(Z159/AM159)))*I159,Y159="m3",(AC159*(1/(Z159/AM159)))*I159,Y159="kg",(AC159*AL159*(1/(1/AM159)))*I159,Y159="N/A",""))</f>
        <v/>
      </c>
      <c r="P159" s="242" t="str">
        <f t="shared" si="29"/>
        <v>N/A</v>
      </c>
      <c r="Q159" s="243" t="str" cm="1">
        <f t="array" ref="Q159">IF(AE159="N/A","",_xlfn.IFS(Y159="m2",(AE159*(1/(Z159/AM159)))*I159,Y159="m3",(AE159*(1/(Z159/AM159)))*I159,Y159="kg",(AE159*AL159*(1/(1/AM159)))*I159,Y159="N/A",""))</f>
        <v/>
      </c>
      <c r="R159" s="271" t="s">
        <v>5</v>
      </c>
      <c r="S159" s="164"/>
      <c r="T159" s="47">
        <v>2021</v>
      </c>
      <c r="U159" s="47" t="s">
        <v>14</v>
      </c>
      <c r="V159" s="47" t="s">
        <v>191</v>
      </c>
      <c r="X159" s="180" t="s">
        <v>526</v>
      </c>
      <c r="Y159" s="47" t="s">
        <v>20</v>
      </c>
      <c r="Z159" s="47">
        <v>1</v>
      </c>
      <c r="AA159" s="240" t="str">
        <f t="shared" si="30"/>
        <v>N/A</v>
      </c>
      <c r="AB159" s="52">
        <v>-198</v>
      </c>
      <c r="AC159" s="52" t="s">
        <v>191</v>
      </c>
      <c r="AD159" s="52" t="s">
        <v>191</v>
      </c>
      <c r="AE159" s="52" t="s">
        <v>191</v>
      </c>
      <c r="AG159" s="115" t="str">
        <f>AH159&amp;" "&amp;AI159</f>
        <v xml:space="preserve">E </v>
      </c>
      <c r="AH159" s="75" t="s">
        <v>16</v>
      </c>
      <c r="AI159" s="76"/>
      <c r="AJ159" s="77"/>
      <c r="AL159" s="47">
        <v>110</v>
      </c>
      <c r="AM159" s="79">
        <v>3.9E-2</v>
      </c>
      <c r="AN159" s="47" t="s">
        <v>191</v>
      </c>
      <c r="AP159" s="80" t="s">
        <v>17</v>
      </c>
      <c r="AQ159" s="256"/>
      <c r="AS159" s="250"/>
      <c r="AT159" s="67"/>
      <c r="AU159" s="67"/>
    </row>
    <row r="160" spans="1:47" s="25" customFormat="1" ht="25.2" customHeight="1" x14ac:dyDescent="0.3">
      <c r="A160" s="25" t="s">
        <v>364</v>
      </c>
      <c r="B160" s="97" t="s">
        <v>208</v>
      </c>
      <c r="C160" s="97"/>
      <c r="D160" s="47" t="s">
        <v>362</v>
      </c>
      <c r="E160" s="47" t="s">
        <v>191</v>
      </c>
      <c r="F160" s="47" t="s">
        <v>132</v>
      </c>
      <c r="G160" s="69" t="s">
        <v>370</v>
      </c>
      <c r="H160" s="47"/>
      <c r="I160" s="111">
        <v>1</v>
      </c>
      <c r="J160" s="236" t="str">
        <f t="shared" si="26"/>
        <v>N/A</v>
      </c>
      <c r="K160" s="237" t="str" cm="1">
        <f t="array" ref="K160">IF(AC160="N/A","",_xlfn.IFS(Y160="m2",(AA160*(1/(Z160/AM160)))*I160,Y160="m3",(AA160*(1/(Z160/AM160)))*I160,Y160="kg",(AA160*AL160*(1/(1/AM160)))*I160,Y160="N/A",""))</f>
        <v/>
      </c>
      <c r="L160" s="238" t="str">
        <f t="shared" si="27"/>
        <v>N/A</v>
      </c>
      <c r="M160" s="239" t="str" cm="1">
        <f t="array" ref="M160">_xlfn.IFS(Y160="m2",(AB160*(1/(Z160/AM160)))*I160,Y160="m3",(AB160*(1/(Z160/AM160)))*I160,Y160="kg",(AB160*AL160*(1/(1/AM160)))*I160,Y160="N/A","")</f>
        <v/>
      </c>
      <c r="N160" s="240" t="str">
        <f t="shared" si="28"/>
        <v>N/A</v>
      </c>
      <c r="O160" s="241" t="str" cm="1">
        <f t="array" ref="O160">IF(AC160="N/A","",_xlfn.IFS(Y160="m2",(AC160*(1/(Z160/AM160)))*I160,Y160="m3",(AC160*(1/(Z160/AM160)))*I160,Y160="kg",(AC160*AL160*(1/(1/AM160)))*I160,Y160="N/A",""))</f>
        <v/>
      </c>
      <c r="P160" s="242" t="str">
        <f t="shared" si="29"/>
        <v>N/A</v>
      </c>
      <c r="Q160" s="243" t="str" cm="1">
        <f t="array" ref="Q160">IF(AE160="N/A","",_xlfn.IFS(Y160="m2",(AE160*(1/(Z160/AM160)))*I160,Y160="m3",(AE160*(1/(Z160/AM160)))*I160,Y160="kg",(AE160*AL160*(1/(1/AM160)))*I160,Y160="N/A",""))</f>
        <v/>
      </c>
      <c r="R160" t="s">
        <v>191</v>
      </c>
      <c r="S160" s="47"/>
      <c r="T160" s="47" t="s">
        <v>191</v>
      </c>
      <c r="U160" s="47" t="s">
        <v>191</v>
      </c>
      <c r="V160" s="47" t="s">
        <v>191</v>
      </c>
      <c r="X160" s="180" t="s">
        <v>191</v>
      </c>
      <c r="Y160" s="52" t="s">
        <v>191</v>
      </c>
      <c r="Z160" s="47" t="s">
        <v>191</v>
      </c>
      <c r="AA160" s="240" t="str">
        <f t="shared" si="30"/>
        <v>N/A</v>
      </c>
      <c r="AB160" s="52" t="s">
        <v>191</v>
      </c>
      <c r="AC160" s="52" t="s">
        <v>191</v>
      </c>
      <c r="AD160" s="52" t="s">
        <v>191</v>
      </c>
      <c r="AE160" s="52" t="s">
        <v>191</v>
      </c>
      <c r="AG160" s="115" t="str">
        <f>AH160&amp;" "&amp;AI160</f>
        <v xml:space="preserve">F </v>
      </c>
      <c r="AH160" s="75" t="s">
        <v>82</v>
      </c>
      <c r="AI160" s="76"/>
      <c r="AJ160" s="103"/>
      <c r="AL160" s="47" t="s">
        <v>191</v>
      </c>
      <c r="AM160" s="47">
        <v>3.6999999999999998E-2</v>
      </c>
      <c r="AN160" s="47" t="s">
        <v>191</v>
      </c>
      <c r="AP160" s="105" t="s">
        <v>17</v>
      </c>
      <c r="AQ160" s="106" t="s">
        <v>17</v>
      </c>
      <c r="AS160" s="250"/>
      <c r="AT160" s="67"/>
      <c r="AU160" s="67"/>
    </row>
    <row r="161" spans="1:48" s="25" customFormat="1" ht="25.2" customHeight="1" x14ac:dyDescent="0.3">
      <c r="A161" s="25" t="s">
        <v>1025</v>
      </c>
      <c r="B161" s="97" t="s">
        <v>210</v>
      </c>
      <c r="C161" s="97"/>
      <c r="D161" s="47" t="s">
        <v>209</v>
      </c>
      <c r="E161" s="186" t="s">
        <v>146</v>
      </c>
      <c r="F161" s="47" t="s">
        <v>296</v>
      </c>
      <c r="G161" s="47" t="s">
        <v>370</v>
      </c>
      <c r="H161" s="47"/>
      <c r="I161" s="107">
        <v>1</v>
      </c>
      <c r="J161" s="236">
        <f t="shared" si="26"/>
        <v>5.0028359999999994</v>
      </c>
      <c r="K161" s="237" cm="1">
        <f t="array" ref="K161">IF(AC161="N/A","",_xlfn.IFS(Y161="m2",(AA161*(1/(Z161/AM161)))*I161,Y161="m3",(AA161*(1/(Z161/AM161)))*I161,Y161="kg",(AA161*AL161*(1/(1/AM161)))*I161,Y161="N/A",""))</f>
        <v>5.0028359999999994</v>
      </c>
      <c r="L161" s="238">
        <f t="shared" si="27"/>
        <v>4.9055999999999997</v>
      </c>
      <c r="M161" s="239" cm="1">
        <f t="array" ref="M161">_xlfn.IFS(Y161="m2",(AB161*(1/(Z161/AM161)))*I161,Y161="m3",(AB161*(1/(Z161/AM161)))*I161,Y161="kg",(AB161*AL161*(1/(1/AM161)))*I161,Y161="N/A","")</f>
        <v>4.9055999999999997</v>
      </c>
      <c r="N161" s="240">
        <f t="shared" si="28"/>
        <v>9.7236000000000003E-2</v>
      </c>
      <c r="O161" s="241" cm="1">
        <f t="array" ref="O161">IF(AC161="N/A","",_xlfn.IFS(Y161="m2",(AC161*(1/(Z161/AM161)))*I161,Y161="m3",(AC161*(1/(Z161/AM161)))*I161,Y161="kg",(AC161*AL161*(1/(1/AM161)))*I161,Y161="N/A",""))</f>
        <v>9.7236000000000003E-2</v>
      </c>
      <c r="P161" s="242">
        <f t="shared" si="29"/>
        <v>-0.36499999999999999</v>
      </c>
      <c r="Q161" s="243" cm="1">
        <f t="array" ref="Q161">IF(AE161="N/A","",_xlfn.IFS(Y161="m2",(AE161*(1/(Z161/AM161)))*I161,Y161="m3",(AE161*(1/(Z161/AM161)))*I161,Y161="kg",(AE161*AL161*(1/(1/AM161)))*I161,Y161="N/A",""))</f>
        <v>-0.36499999999999999</v>
      </c>
      <c r="R161" s="274" t="s">
        <v>5</v>
      </c>
      <c r="S161" s="47"/>
      <c r="T161" s="47">
        <v>2028</v>
      </c>
      <c r="U161" s="47" t="s">
        <v>28</v>
      </c>
      <c r="V161" s="47">
        <v>60</v>
      </c>
      <c r="X161" s="254" t="s">
        <v>1045</v>
      </c>
      <c r="Y161" s="47" t="s">
        <v>15</v>
      </c>
      <c r="Z161" s="47">
        <v>3.9E-2</v>
      </c>
      <c r="AA161" s="240">
        <f t="shared" si="30"/>
        <v>5.0028359999999994</v>
      </c>
      <c r="AB161" s="52">
        <f>(1.68)*2.92</f>
        <v>4.9055999999999997</v>
      </c>
      <c r="AC161" s="52">
        <f>(0+0.0333)*2.92</f>
        <v>9.7236000000000003E-2</v>
      </c>
      <c r="AD161" s="52">
        <f>(-0.0663)*2.92</f>
        <v>-0.19359599999999999</v>
      </c>
      <c r="AE161" s="52">
        <f>(-0.125)*2.92</f>
        <v>-0.36499999999999999</v>
      </c>
      <c r="AG161" s="103"/>
      <c r="AH161" s="122" t="s">
        <v>214</v>
      </c>
      <c r="AI161" s="210" t="s">
        <v>176</v>
      </c>
      <c r="AJ161" s="47"/>
      <c r="AL161" s="47">
        <v>175</v>
      </c>
      <c r="AM161" s="47">
        <v>3.9E-2</v>
      </c>
      <c r="AN161" s="47">
        <v>1030</v>
      </c>
      <c r="AP161" s="173" t="s">
        <v>17</v>
      </c>
      <c r="AQ161" s="73"/>
      <c r="AS161" s="250"/>
      <c r="AT161" s="67"/>
      <c r="AU161" s="67"/>
    </row>
    <row r="162" spans="1:48" s="25" customFormat="1" ht="25.2" customHeight="1" x14ac:dyDescent="0.3">
      <c r="A162" s="25" t="s">
        <v>378</v>
      </c>
      <c r="B162" s="47" t="s">
        <v>210</v>
      </c>
      <c r="C162" s="47"/>
      <c r="D162" s="47" t="s">
        <v>187</v>
      </c>
      <c r="E162" s="47" t="s">
        <v>140</v>
      </c>
      <c r="F162" s="47" t="s">
        <v>307</v>
      </c>
      <c r="G162" s="47" t="s">
        <v>370</v>
      </c>
      <c r="H162" s="47"/>
      <c r="I162" s="111">
        <v>1</v>
      </c>
      <c r="J162" s="70">
        <f t="shared" si="26"/>
        <v>5.0179949999999991</v>
      </c>
      <c r="K162" s="143" cm="1">
        <f t="array" ref="K162">IF(AC162="N/A","",_xlfn.IFS(Y162="m2",(AA162*(1/(Z162/AM162)))*I162,Y162="m3",(AA162*(1/(Z162/AM162)))*I162,Y162="kg",(AA162*AL162*(1/(1/AM162)))*I162,Y162="N/A",""))</f>
        <v>5.0179949999999991</v>
      </c>
      <c r="L162" s="71">
        <f t="shared" si="27"/>
        <v>4.9589999999999996</v>
      </c>
      <c r="M162" s="146" cm="1">
        <f t="array" ref="M162">_xlfn.IFS(Y162="m2",(AB162*(1/(Z162/AM162)))*I162,Y162="m3",(AB162*(1/(Z162/AM162)))*I162,Y162="kg",(AB162*AL162*(1/(1/AM162)))*I162,Y162="N/A","")</f>
        <v>4.9589999999999996</v>
      </c>
      <c r="N162" s="52">
        <f t="shared" si="28"/>
        <v>5.8994999999999999E-2</v>
      </c>
      <c r="O162" s="148" cm="1">
        <f t="array" ref="O162">IF(AC162="N/A","",_xlfn.IFS(Y162="m2",(AC162*(1/(Z162/AM162)))*I162,Y162="m3",(AC162*(1/(Z162/AM162)))*I162,Y162="kg",(AC162*AL162*(1/(1/AM162)))*I162,Y162="N/A",""))</f>
        <v>5.8994999999999999E-2</v>
      </c>
      <c r="P162" s="72">
        <f t="shared" si="29"/>
        <v>-0.16142399999999998</v>
      </c>
      <c r="Q162" s="150" cm="1">
        <f t="array" ref="Q162">IF(AE162="N/A","",_xlfn.IFS(Y162="m2",(AE162*(1/(Z162/AM162)))*I162,Y162="m3",(AE162*(1/(Z162/AM162)))*I162,Y162="kg",(AE162*AL162*(1/(1/AM162)))*I162,Y162="N/A",""))</f>
        <v>-0.16142399999999998</v>
      </c>
      <c r="R162" s="273" t="s">
        <v>5</v>
      </c>
      <c r="S162" s="164" t="s">
        <v>377</v>
      </c>
      <c r="T162" s="47">
        <v>2026</v>
      </c>
      <c r="U162" s="47" t="s">
        <v>28</v>
      </c>
      <c r="V162" s="52" t="s">
        <v>191</v>
      </c>
      <c r="X162" s="180" t="s">
        <v>538</v>
      </c>
      <c r="Y162" s="47" t="s">
        <v>61</v>
      </c>
      <c r="Z162" s="47" t="s">
        <v>191</v>
      </c>
      <c r="AA162" s="52">
        <f t="shared" si="30"/>
        <v>1.4672499999999999</v>
      </c>
      <c r="AB162" s="52">
        <v>1.45</v>
      </c>
      <c r="AC162" s="52">
        <f>1.95*10^-3+1.53*10^-2</f>
        <v>1.7250000000000001E-2</v>
      </c>
      <c r="AD162" s="52">
        <f>(-5.13*10^-2)-1.45-1.43*10^-1</f>
        <v>-1.6442999999999999</v>
      </c>
      <c r="AE162" s="52">
        <f>-4.72*10^-2</f>
        <v>-4.7199999999999999E-2</v>
      </c>
      <c r="AG162" s="115" t="str">
        <f t="shared" ref="AG162:AG167" si="31">AH162&amp;" "&amp;AI162</f>
        <v xml:space="preserve">A1 </v>
      </c>
      <c r="AH162" s="75" t="s">
        <v>58</v>
      </c>
      <c r="AI162" s="76"/>
      <c r="AJ162" s="77"/>
      <c r="AL162" s="47">
        <v>95</v>
      </c>
      <c r="AM162" s="47">
        <v>3.5999999999999997E-2</v>
      </c>
      <c r="AN162" s="52" t="s">
        <v>191</v>
      </c>
      <c r="AP162" s="80" t="s">
        <v>17</v>
      </c>
      <c r="AQ162" s="106" t="s">
        <v>17</v>
      </c>
      <c r="AS162" s="250"/>
      <c r="AT162" s="67"/>
      <c r="AU162" s="67"/>
    </row>
    <row r="163" spans="1:48" s="25" customFormat="1" ht="25.2" customHeight="1" x14ac:dyDescent="0.3">
      <c r="A163" s="25" t="s">
        <v>1046</v>
      </c>
      <c r="B163" s="47" t="s">
        <v>210</v>
      </c>
      <c r="C163" s="47"/>
      <c r="D163" s="47" t="s">
        <v>209</v>
      </c>
      <c r="E163" s="186" t="s">
        <v>146</v>
      </c>
      <c r="F163" s="47" t="s">
        <v>296</v>
      </c>
      <c r="G163" s="47" t="s">
        <v>370</v>
      </c>
      <c r="H163" s="47"/>
      <c r="I163" s="107">
        <v>1</v>
      </c>
      <c r="J163" s="70">
        <f t="shared" si="26"/>
        <v>5.0582000000000003</v>
      </c>
      <c r="K163" s="237" cm="1">
        <f t="array" ref="K163">IF(AC163="N/A","",_xlfn.IFS(Y163="m2",(AA163*(1/(Z163/AM163)))*I163,Y163="m3",(AA163*(1/(Z163/AM163)))*I163,Y163="kg",(AA163*AL163*(1/(1/AM163)))*I163,Y163="N/A",""))</f>
        <v>5.0582000000000003</v>
      </c>
      <c r="L163" s="71">
        <f t="shared" si="27"/>
        <v>4.96</v>
      </c>
      <c r="M163" s="146" cm="1">
        <f t="array" ref="M163">_xlfn.IFS(Y163="m2",(AB163*(1/(Z163/AM163)))*I163,Y163="m3",(AB163*(1/(Z163/AM163)))*I163,Y163="kg",(AB163*AL163*(1/(1/AM163)))*I163,Y163="N/A","")</f>
        <v>4.96</v>
      </c>
      <c r="N163" s="52">
        <f t="shared" si="28"/>
        <v>9.8199999999999996E-2</v>
      </c>
      <c r="O163" s="148" cm="1">
        <f t="array" ref="O163">IF(AC163="N/A","",_xlfn.IFS(Y163="m2",(AC163*(1/(Z163/AM163)))*I163,Y163="m3",(AC163*(1/(Z163/AM163)))*I163,Y163="kg",(AC163*AL163*(1/(1/AM163)))*I163,Y163="N/A",""))</f>
        <v>9.8199999999999996E-2</v>
      </c>
      <c r="P163" s="72">
        <f t="shared" si="29"/>
        <v>-0.36599999999999999</v>
      </c>
      <c r="Q163" s="150" cm="1">
        <f t="array" ref="Q163">IF(AE163="N/A","",_xlfn.IFS(Y163="m2",(AE163*(1/(Z163/AM163)))*I163,Y163="m3",(AE163*(1/(Z163/AM163)))*I163,Y163="kg",(AE163*AL163*(1/(1/AM163)))*I163,Y163="N/A",""))</f>
        <v>-0.36599999999999999</v>
      </c>
      <c r="R163" s="273" t="s">
        <v>5</v>
      </c>
      <c r="S163" s="47"/>
      <c r="T163" s="47">
        <v>2028</v>
      </c>
      <c r="U163" s="47" t="s">
        <v>28</v>
      </c>
      <c r="V163" s="47">
        <v>60</v>
      </c>
      <c r="X163" s="180" t="s">
        <v>1003</v>
      </c>
      <c r="Y163" s="47" t="s">
        <v>15</v>
      </c>
      <c r="Z163" s="47">
        <v>3.9E-2</v>
      </c>
      <c r="AA163" s="52">
        <f t="shared" si="30"/>
        <v>5.0582000000000003</v>
      </c>
      <c r="AB163" s="52">
        <v>4.96</v>
      </c>
      <c r="AC163" s="52">
        <f>0+0.0982</f>
        <v>9.8199999999999996E-2</v>
      </c>
      <c r="AD163" s="52">
        <v>-0.19500000000000001</v>
      </c>
      <c r="AE163" s="52">
        <v>-0.36599999999999999</v>
      </c>
      <c r="AG163" s="103" t="str">
        <f t="shared" si="31"/>
        <v>A2 s1
d0</v>
      </c>
      <c r="AH163" s="122" t="s">
        <v>214</v>
      </c>
      <c r="AI163" s="210" t="s">
        <v>176</v>
      </c>
      <c r="AJ163" s="47"/>
      <c r="AL163" s="47">
        <v>175</v>
      </c>
      <c r="AM163" s="47">
        <v>3.9E-2</v>
      </c>
      <c r="AN163" s="47">
        <v>1030</v>
      </c>
      <c r="AP163" s="173" t="s">
        <v>17</v>
      </c>
      <c r="AQ163" s="73"/>
      <c r="AS163" s="250"/>
      <c r="AT163" s="67"/>
      <c r="AU163" s="67"/>
    </row>
    <row r="164" spans="1:48" s="25" customFormat="1" ht="25.2" customHeight="1" x14ac:dyDescent="0.15">
      <c r="A164" s="25" t="s">
        <v>366</v>
      </c>
      <c r="B164" s="47" t="s">
        <v>208</v>
      </c>
      <c r="C164" s="47"/>
      <c r="D164" s="47" t="s">
        <v>362</v>
      </c>
      <c r="E164" s="47" t="s">
        <v>191</v>
      </c>
      <c r="F164" s="47" t="s">
        <v>132</v>
      </c>
      <c r="G164" s="69" t="s">
        <v>370</v>
      </c>
      <c r="H164" s="47"/>
      <c r="I164" s="111">
        <v>1</v>
      </c>
      <c r="J164" s="70" t="str">
        <f t="shared" si="26"/>
        <v>N/A</v>
      </c>
      <c r="K164" s="237" t="str" cm="1">
        <f t="array" ref="K164">IF(AC164="N/A","",_xlfn.IFS(Y164="m2",(AA164*(1/(Z164/AM164)))*I164,Y164="m3",(AA164*(1/(Z164/AM164)))*I164,Y164="kg",(AA164*AL164*(1/(1/AM164)))*I164,Y164="N/A",""))</f>
        <v/>
      </c>
      <c r="L164" s="71" t="str">
        <f t="shared" si="27"/>
        <v>N/A</v>
      </c>
      <c r="M164" s="146" t="str" cm="1">
        <f t="array" ref="M164">_xlfn.IFS(Y164="m2",(AB164*(1/(Z164/AM164)))*I164,Y164="m3",(AB164*(1/(Z164/AM164)))*I164,Y164="kg",(AB164*AL164*(1/(1/AM164)))*I164,Y164="N/A","")</f>
        <v/>
      </c>
      <c r="N164" s="52" t="str">
        <f t="shared" si="28"/>
        <v>N/A</v>
      </c>
      <c r="O164" s="148" t="str" cm="1">
        <f t="array" ref="O164">IF(AC164="N/A","",_xlfn.IFS(Y164="m2",(AC164*(1/(Z164/AM164)))*I164,Y164="m3",(AC164*(1/(Z164/AM164)))*I164,Y164="kg",(AC164*AL164*(1/(1/AM164)))*I164,Y164="N/A",""))</f>
        <v/>
      </c>
      <c r="P164" s="72" t="str">
        <f t="shared" si="29"/>
        <v>N/A</v>
      </c>
      <c r="Q164" s="150" t="str" cm="1">
        <f t="array" ref="Q164">IF(AE164="N/A","",_xlfn.IFS(Y164="m2",(AE164*(1/(Z164/AM164)))*I164,Y164="m3",(AE164*(1/(Z164/AM164)))*I164,Y164="kg",(AE164*AL164*(1/(1/AM164)))*I164,Y164="N/A",""))</f>
        <v/>
      </c>
      <c r="R164" s="47" t="s">
        <v>191</v>
      </c>
      <c r="S164" s="47"/>
      <c r="T164" s="47" t="s">
        <v>191</v>
      </c>
      <c r="U164" s="47" t="s">
        <v>191</v>
      </c>
      <c r="V164" s="47" t="s">
        <v>191</v>
      </c>
      <c r="X164" s="180" t="s">
        <v>191</v>
      </c>
      <c r="Y164" s="52" t="s">
        <v>191</v>
      </c>
      <c r="Z164" s="47" t="s">
        <v>191</v>
      </c>
      <c r="AA164" s="52" t="str">
        <f t="shared" si="30"/>
        <v>N/A</v>
      </c>
      <c r="AB164" s="52" t="s">
        <v>191</v>
      </c>
      <c r="AC164" s="52" t="s">
        <v>191</v>
      </c>
      <c r="AD164" s="52" t="s">
        <v>191</v>
      </c>
      <c r="AE164" s="52" t="s">
        <v>191</v>
      </c>
      <c r="AG164" s="115" t="str">
        <f t="shared" si="31"/>
        <v xml:space="preserve">F </v>
      </c>
      <c r="AH164" s="75" t="s">
        <v>82</v>
      </c>
      <c r="AI164" s="76"/>
      <c r="AJ164" s="103"/>
      <c r="AL164" s="47" t="s">
        <v>191</v>
      </c>
      <c r="AM164" s="47">
        <v>3.9E-2</v>
      </c>
      <c r="AN164" s="47" t="s">
        <v>191</v>
      </c>
      <c r="AP164" s="105" t="s">
        <v>17</v>
      </c>
      <c r="AQ164" s="106" t="s">
        <v>17</v>
      </c>
      <c r="AS164" s="250"/>
      <c r="AT164" s="67"/>
      <c r="AU164" s="67"/>
    </row>
    <row r="165" spans="1:48" s="25" customFormat="1" ht="25.2" customHeight="1" x14ac:dyDescent="0.15">
      <c r="A165" s="25" t="s">
        <v>22</v>
      </c>
      <c r="B165" s="47" t="s">
        <v>208</v>
      </c>
      <c r="C165" s="47"/>
      <c r="D165" s="47" t="s">
        <v>18</v>
      </c>
      <c r="E165" s="47" t="s">
        <v>141</v>
      </c>
      <c r="F165" s="47" t="s">
        <v>19</v>
      </c>
      <c r="G165" s="69" t="s">
        <v>370</v>
      </c>
      <c r="H165" s="47"/>
      <c r="I165" s="111">
        <v>1</v>
      </c>
      <c r="J165" s="70" t="str">
        <f t="shared" si="26"/>
        <v>N/A</v>
      </c>
      <c r="K165" s="143" t="str" cm="1">
        <f t="array" ref="K165">IF(AC165="N/A","",_xlfn.IFS(Y165="m2",(AA165*(1/(Z165/AM165)))*I165,Y165="m3",(AA165*(1/(Z165/AM165)))*I165,Y165="kg",(AA165*AL165*(1/(1/AM165)))*I165,Y165="N/A",""))</f>
        <v/>
      </c>
      <c r="L165" s="71" t="str">
        <f t="shared" si="27"/>
        <v>N/A</v>
      </c>
      <c r="M165" s="146" t="str" cm="1">
        <f t="array" ref="M165">_xlfn.IFS(Y165="m2",(AB165*(1/(Z165/AM165)))*I165,Y165="m3",(AB165*(1/(Z165/AM165)))*I165,Y165="kg",(AB165*AL165*(1/(1/AM165)))*I165,Y165="N/A","")</f>
        <v/>
      </c>
      <c r="N165" s="52" t="str">
        <f t="shared" si="28"/>
        <v>N/A</v>
      </c>
      <c r="O165" s="148" t="str" cm="1">
        <f t="array" ref="O165">IF(AC165="N/A","",_xlfn.IFS(Y165="m2",(AC165*(1/(Z165/AM165)))*I165,Y165="m3",(AC165*(1/(Z165/AM165)))*I165,Y165="kg",(AC165*AL165*(1/(1/AM165)))*I165,Y165="N/A",""))</f>
        <v/>
      </c>
      <c r="P165" s="72" t="str">
        <f t="shared" si="29"/>
        <v>N/A</v>
      </c>
      <c r="Q165" s="150" t="str" cm="1">
        <f t="array" ref="Q165">IF(AE165="N/A","",_xlfn.IFS(Y165="m2",(AE165*(1/(Z165/AM165)))*I165,Y165="m3",(AE165*(1/(Z165/AM165)))*I165,Y165="kg",(AE165*AL165*(1/(1/AM165)))*I165,Y165="N/A",""))</f>
        <v/>
      </c>
      <c r="R165" s="47" t="s">
        <v>191</v>
      </c>
      <c r="S165" s="47"/>
      <c r="T165" s="47" t="s">
        <v>191</v>
      </c>
      <c r="U165" s="47" t="s">
        <v>191</v>
      </c>
      <c r="V165" s="47" t="s">
        <v>191</v>
      </c>
      <c r="X165" s="180" t="s">
        <v>191</v>
      </c>
      <c r="Y165" s="47" t="s">
        <v>191</v>
      </c>
      <c r="Z165" s="47" t="s">
        <v>191</v>
      </c>
      <c r="AA165" s="52" t="str">
        <f t="shared" si="30"/>
        <v>N/A</v>
      </c>
      <c r="AB165" s="52" t="s">
        <v>191</v>
      </c>
      <c r="AC165" s="52" t="s">
        <v>191</v>
      </c>
      <c r="AD165" s="52" t="s">
        <v>191</v>
      </c>
      <c r="AE165" s="52" t="s">
        <v>191</v>
      </c>
      <c r="AG165" s="115" t="str">
        <f t="shared" si="31"/>
        <v xml:space="preserve">E </v>
      </c>
      <c r="AH165" s="75" t="s">
        <v>16</v>
      </c>
      <c r="AI165" s="76"/>
      <c r="AJ165" s="77"/>
      <c r="AL165" s="47">
        <v>110</v>
      </c>
      <c r="AM165" s="79">
        <v>4.1000000000000002E-2</v>
      </c>
      <c r="AN165" s="47" t="s">
        <v>191</v>
      </c>
      <c r="AP165" s="80" t="s">
        <v>17</v>
      </c>
      <c r="AQ165" s="256"/>
      <c r="AS165" s="250"/>
      <c r="AT165" s="67"/>
      <c r="AU165" s="67"/>
    </row>
    <row r="166" spans="1:48" s="25" customFormat="1" ht="25.2" customHeight="1" x14ac:dyDescent="0.15">
      <c r="A166" s="25" t="s">
        <v>117</v>
      </c>
      <c r="B166" s="47" t="s">
        <v>208</v>
      </c>
      <c r="C166" s="47"/>
      <c r="D166" s="47" t="s">
        <v>113</v>
      </c>
      <c r="E166" s="47" t="s">
        <v>191</v>
      </c>
      <c r="F166" s="47" t="s">
        <v>132</v>
      </c>
      <c r="G166" s="69" t="s">
        <v>370</v>
      </c>
      <c r="H166" s="47"/>
      <c r="I166" s="111">
        <v>1</v>
      </c>
      <c r="J166" s="70" t="str">
        <f t="shared" ref="J166:J197" si="32">IF(AC166="N/A","N/A",IF(K166="","N/A",K166))</f>
        <v>N/A</v>
      </c>
      <c r="K166" s="237" t="str" cm="1">
        <f t="array" ref="K166">IF(AC166="N/A","",_xlfn.IFS(Y166="m2",(AA166*(1/(Z166/AM166)))*I166,Y166="m3",(AA166*(1/(Z166/AM166)))*I166,Y166="kg",(AA166*AL166*(1/(1/AM166)))*I166,Y166="N/A",""))</f>
        <v/>
      </c>
      <c r="L166" s="71" t="str">
        <f t="shared" ref="L166:L197" si="33">IF(M166="","N/A",M166)</f>
        <v>N/A</v>
      </c>
      <c r="M166" s="146" t="str" cm="1">
        <f t="array" ref="M166">_xlfn.IFS(Y166="m2",(AB166*(1/(Z166/AM166)))*I166,Y166="m3",(AB166*(1/(Z166/AM166)))*I166,Y166="kg",(AB166*AL166*(1/(1/AM166)))*I166,Y166="N/A","")</f>
        <v/>
      </c>
      <c r="N166" s="52" t="str">
        <f t="shared" ref="N166:N197" si="34">IF(O166="","N/A",O166)</f>
        <v>N/A</v>
      </c>
      <c r="O166" s="148" t="str" cm="1">
        <f t="array" ref="O166">IF(AC166="N/A","",_xlfn.IFS(Y166="m2",(AC166*(1/(Z166/AM166)))*I166,Y166="m3",(AC166*(1/(Z166/AM166)))*I166,Y166="kg",(AC166*AL166*(1/(1/AM166)))*I166,Y166="N/A",""))</f>
        <v/>
      </c>
      <c r="P166" s="72" t="str">
        <f t="shared" ref="P166:P197" si="35">IF(Q166="","N/A",Q166)</f>
        <v>N/A</v>
      </c>
      <c r="Q166" s="150" t="str" cm="1">
        <f t="array" ref="Q166">IF(AE166="N/A","",_xlfn.IFS(Y166="m2",(AE166*(1/(Z166/AM166)))*I166,Y166="m3",(AE166*(1/(Z166/AM166)))*I166,Y166="kg",(AE166*AL166*(1/(1/AM166)))*I166,Y166="N/A",""))</f>
        <v/>
      </c>
      <c r="R166" s="47" t="s">
        <v>191</v>
      </c>
      <c r="S166" s="47"/>
      <c r="T166" s="47" t="s">
        <v>191</v>
      </c>
      <c r="U166" s="86" t="s">
        <v>191</v>
      </c>
      <c r="V166" s="86" t="s">
        <v>191</v>
      </c>
      <c r="X166" s="180" t="s">
        <v>191</v>
      </c>
      <c r="Y166" s="47" t="s">
        <v>191</v>
      </c>
      <c r="Z166" s="47" t="s">
        <v>191</v>
      </c>
      <c r="AA166" s="52" t="str">
        <f t="shared" ref="AA166:AA197" si="36">IF(AC166="N/A","N/A",SUM(AB166:AC166))</f>
        <v>N/A</v>
      </c>
      <c r="AB166" s="52" t="s">
        <v>191</v>
      </c>
      <c r="AC166" s="52" t="s">
        <v>191</v>
      </c>
      <c r="AD166" s="52" t="s">
        <v>191</v>
      </c>
      <c r="AE166" s="52" t="s">
        <v>191</v>
      </c>
      <c r="AG166" s="115" t="str">
        <f t="shared" si="31"/>
        <v xml:space="preserve">E </v>
      </c>
      <c r="AH166" s="75" t="s">
        <v>16</v>
      </c>
      <c r="AI166" s="76"/>
      <c r="AJ166" s="77"/>
      <c r="AL166" s="47">
        <v>110</v>
      </c>
      <c r="AM166" s="47">
        <v>3.7999999999999999E-2</v>
      </c>
      <c r="AN166" s="86">
        <v>2100</v>
      </c>
      <c r="AP166" s="80" t="s">
        <v>17</v>
      </c>
      <c r="AQ166" s="256"/>
      <c r="AS166" s="250"/>
      <c r="AT166" s="67"/>
      <c r="AU166" s="67"/>
    </row>
    <row r="167" spans="1:48" s="25" customFormat="1" ht="25.2" customHeight="1" x14ac:dyDescent="0.15">
      <c r="A167" s="171" t="s">
        <v>116</v>
      </c>
      <c r="B167" s="47" t="s">
        <v>208</v>
      </c>
      <c r="C167" s="47"/>
      <c r="D167" s="47" t="s">
        <v>113</v>
      </c>
      <c r="E167" s="47" t="s">
        <v>191</v>
      </c>
      <c r="F167" s="47" t="s">
        <v>132</v>
      </c>
      <c r="G167" s="69" t="s">
        <v>370</v>
      </c>
      <c r="H167" s="47"/>
      <c r="I167" s="111">
        <v>1</v>
      </c>
      <c r="J167" s="70" t="str">
        <f t="shared" si="32"/>
        <v>N/A</v>
      </c>
      <c r="K167" s="237" t="str" cm="1">
        <f t="array" ref="K167">IF(AC167="N/A","",_xlfn.IFS(Y167="m2",(AA167*(1/(Z167/AM167)))*I167,Y167="m3",(AA167*(1/(Z167/AM167)))*I167,Y167="kg",(AA167*AL167*(1/(1/AM167)))*I167,Y167="N/A",""))</f>
        <v/>
      </c>
      <c r="L167" s="71" t="str">
        <f t="shared" si="33"/>
        <v>N/A</v>
      </c>
      <c r="M167" s="146" t="str" cm="1">
        <f t="array" ref="M167">_xlfn.IFS(Y167="m2",(AB167*(1/(Z167/AM167)))*I167,Y167="m3",(AB167*(1/(Z167/AM167)))*I167,Y167="kg",(AB167*AL167*(1/(1/AM167)))*I167,Y167="N/A","")</f>
        <v/>
      </c>
      <c r="N167" s="52" t="str">
        <f t="shared" si="34"/>
        <v>N/A</v>
      </c>
      <c r="O167" s="148" t="str" cm="1">
        <f t="array" ref="O167">IF(AC167="N/A","",_xlfn.IFS(Y167="m2",(AC167*(1/(Z167/AM167)))*I167,Y167="m3",(AC167*(1/(Z167/AM167)))*I167,Y167="kg",(AC167*AL167*(1/(1/AM167)))*I167,Y167="N/A",""))</f>
        <v/>
      </c>
      <c r="P167" s="72" t="str">
        <f t="shared" si="35"/>
        <v>N/A</v>
      </c>
      <c r="Q167" s="150" t="str" cm="1">
        <f t="array" ref="Q167">IF(AE167="N/A","",_xlfn.IFS(Y167="m2",(AE167*(1/(Z167/AM167)))*I167,Y167="m3",(AE167*(1/(Z167/AM167)))*I167,Y167="kg",(AE167*AL167*(1/(1/AM167)))*I167,Y167="N/A",""))</f>
        <v/>
      </c>
      <c r="R167" s="47" t="s">
        <v>191</v>
      </c>
      <c r="S167" s="47"/>
      <c r="T167" s="47" t="s">
        <v>191</v>
      </c>
      <c r="U167" s="86" t="s">
        <v>191</v>
      </c>
      <c r="V167" s="86" t="s">
        <v>191</v>
      </c>
      <c r="X167" s="180" t="s">
        <v>191</v>
      </c>
      <c r="Y167" s="47" t="s">
        <v>191</v>
      </c>
      <c r="Z167" s="47" t="s">
        <v>191</v>
      </c>
      <c r="AA167" s="52" t="str">
        <f t="shared" si="36"/>
        <v>N/A</v>
      </c>
      <c r="AB167" s="52" t="s">
        <v>191</v>
      </c>
      <c r="AC167" s="52" t="s">
        <v>191</v>
      </c>
      <c r="AD167" s="52" t="s">
        <v>191</v>
      </c>
      <c r="AE167" s="52" t="s">
        <v>191</v>
      </c>
      <c r="AG167" s="115" t="str">
        <f t="shared" si="31"/>
        <v xml:space="preserve">E </v>
      </c>
      <c r="AH167" s="75" t="s">
        <v>16</v>
      </c>
      <c r="AI167" s="76"/>
      <c r="AJ167" s="77"/>
      <c r="AL167" s="47">
        <v>110</v>
      </c>
      <c r="AM167" s="47">
        <v>3.7999999999999999E-2</v>
      </c>
      <c r="AN167" s="86">
        <v>2100</v>
      </c>
      <c r="AP167" s="80" t="s">
        <v>17</v>
      </c>
      <c r="AQ167" s="256"/>
      <c r="AS167" s="250"/>
      <c r="AT167" s="67"/>
      <c r="AU167" s="67"/>
    </row>
    <row r="168" spans="1:48" s="25" customFormat="1" ht="25.2" customHeight="1" x14ac:dyDescent="0.3">
      <c r="A168" s="25" t="s">
        <v>1065</v>
      </c>
      <c r="B168" s="47" t="s">
        <v>210</v>
      </c>
      <c r="C168" s="47"/>
      <c r="D168" s="47" t="s">
        <v>218</v>
      </c>
      <c r="E168" s="186" t="s">
        <v>146</v>
      </c>
      <c r="F168" s="47" t="s">
        <v>307</v>
      </c>
      <c r="G168" s="47" t="s">
        <v>370</v>
      </c>
      <c r="H168" s="47"/>
      <c r="I168" s="107">
        <v>1</v>
      </c>
      <c r="J168" s="70">
        <f t="shared" si="32"/>
        <v>7.2622559999999989</v>
      </c>
      <c r="K168" s="143" cm="1">
        <f t="array" ref="K168">IF(AC168="N/A","",_xlfn.IFS(Y168="m2",(AA168*(1/(Z168/AM168)))*I168,Y168="m3",(AA168*(1/(Z168/AM168)))*I168,Y168="kg",(AA168*AL168*(1/(1/AM168)))*I168,Y168="N/A",""))</f>
        <v>7.2622559999999989</v>
      </c>
      <c r="L168" s="71">
        <f t="shared" si="33"/>
        <v>7.113599999999999</v>
      </c>
      <c r="M168" s="146" cm="1">
        <f t="array" ref="M168">_xlfn.IFS(Y168="m2",(AB168*(1/(Z168/AM168)))*I168,Y168="m3",(AB168*(1/(Z168/AM168)))*I168,Y168="kg",(AB168*AL168*(1/(1/AM168)))*I168,Y168="N/A","")</f>
        <v>7.113599999999999</v>
      </c>
      <c r="N168" s="52">
        <f t="shared" si="34"/>
        <v>0.14865599999999998</v>
      </c>
      <c r="O168" s="148" cm="1">
        <f t="array" ref="O168">IF(AC168="N/A","",_xlfn.IFS(Y168="m2",(AC168*(1/(Z168/AM168)))*I168,Y168="m3",(AC168*(1/(Z168/AM168)))*I168,Y168="kg",(AC168*AL168*(1/(1/AM168)))*I168,Y168="N/A",""))</f>
        <v>0.14865599999999998</v>
      </c>
      <c r="P168" s="72" t="str">
        <f t="shared" si="35"/>
        <v>N/A</v>
      </c>
      <c r="Q168" s="150" t="str" cm="1">
        <f t="array" ref="Q168">IF(AE168="N/A","",_xlfn.IFS(Y168="m2",(AE168*(1/(Z168/AM168)))*I168,Y168="m3",(AE168*(1/(Z168/AM168)))*I168,Y168="kg",(AE168*AL168*(1/(1/AM168)))*I168,Y168="N/A",""))</f>
        <v/>
      </c>
      <c r="R168" s="273" t="s">
        <v>5</v>
      </c>
      <c r="S168" s="164" t="s">
        <v>377</v>
      </c>
      <c r="T168" s="47">
        <v>2025</v>
      </c>
      <c r="U168" s="47" t="s">
        <v>14</v>
      </c>
      <c r="V168" s="47">
        <v>60</v>
      </c>
      <c r="X168" s="180" t="s">
        <v>1058</v>
      </c>
      <c r="Y168" s="47" t="s">
        <v>15</v>
      </c>
      <c r="Z168" s="47">
        <v>2.5000000000000001E-2</v>
      </c>
      <c r="AA168" s="52">
        <f t="shared" si="36"/>
        <v>2.3889</v>
      </c>
      <c r="AB168" s="52">
        <v>2.34</v>
      </c>
      <c r="AC168" s="52">
        <f>0+0.0489</f>
        <v>4.8899999999999999E-2</v>
      </c>
      <c r="AD168" s="52">
        <v>0</v>
      </c>
      <c r="AE168" s="52" t="s">
        <v>191</v>
      </c>
      <c r="AG168" s="103"/>
      <c r="AH168" s="75" t="s">
        <v>214</v>
      </c>
      <c r="AI168" s="83" t="s">
        <v>176</v>
      </c>
      <c r="AJ168" s="47"/>
      <c r="AL168" s="47">
        <v>125</v>
      </c>
      <c r="AM168" s="47">
        <v>7.5999999999999998E-2</v>
      </c>
      <c r="AN168" s="47" t="s">
        <v>191</v>
      </c>
      <c r="AP168" s="173" t="s">
        <v>17</v>
      </c>
      <c r="AQ168" s="73"/>
      <c r="AS168" s="250"/>
      <c r="AT168" s="67"/>
      <c r="AU168" s="67"/>
    </row>
    <row r="169" spans="1:48" s="25" customFormat="1" ht="25.2" customHeight="1" x14ac:dyDescent="0.15">
      <c r="A169" s="25" t="s">
        <v>1033</v>
      </c>
      <c r="B169" s="47" t="s">
        <v>210</v>
      </c>
      <c r="C169" s="47"/>
      <c r="D169" s="47" t="s">
        <v>209</v>
      </c>
      <c r="E169" s="186" t="s">
        <v>146</v>
      </c>
      <c r="F169" s="47" t="s">
        <v>296</v>
      </c>
      <c r="G169" s="47" t="s">
        <v>370</v>
      </c>
      <c r="H169" s="47"/>
      <c r="I169" s="107">
        <v>1</v>
      </c>
      <c r="J169" s="70">
        <f t="shared" si="32"/>
        <v>8.7720959999999994</v>
      </c>
      <c r="K169" s="237" cm="1">
        <f t="array" ref="K169">IF(AC169="N/A","",_xlfn.IFS(Y169="m2",(AA169*(1/(Z169/AM169)))*I169,Y169="m3",(AA169*(1/(Z169/AM169)))*I169,Y169="kg",(AA169*AL169*(1/(1/AM169)))*I169,Y169="N/A",""))</f>
        <v>8.7720959999999994</v>
      </c>
      <c r="L169" s="71">
        <f t="shared" si="33"/>
        <v>8.6015999999999995</v>
      </c>
      <c r="M169" s="146" cm="1">
        <f t="array" ref="M169">_xlfn.IFS(Y169="m2",(AB169*(1/(Z169/AM169)))*I169,Y169="m3",(AB169*(1/(Z169/AM169)))*I169,Y169="kg",(AB169*AL169*(1/(1/AM169)))*I169,Y169="N/A","")</f>
        <v>8.6015999999999995</v>
      </c>
      <c r="N169" s="52">
        <f t="shared" si="34"/>
        <v>0.17049600000000001</v>
      </c>
      <c r="O169" s="148" cm="1">
        <f t="array" ref="O169">IF(AC169="N/A","",_xlfn.IFS(Y169="m2",(AC169*(1/(Z169/AM169)))*I169,Y169="m3",(AC169*(1/(Z169/AM169)))*I169,Y169="kg",(AC169*AL169*(1/(1/AM169)))*I169,Y169="N/A",""))</f>
        <v>0.17049600000000001</v>
      </c>
      <c r="P169" s="72">
        <f t="shared" si="35"/>
        <v>-0.64</v>
      </c>
      <c r="Q169" s="150" cm="1">
        <f t="array" ref="Q169">IF(AE169="N/A","",_xlfn.IFS(Y169="m2",(AE169*(1/(Z169/AM169)))*I169,Y169="m3",(AE169*(1/(Z169/AM169)))*I169,Y169="kg",(AE169*AL169*(1/(1/AM169)))*I169,Y169="N/A",""))</f>
        <v>-0.64</v>
      </c>
      <c r="R169" s="186" t="s">
        <v>5</v>
      </c>
      <c r="S169" s="47"/>
      <c r="T169" s="47">
        <v>2028</v>
      </c>
      <c r="U169" s="47" t="s">
        <v>28</v>
      </c>
      <c r="V169" s="47">
        <v>60</v>
      </c>
      <c r="X169" s="254" t="s">
        <v>1045</v>
      </c>
      <c r="Y169" s="47" t="s">
        <v>15</v>
      </c>
      <c r="Z169" s="47">
        <v>4.2000000000000003E-2</v>
      </c>
      <c r="AA169" s="52">
        <f t="shared" si="36"/>
        <v>8.7720959999999994</v>
      </c>
      <c r="AB169" s="52">
        <f>(1.68)*5.12</f>
        <v>8.6015999999999995</v>
      </c>
      <c r="AC169" s="52">
        <f>(0+0.0333)*5.12</f>
        <v>0.17049600000000001</v>
      </c>
      <c r="AD169" s="52">
        <f>(-0.0663)*5.12</f>
        <v>-0.33945599999999998</v>
      </c>
      <c r="AE169" s="52">
        <f>(-0.125)*5.12</f>
        <v>-0.64</v>
      </c>
      <c r="AG169" s="103"/>
      <c r="AH169" s="122" t="s">
        <v>214</v>
      </c>
      <c r="AI169" s="210" t="s">
        <v>176</v>
      </c>
      <c r="AJ169" s="47"/>
      <c r="AL169" s="47">
        <v>285</v>
      </c>
      <c r="AM169" s="47">
        <v>4.2000000000000003E-2</v>
      </c>
      <c r="AN169" s="47">
        <v>1030</v>
      </c>
      <c r="AP169" s="173" t="s">
        <v>17</v>
      </c>
      <c r="AQ169" s="73"/>
      <c r="AS169" s="250"/>
      <c r="AT169" s="67"/>
      <c r="AU169" s="67"/>
    </row>
    <row r="170" spans="1:48" s="25" customFormat="1" ht="25.2" customHeight="1" x14ac:dyDescent="0.15">
      <c r="A170" s="25" t="s">
        <v>365</v>
      </c>
      <c r="B170" s="47" t="s">
        <v>208</v>
      </c>
      <c r="C170" s="47"/>
      <c r="D170" s="47" t="s">
        <v>362</v>
      </c>
      <c r="E170" s="47" t="s">
        <v>191</v>
      </c>
      <c r="F170" s="47" t="s">
        <v>132</v>
      </c>
      <c r="G170" s="69" t="s">
        <v>370</v>
      </c>
      <c r="H170" s="47"/>
      <c r="I170" s="111">
        <v>1</v>
      </c>
      <c r="J170" s="70" t="str">
        <f t="shared" si="32"/>
        <v>N/A</v>
      </c>
      <c r="K170" s="237" t="str" cm="1">
        <f t="array" ref="K170">IF(AC170="N/A","",_xlfn.IFS(Y170="m2",(AA170*(1/(Z170/AM170)))*I170,Y170="m3",(AA170*(1/(Z170/AM170)))*I170,Y170="kg",(AA170*AL170*(1/(1/AM170)))*I170,Y170="N/A",""))</f>
        <v/>
      </c>
      <c r="L170" s="71" t="str">
        <f t="shared" si="33"/>
        <v>N/A</v>
      </c>
      <c r="M170" s="146" t="str" cm="1">
        <f t="array" ref="M170">_xlfn.IFS(Y170="m2",(AB170*(1/(Z170/AM170)))*I170,Y170="m3",(AB170*(1/(Z170/AM170)))*I170,Y170="kg",(AB170*AL170*(1/(1/AM170)))*I170,Y170="N/A","")</f>
        <v/>
      </c>
      <c r="N170" s="52" t="str">
        <f t="shared" si="34"/>
        <v>N/A</v>
      </c>
      <c r="O170" s="148" t="str" cm="1">
        <f t="array" ref="O170">IF(AC170="N/A","",_xlfn.IFS(Y170="m2",(AC170*(1/(Z170/AM170)))*I170,Y170="m3",(AC170*(1/(Z170/AM170)))*I170,Y170="kg",(AC170*AL170*(1/(1/AM170)))*I170,Y170="N/A",""))</f>
        <v/>
      </c>
      <c r="P170" s="72" t="str">
        <f t="shared" si="35"/>
        <v>N/A</v>
      </c>
      <c r="Q170" s="150" t="str" cm="1">
        <f t="array" ref="Q170">IF(AE170="N/A","",_xlfn.IFS(Y170="m2",(AE170*(1/(Z170/AM170)))*I170,Y170="m3",(AE170*(1/(Z170/AM170)))*I170,Y170="kg",(AE170*AL170*(1/(1/AM170)))*I170,Y170="N/A",""))</f>
        <v/>
      </c>
      <c r="R170" s="47" t="s">
        <v>191</v>
      </c>
      <c r="S170" s="47"/>
      <c r="T170" s="47" t="s">
        <v>191</v>
      </c>
      <c r="U170" s="47" t="s">
        <v>191</v>
      </c>
      <c r="V170" s="47" t="s">
        <v>191</v>
      </c>
      <c r="X170" s="180" t="s">
        <v>191</v>
      </c>
      <c r="Y170" s="52" t="s">
        <v>191</v>
      </c>
      <c r="Z170" s="47" t="s">
        <v>191</v>
      </c>
      <c r="AA170" s="52" t="str">
        <f t="shared" si="36"/>
        <v>N/A</v>
      </c>
      <c r="AB170" s="52" t="s">
        <v>191</v>
      </c>
      <c r="AC170" s="52" t="s">
        <v>191</v>
      </c>
      <c r="AD170" s="52" t="s">
        <v>191</v>
      </c>
      <c r="AE170" s="52" t="s">
        <v>191</v>
      </c>
      <c r="AG170" s="115" t="str">
        <f t="shared" ref="AG170:AG182" si="37">AH170&amp;" "&amp;AI170</f>
        <v xml:space="preserve">F </v>
      </c>
      <c r="AH170" s="75" t="s">
        <v>82</v>
      </c>
      <c r="AI170" s="76"/>
      <c r="AJ170" s="103"/>
      <c r="AL170" s="47" t="s">
        <v>191</v>
      </c>
      <c r="AM170" s="47">
        <v>4.2999999999999997E-2</v>
      </c>
      <c r="AN170" s="47" t="s">
        <v>191</v>
      </c>
      <c r="AP170" s="105" t="s">
        <v>17</v>
      </c>
      <c r="AQ170" s="106" t="s">
        <v>17</v>
      </c>
      <c r="AS170" s="250"/>
      <c r="AT170" s="67"/>
      <c r="AU170" s="67"/>
    </row>
    <row r="171" spans="1:48" s="25" customFormat="1" ht="25.2" customHeight="1" x14ac:dyDescent="0.15">
      <c r="A171" s="25" t="s">
        <v>32</v>
      </c>
      <c r="B171" s="47" t="s">
        <v>208</v>
      </c>
      <c r="C171" s="47"/>
      <c r="D171" s="47" t="s">
        <v>27</v>
      </c>
      <c r="E171" s="47" t="s">
        <v>142</v>
      </c>
      <c r="F171" s="47" t="s">
        <v>24</v>
      </c>
      <c r="G171" s="69" t="s">
        <v>370</v>
      </c>
      <c r="H171" s="16"/>
      <c r="I171" s="111">
        <v>1</v>
      </c>
      <c r="J171" s="70" t="str">
        <f t="shared" si="32"/>
        <v>N/A</v>
      </c>
      <c r="K171" s="143" t="str" cm="1">
        <f t="array" ref="K171">IF(AC171="N/A","",_xlfn.IFS(Y171="m2",(AA171*(1/(Z171/AM171)))*I171,Y171="m3",(AA171*(1/(Z171/AM171)))*I171,Y171="kg",(AA171*AL171*(1/(1/AM171)))*I171,Y171="N/A",""))</f>
        <v/>
      </c>
      <c r="L171" s="71" t="str">
        <f t="shared" si="33"/>
        <v>N/A</v>
      </c>
      <c r="M171" s="146" t="str" cm="1">
        <f t="array" ref="M171">_xlfn.IFS(Y171="m2",(AB171*(1/(Z171/AM171)))*I171,Y171="m3",(AB171*(1/(Z171/AM171)))*I171,Y171="kg",(AB171*AL171*(1/(1/AM171)))*I171,Y171="N/A","")</f>
        <v/>
      </c>
      <c r="N171" s="52" t="str">
        <f t="shared" si="34"/>
        <v>N/A</v>
      </c>
      <c r="O171" s="148" t="str" cm="1">
        <f t="array" ref="O171">IF(AC171="N/A","",_xlfn.IFS(Y171="m2",(AC171*(1/(Z171/AM171)))*I171,Y171="m3",(AC171*(1/(Z171/AM171)))*I171,Y171="kg",(AC171*AL171*(1/(1/AM171)))*I171,Y171="N/A",""))</f>
        <v/>
      </c>
      <c r="P171" s="72" t="str">
        <f t="shared" si="35"/>
        <v>N/A</v>
      </c>
      <c r="Q171" s="150" t="str" cm="1">
        <f t="array" ref="Q171">IF(AE171="N/A","",_xlfn.IFS(Y171="m2",(AE171*(1/(Z171/AM171)))*I171,Y171="m3",(AE171*(1/(Z171/AM171)))*I171,Y171="kg",(AE171*AL171*(1/(1/AM171)))*I171,Y171="N/A",""))</f>
        <v/>
      </c>
      <c r="R171" s="47" t="s">
        <v>191</v>
      </c>
      <c r="S171" s="47"/>
      <c r="T171" s="47" t="s">
        <v>191</v>
      </c>
      <c r="U171" s="47" t="s">
        <v>191</v>
      </c>
      <c r="V171" s="69" t="s">
        <v>191</v>
      </c>
      <c r="W171" s="17"/>
      <c r="X171" s="178" t="s">
        <v>191</v>
      </c>
      <c r="Y171" s="73" t="s">
        <v>191</v>
      </c>
      <c r="Z171" s="73" t="s">
        <v>191</v>
      </c>
      <c r="AA171" s="52" t="str">
        <f t="shared" si="36"/>
        <v>N/A</v>
      </c>
      <c r="AB171" s="52" t="s">
        <v>191</v>
      </c>
      <c r="AC171" s="52" t="s">
        <v>191</v>
      </c>
      <c r="AD171" s="52" t="s">
        <v>191</v>
      </c>
      <c r="AE171" s="72" t="s">
        <v>191</v>
      </c>
      <c r="AF171" s="17"/>
      <c r="AG171" s="74" t="str">
        <f t="shared" si="37"/>
        <v xml:space="preserve">E </v>
      </c>
      <c r="AH171" s="75" t="s">
        <v>16</v>
      </c>
      <c r="AI171" s="76"/>
      <c r="AJ171" s="77"/>
      <c r="AL171" s="73">
        <v>180</v>
      </c>
      <c r="AM171" s="47">
        <v>4.8000000000000001E-2</v>
      </c>
      <c r="AN171" s="47">
        <v>2100</v>
      </c>
      <c r="AP171" s="80" t="s">
        <v>17</v>
      </c>
      <c r="AQ171" s="256"/>
      <c r="AR171" s="26"/>
      <c r="AS171" s="26"/>
      <c r="AT171" s="67" cm="1">
        <f t="array" ref="AT171">IF(AC171="N/A",0,_xlfn.IFS(Y171="m2",(AC171*(1/(Z171/AM171))),Y171="m3",(AC171*(1/(Z171/AM171))),Y171="kg",(AC171*AL171*(1/(Z171/AM171))),Y171="N/A",0))</f>
        <v>0</v>
      </c>
      <c r="AU171" s="67" cm="1">
        <f t="array" ref="AU171">_xlfn.IFS(Y171="m2",(AB171*(1/(Z171/AM171))),Y171="m3",(AB171*(1/(Z171/AM171))),Y171="kg",(AB171*AL171*(1/(Z171/AM171))),Y171="N/A",0)</f>
        <v>0</v>
      </c>
      <c r="AV171" s="66"/>
    </row>
    <row r="172" spans="1:48" s="25" customFormat="1" ht="25.2" customHeight="1" x14ac:dyDescent="0.15">
      <c r="A172" s="25" t="s">
        <v>266</v>
      </c>
      <c r="B172" s="47" t="s">
        <v>210</v>
      </c>
      <c r="C172" s="47"/>
      <c r="D172" s="47" t="s">
        <v>209</v>
      </c>
      <c r="E172" s="88" t="s">
        <v>146</v>
      </c>
      <c r="F172" s="47" t="s">
        <v>296</v>
      </c>
      <c r="G172" s="69" t="s">
        <v>192</v>
      </c>
      <c r="H172" s="47"/>
      <c r="I172" s="111">
        <v>1</v>
      </c>
      <c r="J172" s="70">
        <f t="shared" si="32"/>
        <v>32.749000000000002</v>
      </c>
      <c r="K172" s="237" cm="1">
        <f t="array" ref="K172">IF(AC172="N/A","",_xlfn.IFS(Y172="m2",(AA172*(1/(Z172/AM172)))*I172,Y172="m3",(AA172*(1/(Z172/AM172)))*I172,Y172="kg",(AA172*AL172*(1/(1/AM172)))*I172,Y172="N/A",""))</f>
        <v>32.749000000000002</v>
      </c>
      <c r="L172" s="71">
        <f t="shared" si="33"/>
        <v>18.7</v>
      </c>
      <c r="M172" s="146" cm="1">
        <f t="array" ref="M172">_xlfn.IFS(Y172="m2",(AB172*(1/(Z172/AM172)))*I172,Y172="m3",(AB172*(1/(Z172/AM172)))*I172,Y172="kg",(AB172*AL172*(1/(1/AM172)))*I172,Y172="N/A","")</f>
        <v>18.7</v>
      </c>
      <c r="N172" s="52">
        <f t="shared" si="34"/>
        <v>14.049000000000001</v>
      </c>
      <c r="O172" s="148" cm="1">
        <f t="array" ref="O172">IF(AC172="N/A","",_xlfn.IFS(Y172="m2",(AC172*(1/(Z172/AM172)))*I172,Y172="m3",(AC172*(1/(Z172/AM172)))*I172,Y172="kg",(AC172*AL172*(1/(1/AM172)))*I172,Y172="N/A",""))</f>
        <v>14.049000000000001</v>
      </c>
      <c r="P172" s="72" t="str">
        <f t="shared" si="35"/>
        <v>N/A</v>
      </c>
      <c r="Q172" s="150" t="str" cm="1">
        <f t="array" ref="Q172">IF(AE172="N/A","",_xlfn.IFS(Y172="m2",(AE172*(1/(Z172/AM172)))*I172,Y172="m3",(AE172*(1/(Z172/AM172)))*I172,Y172="kg",(AE172*AL172*(1/(1/AM172)))*I172,Y172="N/A",""))</f>
        <v/>
      </c>
      <c r="R172" s="88" t="s">
        <v>5</v>
      </c>
      <c r="S172" s="166"/>
      <c r="T172" s="47">
        <v>2027</v>
      </c>
      <c r="U172" s="47" t="s">
        <v>14</v>
      </c>
      <c r="V172" s="47">
        <v>50</v>
      </c>
      <c r="X172" s="180" t="s">
        <v>191</v>
      </c>
      <c r="Y172" s="52" t="s">
        <v>15</v>
      </c>
      <c r="Z172" s="47">
        <v>3.4000000000000002E-2</v>
      </c>
      <c r="AA172" s="52">
        <f t="shared" si="36"/>
        <v>32.749000000000002</v>
      </c>
      <c r="AB172" s="52">
        <v>18.7</v>
      </c>
      <c r="AC172" s="52">
        <f>13.8+0.249</f>
        <v>14.049000000000001</v>
      </c>
      <c r="AD172" s="52">
        <v>-21</v>
      </c>
      <c r="AE172" s="72" t="s">
        <v>191</v>
      </c>
      <c r="AG172" s="115" t="str">
        <f t="shared" si="37"/>
        <v xml:space="preserve">A1 </v>
      </c>
      <c r="AH172" s="75" t="s">
        <v>58</v>
      </c>
      <c r="AI172" s="76"/>
      <c r="AJ172" s="103"/>
      <c r="AL172" s="47" t="s">
        <v>191</v>
      </c>
      <c r="AM172" s="47">
        <f>(0.033+0.035)/2</f>
        <v>3.4000000000000002E-2</v>
      </c>
      <c r="AN172" s="47" t="s">
        <v>191</v>
      </c>
      <c r="AP172" s="105" t="s">
        <v>17</v>
      </c>
      <c r="AQ172" s="73"/>
      <c r="AS172" s="250"/>
      <c r="AT172" s="67"/>
      <c r="AU172" s="67"/>
    </row>
    <row r="173" spans="1:48" s="25" customFormat="1" ht="25.2" customHeight="1" x14ac:dyDescent="0.15">
      <c r="A173" s="25" t="s">
        <v>998</v>
      </c>
      <c r="B173" s="47" t="s">
        <v>210</v>
      </c>
      <c r="C173" s="47"/>
      <c r="D173" s="47" t="s">
        <v>304</v>
      </c>
      <c r="E173" s="88" t="s">
        <v>143</v>
      </c>
      <c r="F173" s="47" t="s">
        <v>307</v>
      </c>
      <c r="G173" s="69" t="s">
        <v>292</v>
      </c>
      <c r="H173" s="16"/>
      <c r="I173" s="111">
        <v>1</v>
      </c>
      <c r="J173" s="70" t="str">
        <f t="shared" si="32"/>
        <v>N/A</v>
      </c>
      <c r="K173" s="237" t="str" cm="1">
        <f t="array" ref="K173">IF(AC173="N/A","",_xlfn.IFS(Y173="m2",(AA173*(1/(Z173/AM173)))*I173,Y173="m3",(AA173*(1/(Z173/AM173)))*I173,Y173="kg",(AA173*AL173*(1/(1/AM173)))*I173,Y173="N/A",""))</f>
        <v/>
      </c>
      <c r="L173" s="71" t="str">
        <f t="shared" si="33"/>
        <v>N/A</v>
      </c>
      <c r="M173" s="146" t="str" cm="1">
        <f t="array" ref="M173">_xlfn.IFS(Y173="m2",(AB173*(1/(Z173/AM173)))*I173,Y173="m3",(AB173*(1/(Z173/AM173)))*I173,Y173="kg",(AB173*AL173*(1/(1/AM173)))*I173,Y173="N/A","")</f>
        <v/>
      </c>
      <c r="N173" s="52" t="str">
        <f t="shared" si="34"/>
        <v>N/A</v>
      </c>
      <c r="O173" s="148" t="str" cm="1">
        <f t="array" ref="O173">IF(AC173="N/A","",_xlfn.IFS(Y173="m2",(AC173*(1/(Z173/AM173)))*I173,Y173="m3",(AC173*(1/(Z173/AM173)))*I173,Y173="kg",(AC173*AL173*(1/(1/AM173)))*I173,Y173="N/A",""))</f>
        <v/>
      </c>
      <c r="P173" s="72" t="str">
        <f t="shared" si="35"/>
        <v>N/A</v>
      </c>
      <c r="Q173" s="150" t="str" cm="1">
        <f t="array" ref="Q173">IF(AE173="N/A","",_xlfn.IFS(Y173="m2",(AE173*(1/(Z173/AM173)))*I173,Y173="m3",(AE173*(1/(Z173/AM173)))*I173,Y173="kg",(AE173*AL173*(1/(1/AM173)))*I173,Y173="N/A",""))</f>
        <v/>
      </c>
      <c r="R173" s="47" t="s">
        <v>191</v>
      </c>
      <c r="S173" s="47"/>
      <c r="T173" s="47" t="s">
        <v>191</v>
      </c>
      <c r="U173" s="47" t="s">
        <v>191</v>
      </c>
      <c r="V173" s="69" t="s">
        <v>191</v>
      </c>
      <c r="W173" s="17"/>
      <c r="X173" s="178" t="s">
        <v>191</v>
      </c>
      <c r="Y173" s="95" t="s">
        <v>191</v>
      </c>
      <c r="Z173" s="73" t="s">
        <v>191</v>
      </c>
      <c r="AA173" s="52" t="str">
        <f t="shared" si="36"/>
        <v>N/A</v>
      </c>
      <c r="AB173" s="52" t="s">
        <v>191</v>
      </c>
      <c r="AC173" s="52" t="s">
        <v>191</v>
      </c>
      <c r="AD173" s="52" t="s">
        <v>191</v>
      </c>
      <c r="AE173" s="72" t="s">
        <v>191</v>
      </c>
      <c r="AF173" s="17"/>
      <c r="AG173" s="74" t="str">
        <f t="shared" si="37"/>
        <v xml:space="preserve">A1 </v>
      </c>
      <c r="AH173" s="75" t="s">
        <v>58</v>
      </c>
      <c r="AI173" s="76"/>
      <c r="AJ173" s="103"/>
      <c r="AL173" s="73">
        <f>125</f>
        <v>125</v>
      </c>
      <c r="AM173" s="47">
        <v>7.8E-2</v>
      </c>
      <c r="AN173" s="47" t="s">
        <v>191</v>
      </c>
      <c r="AP173" s="105" t="s">
        <v>17</v>
      </c>
      <c r="AQ173" s="106" t="s">
        <v>17</v>
      </c>
      <c r="AR173" s="26"/>
      <c r="AS173" s="26"/>
      <c r="AT173" s="67" cm="1">
        <f t="array" ref="AT173">IF(AC173="N/A",0,_xlfn.IFS(Y173="m2",(AC173*(1/(Z173/AM173))),Y173="m3",(AC173*(1/(Z173/AM173))),Y173="kg",(AC173*AL173*(1/(Z173/AM173))),Y173="N/A",0))</f>
        <v>0</v>
      </c>
      <c r="AU173" s="67" cm="1">
        <f t="array" ref="AU173">_xlfn.IFS(Y173="m2",(AB173*(1/(Z173/AM173))),Y173="m3",(AB173*(1/(Z173/AM173))),Y173="kg",(AB173*AL173*(1/(Z173/AM173))),Y173="N/A",0)</f>
        <v>0</v>
      </c>
      <c r="AV173" s="66"/>
    </row>
    <row r="174" spans="1:48" s="25" customFormat="1" ht="25.2" customHeight="1" x14ac:dyDescent="0.15">
      <c r="A174" s="25" t="s">
        <v>996</v>
      </c>
      <c r="B174" s="47" t="s">
        <v>210</v>
      </c>
      <c r="C174" s="47"/>
      <c r="D174" s="47" t="s">
        <v>304</v>
      </c>
      <c r="E174" s="88" t="s">
        <v>143</v>
      </c>
      <c r="F174" s="47" t="s">
        <v>307</v>
      </c>
      <c r="G174" s="69" t="s">
        <v>292</v>
      </c>
      <c r="H174" s="16"/>
      <c r="I174" s="111">
        <v>1</v>
      </c>
      <c r="J174" s="70" t="str">
        <f t="shared" si="32"/>
        <v>N/A</v>
      </c>
      <c r="K174" s="143" t="str" cm="1">
        <f t="array" ref="K174">IF(AC174="N/A","",_xlfn.IFS(Y174="m2",(AA174*(1/(Z174/AM174)))*I174,Y174="m3",(AA174*(1/(Z174/AM174)))*I174,Y174="kg",(AA174*AL174*(1/(1/AM174)))*I174,Y174="N/A",""))</f>
        <v/>
      </c>
      <c r="L174" s="71" t="str">
        <f t="shared" si="33"/>
        <v>N/A</v>
      </c>
      <c r="M174" s="146" t="str" cm="1">
        <f t="array" ref="M174">_xlfn.IFS(Y174="m2",(AB174*(1/(Z174/AM174)))*I174,Y174="m3",(AB174*(1/(Z174/AM174)))*I174,Y174="kg",(AB174*AL174*(1/(1/AM174)))*I174,Y174="N/A","")</f>
        <v/>
      </c>
      <c r="N174" s="52" t="str">
        <f t="shared" si="34"/>
        <v>N/A</v>
      </c>
      <c r="O174" s="148" t="str" cm="1">
        <f t="array" ref="O174">IF(AC174="N/A","",_xlfn.IFS(Y174="m2",(AC174*(1/(Z174/AM174)))*I174,Y174="m3",(AC174*(1/(Z174/AM174)))*I174,Y174="kg",(AC174*AL174*(1/(1/AM174)))*I174,Y174="N/A",""))</f>
        <v/>
      </c>
      <c r="P174" s="72" t="str">
        <f t="shared" si="35"/>
        <v>N/A</v>
      </c>
      <c r="Q174" s="150" t="str" cm="1">
        <f t="array" ref="Q174">IF(AE174="N/A","",_xlfn.IFS(Y174="m2",(AE174*(1/(Z174/AM174)))*I174,Y174="m3",(AE174*(1/(Z174/AM174)))*I174,Y174="kg",(AE174*AL174*(1/(1/AM174)))*I174,Y174="N/A",""))</f>
        <v/>
      </c>
      <c r="R174" s="47" t="s">
        <v>191</v>
      </c>
      <c r="S174" s="47"/>
      <c r="T174" s="47" t="s">
        <v>191</v>
      </c>
      <c r="U174" s="47" t="s">
        <v>191</v>
      </c>
      <c r="V174" s="69" t="s">
        <v>191</v>
      </c>
      <c r="W174" s="17"/>
      <c r="X174" s="178" t="s">
        <v>191</v>
      </c>
      <c r="Y174" s="95" t="s">
        <v>191</v>
      </c>
      <c r="Z174" s="73" t="s">
        <v>191</v>
      </c>
      <c r="AA174" s="52" t="str">
        <f t="shared" si="36"/>
        <v>N/A</v>
      </c>
      <c r="AB174" s="52" t="s">
        <v>191</v>
      </c>
      <c r="AC174" s="52" t="s">
        <v>191</v>
      </c>
      <c r="AD174" s="52" t="s">
        <v>191</v>
      </c>
      <c r="AE174" s="72" t="s">
        <v>191</v>
      </c>
      <c r="AF174" s="17"/>
      <c r="AG174" s="74" t="str">
        <f t="shared" si="37"/>
        <v xml:space="preserve">A1 </v>
      </c>
      <c r="AH174" s="75" t="s">
        <v>58</v>
      </c>
      <c r="AI174" s="76"/>
      <c r="AJ174" s="103"/>
      <c r="AL174" s="73">
        <f>100</f>
        <v>100</v>
      </c>
      <c r="AM174" s="47">
        <v>7.8E-2</v>
      </c>
      <c r="AN174" s="47" t="s">
        <v>191</v>
      </c>
      <c r="AP174" s="105" t="s">
        <v>17</v>
      </c>
      <c r="AQ174" s="106" t="s">
        <v>17</v>
      </c>
      <c r="AR174" s="26"/>
      <c r="AS174" s="26"/>
      <c r="AT174" s="67" cm="1">
        <f t="array" ref="AT174">IF(AC174="N/A",0,_xlfn.IFS(Y174="m2",(AC174*(1/(Z174/AM174))),Y174="m3",(AC174*(1/(Z174/AM174))),Y174="kg",(AC174*AL174*(1/(Z174/AM174))),Y174="N/A",0))</f>
        <v>0</v>
      </c>
      <c r="AU174" s="67" cm="1">
        <f t="array" ref="AU174">_xlfn.IFS(Y174="m2",(AB174*(1/(Z174/AM174))),Y174="m3",(AB174*(1/(Z174/AM174))),Y174="kg",(AB174*AL174*(1/(Z174/AM174))),Y174="N/A",0)</f>
        <v>0</v>
      </c>
      <c r="AV174" s="66"/>
    </row>
    <row r="175" spans="1:48" s="25" customFormat="1" ht="25.2" customHeight="1" x14ac:dyDescent="0.15">
      <c r="A175" s="25" t="s">
        <v>999</v>
      </c>
      <c r="B175" s="47" t="s">
        <v>210</v>
      </c>
      <c r="C175" s="47"/>
      <c r="D175" s="47" t="s">
        <v>304</v>
      </c>
      <c r="E175" s="88" t="s">
        <v>143</v>
      </c>
      <c r="F175" s="47" t="s">
        <v>307</v>
      </c>
      <c r="G175" s="69" t="s">
        <v>292</v>
      </c>
      <c r="H175" s="16"/>
      <c r="I175" s="111">
        <v>1</v>
      </c>
      <c r="J175" s="70" t="str">
        <f t="shared" si="32"/>
        <v>N/A</v>
      </c>
      <c r="K175" s="237" t="str" cm="1">
        <f t="array" ref="K175">IF(AC175="N/A","",_xlfn.IFS(Y175="m2",(AA175*(1/(Z175/AM175)))*I175,Y175="m3",(AA175*(1/(Z175/AM175)))*I175,Y175="kg",(AA175*AL175*(1/(1/AM175)))*I175,Y175="N/A",""))</f>
        <v/>
      </c>
      <c r="L175" s="71" t="str">
        <f t="shared" si="33"/>
        <v>N/A</v>
      </c>
      <c r="M175" s="146" t="str" cm="1">
        <f t="array" ref="M175">_xlfn.IFS(Y175="m2",(AB175*(1/(Z175/AM175)))*I175,Y175="m3",(AB175*(1/(Z175/AM175)))*I175,Y175="kg",(AB175*AL175*(1/(1/AM175)))*I175,Y175="N/A","")</f>
        <v/>
      </c>
      <c r="N175" s="52" t="str">
        <f t="shared" si="34"/>
        <v>N/A</v>
      </c>
      <c r="O175" s="148" t="str" cm="1">
        <f t="array" ref="O175">IF(AC175="N/A","",_xlfn.IFS(Y175="m2",(AC175*(1/(Z175/AM175)))*I175,Y175="m3",(AC175*(1/(Z175/AM175)))*I175,Y175="kg",(AC175*AL175*(1/(1/AM175)))*I175,Y175="N/A",""))</f>
        <v/>
      </c>
      <c r="P175" s="72" t="str">
        <f t="shared" si="35"/>
        <v>N/A</v>
      </c>
      <c r="Q175" s="150" t="str" cm="1">
        <f t="array" ref="Q175">IF(AE175="N/A","",_xlfn.IFS(Y175="m2",(AE175*(1/(Z175/AM175)))*I175,Y175="m3",(AE175*(1/(Z175/AM175)))*I175,Y175="kg",(AE175*AL175*(1/(1/AM175)))*I175,Y175="N/A",""))</f>
        <v/>
      </c>
      <c r="R175" s="47" t="s">
        <v>191</v>
      </c>
      <c r="S175" s="47"/>
      <c r="T175" s="47" t="s">
        <v>191</v>
      </c>
      <c r="U175" s="47" t="s">
        <v>191</v>
      </c>
      <c r="V175" s="69" t="s">
        <v>191</v>
      </c>
      <c r="W175" s="17"/>
      <c r="X175" s="178" t="s">
        <v>191</v>
      </c>
      <c r="Y175" s="95" t="s">
        <v>191</v>
      </c>
      <c r="Z175" s="73" t="s">
        <v>191</v>
      </c>
      <c r="AA175" s="52" t="str">
        <f t="shared" si="36"/>
        <v>N/A</v>
      </c>
      <c r="AB175" s="52" t="s">
        <v>191</v>
      </c>
      <c r="AC175" s="52" t="s">
        <v>191</v>
      </c>
      <c r="AD175" s="52" t="s">
        <v>191</v>
      </c>
      <c r="AE175" s="72" t="s">
        <v>191</v>
      </c>
      <c r="AF175" s="17"/>
      <c r="AG175" s="74" t="str">
        <f t="shared" si="37"/>
        <v xml:space="preserve">A1 </v>
      </c>
      <c r="AH175" s="75" t="s">
        <v>58</v>
      </c>
      <c r="AI175" s="76"/>
      <c r="AJ175" s="103"/>
      <c r="AL175" s="73">
        <f>170</f>
        <v>170</v>
      </c>
      <c r="AM175" s="47">
        <v>8.3000000000000004E-2</v>
      </c>
      <c r="AN175" s="47" t="s">
        <v>191</v>
      </c>
      <c r="AP175" s="105" t="s">
        <v>17</v>
      </c>
      <c r="AQ175" s="106" t="s">
        <v>17</v>
      </c>
      <c r="AR175" s="26"/>
      <c r="AS175" s="26"/>
      <c r="AT175" s="67" cm="1">
        <f t="array" ref="AT175">IF(AC175="N/A",0,_xlfn.IFS(Y175="m2",(AC175*(1/(Z175/AM175))),Y175="m3",(AC175*(1/(Z175/AM175))),Y175="kg",(AC175*AL175*(1/(Z175/AM175))),Y175="N/A",0))</f>
        <v>0</v>
      </c>
      <c r="AU175" s="67" cm="1">
        <f t="array" ref="AU175">_xlfn.IFS(Y175="m2",(AB175*(1/(Z175/AM175))),Y175="m3",(AB175*(1/(Z175/AM175))),Y175="kg",(AB175*AL175*(1/(Z175/AM175))),Y175="N/A",0)</f>
        <v>0</v>
      </c>
      <c r="AV175" s="66"/>
    </row>
    <row r="176" spans="1:48" ht="25.2" customHeight="1" x14ac:dyDescent="0.15">
      <c r="A176" s="25" t="s">
        <v>997</v>
      </c>
      <c r="B176" s="47" t="s">
        <v>210</v>
      </c>
      <c r="C176" s="47"/>
      <c r="D176" s="47" t="s">
        <v>304</v>
      </c>
      <c r="E176" s="88" t="s">
        <v>143</v>
      </c>
      <c r="F176" s="47" t="s">
        <v>307</v>
      </c>
      <c r="G176" s="47" t="s">
        <v>292</v>
      </c>
      <c r="I176" s="111">
        <v>1</v>
      </c>
      <c r="J176" s="70" t="str">
        <f t="shared" si="32"/>
        <v>N/A</v>
      </c>
      <c r="K176" s="237" t="str" cm="1">
        <f t="array" ref="K176">IF(AC176="N/A","",_xlfn.IFS(Y176="m2",(AA176*(1/(Z176/AM176)))*I176,Y176="m3",(AA176*(1/(Z176/AM176)))*I176,Y176="kg",(AA176*AL176*(1/(1/AM176)))*I176,Y176="N/A",""))</f>
        <v/>
      </c>
      <c r="L176" s="71" t="str">
        <f t="shared" si="33"/>
        <v>N/A</v>
      </c>
      <c r="M176" s="146" t="str" cm="1">
        <f t="array" ref="M176">_xlfn.IFS(Y176="m2",(AB176*(1/(Z176/AM176)))*I176,Y176="m3",(AB176*(1/(Z176/AM176)))*I176,Y176="kg",(AB176*AL176*(1/(1/AM176)))*I176,Y176="N/A","")</f>
        <v/>
      </c>
      <c r="N176" s="52" t="str">
        <f t="shared" si="34"/>
        <v>N/A</v>
      </c>
      <c r="O176" s="148" t="str" cm="1">
        <f t="array" ref="O176">IF(AC176="N/A","",_xlfn.IFS(Y176="m2",(AC176*(1/(Z176/AM176)))*I176,Y176="m3",(AC176*(1/(Z176/AM176)))*I176,Y176="kg",(AC176*AL176*(1/(1/AM176)))*I176,Y176="N/A",""))</f>
        <v/>
      </c>
      <c r="P176" s="72" t="str">
        <f t="shared" si="35"/>
        <v>N/A</v>
      </c>
      <c r="Q176" s="150" t="str" cm="1">
        <f t="array" ref="Q176">IF(AE176="N/A","",_xlfn.IFS(Y176="m2",(AE176*(1/(Z176/AM176)))*I176,Y176="m3",(AE176*(1/(Z176/AM176)))*I176,Y176="kg",(AE176*AL176*(1/(1/AM176)))*I176,Y176="N/A",""))</f>
        <v/>
      </c>
      <c r="R176" s="47" t="s">
        <v>191</v>
      </c>
      <c r="S176" s="47"/>
      <c r="T176" s="47" t="s">
        <v>191</v>
      </c>
      <c r="U176" s="47" t="s">
        <v>191</v>
      </c>
      <c r="V176" s="47" t="s">
        <v>191</v>
      </c>
      <c r="X176" s="180" t="s">
        <v>191</v>
      </c>
      <c r="Y176" s="52" t="s">
        <v>191</v>
      </c>
      <c r="Z176" s="47" t="s">
        <v>191</v>
      </c>
      <c r="AA176" s="52" t="str">
        <f t="shared" si="36"/>
        <v>N/A</v>
      </c>
      <c r="AB176" s="52" t="s">
        <v>191</v>
      </c>
      <c r="AC176" s="52" t="s">
        <v>191</v>
      </c>
      <c r="AD176" s="52" t="s">
        <v>191</v>
      </c>
      <c r="AE176" s="52" t="s">
        <v>191</v>
      </c>
      <c r="AG176" s="74" t="str">
        <f t="shared" si="37"/>
        <v xml:space="preserve">A1 </v>
      </c>
      <c r="AH176" s="75" t="s">
        <v>58</v>
      </c>
      <c r="AI176" s="76"/>
      <c r="AJ176" s="103"/>
      <c r="AL176" s="73">
        <f>140</f>
        <v>140</v>
      </c>
      <c r="AM176" s="47">
        <v>8.3000000000000004E-2</v>
      </c>
      <c r="AN176" s="47" t="s">
        <v>191</v>
      </c>
      <c r="AP176" s="105" t="s">
        <v>17</v>
      </c>
      <c r="AQ176" s="106" t="s">
        <v>17</v>
      </c>
      <c r="AT176" s="67" cm="1">
        <f t="array" ref="AT176">IF(AC176="N/A",0,_xlfn.IFS(Y176="m2",(AC176*(1/(Z176/AM176))),Y176="m3",(AC176*(1/(Z176/AM176))),Y176="kg",(AC176*AL176*(1/(Z176/AM176))),Y176="N/A",0))</f>
        <v>0</v>
      </c>
      <c r="AU176" s="67" cm="1">
        <f t="array" ref="AU176">_xlfn.IFS(Y176="m2",(AB176*(1/(Z176/AM176))),Y176="m3",(AB176*(1/(Z176/AM176))),Y176="kg",(AB176*AL176*(1/(Z176/AM176))),Y176="N/A",0)</f>
        <v>0</v>
      </c>
    </row>
    <row r="177" spans="1:47" ht="25.2" customHeight="1" x14ac:dyDescent="0.15">
      <c r="A177" s="25" t="s">
        <v>222</v>
      </c>
      <c r="B177" s="47" t="s">
        <v>210</v>
      </c>
      <c r="C177" s="47"/>
      <c r="D177" s="47" t="s">
        <v>219</v>
      </c>
      <c r="E177" s="47" t="s">
        <v>191</v>
      </c>
      <c r="F177" s="47" t="s">
        <v>307</v>
      </c>
      <c r="G177" s="47" t="s">
        <v>376</v>
      </c>
      <c r="I177" s="111">
        <v>1</v>
      </c>
      <c r="J177" s="70" t="str">
        <f t="shared" si="32"/>
        <v>N/A</v>
      </c>
      <c r="K177" s="143" t="str" cm="1">
        <f t="array" ref="K177">IF(AC177="N/A","",_xlfn.IFS(Y177="m2",(AA177*(1/(Z177/AM177)))*I177,Y177="m3",(AA177*(1/(Z177/AM177)))*I177,Y177="kg",(AA177*AL177*(1/(1/AM177)))*I177,Y177="N/A",""))</f>
        <v/>
      </c>
      <c r="L177" s="71" t="str">
        <f t="shared" si="33"/>
        <v>N/A</v>
      </c>
      <c r="M177" s="146" t="str" cm="1">
        <f t="array" ref="M177">_xlfn.IFS(Y177="m2",(AB177*(1/(Z177/AM177)))*I177,Y177="m3",(AB177*(1/(Z177/AM177)))*I177,Y177="kg",(AB177*AL177*(1/(1/AM177)))*I177,Y177="N/A","")</f>
        <v/>
      </c>
      <c r="N177" s="52" t="str">
        <f t="shared" si="34"/>
        <v>N/A</v>
      </c>
      <c r="O177" s="148" t="str" cm="1">
        <f t="array" ref="O177">IF(AC177="N/A","",_xlfn.IFS(Y177="m2",(AC177*(1/(Z177/AM177)))*I177,Y177="m3",(AC177*(1/(Z177/AM177)))*I177,Y177="kg",(AC177*AL177*(1/(1/AM177)))*I177,Y177="N/A",""))</f>
        <v/>
      </c>
      <c r="P177" s="72" t="str">
        <f t="shared" si="35"/>
        <v>N/A</v>
      </c>
      <c r="Q177" s="150" t="str" cm="1">
        <f t="array" ref="Q177">IF(AE177="N/A","",_xlfn.IFS(Y177="m2",(AE177*(1/(Z177/AM177)))*I177,Y177="m3",(AE177*(1/(Z177/AM177)))*I177,Y177="kg",(AE177*AL177*(1/(1/AM177)))*I177,Y177="N/A",""))</f>
        <v/>
      </c>
      <c r="R177" s="104" t="s">
        <v>191</v>
      </c>
      <c r="S177" s="164"/>
      <c r="T177" s="47" t="s">
        <v>191</v>
      </c>
      <c r="U177" s="47" t="s">
        <v>191</v>
      </c>
      <c r="V177" s="47" t="s">
        <v>191</v>
      </c>
      <c r="X177" s="180" t="s">
        <v>191</v>
      </c>
      <c r="Y177" s="47" t="s">
        <v>191</v>
      </c>
      <c r="Z177" s="47" t="s">
        <v>191</v>
      </c>
      <c r="AA177" s="52" t="str">
        <f t="shared" si="36"/>
        <v>N/A</v>
      </c>
      <c r="AB177" s="47" t="s">
        <v>191</v>
      </c>
      <c r="AC177" s="47" t="s">
        <v>191</v>
      </c>
      <c r="AD177" s="47" t="s">
        <v>191</v>
      </c>
      <c r="AE177" s="47" t="s">
        <v>191</v>
      </c>
      <c r="AG177" s="74" t="str">
        <f t="shared" si="37"/>
        <v xml:space="preserve">A1 </v>
      </c>
      <c r="AH177" s="75" t="s">
        <v>58</v>
      </c>
      <c r="AI177" s="76"/>
      <c r="AJ177" s="103"/>
      <c r="AL177" s="73" t="s">
        <v>191</v>
      </c>
      <c r="AM177" s="47">
        <v>3.6999999999999998E-2</v>
      </c>
      <c r="AN177" s="47" t="s">
        <v>191</v>
      </c>
      <c r="AP177" s="277" t="s">
        <v>17</v>
      </c>
      <c r="AQ177" s="256"/>
      <c r="AT177" s="67" cm="1">
        <f t="array" ref="AT177">IF(AC177="N/A",0,_xlfn.IFS(Y177="m2",(AC177*(1/(Z177/AM177))),Y177="m3",(AC177*(1/(Z177/AM177))),Y177="kg",(AC177*AL177*(1/(Z177/AM177))),Y177="N/A",0))</f>
        <v>0</v>
      </c>
      <c r="AU177" s="67" cm="1">
        <f t="array" ref="AU177">_xlfn.IFS(Y177="m2",(AB177*(1/(Z177/AM177))),Y177="m3",(AB177*(1/(Z177/AM177))),Y177="kg",(AB177*AL177*(1/(Z177/AM177))),Y177="N/A",0)</f>
        <v>0</v>
      </c>
    </row>
    <row r="178" spans="1:47" ht="25.2" customHeight="1" x14ac:dyDescent="0.15">
      <c r="A178" s="25" t="s">
        <v>306</v>
      </c>
      <c r="B178" s="47" t="s">
        <v>210</v>
      </c>
      <c r="C178" s="47"/>
      <c r="D178" s="47" t="s">
        <v>304</v>
      </c>
      <c r="E178" s="88" t="s">
        <v>143</v>
      </c>
      <c r="F178" s="47" t="s">
        <v>307</v>
      </c>
      <c r="G178" s="47" t="s">
        <v>370</v>
      </c>
      <c r="I178" s="111">
        <v>1</v>
      </c>
      <c r="J178" s="70" t="str">
        <f t="shared" si="32"/>
        <v>N/A</v>
      </c>
      <c r="K178" s="237" t="str" cm="1">
        <f t="array" ref="K178">IF(AC178="N/A","",_xlfn.IFS(Y178="m2",(AA178*(1/(Z178/AM178)))*I178,Y178="m3",(AA178*(1/(Z178/AM178)))*I178,Y178="kg",(AA178*AL178*(1/(1/AM178)))*I178,Y178="N/A",""))</f>
        <v/>
      </c>
      <c r="L178" s="71" t="str">
        <f t="shared" si="33"/>
        <v>N/A</v>
      </c>
      <c r="M178" s="146" t="str" cm="1">
        <f t="array" ref="M178">_xlfn.IFS(Y178="m2",(AB178*(1/(Z178/AM178)))*I178,Y178="m3",(AB178*(1/(Z178/AM178)))*I178,Y178="kg",(AB178*AL178*(1/(1/AM178)))*I178,Y178="N/A","")</f>
        <v/>
      </c>
      <c r="N178" s="52" t="str">
        <f t="shared" si="34"/>
        <v>N/A</v>
      </c>
      <c r="O178" s="148" t="str" cm="1">
        <f t="array" ref="O178">IF(AC178="N/A","",_xlfn.IFS(Y178="m2",(AC178*(1/(Z178/AM178)))*I178,Y178="m3",(AC178*(1/(Z178/AM178)))*I178,Y178="kg",(AC178*AL178*(1/(1/AM178)))*I178,Y178="N/A",""))</f>
        <v/>
      </c>
      <c r="P178" s="72" t="str">
        <f t="shared" si="35"/>
        <v>N/A</v>
      </c>
      <c r="Q178" s="150" t="str" cm="1">
        <f t="array" ref="Q178">IF(AE178="N/A","",_xlfn.IFS(Y178="m2",(AE178*(1/(Z178/AM178)))*I178,Y178="m3",(AE178*(1/(Z178/AM178)))*I178,Y178="kg",(AE178*AL178*(1/(1/AM178)))*I178,Y178="N/A",""))</f>
        <v/>
      </c>
      <c r="R178" s="250" t="s">
        <v>191</v>
      </c>
      <c r="S178" s="47"/>
      <c r="T178" s="47" t="s">
        <v>191</v>
      </c>
      <c r="U178" s="47" t="s">
        <v>191</v>
      </c>
      <c r="V178" s="47" t="s">
        <v>191</v>
      </c>
      <c r="X178" s="180" t="s">
        <v>191</v>
      </c>
      <c r="Y178" s="52" t="s">
        <v>191</v>
      </c>
      <c r="Z178" s="47" t="s">
        <v>191</v>
      </c>
      <c r="AA178" s="52" t="str">
        <f t="shared" si="36"/>
        <v>N/A</v>
      </c>
      <c r="AB178" s="52" t="s">
        <v>191</v>
      </c>
      <c r="AC178" s="52" t="s">
        <v>191</v>
      </c>
      <c r="AD178" s="52" t="s">
        <v>191</v>
      </c>
      <c r="AE178" s="52" t="s">
        <v>191</v>
      </c>
      <c r="AG178" s="74" t="str">
        <f t="shared" si="37"/>
        <v xml:space="preserve">A1 </v>
      </c>
      <c r="AH178" s="75" t="s">
        <v>58</v>
      </c>
      <c r="AI178" s="76"/>
      <c r="AJ178" s="103"/>
      <c r="AL178" s="73">
        <v>135</v>
      </c>
      <c r="AM178" s="47">
        <v>5.8000000000000003E-2</v>
      </c>
      <c r="AN178" s="47" t="s">
        <v>191</v>
      </c>
      <c r="AP178" s="105" t="s">
        <v>17</v>
      </c>
      <c r="AQ178" s="106" t="s">
        <v>17</v>
      </c>
      <c r="AT178" s="67" cm="1">
        <f t="array" ref="AT178">IF(AC178="N/A",0,_xlfn.IFS(Y178="m2",(AC178*(1/(Z178/AM178))),Y178="m3",(AC178*(1/(Z178/AM178))),Y178="kg",(AC178*AL178*(1/(Z178/AM178))),Y178="N/A",0))</f>
        <v>0</v>
      </c>
      <c r="AU178" s="67" cm="1">
        <f t="array" ref="AU178">_xlfn.IFS(Y178="m2",(AB178*(1/(Z178/AM178))),Y178="m3",(AB178*(1/(Z178/AM178))),Y178="kg",(AB178*AL178*(1/(Z178/AM178))),Y178="N/A",0)</f>
        <v>0</v>
      </c>
    </row>
    <row r="179" spans="1:47" s="25" customFormat="1" ht="25.2" customHeight="1" x14ac:dyDescent="0.15">
      <c r="A179" s="25" t="s">
        <v>305</v>
      </c>
      <c r="B179" s="47" t="s">
        <v>210</v>
      </c>
      <c r="C179" s="47"/>
      <c r="D179" s="47" t="s">
        <v>304</v>
      </c>
      <c r="E179" s="88" t="s">
        <v>143</v>
      </c>
      <c r="F179" s="47" t="s">
        <v>307</v>
      </c>
      <c r="G179" s="47" t="s">
        <v>370</v>
      </c>
      <c r="H179" s="47"/>
      <c r="I179" s="111">
        <v>1</v>
      </c>
      <c r="J179" s="70" t="str">
        <f t="shared" si="32"/>
        <v>N/A</v>
      </c>
      <c r="K179" s="237" t="str" cm="1">
        <f t="array" ref="K179">IF(AC179="N/A","",_xlfn.IFS(Y179="m2",(AA179*(1/(Z179/AM179)))*I179,Y179="m3",(AA179*(1/(Z179/AM179)))*I179,Y179="kg",(AA179*AL179*(1/(1/AM179)))*I179,Y179="N/A",""))</f>
        <v/>
      </c>
      <c r="L179" s="71" t="str">
        <f t="shared" si="33"/>
        <v>N/A</v>
      </c>
      <c r="M179" s="146" t="str" cm="1">
        <f t="array" ref="M179">_xlfn.IFS(Y179="m2",(AB179*(1/(Z179/AM179)))*I179,Y179="m3",(AB179*(1/(Z179/AM179)))*I179,Y179="kg",(AB179*AL179*(1/(1/AM179)))*I179,Y179="N/A","")</f>
        <v/>
      </c>
      <c r="N179" s="52" t="str">
        <f t="shared" si="34"/>
        <v>N/A</v>
      </c>
      <c r="O179" s="148" t="str" cm="1">
        <f t="array" ref="O179">IF(AC179="N/A","",_xlfn.IFS(Y179="m2",(AC179*(1/(Z179/AM179)))*I179,Y179="m3",(AC179*(1/(Z179/AM179)))*I179,Y179="kg",(AC179*AL179*(1/(1/AM179)))*I179,Y179="N/A",""))</f>
        <v/>
      </c>
      <c r="P179" s="72" t="str">
        <f t="shared" si="35"/>
        <v>N/A</v>
      </c>
      <c r="Q179" s="150" t="str" cm="1">
        <f t="array" ref="Q179">IF(AE179="N/A","",_xlfn.IFS(Y179="m2",(AE179*(1/(Z179/AM179)))*I179,Y179="m3",(AE179*(1/(Z179/AM179)))*I179,Y179="kg",(AE179*AL179*(1/(1/AM179)))*I179,Y179="N/A",""))</f>
        <v/>
      </c>
      <c r="R179" s="250" t="s">
        <v>191</v>
      </c>
      <c r="S179" s="47"/>
      <c r="T179" s="47" t="s">
        <v>191</v>
      </c>
      <c r="U179" s="47" t="s">
        <v>191</v>
      </c>
      <c r="V179" s="47" t="s">
        <v>191</v>
      </c>
      <c r="X179" s="180" t="s">
        <v>191</v>
      </c>
      <c r="Y179" s="52" t="s">
        <v>191</v>
      </c>
      <c r="Z179" s="47" t="s">
        <v>191</v>
      </c>
      <c r="AA179" s="52" t="str">
        <f t="shared" si="36"/>
        <v>N/A</v>
      </c>
      <c r="AB179" s="52" t="s">
        <v>191</v>
      </c>
      <c r="AC179" s="52" t="s">
        <v>191</v>
      </c>
      <c r="AD179" s="52" t="s">
        <v>191</v>
      </c>
      <c r="AE179" s="52" t="s">
        <v>191</v>
      </c>
      <c r="AG179" s="115" t="str">
        <f t="shared" si="37"/>
        <v xml:space="preserve">A1 </v>
      </c>
      <c r="AH179" s="75" t="s">
        <v>58</v>
      </c>
      <c r="AI179" s="76"/>
      <c r="AJ179" s="103"/>
      <c r="AL179" s="47">
        <v>135</v>
      </c>
      <c r="AM179" s="47">
        <v>5.3999999999999999E-2</v>
      </c>
      <c r="AN179" s="47" t="s">
        <v>191</v>
      </c>
      <c r="AP179" s="105" t="s">
        <v>17</v>
      </c>
      <c r="AQ179" s="106" t="s">
        <v>17</v>
      </c>
      <c r="AS179" s="250"/>
      <c r="AT179" s="67"/>
      <c r="AU179" s="67" cm="1">
        <f t="array" ref="AU179">_xlfn.IFS(Y179="m2",(AB179*(1/(Z179/AM179))),Y179="m3",(AB179*(1/(Z179/AM179))),Y179="kg",(AB179*AL179*(1/(Z179/AM179))),Y179="N/A",0)</f>
        <v>0</v>
      </c>
    </row>
    <row r="180" spans="1:47" s="25" customFormat="1" ht="25.2" customHeight="1" x14ac:dyDescent="0.15">
      <c r="A180" s="25" t="s">
        <v>33</v>
      </c>
      <c r="B180" s="47" t="s">
        <v>208</v>
      </c>
      <c r="C180" s="47"/>
      <c r="D180" s="47" t="s">
        <v>27</v>
      </c>
      <c r="E180" s="47" t="s">
        <v>142</v>
      </c>
      <c r="F180" s="47" t="s">
        <v>24</v>
      </c>
      <c r="G180" s="69" t="s">
        <v>370</v>
      </c>
      <c r="H180" s="47"/>
      <c r="I180" s="111">
        <v>1</v>
      </c>
      <c r="J180" s="70" t="str">
        <f t="shared" si="32"/>
        <v>N/A</v>
      </c>
      <c r="K180" s="143" t="str" cm="1">
        <f t="array" ref="K180">IF(AC180="N/A","",_xlfn.IFS(Y180="m2",(AA180*(1/(Z180/AM180)))*I180,Y180="m3",(AA180*(1/(Z180/AM180)))*I180,Y180="kg",(AA180*AL180*(1/(1/AM180)))*I180,Y180="N/A",""))</f>
        <v/>
      </c>
      <c r="L180" s="71" t="str">
        <f t="shared" si="33"/>
        <v>N/A</v>
      </c>
      <c r="M180" s="146" t="str" cm="1">
        <f t="array" ref="M180">_xlfn.IFS(Y180="m2",(AB180*(1/(Z180/AM180)))*I180,Y180="m3",(AB180*(1/(Z180/AM180)))*I180,Y180="kg",(AB180*AL180*(1/(1/AM180)))*I180,Y180="N/A","")</f>
        <v/>
      </c>
      <c r="N180" s="52" t="str">
        <f t="shared" si="34"/>
        <v>N/A</v>
      </c>
      <c r="O180" s="148" t="str" cm="1">
        <f t="array" ref="O180">IF(AC180="N/A","",_xlfn.IFS(Y180="m2",(AC180*(1/(Z180/AM180)))*I180,Y180="m3",(AC180*(1/(Z180/AM180)))*I180,Y180="kg",(AC180*AL180*(1/(1/AM180)))*I180,Y180="N/A",""))</f>
        <v/>
      </c>
      <c r="P180" s="72" t="str">
        <f t="shared" si="35"/>
        <v>N/A</v>
      </c>
      <c r="Q180" s="150" t="str" cm="1">
        <f t="array" ref="Q180">IF(AE180="N/A","",_xlfn.IFS(Y180="m2",(AE180*(1/(Z180/AM180)))*I180,Y180="m3",(AE180*(1/(Z180/AM180)))*I180,Y180="kg",(AE180*AL180*(1/(1/AM180)))*I180,Y180="N/A",""))</f>
        <v/>
      </c>
      <c r="R180" s="47" t="s">
        <v>191</v>
      </c>
      <c r="S180" s="47"/>
      <c r="T180" s="47" t="s">
        <v>191</v>
      </c>
      <c r="U180" s="47" t="s">
        <v>191</v>
      </c>
      <c r="V180" s="47" t="s">
        <v>191</v>
      </c>
      <c r="X180" s="180" t="s">
        <v>191</v>
      </c>
      <c r="Y180" s="47" t="s">
        <v>191</v>
      </c>
      <c r="Z180" s="47" t="s">
        <v>191</v>
      </c>
      <c r="AA180" s="52" t="str">
        <f t="shared" si="36"/>
        <v>N/A</v>
      </c>
      <c r="AB180" s="52" t="s">
        <v>191</v>
      </c>
      <c r="AC180" s="52" t="s">
        <v>191</v>
      </c>
      <c r="AD180" s="52" t="s">
        <v>191</v>
      </c>
      <c r="AE180" s="52" t="s">
        <v>191</v>
      </c>
      <c r="AG180" s="115" t="str">
        <f t="shared" si="37"/>
        <v xml:space="preserve">E </v>
      </c>
      <c r="AH180" s="75" t="s">
        <v>16</v>
      </c>
      <c r="AI180" s="76"/>
      <c r="AJ180" s="77"/>
      <c r="AL180" s="47">
        <v>180</v>
      </c>
      <c r="AM180" s="47">
        <v>4.8000000000000001E-2</v>
      </c>
      <c r="AN180" s="47">
        <v>2100</v>
      </c>
      <c r="AP180" s="80" t="s">
        <v>17</v>
      </c>
      <c r="AQ180" s="256"/>
      <c r="AS180" s="250"/>
      <c r="AT180" s="67"/>
      <c r="AU180" s="67" cm="1">
        <f t="array" ref="AU180">_xlfn.IFS(Y180="m2",(AB180*(1/(Z180/AM180))),Y180="m3",(AB180*(1/(Z180/AM180))),Y180="kg",(AB180*AL180*(1/(Z180/AM180))),Y180="N/A",0)</f>
        <v>0</v>
      </c>
    </row>
    <row r="181" spans="1:47" s="25" customFormat="1" ht="25.2" customHeight="1" x14ac:dyDescent="0.15">
      <c r="A181" s="25" t="s">
        <v>34</v>
      </c>
      <c r="B181" s="47" t="s">
        <v>208</v>
      </c>
      <c r="C181" s="47"/>
      <c r="D181" s="47" t="s">
        <v>27</v>
      </c>
      <c r="E181" s="47" t="s">
        <v>142</v>
      </c>
      <c r="F181" s="47" t="s">
        <v>24</v>
      </c>
      <c r="G181" s="69" t="s">
        <v>370</v>
      </c>
      <c r="H181" s="47"/>
      <c r="I181" s="111">
        <v>1</v>
      </c>
      <c r="J181" s="70" t="str">
        <f t="shared" si="32"/>
        <v>N/A</v>
      </c>
      <c r="K181" s="237" t="str" cm="1">
        <f t="array" ref="K181">IF(AC181="N/A","",_xlfn.IFS(Y181="m2",(AA181*(1/(Z181/AM181)))*I181,Y181="m3",(AA181*(1/(Z181/AM181)))*I181,Y181="kg",(AA181*AL181*(1/(1/AM181)))*I181,Y181="N/A",""))</f>
        <v/>
      </c>
      <c r="L181" s="71" t="str">
        <f t="shared" si="33"/>
        <v>N/A</v>
      </c>
      <c r="M181" s="146" t="str" cm="1">
        <f t="array" ref="M181">_xlfn.IFS(Y181="m2",(AB181*(1/(Z181/AM181)))*I181,Y181="m3",(AB181*(1/(Z181/AM181)))*I181,Y181="kg",(AB181*AL181*(1/(1/AM181)))*I181,Y181="N/A","")</f>
        <v/>
      </c>
      <c r="N181" s="52" t="str">
        <f t="shared" si="34"/>
        <v>N/A</v>
      </c>
      <c r="O181" s="148" t="str" cm="1">
        <f t="array" ref="O181">IF(AC181="N/A","",_xlfn.IFS(Y181="m2",(AC181*(1/(Z181/AM181)))*I181,Y181="m3",(AC181*(1/(Z181/AM181)))*I181,Y181="kg",(AC181*AL181*(1/(1/AM181)))*I181,Y181="N/A",""))</f>
        <v/>
      </c>
      <c r="P181" s="72" t="str">
        <f t="shared" si="35"/>
        <v>N/A</v>
      </c>
      <c r="Q181" s="150" t="str" cm="1">
        <f t="array" ref="Q181">IF(AE181="N/A","",_xlfn.IFS(Y181="m2",(AE181*(1/(Z181/AM181)))*I181,Y181="m3",(AE181*(1/(Z181/AM181)))*I181,Y181="kg",(AE181*AL181*(1/(1/AM181)))*I181,Y181="N/A",""))</f>
        <v/>
      </c>
      <c r="R181" s="47" t="s">
        <v>191</v>
      </c>
      <c r="S181" s="47"/>
      <c r="T181" s="47" t="s">
        <v>191</v>
      </c>
      <c r="U181" s="47" t="s">
        <v>191</v>
      </c>
      <c r="V181" s="47" t="s">
        <v>191</v>
      </c>
      <c r="X181" s="180" t="s">
        <v>191</v>
      </c>
      <c r="Y181" s="47" t="s">
        <v>191</v>
      </c>
      <c r="Z181" s="47" t="s">
        <v>191</v>
      </c>
      <c r="AA181" s="52" t="str">
        <f t="shared" si="36"/>
        <v>N/A</v>
      </c>
      <c r="AB181" s="52" t="s">
        <v>191</v>
      </c>
      <c r="AC181" s="52" t="s">
        <v>191</v>
      </c>
      <c r="AD181" s="52" t="s">
        <v>191</v>
      </c>
      <c r="AE181" s="52" t="s">
        <v>191</v>
      </c>
      <c r="AG181" s="115" t="str">
        <f t="shared" si="37"/>
        <v xml:space="preserve">E </v>
      </c>
      <c r="AH181" s="75" t="s">
        <v>16</v>
      </c>
      <c r="AI181" s="76"/>
      <c r="AJ181" s="77"/>
      <c r="AL181" s="47">
        <v>180</v>
      </c>
      <c r="AM181" s="47">
        <v>4.8000000000000001E-2</v>
      </c>
      <c r="AN181" s="47">
        <v>2100</v>
      </c>
      <c r="AP181" s="80" t="s">
        <v>17</v>
      </c>
      <c r="AQ181" s="256"/>
      <c r="AS181" s="250"/>
      <c r="AT181" s="67"/>
      <c r="AU181" s="67" cm="1">
        <f t="array" ref="AU181">_xlfn.IFS(Y181="m2",(AB181*(1/(Z181/AM181))),Y181="m3",(AB181*(1/(Z181/AM181))),Y181="kg",(AB181*AL181*(1/(Z181/AM181))),Y181="N/A",0)</f>
        <v>0</v>
      </c>
    </row>
    <row r="182" spans="1:47" s="25" customFormat="1" ht="25.2" customHeight="1" x14ac:dyDescent="0.15">
      <c r="A182" s="25" t="s">
        <v>35</v>
      </c>
      <c r="B182" s="47" t="s">
        <v>208</v>
      </c>
      <c r="C182" s="47"/>
      <c r="D182" s="47" t="s">
        <v>27</v>
      </c>
      <c r="E182" s="47" t="s">
        <v>142</v>
      </c>
      <c r="F182" s="47" t="s">
        <v>24</v>
      </c>
      <c r="G182" s="69" t="s">
        <v>370</v>
      </c>
      <c r="H182" s="47"/>
      <c r="I182" s="111">
        <v>1</v>
      </c>
      <c r="J182" s="70" t="str">
        <f t="shared" si="32"/>
        <v>N/A</v>
      </c>
      <c r="K182" s="237" t="str" cm="1">
        <f t="array" ref="K182">IF(AC182="N/A","",_xlfn.IFS(Y182="m2",(AA182*(1/(Z182/AM182)))*I182,Y182="m3",(AA182*(1/(Z182/AM182)))*I182,Y182="kg",(AA182*AL182*(1/(1/AM182)))*I182,Y182="N/A",""))</f>
        <v/>
      </c>
      <c r="L182" s="71" t="str">
        <f t="shared" si="33"/>
        <v>N/A</v>
      </c>
      <c r="M182" s="146" t="str" cm="1">
        <f t="array" ref="M182">_xlfn.IFS(Y182="m2",(AB182*(1/(Z182/AM182)))*I182,Y182="m3",(AB182*(1/(Z182/AM182)))*I182,Y182="kg",(AB182*AL182*(1/(1/AM182)))*I182,Y182="N/A","")</f>
        <v/>
      </c>
      <c r="N182" s="52" t="str">
        <f t="shared" si="34"/>
        <v>N/A</v>
      </c>
      <c r="O182" s="148" t="str" cm="1">
        <f t="array" ref="O182">IF(AC182="N/A","",_xlfn.IFS(Y182="m2",(AC182*(1/(Z182/AM182)))*I182,Y182="m3",(AC182*(1/(Z182/AM182)))*I182,Y182="kg",(AC182*AL182*(1/(1/AM182)))*I182,Y182="N/A",""))</f>
        <v/>
      </c>
      <c r="P182" s="72" t="str">
        <f t="shared" si="35"/>
        <v>N/A</v>
      </c>
      <c r="Q182" s="150" t="str" cm="1">
        <f t="array" ref="Q182">IF(AE182="N/A","",_xlfn.IFS(Y182="m2",(AE182*(1/(Z182/AM182)))*I182,Y182="m3",(AE182*(1/(Z182/AM182)))*I182,Y182="kg",(AE182*AL182*(1/(1/AM182)))*I182,Y182="N/A",""))</f>
        <v/>
      </c>
      <c r="R182" s="47" t="s">
        <v>191</v>
      </c>
      <c r="S182" s="47"/>
      <c r="T182" s="47" t="s">
        <v>191</v>
      </c>
      <c r="U182" s="47" t="s">
        <v>191</v>
      </c>
      <c r="V182" s="47" t="s">
        <v>191</v>
      </c>
      <c r="X182" s="180" t="s">
        <v>191</v>
      </c>
      <c r="Y182" s="47" t="s">
        <v>191</v>
      </c>
      <c r="Z182" s="47" t="s">
        <v>191</v>
      </c>
      <c r="AA182" s="52" t="str">
        <f t="shared" si="36"/>
        <v>N/A</v>
      </c>
      <c r="AB182" s="52" t="s">
        <v>191</v>
      </c>
      <c r="AC182" s="52" t="s">
        <v>191</v>
      </c>
      <c r="AD182" s="52" t="s">
        <v>191</v>
      </c>
      <c r="AE182" s="52" t="s">
        <v>191</v>
      </c>
      <c r="AG182" s="115" t="str">
        <f t="shared" si="37"/>
        <v xml:space="preserve">E </v>
      </c>
      <c r="AH182" s="75" t="s">
        <v>16</v>
      </c>
      <c r="AI182" s="76"/>
      <c r="AJ182" s="77"/>
      <c r="AL182" s="47">
        <v>280</v>
      </c>
      <c r="AM182" s="47">
        <v>5.5E-2</v>
      </c>
      <c r="AN182" s="47">
        <v>2100</v>
      </c>
      <c r="AP182" s="80" t="s">
        <v>17</v>
      </c>
      <c r="AQ182" s="256"/>
      <c r="AS182" s="250"/>
      <c r="AT182" s="67"/>
      <c r="AU182" s="67" cm="1">
        <f t="array" ref="AU182">_xlfn.IFS(Y182="m2",(AB182*(1/(Z182/AM182))),Y182="m3",(AB182*(1/(Z182/AM182))),Y182="kg",(AB182*AL182*(1/(Z182/AM182))),Y182="N/A",0)</f>
        <v>0</v>
      </c>
    </row>
    <row r="183" spans="1:47" s="25" customFormat="1" ht="25.2" customHeight="1" x14ac:dyDescent="0.15">
      <c r="A183" s="25" t="s">
        <v>1050</v>
      </c>
      <c r="B183" s="47" t="s">
        <v>210</v>
      </c>
      <c r="C183" s="47"/>
      <c r="D183" s="47" t="s">
        <v>218</v>
      </c>
      <c r="E183" s="186" t="s">
        <v>149</v>
      </c>
      <c r="F183" s="47" t="s">
        <v>307</v>
      </c>
      <c r="G183" s="47" t="s">
        <v>292</v>
      </c>
      <c r="H183" s="47"/>
      <c r="I183" s="107">
        <v>1</v>
      </c>
      <c r="J183" s="70" t="str">
        <f t="shared" si="32"/>
        <v>N/A</v>
      </c>
      <c r="K183" s="143" t="str" cm="1">
        <f t="array" ref="K183">IF(AC183="N/A","",_xlfn.IFS(Y183="m2",(AA183*(1/(Z183/AM183)))*I183,Y183="m3",(AA183*(1/(Z183/AM183)))*I183,Y183="kg",(AA183*AL183*(1/(1/AM183)))*I183,Y183="N/A",""))</f>
        <v/>
      </c>
      <c r="L183" s="71" t="str">
        <f t="shared" si="33"/>
        <v>N/A</v>
      </c>
      <c r="M183" s="146" t="str" cm="1">
        <f t="array" ref="M183">_xlfn.IFS(Y183="m2",(AB183*(1/(Z183/AM183)))*I183,Y183="m3",(AB183*(1/(Z183/AM183)))*I183,Y183="kg",(AB183*AL183*(1/(1/AM183)))*I183,Y183="N/A","")</f>
        <v/>
      </c>
      <c r="N183" s="52" t="str">
        <f t="shared" si="34"/>
        <v>N/A</v>
      </c>
      <c r="O183" s="148" t="str" cm="1">
        <f t="array" ref="O183">IF(AC183="N/A","",_xlfn.IFS(Y183="m2",(AC183*(1/(Z183/AM183)))*I183,Y183="m3",(AC183*(1/(Z183/AM183)))*I183,Y183="kg",(AC183*AL183*(1/(1/AM183)))*I183,Y183="N/A",""))</f>
        <v/>
      </c>
      <c r="P183" s="72" t="str">
        <f t="shared" si="35"/>
        <v>N/A</v>
      </c>
      <c r="Q183" s="150" t="str" cm="1">
        <f t="array" ref="Q183">IF(AE183="N/A","",_xlfn.IFS(Y183="m2",(AE183*(1/(Z183/AM183)))*I183,Y183="m3",(AE183*(1/(Z183/AM183)))*I183,Y183="kg",(AE183*AL183*(1/(1/AM183)))*I183,Y183="N/A",""))</f>
        <v/>
      </c>
      <c r="R183" s="47" t="s">
        <v>191</v>
      </c>
      <c r="S183" s="47" t="s">
        <v>191</v>
      </c>
      <c r="T183" s="47" t="s">
        <v>191</v>
      </c>
      <c r="U183" s="47" t="s">
        <v>191</v>
      </c>
      <c r="V183" s="47" t="s">
        <v>191</v>
      </c>
      <c r="X183" s="180" t="s">
        <v>191</v>
      </c>
      <c r="Y183" s="180" t="s">
        <v>191</v>
      </c>
      <c r="Z183" s="180" t="s">
        <v>191</v>
      </c>
      <c r="AA183" s="52" t="str">
        <f t="shared" si="36"/>
        <v>N/A</v>
      </c>
      <c r="AB183" s="52" t="s">
        <v>191</v>
      </c>
      <c r="AC183" s="52" t="s">
        <v>191</v>
      </c>
      <c r="AD183" s="52" t="s">
        <v>191</v>
      </c>
      <c r="AE183" s="52" t="s">
        <v>191</v>
      </c>
      <c r="AG183" s="103"/>
      <c r="AH183" s="75" t="s">
        <v>58</v>
      </c>
      <c r="AI183" s="123"/>
      <c r="AJ183" s="47"/>
      <c r="AL183" s="47">
        <v>30</v>
      </c>
      <c r="AM183" s="47">
        <v>3.4000000000000002E-2</v>
      </c>
      <c r="AN183" s="47" t="s">
        <v>191</v>
      </c>
      <c r="AP183" s="173" t="s">
        <v>17</v>
      </c>
      <c r="AQ183" s="73"/>
      <c r="AS183" s="250"/>
      <c r="AT183" s="67"/>
      <c r="AU183" s="67"/>
    </row>
    <row r="184" spans="1:47" s="25" customFormat="1" ht="25.2" customHeight="1" x14ac:dyDescent="0.15">
      <c r="A184" s="25" t="s">
        <v>36</v>
      </c>
      <c r="B184" s="97" t="s">
        <v>208</v>
      </c>
      <c r="C184" s="97"/>
      <c r="D184" s="97" t="s">
        <v>27</v>
      </c>
      <c r="E184" s="47" t="s">
        <v>142</v>
      </c>
      <c r="F184" s="97" t="s">
        <v>24</v>
      </c>
      <c r="G184" s="69" t="s">
        <v>370</v>
      </c>
      <c r="H184" s="47"/>
      <c r="I184" s="111">
        <v>1</v>
      </c>
      <c r="J184" s="70" t="str">
        <f t="shared" si="32"/>
        <v>N/A</v>
      </c>
      <c r="K184" s="143" t="str" cm="1">
        <f t="array" ref="K184">IF(AC184="N/A","",_xlfn.IFS(Y184="m2",(AA184*(1/(Z184/AM184)))*I184,Y184="m3",(AA184*(1/(Z184/AM184)))*I184,Y184="kg",(AA184*AL184*(1/(1/AM184)))*I184,Y184="N/A",""))</f>
        <v/>
      </c>
      <c r="L184" s="71" t="str">
        <f t="shared" si="33"/>
        <v>N/A</v>
      </c>
      <c r="M184" s="146" t="str" cm="1">
        <f t="array" ref="M184">_xlfn.IFS(Y184="m2",(AB184*(1/(Z184/AM184)))*I184,Y184="m3",(AB184*(1/(Z184/AM184)))*I184,Y184="kg",(AB184*AL184*(1/(1/AM184)))*I184,Y184="N/A","")</f>
        <v/>
      </c>
      <c r="N184" s="52" t="str">
        <f t="shared" si="34"/>
        <v>N/A</v>
      </c>
      <c r="O184" s="148" t="str" cm="1">
        <f t="array" ref="O184">IF(AC184="N/A","",_xlfn.IFS(Y184="m2",(AC184*(1/(Z184/AM184)))*I184,Y184="m3",(AC184*(1/(Z184/AM184)))*I184,Y184="kg",(AC184*AL184*(1/(1/AM184)))*I184,Y184="N/A",""))</f>
        <v/>
      </c>
      <c r="P184" s="72" t="str">
        <f t="shared" si="35"/>
        <v>N/A</v>
      </c>
      <c r="Q184" s="150" t="str" cm="1">
        <f t="array" ref="Q184">IF(AE184="N/A","",_xlfn.IFS(Y184="m2",(AE184*(1/(Z184/AM184)))*I184,Y184="m3",(AE184*(1/(Z184/AM184)))*I184,Y184="kg",(AE184*AL184*(1/(1/AM184)))*I184,Y184="N/A",""))</f>
        <v/>
      </c>
      <c r="R184" s="47" t="s">
        <v>191</v>
      </c>
      <c r="S184" s="47"/>
      <c r="T184" s="47" t="s">
        <v>191</v>
      </c>
      <c r="U184" s="97" t="s">
        <v>191</v>
      </c>
      <c r="V184" s="47" t="s">
        <v>191</v>
      </c>
      <c r="X184" s="180" t="s">
        <v>191</v>
      </c>
      <c r="Y184" s="97" t="s">
        <v>191</v>
      </c>
      <c r="Z184" s="47" t="s">
        <v>191</v>
      </c>
      <c r="AA184" s="240" t="str">
        <f t="shared" si="36"/>
        <v>N/A</v>
      </c>
      <c r="AB184" s="52" t="s">
        <v>191</v>
      </c>
      <c r="AC184" s="52" t="s">
        <v>191</v>
      </c>
      <c r="AD184" s="52" t="s">
        <v>191</v>
      </c>
      <c r="AE184" s="52" t="s">
        <v>191</v>
      </c>
      <c r="AG184" s="115" t="str">
        <f t="shared" ref="AG184:AG199" si="38">AH184&amp;" "&amp;AI184</f>
        <v xml:space="preserve">E </v>
      </c>
      <c r="AH184" s="75" t="s">
        <v>16</v>
      </c>
      <c r="AI184" s="76"/>
      <c r="AJ184" s="77"/>
      <c r="AL184" s="47">
        <v>240</v>
      </c>
      <c r="AM184" s="47">
        <v>0.05</v>
      </c>
      <c r="AN184" s="47">
        <v>2100</v>
      </c>
      <c r="AP184" s="80" t="s">
        <v>17</v>
      </c>
      <c r="AQ184" s="256"/>
      <c r="AS184" s="250"/>
      <c r="AT184" s="67"/>
      <c r="AU184" s="67"/>
    </row>
    <row r="185" spans="1:47" s="25" customFormat="1" ht="25.2" customHeight="1" x14ac:dyDescent="0.15">
      <c r="A185" s="25" t="s">
        <v>31</v>
      </c>
      <c r="B185" s="97" t="s">
        <v>208</v>
      </c>
      <c r="C185" s="97"/>
      <c r="D185" s="97" t="s">
        <v>27</v>
      </c>
      <c r="E185" s="47" t="s">
        <v>142</v>
      </c>
      <c r="F185" s="97" t="s">
        <v>24</v>
      </c>
      <c r="G185" s="69" t="s">
        <v>370</v>
      </c>
      <c r="H185" s="47"/>
      <c r="I185" s="111">
        <v>1</v>
      </c>
      <c r="J185" s="70" t="str">
        <f t="shared" si="32"/>
        <v>N/A</v>
      </c>
      <c r="K185" s="143" t="str" cm="1">
        <f t="array" ref="K185">IF(AC185="N/A","",_xlfn.IFS(Y185="m2",(AA185*(1/(Z185/AM185)))*I185,Y185="m3",(AA185*(1/(Z185/AM185)))*I185,Y185="kg",(AA185*AL185*(1/(1/AM185)))*I185,Y185="N/A",""))</f>
        <v/>
      </c>
      <c r="L185" s="71" t="str">
        <f t="shared" si="33"/>
        <v>N/A</v>
      </c>
      <c r="M185" s="146" t="str" cm="1">
        <f t="array" ref="M185">_xlfn.IFS(Y185="m2",(AB185*(1/(Z185/AM185)))*I185,Y185="m3",(AB185*(1/(Z185/AM185)))*I185,Y185="kg",(AB185*AL185*(1/(1/AM185)))*I185,Y185="N/A","")</f>
        <v/>
      </c>
      <c r="N185" s="52" t="str">
        <f t="shared" si="34"/>
        <v>N/A</v>
      </c>
      <c r="O185" s="148" t="str" cm="1">
        <f t="array" ref="O185">IF(AC185="N/A","",_xlfn.IFS(Y185="m2",(AC185*(1/(Z185/AM185)))*I185,Y185="m3",(AC185*(1/(Z185/AM185)))*I185,Y185="kg",(AC185*AL185*(1/(1/AM185)))*I185,Y185="N/A",""))</f>
        <v/>
      </c>
      <c r="P185" s="72" t="str">
        <f t="shared" si="35"/>
        <v>N/A</v>
      </c>
      <c r="Q185" s="150" t="str" cm="1">
        <f t="array" ref="Q185">IF(AE185="N/A","",_xlfn.IFS(Y185="m2",(AE185*(1/(Z185/AM185)))*I185,Y185="m3",(AE185*(1/(Z185/AM185)))*I185,Y185="kg",(AE185*AL185*(1/(1/AM185)))*I185,Y185="N/A",""))</f>
        <v/>
      </c>
      <c r="R185" s="47" t="s">
        <v>191</v>
      </c>
      <c r="S185" s="47"/>
      <c r="T185" s="47" t="s">
        <v>191</v>
      </c>
      <c r="U185" s="97" t="s">
        <v>191</v>
      </c>
      <c r="V185" s="47" t="s">
        <v>191</v>
      </c>
      <c r="X185" s="180" t="s">
        <v>191</v>
      </c>
      <c r="Y185" s="97" t="s">
        <v>191</v>
      </c>
      <c r="Z185" s="47" t="s">
        <v>191</v>
      </c>
      <c r="AA185" s="240" t="str">
        <f t="shared" si="36"/>
        <v>N/A</v>
      </c>
      <c r="AB185" s="52" t="s">
        <v>191</v>
      </c>
      <c r="AC185" s="52" t="s">
        <v>191</v>
      </c>
      <c r="AD185" s="52" t="s">
        <v>191</v>
      </c>
      <c r="AE185" s="52" t="s">
        <v>191</v>
      </c>
      <c r="AG185" s="115" t="str">
        <f t="shared" si="38"/>
        <v xml:space="preserve">E </v>
      </c>
      <c r="AH185" s="75" t="s">
        <v>16</v>
      </c>
      <c r="AI185" s="76"/>
      <c r="AJ185" s="77"/>
      <c r="AL185" s="47">
        <v>180</v>
      </c>
      <c r="AM185" s="47">
        <v>4.8000000000000001E-2</v>
      </c>
      <c r="AN185" s="47">
        <v>2100</v>
      </c>
      <c r="AP185" s="80" t="s">
        <v>17</v>
      </c>
      <c r="AQ185" s="256"/>
      <c r="AS185" s="250"/>
      <c r="AT185" s="67"/>
      <c r="AU185" s="67"/>
    </row>
    <row r="186" spans="1:47" s="25" customFormat="1" ht="25.2" customHeight="1" x14ac:dyDescent="0.15">
      <c r="A186" s="25" t="s">
        <v>92</v>
      </c>
      <c r="B186" s="97" t="s">
        <v>208</v>
      </c>
      <c r="C186" s="97"/>
      <c r="D186" s="258" t="s">
        <v>89</v>
      </c>
      <c r="E186" s="92" t="s">
        <v>149</v>
      </c>
      <c r="F186" s="97" t="s">
        <v>132</v>
      </c>
      <c r="G186" s="69" t="s">
        <v>370</v>
      </c>
      <c r="H186" s="47"/>
      <c r="I186" s="111">
        <v>1</v>
      </c>
      <c r="J186" s="70" t="str">
        <f t="shared" si="32"/>
        <v>N/A</v>
      </c>
      <c r="K186" s="143" t="str" cm="1">
        <f t="array" ref="K186">IF(AC186="N/A","",_xlfn.IFS(Y186="m2",(AA186*(1/(Z186/AM186)))*I186,Y186="m3",(AA186*(1/(Z186/AM186)))*I186,Y186="kg",(AA186*AL186*(1/(1/AM186)))*I186,Y186="N/A",""))</f>
        <v/>
      </c>
      <c r="L186" s="71" t="str">
        <f t="shared" si="33"/>
        <v>N/A</v>
      </c>
      <c r="M186" s="146" t="str" cm="1">
        <f t="array" ref="M186">_xlfn.IFS(Y186="m2",(AB186*(1/(Z186/AM186)))*I186,Y186="m3",(AB186*(1/(Z186/AM186)))*I186,Y186="kg",(AB186*AL186*(1/(1/AM186)))*I186,Y186="N/A","")</f>
        <v/>
      </c>
      <c r="N186" s="52" t="str">
        <f t="shared" si="34"/>
        <v>N/A</v>
      </c>
      <c r="O186" s="148" t="str" cm="1">
        <f t="array" ref="O186">IF(AC186="N/A","",_xlfn.IFS(Y186="m2",(AC186*(1/(Z186/AM186)))*I186,Y186="m3",(AC186*(1/(Z186/AM186)))*I186,Y186="kg",(AC186*AL186*(1/(1/AM186)))*I186,Y186="N/A",""))</f>
        <v/>
      </c>
      <c r="P186" s="72" t="str">
        <f t="shared" si="35"/>
        <v>N/A</v>
      </c>
      <c r="Q186" s="150" t="str" cm="1">
        <f t="array" ref="Q186">IF(AE186="N/A","",_xlfn.IFS(Y186="m2",(AE186*(1/(Z186/AM186)))*I186,Y186="m3",(AE186*(1/(Z186/AM186)))*I186,Y186="kg",(AE186*AL186*(1/(1/AM186)))*I186,Y186="N/A",""))</f>
        <v/>
      </c>
      <c r="R186" s="47" t="s">
        <v>191</v>
      </c>
      <c r="S186" s="47"/>
      <c r="T186" s="47" t="s">
        <v>191</v>
      </c>
      <c r="U186" s="97" t="s">
        <v>191</v>
      </c>
      <c r="V186" s="47" t="s">
        <v>191</v>
      </c>
      <c r="X186" s="180" t="s">
        <v>191</v>
      </c>
      <c r="Y186" s="97" t="s">
        <v>191</v>
      </c>
      <c r="Z186" s="47" t="s">
        <v>191</v>
      </c>
      <c r="AA186" s="240" t="str">
        <f t="shared" si="36"/>
        <v>N/A</v>
      </c>
      <c r="AB186" s="52" t="s">
        <v>191</v>
      </c>
      <c r="AC186" s="52" t="s">
        <v>191</v>
      </c>
      <c r="AD186" s="52" t="s">
        <v>191</v>
      </c>
      <c r="AE186" s="52" t="s">
        <v>191</v>
      </c>
      <c r="AG186" s="115" t="str">
        <f t="shared" si="38"/>
        <v xml:space="preserve">F </v>
      </c>
      <c r="AH186" s="75" t="s">
        <v>82</v>
      </c>
      <c r="AI186" s="76"/>
      <c r="AJ186" s="77"/>
      <c r="AL186" s="47">
        <v>180</v>
      </c>
      <c r="AM186" s="47">
        <f>(0.043+0.047)/2</f>
        <v>4.4999999999999998E-2</v>
      </c>
      <c r="AN186" s="47">
        <v>2100</v>
      </c>
      <c r="AP186" s="80" t="s">
        <v>17</v>
      </c>
      <c r="AQ186" s="81"/>
      <c r="AS186" s="250"/>
      <c r="AT186" s="67"/>
      <c r="AU186" s="67"/>
    </row>
    <row r="187" spans="1:47" s="25" customFormat="1" ht="25.2" customHeight="1" x14ac:dyDescent="0.15">
      <c r="A187" s="25" t="s">
        <v>1122</v>
      </c>
      <c r="B187" s="97" t="s">
        <v>208</v>
      </c>
      <c r="C187" s="97"/>
      <c r="D187" s="47" t="s">
        <v>260</v>
      </c>
      <c r="E187" s="186" t="s">
        <v>142</v>
      </c>
      <c r="F187" s="47" t="s">
        <v>132</v>
      </c>
      <c r="G187" s="69" t="s">
        <v>370</v>
      </c>
      <c r="H187" s="47"/>
      <c r="I187" s="111">
        <v>1</v>
      </c>
      <c r="J187" s="70">
        <f t="shared" si="32"/>
        <v>7.9821913043478263</v>
      </c>
      <c r="K187" s="143" cm="1">
        <f t="array" ref="K187">IF(AC187="N/A","",_xlfn.IFS(Y187="m2",(AA187*(1/(Z187/AM187)))*I187,Y187="m3",(AA187*(1/(Z187/AM187)))*I187,Y187="kg",(AA187*AL187*(1/(1/AM187)))*I187,Y187="N/A",""))</f>
        <v>7.9821913043478263</v>
      </c>
      <c r="L187" s="71">
        <f t="shared" si="33"/>
        <v>-3.1760695652173911</v>
      </c>
      <c r="M187" s="146" cm="1">
        <f t="array" ref="M187">_xlfn.IFS(Y187="m2",(AB187*(1/(Z187/AM187)))*I187,Y187="m3",(AB187*(1/(Z187/AM187)))*I187,Y187="kg",(AB187*AL187*(1/(1/AM187)))*I187,Y187="N/A","")</f>
        <v>-3.1760695652173911</v>
      </c>
      <c r="N187" s="52">
        <f t="shared" si="34"/>
        <v>11.158260869565218</v>
      </c>
      <c r="O187" s="148" cm="1">
        <f t="array" ref="O187">IF(AC187="N/A","",_xlfn.IFS(Y187="m2",(AC187*(1/(Z187/AM187)))*I187,Y187="m3",(AC187*(1/(Z187/AM187)))*I187,Y187="kg",(AC187*AL187*(1/(1/AM187)))*I187,Y187="N/A",""))</f>
        <v>11.158260869565218</v>
      </c>
      <c r="P187" s="72" t="str">
        <f t="shared" si="35"/>
        <v>N/A</v>
      </c>
      <c r="Q187" s="150" t="str" cm="1">
        <f t="array" ref="Q187">IF(AE187="N/A","",_xlfn.IFS(Y187="m2",(AE187*(1/(Z187/AM187)))*I187,Y187="m3",(AE187*(1/(Z187/AM187)))*I187,Y187="kg",(AE187*AL187*(1/(1/AM187)))*I187,Y187="N/A",""))</f>
        <v/>
      </c>
      <c r="R187" s="186" t="s">
        <v>5</v>
      </c>
      <c r="S187" s="47"/>
      <c r="T187" s="47">
        <v>2025</v>
      </c>
      <c r="U187" s="47" t="s">
        <v>14</v>
      </c>
      <c r="V187" s="47" t="s">
        <v>191</v>
      </c>
      <c r="X187" s="180" t="s">
        <v>1135</v>
      </c>
      <c r="Y187" s="47" t="s">
        <v>20</v>
      </c>
      <c r="Z187" s="47">
        <v>1</v>
      </c>
      <c r="AA187" s="240">
        <f t="shared" si="36"/>
        <v>199.55478260869566</v>
      </c>
      <c r="AB187" s="52">
        <f>(-381 +3.86+263)*160/230</f>
        <v>-79.401739130434777</v>
      </c>
      <c r="AC187" s="52">
        <f>(401+0)*160/230</f>
        <v>278.95652173913044</v>
      </c>
      <c r="AD187" s="52">
        <f>(-177)*160/230</f>
        <v>-123.1304347826087</v>
      </c>
      <c r="AE187" s="52" t="str">
        <f t="shared" ref="AE187:AE199" si="39">IF(SUM(AF187:AG187)=0,"N/A",SUM(AF187:AG187))</f>
        <v>N/A</v>
      </c>
      <c r="AG187" s="103" t="str">
        <f t="shared" si="38"/>
        <v xml:space="preserve">E </v>
      </c>
      <c r="AH187" s="122" t="s">
        <v>16</v>
      </c>
      <c r="AI187" s="123"/>
      <c r="AJ187" s="47"/>
      <c r="AL187" s="47">
        <v>160</v>
      </c>
      <c r="AM187" s="47">
        <v>0.04</v>
      </c>
      <c r="AN187" s="47">
        <v>2100</v>
      </c>
      <c r="AP187" s="173" t="s">
        <v>17</v>
      </c>
      <c r="AQ187" s="205" t="s">
        <v>17</v>
      </c>
      <c r="AS187" s="250"/>
      <c r="AT187" s="67"/>
      <c r="AU187" s="67"/>
    </row>
    <row r="188" spans="1:47" s="25" customFormat="1" ht="25.2" customHeight="1" x14ac:dyDescent="0.15">
      <c r="A188" s="25" t="s">
        <v>1123</v>
      </c>
      <c r="B188" s="97" t="s">
        <v>208</v>
      </c>
      <c r="C188" s="97"/>
      <c r="D188" s="47" t="s">
        <v>260</v>
      </c>
      <c r="E188" s="186" t="s">
        <v>142</v>
      </c>
      <c r="F188" s="47" t="s">
        <v>132</v>
      </c>
      <c r="G188" s="69" t="s">
        <v>370</v>
      </c>
      <c r="H188" s="47"/>
      <c r="I188" s="111">
        <v>1</v>
      </c>
      <c r="J188" s="70">
        <f t="shared" si="32"/>
        <v>7.9821913043478263</v>
      </c>
      <c r="K188" s="143" cm="1">
        <f t="array" ref="K188">IF(AC188="N/A","",_xlfn.IFS(Y188="m2",(AA188*(1/(Z188/AM188)))*I188,Y188="m3",(AA188*(1/(Z188/AM188)))*I188,Y188="kg",(AA188*AL188*(1/(1/AM188)))*I188,Y188="N/A",""))</f>
        <v>7.9821913043478263</v>
      </c>
      <c r="L188" s="71">
        <f t="shared" si="33"/>
        <v>-3.1760695652173911</v>
      </c>
      <c r="M188" s="146" cm="1">
        <f t="array" ref="M188">_xlfn.IFS(Y188="m2",(AB188*(1/(Z188/AM188)))*I188,Y188="m3",(AB188*(1/(Z188/AM188)))*I188,Y188="kg",(AB188*AL188*(1/(1/AM188)))*I188,Y188="N/A","")</f>
        <v>-3.1760695652173911</v>
      </c>
      <c r="N188" s="52">
        <f t="shared" si="34"/>
        <v>11.158260869565218</v>
      </c>
      <c r="O188" s="148" cm="1">
        <f t="array" ref="O188">IF(AC188="N/A","",_xlfn.IFS(Y188="m2",(AC188*(1/(Z188/AM188)))*I188,Y188="m3",(AC188*(1/(Z188/AM188)))*I188,Y188="kg",(AC188*AL188*(1/(1/AM188)))*I188,Y188="N/A",""))</f>
        <v>11.158260869565218</v>
      </c>
      <c r="P188" s="72" t="str">
        <f t="shared" si="35"/>
        <v>N/A</v>
      </c>
      <c r="Q188" s="150" t="str" cm="1">
        <f t="array" ref="Q188">IF(AE188="N/A","",_xlfn.IFS(Y188="m2",(AE188*(1/(Z188/AM188)))*I188,Y188="m3",(AE188*(1/(Z188/AM188)))*I188,Y188="kg",(AE188*AL188*(1/(1/AM188)))*I188,Y188="N/A",""))</f>
        <v/>
      </c>
      <c r="R188" s="186" t="s">
        <v>5</v>
      </c>
      <c r="S188" s="47"/>
      <c r="T188" s="47">
        <v>2025</v>
      </c>
      <c r="U188" s="47" t="s">
        <v>14</v>
      </c>
      <c r="V188" s="47" t="s">
        <v>191</v>
      </c>
      <c r="X188" s="180" t="s">
        <v>1135</v>
      </c>
      <c r="Y188" s="47" t="s">
        <v>20</v>
      </c>
      <c r="Z188" s="47">
        <v>1</v>
      </c>
      <c r="AA188" s="240">
        <f t="shared" si="36"/>
        <v>199.55478260869566</v>
      </c>
      <c r="AB188" s="52">
        <f>(-381 +3.86+263)*160/230</f>
        <v>-79.401739130434777</v>
      </c>
      <c r="AC188" s="52">
        <f>(401+0)*160/230</f>
        <v>278.95652173913044</v>
      </c>
      <c r="AD188" s="52">
        <f>(-177)*160/230</f>
        <v>-123.1304347826087</v>
      </c>
      <c r="AE188" s="52" t="str">
        <f t="shared" si="39"/>
        <v>N/A</v>
      </c>
      <c r="AG188" s="103" t="str">
        <f t="shared" si="38"/>
        <v xml:space="preserve">E </v>
      </c>
      <c r="AH188" s="122" t="s">
        <v>16</v>
      </c>
      <c r="AI188" s="123"/>
      <c r="AJ188" s="47"/>
      <c r="AL188" s="47">
        <v>160</v>
      </c>
      <c r="AM188" s="47">
        <v>0.04</v>
      </c>
      <c r="AN188" s="47">
        <v>2100</v>
      </c>
      <c r="AP188" s="173" t="s">
        <v>17</v>
      </c>
      <c r="AQ188" s="73"/>
      <c r="AS188" s="250"/>
      <c r="AT188" s="67"/>
      <c r="AU188" s="67"/>
    </row>
    <row r="189" spans="1:47" s="25" customFormat="1" ht="25.2" customHeight="1" x14ac:dyDescent="0.15">
      <c r="A189" s="25" t="s">
        <v>1124</v>
      </c>
      <c r="B189" s="97" t="s">
        <v>208</v>
      </c>
      <c r="C189" s="97"/>
      <c r="D189" s="47" t="s">
        <v>260</v>
      </c>
      <c r="E189" s="186" t="s">
        <v>142</v>
      </c>
      <c r="F189" s="47" t="s">
        <v>132</v>
      </c>
      <c r="G189" s="69" t="s">
        <v>370</v>
      </c>
      <c r="H189" s="47"/>
      <c r="I189" s="111">
        <v>1</v>
      </c>
      <c r="J189" s="70">
        <f t="shared" si="32"/>
        <v>15.964382608695653</v>
      </c>
      <c r="K189" s="143" cm="1">
        <f t="array" ref="K189">IF(AC189="N/A","",_xlfn.IFS(Y189="m2",(AA189*(1/(Z189/AM189)))*I189,Y189="m3",(AA189*(1/(Z189/AM189)))*I189,Y189="kg",(AA189*AL189*(1/(1/AM189)))*I189,Y189="N/A",""))</f>
        <v>15.964382608695653</v>
      </c>
      <c r="L189" s="71">
        <f t="shared" si="33"/>
        <v>-6.3521391304347823</v>
      </c>
      <c r="M189" s="146" cm="1">
        <f t="array" ref="M189">_xlfn.IFS(Y189="m2",(AB189*(1/(Z189/AM189)))*I189,Y189="m3",(AB189*(1/(Z189/AM189)))*I189,Y189="kg",(AB189*AL189*(1/(1/AM189)))*I189,Y189="N/A","")</f>
        <v>-6.3521391304347823</v>
      </c>
      <c r="N189" s="52">
        <f t="shared" si="34"/>
        <v>22.316521739130437</v>
      </c>
      <c r="O189" s="148" cm="1">
        <f t="array" ref="O189">IF(AC189="N/A","",_xlfn.IFS(Y189="m2",(AC189*(1/(Z189/AM189)))*I189,Y189="m3",(AC189*(1/(Z189/AM189)))*I189,Y189="kg",(AC189*AL189*(1/(1/AM189)))*I189,Y189="N/A",""))</f>
        <v>22.316521739130437</v>
      </c>
      <c r="P189" s="72" t="str">
        <f t="shared" si="35"/>
        <v>N/A</v>
      </c>
      <c r="Q189" s="150" t="str" cm="1">
        <f t="array" ref="Q189">IF(AE189="N/A","",_xlfn.IFS(Y189="m2",(AE189*(1/(Z189/AM189)))*I189,Y189="m3",(AE189*(1/(Z189/AM189)))*I189,Y189="kg",(AE189*AL189*(1/(1/AM189)))*I189,Y189="N/A",""))</f>
        <v/>
      </c>
      <c r="R189" s="186" t="s">
        <v>5</v>
      </c>
      <c r="S189" s="47"/>
      <c r="T189" s="47">
        <v>2025</v>
      </c>
      <c r="U189" s="47" t="s">
        <v>14</v>
      </c>
      <c r="V189" s="47" t="s">
        <v>191</v>
      </c>
      <c r="X189" s="180" t="s">
        <v>1135</v>
      </c>
      <c r="Y189" s="47" t="s">
        <v>20</v>
      </c>
      <c r="Z189" s="47">
        <v>1</v>
      </c>
      <c r="AA189" s="240">
        <f t="shared" si="36"/>
        <v>199.55478260869566</v>
      </c>
      <c r="AB189" s="52">
        <f>(-381 +3.86+263)*160/230</f>
        <v>-79.401739130434777</v>
      </c>
      <c r="AC189" s="52">
        <f>(401+0)*160/230</f>
        <v>278.95652173913044</v>
      </c>
      <c r="AD189" s="52">
        <f>(-177)*160/230</f>
        <v>-123.1304347826087</v>
      </c>
      <c r="AE189" s="52" t="str">
        <f t="shared" si="39"/>
        <v>N/A</v>
      </c>
      <c r="AG189" s="103" t="str">
        <f t="shared" si="38"/>
        <v xml:space="preserve">E </v>
      </c>
      <c r="AH189" s="122" t="s">
        <v>16</v>
      </c>
      <c r="AI189" s="123"/>
      <c r="AJ189" s="47"/>
      <c r="AL189" s="47">
        <v>160</v>
      </c>
      <c r="AM189" s="47">
        <v>0.08</v>
      </c>
      <c r="AN189" s="47">
        <v>2100</v>
      </c>
      <c r="AP189" s="173" t="s">
        <v>17</v>
      </c>
      <c r="AQ189" s="73"/>
      <c r="AS189" s="250"/>
      <c r="AT189" s="67"/>
      <c r="AU189" s="67"/>
    </row>
    <row r="190" spans="1:47" s="25" customFormat="1" ht="25.2" customHeight="1" x14ac:dyDescent="0.15">
      <c r="A190" s="25" t="s">
        <v>1125</v>
      </c>
      <c r="B190" s="97" t="s">
        <v>208</v>
      </c>
      <c r="C190" s="97"/>
      <c r="D190" s="47" t="s">
        <v>260</v>
      </c>
      <c r="E190" s="186" t="s">
        <v>142</v>
      </c>
      <c r="F190" s="47" t="s">
        <v>132</v>
      </c>
      <c r="G190" s="69" t="s">
        <v>370</v>
      </c>
      <c r="H190" s="47"/>
      <c r="I190" s="111">
        <v>1</v>
      </c>
      <c r="J190" s="70">
        <f t="shared" si="32"/>
        <v>3.9910956521739132</v>
      </c>
      <c r="K190" s="143" cm="1">
        <f t="array" ref="K190">IF(AC190="N/A","",_xlfn.IFS(Y190="m2",(AA190*(1/(Z190/AM190)))*I190,Y190="m3",(AA190*(1/(Z190/AM190)))*I190,Y190="kg",(AA190*AL190*(1/(1/AM190)))*I190,Y190="N/A",""))</f>
        <v>3.9910956521739132</v>
      </c>
      <c r="L190" s="71">
        <f t="shared" si="33"/>
        <v>-1.5880347826086956</v>
      </c>
      <c r="M190" s="146" cm="1">
        <f t="array" ref="M190">_xlfn.IFS(Y190="m2",(AB190*(1/(Z190/AM190)))*I190,Y190="m3",(AB190*(1/(Z190/AM190)))*I190,Y190="kg",(AB190*AL190*(1/(1/AM190)))*I190,Y190="N/A","")</f>
        <v>-1.5880347826086956</v>
      </c>
      <c r="N190" s="52">
        <f t="shared" si="34"/>
        <v>5.5791304347826092</v>
      </c>
      <c r="O190" s="148" cm="1">
        <f t="array" ref="O190">IF(AC190="N/A","",_xlfn.IFS(Y190="m2",(AC190*(1/(Z190/AM190)))*I190,Y190="m3",(AC190*(1/(Z190/AM190)))*I190,Y190="kg",(AC190*AL190*(1/(1/AM190)))*I190,Y190="N/A",""))</f>
        <v>5.5791304347826092</v>
      </c>
      <c r="P190" s="72" t="str">
        <f t="shared" si="35"/>
        <v>N/A</v>
      </c>
      <c r="Q190" s="150" t="str" cm="1">
        <f t="array" ref="Q190">IF(AE190="N/A","",_xlfn.IFS(Y190="m2",(AE190*(1/(Z190/AM190)))*I190,Y190="m3",(AE190*(1/(Z190/AM190)))*I190,Y190="kg",(AE190*AL190*(1/(1/AM190)))*I190,Y190="N/A",""))</f>
        <v/>
      </c>
      <c r="R190" s="186" t="s">
        <v>5</v>
      </c>
      <c r="S190" s="47"/>
      <c r="T190" s="47">
        <v>2025</v>
      </c>
      <c r="U190" s="47" t="s">
        <v>14</v>
      </c>
      <c r="V190" s="47" t="s">
        <v>191</v>
      </c>
      <c r="X190" s="180" t="s">
        <v>1135</v>
      </c>
      <c r="Y190" s="47" t="s">
        <v>20</v>
      </c>
      <c r="Z190" s="47">
        <v>1</v>
      </c>
      <c r="AA190" s="240">
        <f t="shared" si="36"/>
        <v>199.55478260869566</v>
      </c>
      <c r="AB190" s="52">
        <f>(-381 +3.86+263)*160/230</f>
        <v>-79.401739130434777</v>
      </c>
      <c r="AC190" s="52">
        <f>(401+0)*160/230</f>
        <v>278.95652173913044</v>
      </c>
      <c r="AD190" s="52">
        <f>(-177)*160/230</f>
        <v>-123.1304347826087</v>
      </c>
      <c r="AE190" s="52" t="str">
        <f t="shared" si="39"/>
        <v>N/A</v>
      </c>
      <c r="AG190" s="103" t="str">
        <f t="shared" si="38"/>
        <v xml:space="preserve">E </v>
      </c>
      <c r="AH190" s="122" t="s">
        <v>16</v>
      </c>
      <c r="AI190" s="123"/>
      <c r="AJ190" s="47"/>
      <c r="AL190" s="47">
        <v>160</v>
      </c>
      <c r="AM190" s="47">
        <v>0.02</v>
      </c>
      <c r="AN190" s="47">
        <v>2100</v>
      </c>
      <c r="AP190" s="173" t="s">
        <v>17</v>
      </c>
      <c r="AQ190" s="73"/>
      <c r="AS190" s="250"/>
      <c r="AT190" s="67"/>
      <c r="AU190" s="67"/>
    </row>
    <row r="191" spans="1:47" s="25" customFormat="1" ht="25.2" customHeight="1" x14ac:dyDescent="0.15">
      <c r="A191" s="25" t="s">
        <v>1126</v>
      </c>
      <c r="B191" s="97" t="s">
        <v>208</v>
      </c>
      <c r="C191" s="97"/>
      <c r="D191" s="47" t="s">
        <v>260</v>
      </c>
      <c r="E191" s="186" t="s">
        <v>142</v>
      </c>
      <c r="F191" s="47" t="s">
        <v>132</v>
      </c>
      <c r="G191" s="69" t="s">
        <v>370</v>
      </c>
      <c r="H191" s="47"/>
      <c r="I191" s="111">
        <v>1</v>
      </c>
      <c r="J191" s="70">
        <f t="shared" si="32"/>
        <v>2.8686000000000003</v>
      </c>
      <c r="K191" s="143" cm="1">
        <f t="array" ref="K191">IF(AC191="N/A","",_xlfn.IFS(Y191="m2",(AA191*(1/(Z191/AM191)))*I191,Y191="m3",(AA191*(1/(Z191/AM191)))*I191,Y191="kg",(AA191*AL191*(1/(1/AM191)))*I191,Y191="N/A",""))</f>
        <v>2.8686000000000003</v>
      </c>
      <c r="L191" s="71">
        <f t="shared" si="33"/>
        <v>-1.1414</v>
      </c>
      <c r="M191" s="146" cm="1">
        <f t="array" ref="M191">_xlfn.IFS(Y191="m2",(AB191*(1/(Z191/AM191)))*I191,Y191="m3",(AB191*(1/(Z191/AM191)))*I191,Y191="kg",(AB191*AL191*(1/(1/AM191)))*I191,Y191="N/A","")</f>
        <v>-1.1414</v>
      </c>
      <c r="N191" s="52">
        <f t="shared" si="34"/>
        <v>4.01</v>
      </c>
      <c r="O191" s="148" cm="1">
        <f t="array" ref="O191">IF(AC191="N/A","",_xlfn.IFS(Y191="m2",(AC191*(1/(Z191/AM191)))*I191,Y191="m3",(AC191*(1/(Z191/AM191)))*I191,Y191="kg",(AC191*AL191*(1/(1/AM191)))*I191,Y191="N/A",""))</f>
        <v>4.01</v>
      </c>
      <c r="P191" s="72" t="str">
        <f t="shared" si="35"/>
        <v>N/A</v>
      </c>
      <c r="Q191" s="150" t="str" cm="1">
        <f t="array" ref="Q191">IF(AE191="N/A","",_xlfn.IFS(Y191="m2",(AE191*(1/(Z191/AM191)))*I191,Y191="m3",(AE191*(1/(Z191/AM191)))*I191,Y191="kg",(AE191*AL191*(1/(1/AM191)))*I191,Y191="N/A",""))</f>
        <v/>
      </c>
      <c r="R191" s="186" t="s">
        <v>5</v>
      </c>
      <c r="S191" s="47"/>
      <c r="T191" s="47">
        <v>2025</v>
      </c>
      <c r="U191" s="47" t="s">
        <v>14</v>
      </c>
      <c r="V191" s="47" t="s">
        <v>191</v>
      </c>
      <c r="X191" s="180" t="s">
        <v>1135</v>
      </c>
      <c r="Y191" s="47" t="s">
        <v>20</v>
      </c>
      <c r="Z191" s="47">
        <v>1</v>
      </c>
      <c r="AA191" s="240">
        <f t="shared" si="36"/>
        <v>286.86</v>
      </c>
      <c r="AB191" s="52">
        <f>(-381 +3.86+263)*230/230</f>
        <v>-114.13999999999999</v>
      </c>
      <c r="AC191" s="52">
        <f>(401+0)*230/230</f>
        <v>401</v>
      </c>
      <c r="AD191" s="52">
        <f>(-177)*230/230</f>
        <v>-177</v>
      </c>
      <c r="AE191" s="52" t="str">
        <f t="shared" si="39"/>
        <v>N/A</v>
      </c>
      <c r="AG191" s="103" t="str">
        <f t="shared" si="38"/>
        <v xml:space="preserve">E </v>
      </c>
      <c r="AH191" s="122" t="s">
        <v>16</v>
      </c>
      <c r="AI191" s="123"/>
      <c r="AJ191" s="47"/>
      <c r="AL191" s="47">
        <v>230</v>
      </c>
      <c r="AM191" s="47">
        <v>0.01</v>
      </c>
      <c r="AN191" s="47">
        <v>2100</v>
      </c>
      <c r="AP191" s="173" t="s">
        <v>17</v>
      </c>
      <c r="AQ191" s="73"/>
      <c r="AS191" s="250"/>
      <c r="AT191" s="67"/>
      <c r="AU191" s="67"/>
    </row>
    <row r="192" spans="1:47" s="25" customFormat="1" ht="25.2" customHeight="1" x14ac:dyDescent="0.15">
      <c r="A192" s="25" t="s">
        <v>1127</v>
      </c>
      <c r="B192" s="97" t="s">
        <v>208</v>
      </c>
      <c r="C192" s="97"/>
      <c r="D192" s="47" t="s">
        <v>260</v>
      </c>
      <c r="E192" s="186" t="s">
        <v>142</v>
      </c>
      <c r="F192" s="47" t="s">
        <v>132</v>
      </c>
      <c r="G192" s="69" t="s">
        <v>370</v>
      </c>
      <c r="H192" s="47"/>
      <c r="I192" s="111">
        <v>1</v>
      </c>
      <c r="J192" s="70">
        <f t="shared" si="32"/>
        <v>22.948800000000002</v>
      </c>
      <c r="K192" s="143" cm="1">
        <f t="array" ref="K192">IF(AC192="N/A","",_xlfn.IFS(Y192="m2",(AA192*(1/(Z192/AM192)))*I192,Y192="m3",(AA192*(1/(Z192/AM192)))*I192,Y192="kg",(AA192*AL192*(1/(1/AM192)))*I192,Y192="N/A",""))</f>
        <v>22.948800000000002</v>
      </c>
      <c r="L192" s="71">
        <f t="shared" si="33"/>
        <v>-9.1311999999999998</v>
      </c>
      <c r="M192" s="146" cm="1">
        <f t="array" ref="M192">_xlfn.IFS(Y192="m2",(AB192*(1/(Z192/AM192)))*I192,Y192="m3",(AB192*(1/(Z192/AM192)))*I192,Y192="kg",(AB192*AL192*(1/(1/AM192)))*I192,Y192="N/A","")</f>
        <v>-9.1311999999999998</v>
      </c>
      <c r="N192" s="52">
        <f t="shared" si="34"/>
        <v>32.08</v>
      </c>
      <c r="O192" s="148" cm="1">
        <f t="array" ref="O192">IF(AC192="N/A","",_xlfn.IFS(Y192="m2",(AC192*(1/(Z192/AM192)))*I192,Y192="m3",(AC192*(1/(Z192/AM192)))*I192,Y192="kg",(AC192*AL192*(1/(1/AM192)))*I192,Y192="N/A",""))</f>
        <v>32.08</v>
      </c>
      <c r="P192" s="72" t="str">
        <f t="shared" si="35"/>
        <v>N/A</v>
      </c>
      <c r="Q192" s="150" t="str" cm="1">
        <f t="array" ref="Q192">IF(AE192="N/A","",_xlfn.IFS(Y192="m2",(AE192*(1/(Z192/AM192)))*I192,Y192="m3",(AE192*(1/(Z192/AM192)))*I192,Y192="kg",(AE192*AL192*(1/(1/AM192)))*I192,Y192="N/A",""))</f>
        <v/>
      </c>
      <c r="R192" s="186" t="s">
        <v>5</v>
      </c>
      <c r="S192" s="47"/>
      <c r="T192" s="47">
        <v>2025</v>
      </c>
      <c r="U192" s="47" t="s">
        <v>14</v>
      </c>
      <c r="V192" s="47" t="s">
        <v>191</v>
      </c>
      <c r="X192" s="180" t="s">
        <v>1135</v>
      </c>
      <c r="Y192" s="47" t="s">
        <v>20</v>
      </c>
      <c r="Z192" s="47">
        <v>1</v>
      </c>
      <c r="AA192" s="240">
        <f t="shared" si="36"/>
        <v>286.86</v>
      </c>
      <c r="AB192" s="52">
        <f>(-381 +3.86+263)*230/230</f>
        <v>-114.13999999999999</v>
      </c>
      <c r="AC192" s="52">
        <f>(401+0)*230/230</f>
        <v>401</v>
      </c>
      <c r="AD192" s="52">
        <f>(-177)*230/230</f>
        <v>-177</v>
      </c>
      <c r="AE192" s="52" t="str">
        <f t="shared" si="39"/>
        <v>N/A</v>
      </c>
      <c r="AG192" s="103" t="str">
        <f t="shared" si="38"/>
        <v xml:space="preserve">E </v>
      </c>
      <c r="AH192" s="122" t="s">
        <v>16</v>
      </c>
      <c r="AI192" s="123"/>
      <c r="AJ192" s="47"/>
      <c r="AL192" s="47">
        <v>230</v>
      </c>
      <c r="AM192" s="47">
        <v>0.08</v>
      </c>
      <c r="AN192" s="47">
        <v>2100</v>
      </c>
      <c r="AP192" s="173" t="s">
        <v>17</v>
      </c>
      <c r="AQ192" s="73"/>
      <c r="AS192" s="250"/>
      <c r="AT192" s="67"/>
      <c r="AU192" s="67"/>
    </row>
    <row r="193" spans="1:47" s="25" customFormat="1" ht="25.2" customHeight="1" x14ac:dyDescent="0.15">
      <c r="A193" s="25" t="s">
        <v>1128</v>
      </c>
      <c r="B193" s="97" t="s">
        <v>208</v>
      </c>
      <c r="C193" s="97"/>
      <c r="D193" s="47" t="s">
        <v>260</v>
      </c>
      <c r="E193" s="186" t="s">
        <v>142</v>
      </c>
      <c r="F193" s="47" t="s">
        <v>132</v>
      </c>
      <c r="G193" s="69" t="s">
        <v>370</v>
      </c>
      <c r="H193" s="47"/>
      <c r="I193" s="111">
        <v>1</v>
      </c>
      <c r="J193" s="70">
        <f t="shared" si="32"/>
        <v>22.948800000000002</v>
      </c>
      <c r="K193" s="143" cm="1">
        <f t="array" ref="K193">IF(AC193="N/A","",_xlfn.IFS(Y193="m2",(AA193*(1/(Z193/AM193)))*I193,Y193="m3",(AA193*(1/(Z193/AM193)))*I193,Y193="kg",(AA193*AL193*(1/(1/AM193)))*I193,Y193="N/A",""))</f>
        <v>22.948800000000002</v>
      </c>
      <c r="L193" s="71">
        <f t="shared" si="33"/>
        <v>-9.1311999999999998</v>
      </c>
      <c r="M193" s="146" cm="1">
        <f t="array" ref="M193">_xlfn.IFS(Y193="m2",(AB193*(1/(Z193/AM193)))*I193,Y193="m3",(AB193*(1/(Z193/AM193)))*I193,Y193="kg",(AB193*AL193*(1/(1/AM193)))*I193,Y193="N/A","")</f>
        <v>-9.1311999999999998</v>
      </c>
      <c r="N193" s="52">
        <f t="shared" si="34"/>
        <v>32.08</v>
      </c>
      <c r="O193" s="148" cm="1">
        <f t="array" ref="O193">IF(AC193="N/A","",_xlfn.IFS(Y193="m2",(AC193*(1/(Z193/AM193)))*I193,Y193="m3",(AC193*(1/(Z193/AM193)))*I193,Y193="kg",(AC193*AL193*(1/(1/AM193)))*I193,Y193="N/A",""))</f>
        <v>32.08</v>
      </c>
      <c r="P193" s="72" t="str">
        <f t="shared" si="35"/>
        <v>N/A</v>
      </c>
      <c r="Q193" s="150" t="str" cm="1">
        <f t="array" ref="Q193">IF(AE193="N/A","",_xlfn.IFS(Y193="m2",(AE193*(1/(Z193/AM193)))*I193,Y193="m3",(AE193*(1/(Z193/AM193)))*I193,Y193="kg",(AE193*AL193*(1/(1/AM193)))*I193,Y193="N/A",""))</f>
        <v/>
      </c>
      <c r="R193" s="186" t="s">
        <v>5</v>
      </c>
      <c r="S193" s="47"/>
      <c r="T193" s="47">
        <v>2025</v>
      </c>
      <c r="U193" s="47" t="s">
        <v>14</v>
      </c>
      <c r="V193" s="47" t="s">
        <v>191</v>
      </c>
      <c r="X193" s="180" t="s">
        <v>1135</v>
      </c>
      <c r="Y193" s="47" t="s">
        <v>20</v>
      </c>
      <c r="Z193" s="47">
        <v>1</v>
      </c>
      <c r="AA193" s="240">
        <f t="shared" si="36"/>
        <v>286.86</v>
      </c>
      <c r="AB193" s="52">
        <f>(-381 +3.86+263)*230/230</f>
        <v>-114.13999999999999</v>
      </c>
      <c r="AC193" s="52">
        <f>(401+0)*230/230</f>
        <v>401</v>
      </c>
      <c r="AD193" s="52">
        <f>(-177)*230/230</f>
        <v>-177</v>
      </c>
      <c r="AE193" s="52" t="str">
        <f t="shared" si="39"/>
        <v>N/A</v>
      </c>
      <c r="AG193" s="103" t="str">
        <f t="shared" si="38"/>
        <v xml:space="preserve">E </v>
      </c>
      <c r="AH193" s="122" t="s">
        <v>16</v>
      </c>
      <c r="AI193" s="123"/>
      <c r="AJ193" s="47"/>
      <c r="AL193" s="47">
        <v>230</v>
      </c>
      <c r="AM193" s="47">
        <v>0.08</v>
      </c>
      <c r="AN193" s="47">
        <v>2100</v>
      </c>
      <c r="AP193" s="173" t="s">
        <v>17</v>
      </c>
      <c r="AQ193" s="73"/>
      <c r="AS193" s="250"/>
      <c r="AT193" s="67"/>
      <c r="AU193" s="67"/>
    </row>
    <row r="194" spans="1:47" s="25" customFormat="1" ht="25.2" customHeight="1" x14ac:dyDescent="0.15">
      <c r="A194" s="25" t="s">
        <v>1129</v>
      </c>
      <c r="B194" s="97" t="s">
        <v>208</v>
      </c>
      <c r="C194" s="97"/>
      <c r="D194" s="47" t="s">
        <v>260</v>
      </c>
      <c r="E194" s="186" t="s">
        <v>142</v>
      </c>
      <c r="F194" s="47" t="s">
        <v>132</v>
      </c>
      <c r="G194" s="69" t="s">
        <v>370</v>
      </c>
      <c r="H194" s="47"/>
      <c r="I194" s="111">
        <v>1</v>
      </c>
      <c r="J194" s="70">
        <f t="shared" si="32"/>
        <v>35.919860869565213</v>
      </c>
      <c r="K194" s="143" cm="1">
        <f t="array" ref="K194">IF(AC194="N/A","",_xlfn.IFS(Y194="m2",(AA194*(1/(Z194/AM194)))*I194,Y194="m3",(AA194*(1/(Z194/AM194)))*I194,Y194="kg",(AA194*AL194*(1/(1/AM194)))*I194,Y194="N/A",""))</f>
        <v>35.919860869565213</v>
      </c>
      <c r="L194" s="71">
        <f t="shared" si="33"/>
        <v>-14.292313043478259</v>
      </c>
      <c r="M194" s="146" cm="1">
        <f t="array" ref="M194">_xlfn.IFS(Y194="m2",(AB194*(1/(Z194/AM194)))*I194,Y194="m3",(AB194*(1/(Z194/AM194)))*I194,Y194="kg",(AB194*AL194*(1/(1/AM194)))*I194,Y194="N/A","")</f>
        <v>-14.292313043478259</v>
      </c>
      <c r="N194" s="52">
        <f t="shared" si="34"/>
        <v>50.212173913043472</v>
      </c>
      <c r="O194" s="148" cm="1">
        <f t="array" ref="O194">IF(AC194="N/A","",_xlfn.IFS(Y194="m2",(AC194*(1/(Z194/AM194)))*I194,Y194="m3",(AC194*(1/(Z194/AM194)))*I194,Y194="kg",(AC194*AL194*(1/(1/AM194)))*I194,Y194="N/A",""))</f>
        <v>50.212173913043472</v>
      </c>
      <c r="P194" s="72" t="str">
        <f t="shared" si="35"/>
        <v>N/A</v>
      </c>
      <c r="Q194" s="150" t="str" cm="1">
        <f t="array" ref="Q194">IF(AE194="N/A","",_xlfn.IFS(Y194="m2",(AE194*(1/(Z194/AM194)))*I194,Y194="m3",(AE194*(1/(Z194/AM194)))*I194,Y194="kg",(AE194*AL194*(1/(1/AM194)))*I194,Y194="N/A",""))</f>
        <v/>
      </c>
      <c r="R194" s="186" t="s">
        <v>5</v>
      </c>
      <c r="S194" s="47"/>
      <c r="T194" s="47">
        <v>2025</v>
      </c>
      <c r="U194" s="47" t="s">
        <v>14</v>
      </c>
      <c r="V194" s="47" t="s">
        <v>191</v>
      </c>
      <c r="X194" s="180" t="s">
        <v>1135</v>
      </c>
      <c r="Y194" s="47" t="s">
        <v>20</v>
      </c>
      <c r="Z194" s="47">
        <v>1</v>
      </c>
      <c r="AA194" s="240">
        <f t="shared" si="36"/>
        <v>299.33217391304345</v>
      </c>
      <c r="AB194" s="52">
        <f>(-381 +3.86+263)*240/230</f>
        <v>-119.10260869565217</v>
      </c>
      <c r="AC194" s="52">
        <f>(401+0)*240/230</f>
        <v>418.43478260869563</v>
      </c>
      <c r="AD194" s="52">
        <f>(-177)*240/230</f>
        <v>-184.69565217391303</v>
      </c>
      <c r="AE194" s="52" t="str">
        <f t="shared" si="39"/>
        <v>N/A</v>
      </c>
      <c r="AG194" s="103" t="str">
        <f t="shared" si="38"/>
        <v xml:space="preserve">E </v>
      </c>
      <c r="AH194" s="122" t="s">
        <v>16</v>
      </c>
      <c r="AI194" s="123"/>
      <c r="AJ194" s="47"/>
      <c r="AL194" s="47">
        <v>240</v>
      </c>
      <c r="AM194" s="47">
        <v>0.12</v>
      </c>
      <c r="AN194" s="47">
        <v>2100</v>
      </c>
      <c r="AP194" s="173" t="s">
        <v>17</v>
      </c>
      <c r="AQ194" s="73"/>
      <c r="AS194" s="250"/>
      <c r="AT194" s="67"/>
      <c r="AU194" s="67"/>
    </row>
    <row r="195" spans="1:47" s="25" customFormat="1" ht="25.2" customHeight="1" x14ac:dyDescent="0.15">
      <c r="A195" s="25" t="s">
        <v>1130</v>
      </c>
      <c r="B195" s="97" t="s">
        <v>208</v>
      </c>
      <c r="C195" s="97"/>
      <c r="D195" s="47" t="s">
        <v>260</v>
      </c>
      <c r="E195" s="186" t="s">
        <v>142</v>
      </c>
      <c r="F195" s="47" t="s">
        <v>132</v>
      </c>
      <c r="G195" s="69" t="s">
        <v>370</v>
      </c>
      <c r="H195" s="47"/>
      <c r="I195" s="111">
        <v>1</v>
      </c>
      <c r="J195" s="70">
        <f t="shared" si="32"/>
        <v>18.708260869565219</v>
      </c>
      <c r="K195" s="143" cm="1">
        <f t="array" ref="K195">IF(AC195="N/A","",_xlfn.IFS(Y195="m2",(AA195*(1/(Z195/AM195)))*I195,Y195="m3",(AA195*(1/(Z195/AM195)))*I195,Y195="kg",(AA195*AL195*(1/(1/AM195)))*I195,Y195="N/A",""))</f>
        <v>18.708260869565219</v>
      </c>
      <c r="L195" s="71">
        <f t="shared" si="33"/>
        <v>-7.4439130434782594</v>
      </c>
      <c r="M195" s="146" cm="1">
        <f t="array" ref="M195">_xlfn.IFS(Y195="m2",(AB195*(1/(Z195/AM195)))*I195,Y195="m3",(AB195*(1/(Z195/AM195)))*I195,Y195="kg",(AB195*AL195*(1/(1/AM195)))*I195,Y195="N/A","")</f>
        <v>-7.4439130434782594</v>
      </c>
      <c r="N195" s="52">
        <f t="shared" si="34"/>
        <v>26.152173913043477</v>
      </c>
      <c r="O195" s="148" cm="1">
        <f t="array" ref="O195">IF(AC195="N/A","",_xlfn.IFS(Y195="m2",(AC195*(1/(Z195/AM195)))*I195,Y195="m3",(AC195*(1/(Z195/AM195)))*I195,Y195="kg",(AC195*AL195*(1/(1/AM195)))*I195,Y195="N/A",""))</f>
        <v>26.152173913043477</v>
      </c>
      <c r="P195" s="72" t="str">
        <f t="shared" si="35"/>
        <v>N/A</v>
      </c>
      <c r="Q195" s="150" t="str" cm="1">
        <f t="array" ref="Q195">IF(AE195="N/A","",_xlfn.IFS(Y195="m2",(AE195*(1/(Z195/AM195)))*I195,Y195="m3",(AE195*(1/(Z195/AM195)))*I195,Y195="kg",(AE195*AL195*(1/(1/AM195)))*I195,Y195="N/A",""))</f>
        <v/>
      </c>
      <c r="R195" s="186" t="s">
        <v>5</v>
      </c>
      <c r="S195" s="47"/>
      <c r="T195" s="47">
        <v>2025</v>
      </c>
      <c r="U195" s="47" t="s">
        <v>14</v>
      </c>
      <c r="V195" s="47" t="s">
        <v>191</v>
      </c>
      <c r="X195" s="180" t="s">
        <v>1135</v>
      </c>
      <c r="Y195" s="47" t="s">
        <v>20</v>
      </c>
      <c r="Z195" s="47">
        <v>1</v>
      </c>
      <c r="AA195" s="240">
        <f t="shared" si="36"/>
        <v>311.804347826087</v>
      </c>
      <c r="AB195" s="52">
        <f>(-381 +3.86+263)*250/230</f>
        <v>-124.06521739130433</v>
      </c>
      <c r="AC195" s="52">
        <f>(401+0)*250/230</f>
        <v>435.86956521739131</v>
      </c>
      <c r="AD195" s="52">
        <f>(-177)*250/230</f>
        <v>-192.39130434782609</v>
      </c>
      <c r="AE195" s="52" t="str">
        <f t="shared" si="39"/>
        <v>N/A</v>
      </c>
      <c r="AG195" s="103" t="str">
        <f t="shared" si="38"/>
        <v xml:space="preserve">E </v>
      </c>
      <c r="AH195" s="122" t="s">
        <v>16</v>
      </c>
      <c r="AI195" s="123"/>
      <c r="AJ195" s="47"/>
      <c r="AL195" s="47">
        <v>250</v>
      </c>
      <c r="AM195" s="47">
        <v>0.06</v>
      </c>
      <c r="AN195" s="47">
        <v>2100</v>
      </c>
      <c r="AP195" s="173" t="s">
        <v>17</v>
      </c>
      <c r="AQ195" s="73"/>
      <c r="AS195" s="250"/>
      <c r="AT195" s="67"/>
      <c r="AU195" s="67"/>
    </row>
    <row r="196" spans="1:47" s="25" customFormat="1" ht="25.2" customHeight="1" x14ac:dyDescent="0.15">
      <c r="A196" s="25" t="s">
        <v>1131</v>
      </c>
      <c r="B196" s="97" t="s">
        <v>208</v>
      </c>
      <c r="C196" s="97"/>
      <c r="D196" s="47" t="s">
        <v>260</v>
      </c>
      <c r="E196" s="186" t="s">
        <v>142</v>
      </c>
      <c r="F196" s="47" t="s">
        <v>132</v>
      </c>
      <c r="G196" s="69" t="s">
        <v>370</v>
      </c>
      <c r="H196" s="47"/>
      <c r="I196" s="111">
        <v>1</v>
      </c>
      <c r="J196" s="70">
        <f t="shared" si="32"/>
        <v>1.5590217391304351</v>
      </c>
      <c r="K196" s="143" cm="1">
        <f t="array" ref="K196">IF(AC196="N/A","",_xlfn.IFS(Y196="m2",(AA196*(1/(Z196/AM196)))*I196,Y196="m3",(AA196*(1/(Z196/AM196)))*I196,Y196="kg",(AA196*AL196*(1/(1/AM196)))*I196,Y196="N/A",""))</f>
        <v>1.5590217391304351</v>
      </c>
      <c r="L196" s="71">
        <f t="shared" si="33"/>
        <v>-0.62032608695652169</v>
      </c>
      <c r="M196" s="146" cm="1">
        <f t="array" ref="M196">_xlfn.IFS(Y196="m2",(AB196*(1/(Z196/AM196)))*I196,Y196="m3",(AB196*(1/(Z196/AM196)))*I196,Y196="kg",(AB196*AL196*(1/(1/AM196)))*I196,Y196="N/A","")</f>
        <v>-0.62032608695652169</v>
      </c>
      <c r="N196" s="52">
        <f t="shared" si="34"/>
        <v>2.1793478260869565</v>
      </c>
      <c r="O196" s="148" cm="1">
        <f t="array" ref="O196">IF(AC196="N/A","",_xlfn.IFS(Y196="m2",(AC196*(1/(Z196/AM196)))*I196,Y196="m3",(AC196*(1/(Z196/AM196)))*I196,Y196="kg",(AC196*AL196*(1/(1/AM196)))*I196,Y196="N/A",""))</f>
        <v>2.1793478260869565</v>
      </c>
      <c r="P196" s="72" t="str">
        <f t="shared" si="35"/>
        <v>N/A</v>
      </c>
      <c r="Q196" s="150" t="str" cm="1">
        <f t="array" ref="Q196">IF(AE196="N/A","",_xlfn.IFS(Y196="m2",(AE196*(1/(Z196/AM196)))*I196,Y196="m3",(AE196*(1/(Z196/AM196)))*I196,Y196="kg",(AE196*AL196*(1/(1/AM196)))*I196,Y196="N/A",""))</f>
        <v/>
      </c>
      <c r="R196" s="186" t="s">
        <v>5</v>
      </c>
      <c r="S196" s="47"/>
      <c r="T196" s="47">
        <v>2025</v>
      </c>
      <c r="U196" s="47" t="s">
        <v>14</v>
      </c>
      <c r="V196" s="47" t="s">
        <v>191</v>
      </c>
      <c r="X196" s="180" t="s">
        <v>1135</v>
      </c>
      <c r="Y196" s="47" t="s">
        <v>20</v>
      </c>
      <c r="Z196" s="47">
        <v>1</v>
      </c>
      <c r="AA196" s="240">
        <f t="shared" si="36"/>
        <v>311.804347826087</v>
      </c>
      <c r="AB196" s="52">
        <f>(-381 +3.86+263)*250/230</f>
        <v>-124.06521739130433</v>
      </c>
      <c r="AC196" s="52">
        <f>(401+0)*250/230</f>
        <v>435.86956521739131</v>
      </c>
      <c r="AD196" s="52">
        <f>(-177)*250/230</f>
        <v>-192.39130434782609</v>
      </c>
      <c r="AE196" s="52" t="str">
        <f t="shared" si="39"/>
        <v>N/A</v>
      </c>
      <c r="AG196" s="103" t="str">
        <f t="shared" si="38"/>
        <v xml:space="preserve">E </v>
      </c>
      <c r="AH196" s="122" t="s">
        <v>16</v>
      </c>
      <c r="AI196" s="123"/>
      <c r="AJ196" s="47"/>
      <c r="AL196" s="47">
        <v>250</v>
      </c>
      <c r="AM196" s="47">
        <v>5.0000000000000001E-3</v>
      </c>
      <c r="AN196" s="47">
        <v>2100</v>
      </c>
      <c r="AP196" s="173" t="s">
        <v>17</v>
      </c>
      <c r="AQ196" s="73"/>
      <c r="AS196" s="250"/>
      <c r="AT196" s="67"/>
      <c r="AU196" s="67"/>
    </row>
    <row r="197" spans="1:47" s="25" customFormat="1" ht="25.2" customHeight="1" x14ac:dyDescent="0.15">
      <c r="A197" s="25" t="s">
        <v>1132</v>
      </c>
      <c r="B197" s="97" t="s">
        <v>208</v>
      </c>
      <c r="C197" s="97"/>
      <c r="D197" s="47" t="s">
        <v>260</v>
      </c>
      <c r="E197" s="186" t="s">
        <v>142</v>
      </c>
      <c r="F197" s="47" t="s">
        <v>132</v>
      </c>
      <c r="G197" s="69" t="s">
        <v>370</v>
      </c>
      <c r="H197" s="47"/>
      <c r="I197" s="111">
        <v>1</v>
      </c>
      <c r="J197" s="70">
        <f t="shared" si="32"/>
        <v>13.220504347826092</v>
      </c>
      <c r="K197" s="143" cm="1">
        <f t="array" ref="K197">IF(AC197="N/A","",_xlfn.IFS(Y197="m2",(AA197*(1/(Z197/AM197)))*I197,Y197="m3",(AA197*(1/(Z197/AM197)))*I197,Y197="kg",(AA197*AL197*(1/(1/AM197)))*I197,Y197="N/A",""))</f>
        <v>13.220504347826092</v>
      </c>
      <c r="L197" s="71">
        <f t="shared" si="33"/>
        <v>-5.2603652173913034</v>
      </c>
      <c r="M197" s="146" cm="1">
        <f t="array" ref="M197">_xlfn.IFS(Y197="m2",(AB197*(1/(Z197/AM197)))*I197,Y197="m3",(AB197*(1/(Z197/AM197)))*I197,Y197="kg",(AB197*AL197*(1/(1/AM197)))*I197,Y197="N/A","")</f>
        <v>-5.2603652173913034</v>
      </c>
      <c r="N197" s="52">
        <f t="shared" si="34"/>
        <v>18.480869565217393</v>
      </c>
      <c r="O197" s="148" cm="1">
        <f t="array" ref="O197">IF(AC197="N/A","",_xlfn.IFS(Y197="m2",(AC197*(1/(Z197/AM197)))*I197,Y197="m3",(AC197*(1/(Z197/AM197)))*I197,Y197="kg",(AC197*AL197*(1/(1/AM197)))*I197,Y197="N/A",""))</f>
        <v>18.480869565217393</v>
      </c>
      <c r="P197" s="72" t="str">
        <f t="shared" si="35"/>
        <v>N/A</v>
      </c>
      <c r="Q197" s="150" t="str" cm="1">
        <f t="array" ref="Q197">IF(AE197="N/A","",_xlfn.IFS(Y197="m2",(AE197*(1/(Z197/AM197)))*I197,Y197="m3",(AE197*(1/(Z197/AM197)))*I197,Y197="kg",(AE197*AL197*(1/(1/AM197)))*I197,Y197="N/A",""))</f>
        <v/>
      </c>
      <c r="R197" s="186" t="s">
        <v>5</v>
      </c>
      <c r="S197" s="47"/>
      <c r="T197" s="47">
        <v>2025</v>
      </c>
      <c r="U197" s="47" t="s">
        <v>14</v>
      </c>
      <c r="V197" s="47" t="s">
        <v>191</v>
      </c>
      <c r="X197" s="180" t="s">
        <v>1135</v>
      </c>
      <c r="Y197" s="47" t="s">
        <v>20</v>
      </c>
      <c r="Z197" s="47">
        <v>1</v>
      </c>
      <c r="AA197" s="240">
        <f t="shared" si="36"/>
        <v>330.51260869565226</v>
      </c>
      <c r="AB197" s="52">
        <f>(-381 +3.86+263)*265/230</f>
        <v>-131.50913043478258</v>
      </c>
      <c r="AC197" s="52">
        <f>(401+0)*265/230</f>
        <v>462.02173913043481</v>
      </c>
      <c r="AD197" s="52">
        <f>(-177)*265/230</f>
        <v>-203.93478260869566</v>
      </c>
      <c r="AE197" s="52" t="str">
        <f t="shared" si="39"/>
        <v>N/A</v>
      </c>
      <c r="AG197" s="103" t="str">
        <f t="shared" si="38"/>
        <v xml:space="preserve">E </v>
      </c>
      <c r="AH197" s="122" t="s">
        <v>16</v>
      </c>
      <c r="AI197" s="123"/>
      <c r="AJ197" s="47"/>
      <c r="AL197" s="47">
        <v>265</v>
      </c>
      <c r="AM197" s="47">
        <v>0.04</v>
      </c>
      <c r="AN197" s="47">
        <v>2100</v>
      </c>
      <c r="AP197" s="173" t="s">
        <v>17</v>
      </c>
      <c r="AQ197" s="73"/>
      <c r="AS197" s="250"/>
      <c r="AT197" s="67"/>
      <c r="AU197" s="67"/>
    </row>
    <row r="198" spans="1:47" s="25" customFormat="1" ht="25.2" customHeight="1" x14ac:dyDescent="0.15">
      <c r="A198" s="25" t="s">
        <v>1133</v>
      </c>
      <c r="B198" s="97" t="s">
        <v>208</v>
      </c>
      <c r="C198" s="97"/>
      <c r="D198" s="47" t="s">
        <v>260</v>
      </c>
      <c r="E198" s="186" t="s">
        <v>142</v>
      </c>
      <c r="F198" s="47" t="s">
        <v>132</v>
      </c>
      <c r="G198" s="69" t="s">
        <v>370</v>
      </c>
      <c r="H198" s="47"/>
      <c r="I198" s="111">
        <v>1</v>
      </c>
      <c r="J198" s="70">
        <f t="shared" ref="J198:J200" si="40">IF(AC198="N/A","N/A",IF(K198="","N/A",K198))</f>
        <v>26.441008695652183</v>
      </c>
      <c r="K198" s="143" cm="1">
        <f t="array" ref="K198">IF(AC198="N/A","",_xlfn.IFS(Y198="m2",(AA198*(1/(Z198/AM198)))*I198,Y198="m3",(AA198*(1/(Z198/AM198)))*I198,Y198="kg",(AA198*AL198*(1/(1/AM198)))*I198,Y198="N/A",""))</f>
        <v>26.441008695652183</v>
      </c>
      <c r="L198" s="71">
        <f t="shared" ref="L198:L200" si="41">IF(M198="","N/A",M198)</f>
        <v>-10.520730434782607</v>
      </c>
      <c r="M198" s="146" cm="1">
        <f t="array" ref="M198">_xlfn.IFS(Y198="m2",(AB198*(1/(Z198/AM198)))*I198,Y198="m3",(AB198*(1/(Z198/AM198)))*I198,Y198="kg",(AB198*AL198*(1/(1/AM198)))*I198,Y198="N/A","")</f>
        <v>-10.520730434782607</v>
      </c>
      <c r="N198" s="52">
        <f t="shared" ref="N198:N200" si="42">IF(O198="","N/A",O198)</f>
        <v>36.961739130434786</v>
      </c>
      <c r="O198" s="148" cm="1">
        <f t="array" ref="O198">IF(AC198="N/A","",_xlfn.IFS(Y198="m2",(AC198*(1/(Z198/AM198)))*I198,Y198="m3",(AC198*(1/(Z198/AM198)))*I198,Y198="kg",(AC198*AL198*(1/(1/AM198)))*I198,Y198="N/A",""))</f>
        <v>36.961739130434786</v>
      </c>
      <c r="P198" s="72" t="str">
        <f t="shared" ref="P198:P200" si="43">IF(Q198="","N/A",Q198)</f>
        <v>N/A</v>
      </c>
      <c r="Q198" s="150" t="str" cm="1">
        <f t="array" ref="Q198">IF(AE198="N/A","",_xlfn.IFS(Y198="m2",(AE198*(1/(Z198/AM198)))*I198,Y198="m3",(AE198*(1/(Z198/AM198)))*I198,Y198="kg",(AE198*AL198*(1/(1/AM198)))*I198,Y198="N/A",""))</f>
        <v/>
      </c>
      <c r="R198" s="186" t="s">
        <v>5</v>
      </c>
      <c r="S198" s="47"/>
      <c r="T198" s="47">
        <v>2025</v>
      </c>
      <c r="U198" s="47" t="s">
        <v>14</v>
      </c>
      <c r="V198" s="47" t="s">
        <v>191</v>
      </c>
      <c r="X198" s="180" t="s">
        <v>1135</v>
      </c>
      <c r="Y198" s="47" t="s">
        <v>20</v>
      </c>
      <c r="Z198" s="47">
        <v>1</v>
      </c>
      <c r="AA198" s="240">
        <f t="shared" ref="AA198:AA200" si="44">IF(AC198="N/A","N/A",SUM(AB198:AC198))</f>
        <v>330.51260869565226</v>
      </c>
      <c r="AB198" s="52">
        <f>(-381 +3.86+263)*265/230</f>
        <v>-131.50913043478258</v>
      </c>
      <c r="AC198" s="52">
        <f>(401+0)*265/230</f>
        <v>462.02173913043481</v>
      </c>
      <c r="AD198" s="52">
        <f>(-177)*265/230</f>
        <v>-203.93478260869566</v>
      </c>
      <c r="AE198" s="52" t="str">
        <f t="shared" si="39"/>
        <v>N/A</v>
      </c>
      <c r="AG198" s="103" t="str">
        <f t="shared" si="38"/>
        <v xml:space="preserve">E </v>
      </c>
      <c r="AH198" s="122" t="s">
        <v>16</v>
      </c>
      <c r="AI198" s="123"/>
      <c r="AJ198" s="47"/>
      <c r="AL198" s="47">
        <v>265</v>
      </c>
      <c r="AM198" s="47">
        <v>0.08</v>
      </c>
      <c r="AN198" s="47">
        <v>2100</v>
      </c>
      <c r="AP198" s="173" t="s">
        <v>17</v>
      </c>
      <c r="AQ198" s="73"/>
      <c r="AS198" s="250"/>
      <c r="AT198" s="67"/>
      <c r="AU198" s="67"/>
    </row>
    <row r="199" spans="1:47" s="25" customFormat="1" ht="25.2" customHeight="1" x14ac:dyDescent="0.15">
      <c r="A199" s="25" t="s">
        <v>1134</v>
      </c>
      <c r="B199" s="97" t="s">
        <v>208</v>
      </c>
      <c r="C199" s="97"/>
      <c r="D199" s="47" t="s">
        <v>260</v>
      </c>
      <c r="E199" s="186" t="s">
        <v>142</v>
      </c>
      <c r="F199" s="47" t="s">
        <v>132</v>
      </c>
      <c r="G199" s="69" t="s">
        <v>370</v>
      </c>
      <c r="H199" s="47"/>
      <c r="I199" s="111">
        <v>1</v>
      </c>
      <c r="J199" s="70">
        <f t="shared" si="40"/>
        <v>11.786204347826091</v>
      </c>
      <c r="K199" s="143" cm="1">
        <f t="array" ref="K199">IF(AC199="N/A","",_xlfn.IFS(Y199="m2",(AA199*(1/(Z199/AM199)))*I199,Y199="m3",(AA199*(1/(Z199/AM199)))*I199,Y199="kg",(AA199*AL199*(1/(1/AM199)))*I199,Y199="N/A",""))</f>
        <v>11.786204347826091</v>
      </c>
      <c r="L199" s="71">
        <f t="shared" si="41"/>
        <v>-4.6896652173913038</v>
      </c>
      <c r="M199" s="146" cm="1">
        <f t="array" ref="M199">_xlfn.IFS(Y199="m2",(AB199*(1/(Z199/AM199)))*I199,Y199="m3",(AB199*(1/(Z199/AM199)))*I199,Y199="kg",(AB199*AL199*(1/(1/AM199)))*I199,Y199="N/A","")</f>
        <v>-4.6896652173913038</v>
      </c>
      <c r="N199" s="52">
        <f t="shared" si="42"/>
        <v>16.475869565217394</v>
      </c>
      <c r="O199" s="148" cm="1">
        <f t="array" ref="O199">IF(AC199="N/A","",_xlfn.IFS(Y199="m2",(AC199*(1/(Z199/AM199)))*I199,Y199="m3",(AC199*(1/(Z199/AM199)))*I199,Y199="kg",(AC199*AL199*(1/(1/AM199)))*I199,Y199="N/A",""))</f>
        <v>16.475869565217394</v>
      </c>
      <c r="P199" s="72" t="str">
        <f t="shared" si="43"/>
        <v>N/A</v>
      </c>
      <c r="Q199" s="150" t="str" cm="1">
        <f t="array" ref="Q199">IF(AE199="N/A","",_xlfn.IFS(Y199="m2",(AE199*(1/(Z199/AM199)))*I199,Y199="m3",(AE199*(1/(Z199/AM199)))*I199,Y199="kg",(AE199*AL199*(1/(1/AM199)))*I199,Y199="N/A",""))</f>
        <v/>
      </c>
      <c r="R199" s="186" t="s">
        <v>5</v>
      </c>
      <c r="S199" s="47"/>
      <c r="T199" s="47">
        <v>2025</v>
      </c>
      <c r="U199" s="47" t="s">
        <v>14</v>
      </c>
      <c r="V199" s="47" t="s">
        <v>191</v>
      </c>
      <c r="X199" s="180" t="s">
        <v>1135</v>
      </c>
      <c r="Y199" s="47" t="s">
        <v>20</v>
      </c>
      <c r="Z199" s="47">
        <v>1</v>
      </c>
      <c r="AA199" s="240">
        <f t="shared" si="44"/>
        <v>336.74869565217398</v>
      </c>
      <c r="AB199" s="52">
        <f>(-381 +3.86+263)*270/230</f>
        <v>-133.99043478260867</v>
      </c>
      <c r="AC199" s="52">
        <f>(401+0)*270/230</f>
        <v>470.73913043478262</v>
      </c>
      <c r="AD199" s="52">
        <f>(-177)*270/230</f>
        <v>-207.78260869565219</v>
      </c>
      <c r="AE199" s="52" t="str">
        <f t="shared" si="39"/>
        <v>N/A</v>
      </c>
      <c r="AG199" s="103" t="str">
        <f t="shared" si="38"/>
        <v xml:space="preserve">E </v>
      </c>
      <c r="AH199" s="122" t="s">
        <v>16</v>
      </c>
      <c r="AI199" s="123"/>
      <c r="AJ199" s="47"/>
      <c r="AL199" s="47">
        <v>270</v>
      </c>
      <c r="AM199" s="47">
        <v>3.5000000000000003E-2</v>
      </c>
      <c r="AN199" s="47">
        <v>2100</v>
      </c>
      <c r="AP199" s="173" t="s">
        <v>17</v>
      </c>
      <c r="AQ199" s="73"/>
      <c r="AS199" s="250"/>
      <c r="AT199" s="67"/>
      <c r="AU199" s="67"/>
    </row>
    <row r="200" spans="1:47" s="25" customFormat="1" ht="25.2" customHeight="1" x14ac:dyDescent="0.15">
      <c r="A200" s="25" t="s">
        <v>1057</v>
      </c>
      <c r="B200" s="97" t="s">
        <v>210</v>
      </c>
      <c r="C200" s="97"/>
      <c r="D200" s="47" t="s">
        <v>218</v>
      </c>
      <c r="E200" s="259" t="s">
        <v>146</v>
      </c>
      <c r="F200" s="47" t="s">
        <v>307</v>
      </c>
      <c r="G200" s="69" t="s">
        <v>292</v>
      </c>
      <c r="H200" s="47"/>
      <c r="I200" s="107">
        <v>1</v>
      </c>
      <c r="J200" s="236" t="str">
        <f t="shared" si="40"/>
        <v>N/A</v>
      </c>
      <c r="K200" s="143" t="str" cm="1">
        <f t="array" ref="K200">IF(AC200="N/A","",_xlfn.IFS(Y200="m2",(AA200*(1/(Z200/AM200)))*I200,Y200="m3",(AA200*(1/(Z200/AM200)))*I200,Y200="kg",(AA200*AL200*(1/(1/AM200)))*I200,Y200="N/A",""))</f>
        <v/>
      </c>
      <c r="L200" s="238" t="str">
        <f t="shared" si="41"/>
        <v>N/A</v>
      </c>
      <c r="M200" s="239" t="str" cm="1">
        <f t="array" ref="M200">_xlfn.IFS(Y200="m2",(AB200*(1/(Z200/AM200)))*I200,Y200="m3",(AB200*(1/(Z200/AM200)))*I200,Y200="kg",(AB200*AL200*(1/(1/AM200)))*I200,Y200="N/A","")</f>
        <v/>
      </c>
      <c r="N200" s="240" t="str">
        <f t="shared" si="42"/>
        <v>N/A</v>
      </c>
      <c r="O200" s="241" t="str" cm="1">
        <f t="array" ref="O200">IF(AC200="N/A","",_xlfn.IFS(Y200="m2",(AC200*(1/(Z200/AM200)))*I200,Y200="m3",(AC200*(1/(Z200/AM200)))*I200,Y200="kg",(AC200*AL200*(1/(1/AM200)))*I200,Y200="N/A",""))</f>
        <v/>
      </c>
      <c r="P200" s="242" t="str">
        <f t="shared" si="43"/>
        <v>N/A</v>
      </c>
      <c r="Q200" s="243" t="str" cm="1">
        <f t="array" ref="Q200">IF(AE200="N/A","",_xlfn.IFS(Y200="m2",(AE200*(1/(Z200/AM200)))*I200,Y200="m3",(AE200*(1/(Z200/AM200)))*I200,Y200="kg",(AE200*AL200*(1/(1/AM200)))*I200,Y200="N/A",""))</f>
        <v/>
      </c>
      <c r="R200" s="228" t="s">
        <v>191</v>
      </c>
      <c r="S200" s="47" t="s">
        <v>191</v>
      </c>
      <c r="T200" s="47" t="s">
        <v>191</v>
      </c>
      <c r="U200" s="47" t="s">
        <v>191</v>
      </c>
      <c r="V200" s="47" t="s">
        <v>191</v>
      </c>
      <c r="X200" s="180" t="s">
        <v>191</v>
      </c>
      <c r="Y200" s="180" t="s">
        <v>191</v>
      </c>
      <c r="Z200" s="180" t="s">
        <v>191</v>
      </c>
      <c r="AA200" s="240" t="str">
        <f t="shared" si="44"/>
        <v>N/A</v>
      </c>
      <c r="AB200" s="52" t="s">
        <v>191</v>
      </c>
      <c r="AC200" s="52" t="s">
        <v>191</v>
      </c>
      <c r="AD200" s="52" t="s">
        <v>191</v>
      </c>
      <c r="AE200" s="52" t="s">
        <v>191</v>
      </c>
      <c r="AG200" s="103"/>
      <c r="AH200" s="75" t="s">
        <v>214</v>
      </c>
      <c r="AI200" s="83" t="s">
        <v>176</v>
      </c>
      <c r="AJ200" s="47"/>
      <c r="AL200" s="47">
        <v>40</v>
      </c>
      <c r="AM200" s="47">
        <v>3.7999999999999999E-2</v>
      </c>
      <c r="AN200" s="47" t="s">
        <v>191</v>
      </c>
      <c r="AP200" s="173" t="s">
        <v>17</v>
      </c>
      <c r="AQ200" s="73"/>
      <c r="AS200" s="250"/>
      <c r="AT200" s="67"/>
      <c r="AU200" s="67"/>
    </row>
    <row r="201" spans="1:47" s="25" customFormat="1" ht="25.2" customHeight="1" x14ac:dyDescent="0.3">
      <c r="B201" s="47"/>
      <c r="C201" s="47"/>
      <c r="D201" s="47"/>
      <c r="E201" s="47"/>
      <c r="F201" s="47"/>
      <c r="G201" s="47"/>
      <c r="H201" s="47"/>
      <c r="I201" s="107"/>
      <c r="K201" s="245"/>
      <c r="M201" s="246"/>
      <c r="N201" s="247"/>
      <c r="O201" s="248"/>
      <c r="Q201" s="249"/>
      <c r="R201" s="47"/>
      <c r="S201" s="47"/>
      <c r="T201" s="47"/>
      <c r="U201" s="47"/>
      <c r="V201" s="47"/>
      <c r="X201" s="180"/>
      <c r="Y201" s="47"/>
      <c r="Z201" s="47"/>
      <c r="AA201" s="47"/>
      <c r="AB201" s="52"/>
      <c r="AC201" s="52"/>
      <c r="AD201" s="52"/>
      <c r="AE201" s="52"/>
      <c r="AG201" s="103"/>
      <c r="AH201" s="111"/>
      <c r="AI201" s="111"/>
      <c r="AJ201" s="47"/>
      <c r="AL201" s="47"/>
      <c r="AM201" s="47"/>
      <c r="AN201" s="47"/>
      <c r="AP201" s="47"/>
      <c r="AQ201" s="47"/>
      <c r="AS201" s="250"/>
      <c r="AT201" s="67"/>
      <c r="AU201" s="67"/>
    </row>
    <row r="202" spans="1:47" s="25" customFormat="1" ht="25.2" customHeight="1" x14ac:dyDescent="0.3">
      <c r="B202" s="47"/>
      <c r="C202" s="47"/>
      <c r="D202" s="47"/>
      <c r="E202" s="47"/>
      <c r="F202" s="47"/>
      <c r="G202" s="47"/>
      <c r="H202" s="47"/>
      <c r="I202" s="107"/>
      <c r="K202" s="245"/>
      <c r="M202" s="246"/>
      <c r="N202" s="247"/>
      <c r="O202" s="248"/>
      <c r="Q202" s="249"/>
      <c r="R202" s="47"/>
      <c r="S202" s="47"/>
      <c r="T202" s="47"/>
      <c r="U202" s="47"/>
      <c r="V202" s="47"/>
      <c r="X202" s="180"/>
      <c r="Y202" s="47"/>
      <c r="Z202" s="47"/>
      <c r="AA202" s="47"/>
      <c r="AB202" s="52"/>
      <c r="AC202" s="52"/>
      <c r="AD202" s="52"/>
      <c r="AE202" s="52"/>
      <c r="AG202" s="103"/>
      <c r="AH202" s="111"/>
      <c r="AI202" s="111"/>
      <c r="AJ202" s="47"/>
      <c r="AL202" s="47"/>
      <c r="AM202" s="47"/>
      <c r="AN202" s="47"/>
      <c r="AP202" s="47"/>
      <c r="AQ202" s="47"/>
      <c r="AS202" s="250"/>
      <c r="AT202" s="67"/>
      <c r="AU202" s="67"/>
    </row>
    <row r="203" spans="1:47" s="25" customFormat="1" ht="25.2" customHeight="1" x14ac:dyDescent="0.3">
      <c r="B203" s="47"/>
      <c r="C203" s="47"/>
      <c r="D203" s="47"/>
      <c r="E203" s="47"/>
      <c r="F203" s="47"/>
      <c r="G203" s="47"/>
      <c r="H203" s="47"/>
      <c r="I203" s="107"/>
      <c r="K203" s="245"/>
      <c r="M203" s="246"/>
      <c r="N203" s="247"/>
      <c r="O203" s="248"/>
      <c r="Q203" s="249"/>
      <c r="R203" s="47"/>
      <c r="S203" s="47"/>
      <c r="T203" s="47"/>
      <c r="U203" s="47"/>
      <c r="V203" s="47"/>
      <c r="X203" s="180"/>
      <c r="Y203" s="47"/>
      <c r="Z203" s="47"/>
      <c r="AA203" s="47"/>
      <c r="AB203" s="52"/>
      <c r="AC203" s="52"/>
      <c r="AD203" s="52"/>
      <c r="AE203" s="52"/>
      <c r="AG203" s="103"/>
      <c r="AH203" s="111"/>
      <c r="AI203" s="111"/>
      <c r="AJ203" s="47"/>
      <c r="AL203" s="47"/>
      <c r="AM203" s="47"/>
      <c r="AN203" s="47"/>
      <c r="AP203" s="47"/>
      <c r="AQ203" s="47"/>
      <c r="AS203" s="250"/>
      <c r="AT203" s="67"/>
      <c r="AU203" s="67"/>
    </row>
    <row r="204" spans="1:47" s="25" customFormat="1" ht="25.2" customHeight="1" x14ac:dyDescent="0.3">
      <c r="B204" s="47"/>
      <c r="C204" s="47"/>
      <c r="D204" s="47"/>
      <c r="E204" s="47"/>
      <c r="F204" s="47"/>
      <c r="G204" s="47"/>
      <c r="H204" s="47"/>
      <c r="I204" s="107"/>
      <c r="K204" s="245"/>
      <c r="M204" s="246"/>
      <c r="N204" s="247"/>
      <c r="O204" s="248"/>
      <c r="Q204" s="249"/>
      <c r="R204" s="47"/>
      <c r="S204" s="47"/>
      <c r="T204" s="47"/>
      <c r="U204" s="47"/>
      <c r="V204" s="47"/>
      <c r="X204" s="180"/>
      <c r="Y204" s="47"/>
      <c r="Z204" s="47"/>
      <c r="AA204" s="47"/>
      <c r="AB204" s="52"/>
      <c r="AC204" s="52"/>
      <c r="AD204" s="52"/>
      <c r="AE204" s="52"/>
      <c r="AG204" s="103"/>
      <c r="AH204" s="111"/>
      <c r="AI204" s="111"/>
      <c r="AJ204" s="47"/>
      <c r="AL204" s="47"/>
      <c r="AM204" s="47"/>
      <c r="AN204" s="47"/>
      <c r="AP204" s="47"/>
      <c r="AQ204" s="47"/>
      <c r="AS204" s="250"/>
      <c r="AT204" s="67"/>
      <c r="AU204" s="67"/>
    </row>
    <row r="205" spans="1:47" s="25" customFormat="1" ht="25.2" customHeight="1" x14ac:dyDescent="0.3">
      <c r="B205" s="47"/>
      <c r="C205" s="47"/>
      <c r="D205" s="47"/>
      <c r="E205" s="47"/>
      <c r="F205" s="47"/>
      <c r="G205" s="47"/>
      <c r="H205" s="47"/>
      <c r="I205" s="107"/>
      <c r="K205" s="245"/>
      <c r="M205" s="246"/>
      <c r="N205" s="247"/>
      <c r="O205" s="248"/>
      <c r="Q205" s="249"/>
      <c r="R205" s="47"/>
      <c r="S205" s="47"/>
      <c r="T205" s="47"/>
      <c r="U205" s="47"/>
      <c r="V205" s="47"/>
      <c r="X205" s="180"/>
      <c r="Y205" s="47"/>
      <c r="Z205" s="47"/>
      <c r="AA205" s="47"/>
      <c r="AB205" s="52"/>
      <c r="AC205" s="52"/>
      <c r="AD205" s="52"/>
      <c r="AE205" s="52"/>
      <c r="AG205" s="103"/>
      <c r="AH205" s="111"/>
      <c r="AI205" s="111"/>
      <c r="AJ205" s="47"/>
      <c r="AL205" s="47"/>
      <c r="AM205" s="47"/>
      <c r="AN205" s="47"/>
      <c r="AP205" s="47"/>
      <c r="AQ205" s="47"/>
      <c r="AS205" s="250"/>
      <c r="AT205" s="67"/>
      <c r="AU205" s="67"/>
    </row>
    <row r="206" spans="1:47" s="25" customFormat="1" ht="25.2" customHeight="1" x14ac:dyDescent="0.3">
      <c r="B206" s="47"/>
      <c r="C206" s="47"/>
      <c r="D206" s="47"/>
      <c r="E206" s="47"/>
      <c r="F206" s="47"/>
      <c r="G206" s="47"/>
      <c r="H206" s="47"/>
      <c r="I206" s="107"/>
      <c r="K206" s="245"/>
      <c r="M206" s="246"/>
      <c r="N206" s="247"/>
      <c r="O206" s="248"/>
      <c r="Q206" s="249"/>
      <c r="R206" s="47"/>
      <c r="S206" s="47"/>
      <c r="T206" s="47"/>
      <c r="U206" s="47"/>
      <c r="V206" s="47"/>
      <c r="X206" s="180"/>
      <c r="Y206" s="47"/>
      <c r="Z206" s="47"/>
      <c r="AA206" s="47"/>
      <c r="AB206" s="52"/>
      <c r="AC206" s="52"/>
      <c r="AD206" s="52"/>
      <c r="AE206" s="52"/>
      <c r="AG206" s="103"/>
      <c r="AH206" s="111"/>
      <c r="AI206" s="111"/>
      <c r="AJ206" s="47"/>
      <c r="AL206" s="47"/>
      <c r="AM206" s="47"/>
      <c r="AN206" s="47"/>
      <c r="AP206" s="47"/>
      <c r="AQ206" s="47"/>
      <c r="AS206" s="250"/>
      <c r="AT206" s="67"/>
      <c r="AU206" s="67"/>
    </row>
    <row r="207" spans="1:47" s="25" customFormat="1" ht="25.2" customHeight="1" x14ac:dyDescent="0.3">
      <c r="B207" s="47"/>
      <c r="C207" s="47"/>
      <c r="D207" s="47"/>
      <c r="E207" s="47"/>
      <c r="F207" s="47"/>
      <c r="G207" s="47"/>
      <c r="H207" s="47"/>
      <c r="I207" s="107"/>
      <c r="K207" s="245"/>
      <c r="M207" s="246"/>
      <c r="N207" s="247"/>
      <c r="O207" s="248"/>
      <c r="Q207" s="249"/>
      <c r="R207" s="47"/>
      <c r="S207" s="47"/>
      <c r="T207" s="47"/>
      <c r="U207" s="47"/>
      <c r="V207" s="47"/>
      <c r="X207" s="180"/>
      <c r="Y207" s="47"/>
      <c r="Z207" s="47"/>
      <c r="AA207" s="47"/>
      <c r="AB207" s="52"/>
      <c r="AC207" s="52"/>
      <c r="AD207" s="52"/>
      <c r="AE207" s="52"/>
      <c r="AG207" s="103"/>
      <c r="AH207" s="111"/>
      <c r="AI207" s="111"/>
      <c r="AJ207" s="47"/>
      <c r="AL207" s="47"/>
      <c r="AM207" s="47"/>
      <c r="AN207" s="47"/>
      <c r="AP207" s="47"/>
      <c r="AQ207" s="47"/>
      <c r="AS207" s="250"/>
      <c r="AT207" s="67"/>
      <c r="AU207" s="67"/>
    </row>
    <row r="208" spans="1:47" s="25" customFormat="1" ht="25.2" customHeight="1" x14ac:dyDescent="0.3">
      <c r="B208" s="47"/>
      <c r="C208" s="47"/>
      <c r="D208" s="47"/>
      <c r="E208" s="47"/>
      <c r="F208" s="47"/>
      <c r="G208" s="47"/>
      <c r="H208" s="47"/>
      <c r="I208" s="107"/>
      <c r="K208" s="245"/>
      <c r="M208" s="246"/>
      <c r="N208" s="247"/>
      <c r="O208" s="248"/>
      <c r="Q208" s="249"/>
      <c r="R208" s="47"/>
      <c r="S208" s="47"/>
      <c r="T208" s="47"/>
      <c r="U208" s="47"/>
      <c r="V208" s="47"/>
      <c r="X208" s="180"/>
      <c r="Y208" s="47"/>
      <c r="Z208" s="47"/>
      <c r="AA208" s="47"/>
      <c r="AB208" s="52"/>
      <c r="AC208" s="52"/>
      <c r="AD208" s="52"/>
      <c r="AE208" s="52"/>
      <c r="AG208" s="103"/>
      <c r="AH208" s="111"/>
      <c r="AI208" s="111"/>
      <c r="AJ208" s="47"/>
      <c r="AL208" s="47"/>
      <c r="AM208" s="47"/>
      <c r="AN208" s="47"/>
      <c r="AP208" s="47"/>
      <c r="AQ208" s="47"/>
      <c r="AS208" s="250"/>
      <c r="AT208" s="67"/>
      <c r="AU208" s="67"/>
    </row>
    <row r="209" spans="2:47" s="25" customFormat="1" ht="12.75" customHeight="1" x14ac:dyDescent="0.3">
      <c r="B209" s="47"/>
      <c r="C209" s="47"/>
      <c r="D209" s="47"/>
      <c r="E209" s="47"/>
      <c r="F209" s="47"/>
      <c r="G209" s="47"/>
      <c r="H209" s="47"/>
      <c r="I209" s="107"/>
      <c r="K209" s="245"/>
      <c r="M209" s="246"/>
      <c r="N209" s="247"/>
      <c r="O209" s="248"/>
      <c r="Q209" s="249"/>
      <c r="R209" s="47"/>
      <c r="S209" s="47"/>
      <c r="T209" s="47"/>
      <c r="U209" s="47"/>
      <c r="V209" s="47"/>
      <c r="X209" s="180"/>
      <c r="Y209" s="47"/>
      <c r="Z209" s="47"/>
      <c r="AA209" s="47"/>
      <c r="AB209" s="52"/>
      <c r="AC209" s="52"/>
      <c r="AD209" s="52"/>
      <c r="AE209" s="52"/>
      <c r="AG209" s="103"/>
      <c r="AH209" s="111"/>
      <c r="AI209" s="111"/>
      <c r="AJ209" s="47"/>
      <c r="AL209" s="47"/>
      <c r="AM209" s="47"/>
      <c r="AN209" s="47"/>
      <c r="AP209" s="47"/>
      <c r="AQ209" s="47"/>
      <c r="AS209" s="250"/>
      <c r="AT209" s="67"/>
      <c r="AU209" s="67"/>
    </row>
    <row r="210" spans="2:47" s="25" customFormat="1" ht="12.75" customHeight="1" x14ac:dyDescent="0.3">
      <c r="B210" s="47"/>
      <c r="C210" s="47"/>
      <c r="D210" s="47"/>
      <c r="E210" s="47"/>
      <c r="F210" s="47"/>
      <c r="G210" s="47"/>
      <c r="H210" s="47"/>
      <c r="I210" s="107"/>
      <c r="K210" s="245"/>
      <c r="M210" s="246"/>
      <c r="N210" s="247"/>
      <c r="O210" s="248"/>
      <c r="Q210" s="249"/>
      <c r="R210" s="47"/>
      <c r="S210" s="47"/>
      <c r="T210" s="47"/>
      <c r="U210" s="47"/>
      <c r="V210" s="47"/>
      <c r="X210" s="180"/>
      <c r="Y210" s="47"/>
      <c r="Z210" s="47"/>
      <c r="AA210" s="47"/>
      <c r="AB210" s="52"/>
      <c r="AC210" s="52"/>
      <c r="AD210" s="52"/>
      <c r="AE210" s="52"/>
      <c r="AG210" s="103"/>
      <c r="AH210" s="111"/>
      <c r="AI210" s="111"/>
      <c r="AJ210" s="47"/>
      <c r="AL210" s="47"/>
      <c r="AM210" s="47"/>
      <c r="AN210" s="47"/>
      <c r="AP210" s="47"/>
      <c r="AQ210" s="47"/>
      <c r="AS210" s="250"/>
      <c r="AT210" s="67"/>
      <c r="AU210" s="67"/>
    </row>
    <row r="211" spans="2:47" s="25" customFormat="1" ht="12.75" customHeight="1" x14ac:dyDescent="0.3">
      <c r="B211" s="47"/>
      <c r="C211" s="47"/>
      <c r="D211" s="47"/>
      <c r="E211" s="47"/>
      <c r="F211" s="47"/>
      <c r="G211" s="47"/>
      <c r="H211" s="47"/>
      <c r="I211" s="107"/>
      <c r="K211" s="245"/>
      <c r="M211" s="246"/>
      <c r="N211" s="247"/>
      <c r="O211" s="248"/>
      <c r="Q211" s="249"/>
      <c r="R211" s="47"/>
      <c r="S211" s="47"/>
      <c r="T211" s="47"/>
      <c r="U211" s="47"/>
      <c r="V211" s="47"/>
      <c r="X211" s="180"/>
      <c r="Y211" s="47"/>
      <c r="Z211" s="47"/>
      <c r="AA211" s="47"/>
      <c r="AB211" s="52"/>
      <c r="AC211" s="52"/>
      <c r="AD211" s="52"/>
      <c r="AE211" s="52"/>
      <c r="AG211" s="103"/>
      <c r="AH211" s="111"/>
      <c r="AI211" s="111"/>
      <c r="AJ211" s="47"/>
      <c r="AL211" s="47"/>
      <c r="AM211" s="47"/>
      <c r="AN211" s="47"/>
      <c r="AP211" s="47"/>
      <c r="AQ211" s="47"/>
      <c r="AS211" s="250"/>
      <c r="AT211" s="67"/>
      <c r="AU211" s="67"/>
    </row>
    <row r="212" spans="2:47" s="25" customFormat="1" ht="12.75" customHeight="1" x14ac:dyDescent="0.3">
      <c r="B212" s="47"/>
      <c r="C212" s="47"/>
      <c r="D212" s="47"/>
      <c r="E212" s="47"/>
      <c r="F212" s="47"/>
      <c r="G212" s="47"/>
      <c r="H212" s="47"/>
      <c r="I212" s="107"/>
      <c r="K212" s="245"/>
      <c r="M212" s="246"/>
      <c r="N212" s="247"/>
      <c r="O212" s="248"/>
      <c r="Q212" s="249"/>
      <c r="R212" s="47"/>
      <c r="S212" s="47"/>
      <c r="T212" s="47"/>
      <c r="U212" s="47"/>
      <c r="V212" s="47"/>
      <c r="X212" s="180"/>
      <c r="Y212" s="47"/>
      <c r="Z212" s="47"/>
      <c r="AA212" s="47"/>
      <c r="AB212" s="52"/>
      <c r="AC212" s="52"/>
      <c r="AD212" s="52"/>
      <c r="AE212" s="52"/>
      <c r="AG212" s="103"/>
      <c r="AH212" s="111"/>
      <c r="AI212" s="111"/>
      <c r="AJ212" s="47"/>
      <c r="AL212" s="47"/>
      <c r="AM212" s="47"/>
      <c r="AN212" s="47"/>
      <c r="AP212" s="47"/>
      <c r="AQ212" s="47"/>
      <c r="AS212" s="250"/>
      <c r="AT212" s="67"/>
      <c r="AU212" s="67"/>
    </row>
    <row r="213" spans="2:47" s="25" customFormat="1" ht="12.75" customHeight="1" x14ac:dyDescent="0.3">
      <c r="B213" s="47"/>
      <c r="C213" s="47"/>
      <c r="D213" s="47"/>
      <c r="E213" s="47"/>
      <c r="F213" s="47"/>
      <c r="G213" s="47"/>
      <c r="H213" s="47"/>
      <c r="I213" s="107"/>
      <c r="K213" s="245"/>
      <c r="M213" s="246"/>
      <c r="N213" s="247"/>
      <c r="O213" s="248"/>
      <c r="Q213" s="249"/>
      <c r="R213" s="47"/>
      <c r="S213" s="47"/>
      <c r="T213" s="47"/>
      <c r="U213" s="47"/>
      <c r="V213" s="47"/>
      <c r="X213" s="180"/>
      <c r="Y213" s="47"/>
      <c r="Z213" s="47"/>
      <c r="AA213" s="47"/>
      <c r="AB213" s="52"/>
      <c r="AC213" s="52"/>
      <c r="AD213" s="52"/>
      <c r="AE213" s="52"/>
      <c r="AG213" s="103"/>
      <c r="AH213" s="111"/>
      <c r="AI213" s="111"/>
      <c r="AJ213" s="47"/>
      <c r="AL213" s="47"/>
      <c r="AM213" s="47"/>
      <c r="AN213" s="47"/>
      <c r="AP213" s="47"/>
      <c r="AQ213" s="47"/>
      <c r="AS213" s="250"/>
      <c r="AT213" s="67"/>
      <c r="AU213" s="67"/>
    </row>
    <row r="214" spans="2:47" s="25" customFormat="1" ht="12.75" customHeight="1" x14ac:dyDescent="0.3">
      <c r="B214" s="47"/>
      <c r="C214" s="47"/>
      <c r="D214" s="47"/>
      <c r="E214" s="47"/>
      <c r="F214" s="47"/>
      <c r="G214" s="47"/>
      <c r="H214" s="47"/>
      <c r="I214" s="107"/>
      <c r="K214" s="245"/>
      <c r="M214" s="246"/>
      <c r="N214" s="247"/>
      <c r="O214" s="248"/>
      <c r="Q214" s="249"/>
      <c r="R214" s="47"/>
      <c r="S214" s="47"/>
      <c r="T214" s="47"/>
      <c r="U214" s="47"/>
      <c r="V214" s="47"/>
      <c r="X214" s="180"/>
      <c r="Y214" s="47"/>
      <c r="Z214" s="47"/>
      <c r="AA214" s="47"/>
      <c r="AB214" s="52"/>
      <c r="AC214" s="52"/>
      <c r="AD214" s="52"/>
      <c r="AE214" s="52"/>
      <c r="AG214" s="103"/>
      <c r="AH214" s="111"/>
      <c r="AI214" s="111"/>
      <c r="AJ214" s="47"/>
      <c r="AL214" s="47"/>
      <c r="AM214" s="47"/>
      <c r="AN214" s="47"/>
      <c r="AP214" s="47"/>
      <c r="AQ214" s="47"/>
      <c r="AS214" s="250"/>
      <c r="AT214" s="67"/>
      <c r="AU214" s="67"/>
    </row>
    <row r="215" spans="2:47" s="25" customFormat="1" ht="12.75" customHeight="1" x14ac:dyDescent="0.3">
      <c r="B215" s="47"/>
      <c r="C215" s="47"/>
      <c r="D215" s="47"/>
      <c r="E215" s="47"/>
      <c r="F215" s="47"/>
      <c r="G215" s="47"/>
      <c r="H215" s="47"/>
      <c r="I215" s="107"/>
      <c r="K215" s="245"/>
      <c r="M215" s="246"/>
      <c r="N215" s="247"/>
      <c r="O215" s="248"/>
      <c r="Q215" s="249"/>
      <c r="R215" s="47"/>
      <c r="S215" s="47"/>
      <c r="T215" s="47"/>
      <c r="U215" s="47"/>
      <c r="V215" s="47"/>
      <c r="X215" s="180"/>
      <c r="Y215" s="47"/>
      <c r="Z215" s="47"/>
      <c r="AA215" s="47"/>
      <c r="AB215" s="52"/>
      <c r="AC215" s="52"/>
      <c r="AD215" s="52"/>
      <c r="AE215" s="52"/>
      <c r="AG215" s="103"/>
      <c r="AH215" s="111"/>
      <c r="AI215" s="111"/>
      <c r="AJ215" s="47"/>
      <c r="AL215" s="47"/>
      <c r="AM215" s="47"/>
      <c r="AN215" s="47"/>
      <c r="AP215" s="47"/>
      <c r="AQ215" s="47"/>
      <c r="AS215" s="250"/>
      <c r="AT215" s="67"/>
      <c r="AU215" s="67"/>
    </row>
    <row r="216" spans="2:47" s="25" customFormat="1" ht="12.75" customHeight="1" x14ac:dyDescent="0.3">
      <c r="B216" s="47"/>
      <c r="C216" s="47"/>
      <c r="D216" s="47"/>
      <c r="E216" s="47"/>
      <c r="F216" s="47"/>
      <c r="G216" s="47"/>
      <c r="H216" s="47"/>
      <c r="I216" s="107"/>
      <c r="K216" s="245"/>
      <c r="M216" s="246"/>
      <c r="N216" s="247"/>
      <c r="O216" s="248"/>
      <c r="Q216" s="249"/>
      <c r="R216" s="47"/>
      <c r="S216" s="47"/>
      <c r="T216" s="47"/>
      <c r="U216" s="47"/>
      <c r="V216" s="47"/>
      <c r="X216" s="180"/>
      <c r="Y216" s="47"/>
      <c r="Z216" s="47"/>
      <c r="AA216" s="47"/>
      <c r="AB216" s="52"/>
      <c r="AC216" s="52"/>
      <c r="AD216" s="52"/>
      <c r="AE216" s="52"/>
      <c r="AG216" s="103"/>
      <c r="AH216" s="111"/>
      <c r="AI216" s="111"/>
      <c r="AJ216" s="47"/>
      <c r="AL216" s="47"/>
      <c r="AM216" s="47"/>
      <c r="AN216" s="47"/>
      <c r="AP216" s="47"/>
      <c r="AQ216" s="47"/>
      <c r="AS216" s="250"/>
      <c r="AT216" s="67"/>
      <c r="AU216" s="67"/>
    </row>
    <row r="217" spans="2:47" s="25" customFormat="1" ht="12.75" customHeight="1" x14ac:dyDescent="0.3">
      <c r="B217" s="47"/>
      <c r="C217" s="47"/>
      <c r="D217" s="47"/>
      <c r="E217" s="47"/>
      <c r="F217" s="47"/>
      <c r="G217" s="47"/>
      <c r="H217" s="47"/>
      <c r="I217" s="107"/>
      <c r="K217" s="245"/>
      <c r="M217" s="246"/>
      <c r="N217" s="247"/>
      <c r="O217" s="248"/>
      <c r="Q217" s="249"/>
      <c r="R217" s="47"/>
      <c r="S217" s="47"/>
      <c r="T217" s="47"/>
      <c r="U217" s="47"/>
      <c r="V217" s="47"/>
      <c r="X217" s="180"/>
      <c r="Y217" s="47"/>
      <c r="Z217" s="47"/>
      <c r="AA217" s="47"/>
      <c r="AB217" s="52"/>
      <c r="AC217" s="52"/>
      <c r="AD217" s="52"/>
      <c r="AE217" s="52"/>
      <c r="AG217" s="103"/>
      <c r="AH217" s="111"/>
      <c r="AI217" s="111"/>
      <c r="AJ217" s="47"/>
      <c r="AL217" s="47"/>
      <c r="AM217" s="47"/>
      <c r="AN217" s="47"/>
      <c r="AP217" s="47"/>
      <c r="AQ217" s="47"/>
      <c r="AS217" s="250"/>
      <c r="AT217" s="67"/>
      <c r="AU217" s="67"/>
    </row>
    <row r="218" spans="2:47" s="25" customFormat="1" ht="12.75" customHeight="1" x14ac:dyDescent="0.3">
      <c r="B218" s="47"/>
      <c r="C218" s="47"/>
      <c r="D218" s="47"/>
      <c r="E218" s="47"/>
      <c r="F218" s="47"/>
      <c r="G218" s="47"/>
      <c r="H218" s="47"/>
      <c r="I218" s="107"/>
      <c r="K218" s="245"/>
      <c r="M218" s="246"/>
      <c r="N218" s="247"/>
      <c r="O218" s="248"/>
      <c r="Q218" s="249"/>
      <c r="R218" s="47"/>
      <c r="S218" s="47"/>
      <c r="T218" s="47"/>
      <c r="U218" s="47"/>
      <c r="V218" s="47"/>
      <c r="X218" s="180"/>
      <c r="Y218" s="47"/>
      <c r="Z218" s="47"/>
      <c r="AA218" s="47"/>
      <c r="AB218" s="52"/>
      <c r="AC218" s="52"/>
      <c r="AD218" s="52"/>
      <c r="AE218" s="52"/>
      <c r="AG218" s="103"/>
      <c r="AH218" s="111"/>
      <c r="AI218" s="111"/>
      <c r="AJ218" s="47"/>
      <c r="AL218" s="47"/>
      <c r="AM218" s="47"/>
      <c r="AN218" s="47"/>
      <c r="AP218" s="47"/>
      <c r="AQ218" s="47"/>
      <c r="AS218" s="250"/>
      <c r="AT218" s="67"/>
      <c r="AU218" s="67"/>
    </row>
    <row r="219" spans="2:47" s="25" customFormat="1" ht="12.75" customHeight="1" x14ac:dyDescent="0.3">
      <c r="B219" s="47"/>
      <c r="C219" s="47"/>
      <c r="D219" s="47"/>
      <c r="E219" s="47"/>
      <c r="F219" s="47"/>
      <c r="G219" s="47"/>
      <c r="H219" s="47"/>
      <c r="I219" s="107"/>
      <c r="K219" s="245"/>
      <c r="M219" s="246"/>
      <c r="N219" s="247"/>
      <c r="O219" s="248"/>
      <c r="Q219" s="249"/>
      <c r="R219" s="47"/>
      <c r="S219" s="47"/>
      <c r="T219" s="47"/>
      <c r="U219" s="47"/>
      <c r="V219" s="47"/>
      <c r="X219" s="180"/>
      <c r="Y219" s="47"/>
      <c r="Z219" s="47"/>
      <c r="AA219" s="47"/>
      <c r="AB219" s="52"/>
      <c r="AC219" s="52"/>
      <c r="AD219" s="52"/>
      <c r="AE219" s="52"/>
      <c r="AG219" s="103"/>
      <c r="AH219" s="111"/>
      <c r="AI219" s="111"/>
      <c r="AJ219" s="47"/>
      <c r="AL219" s="47"/>
      <c r="AM219" s="47"/>
      <c r="AN219" s="47"/>
      <c r="AP219" s="47"/>
      <c r="AQ219" s="47"/>
      <c r="AS219" s="250"/>
      <c r="AT219" s="67"/>
      <c r="AU219" s="67"/>
    </row>
    <row r="220" spans="2:47" s="25" customFormat="1" ht="12.75" customHeight="1" x14ac:dyDescent="0.3">
      <c r="B220" s="47"/>
      <c r="C220" s="47"/>
      <c r="D220" s="47"/>
      <c r="E220" s="47"/>
      <c r="F220" s="47"/>
      <c r="G220" s="47"/>
      <c r="H220" s="47"/>
      <c r="I220" s="107"/>
      <c r="K220" s="245"/>
      <c r="M220" s="246"/>
      <c r="N220" s="247"/>
      <c r="O220" s="248"/>
      <c r="Q220" s="249"/>
      <c r="R220" s="47"/>
      <c r="S220" s="47"/>
      <c r="T220" s="47"/>
      <c r="U220" s="47"/>
      <c r="V220" s="47"/>
      <c r="X220" s="180"/>
      <c r="Y220" s="47"/>
      <c r="Z220" s="47"/>
      <c r="AA220" s="47"/>
      <c r="AB220" s="52"/>
      <c r="AC220" s="52"/>
      <c r="AD220" s="52"/>
      <c r="AE220" s="52"/>
      <c r="AG220" s="103"/>
      <c r="AH220" s="111"/>
      <c r="AI220" s="111"/>
      <c r="AJ220" s="47"/>
      <c r="AL220" s="47"/>
      <c r="AM220" s="47"/>
      <c r="AN220" s="47"/>
      <c r="AP220" s="47"/>
      <c r="AQ220" s="47"/>
      <c r="AS220" s="250"/>
      <c r="AT220" s="67"/>
      <c r="AU220" s="67"/>
    </row>
    <row r="221" spans="2:47" s="25" customFormat="1" ht="12.75" customHeight="1" x14ac:dyDescent="0.3">
      <c r="B221" s="47"/>
      <c r="C221" s="47"/>
      <c r="D221" s="47"/>
      <c r="E221" s="47"/>
      <c r="F221" s="47"/>
      <c r="G221" s="47"/>
      <c r="H221" s="47"/>
      <c r="I221" s="107"/>
      <c r="K221" s="245"/>
      <c r="M221" s="246"/>
      <c r="N221" s="247"/>
      <c r="O221" s="248"/>
      <c r="Q221" s="249"/>
      <c r="R221" s="47"/>
      <c r="S221" s="47"/>
      <c r="T221" s="47"/>
      <c r="U221" s="47"/>
      <c r="V221" s="47"/>
      <c r="X221" s="180"/>
      <c r="Y221" s="47"/>
      <c r="Z221" s="47"/>
      <c r="AA221" s="47"/>
      <c r="AB221" s="52"/>
      <c r="AC221" s="52"/>
      <c r="AD221" s="52"/>
      <c r="AE221" s="52"/>
      <c r="AG221" s="103"/>
      <c r="AH221" s="111"/>
      <c r="AI221" s="111"/>
      <c r="AJ221" s="47"/>
      <c r="AL221" s="47"/>
      <c r="AM221" s="47"/>
      <c r="AN221" s="47"/>
      <c r="AP221" s="47"/>
      <c r="AQ221" s="47"/>
      <c r="AS221" s="250"/>
      <c r="AT221" s="67"/>
      <c r="AU221" s="67"/>
    </row>
    <row r="222" spans="2:47" s="25" customFormat="1" ht="12.75" customHeight="1" x14ac:dyDescent="0.3">
      <c r="B222" s="47"/>
      <c r="C222" s="47"/>
      <c r="D222" s="47"/>
      <c r="E222" s="47"/>
      <c r="F222" s="47"/>
      <c r="G222" s="47"/>
      <c r="H222" s="47"/>
      <c r="I222" s="107"/>
      <c r="K222" s="245"/>
      <c r="M222" s="246"/>
      <c r="N222" s="247"/>
      <c r="O222" s="248"/>
      <c r="Q222" s="249"/>
      <c r="R222" s="47"/>
      <c r="S222" s="47"/>
      <c r="T222" s="47"/>
      <c r="U222" s="47"/>
      <c r="V222" s="47"/>
      <c r="X222" s="180"/>
      <c r="Y222" s="47"/>
      <c r="Z222" s="47"/>
      <c r="AA222" s="47"/>
      <c r="AB222" s="52"/>
      <c r="AC222" s="52"/>
      <c r="AD222" s="52"/>
      <c r="AE222" s="52"/>
      <c r="AG222" s="103"/>
      <c r="AH222" s="111"/>
      <c r="AI222" s="111"/>
      <c r="AJ222" s="47"/>
      <c r="AL222" s="47"/>
      <c r="AM222" s="47"/>
      <c r="AN222" s="47"/>
      <c r="AP222" s="47"/>
      <c r="AQ222" s="47"/>
      <c r="AS222" s="250"/>
      <c r="AT222" s="67"/>
      <c r="AU222" s="67"/>
    </row>
    <row r="223" spans="2:47" s="25" customFormat="1" ht="12.75" customHeight="1" x14ac:dyDescent="0.3">
      <c r="B223" s="47"/>
      <c r="C223" s="47"/>
      <c r="D223" s="47"/>
      <c r="E223" s="47"/>
      <c r="F223" s="47"/>
      <c r="G223" s="47"/>
      <c r="H223" s="47"/>
      <c r="I223" s="107"/>
      <c r="K223" s="245"/>
      <c r="M223" s="246"/>
      <c r="N223" s="247"/>
      <c r="O223" s="248"/>
      <c r="Q223" s="249"/>
      <c r="R223" s="47"/>
      <c r="S223" s="47"/>
      <c r="T223" s="47"/>
      <c r="U223" s="47"/>
      <c r="V223" s="47"/>
      <c r="X223" s="180"/>
      <c r="Y223" s="47"/>
      <c r="Z223" s="47"/>
      <c r="AA223" s="47"/>
      <c r="AB223" s="52"/>
      <c r="AC223" s="52"/>
      <c r="AD223" s="52"/>
      <c r="AE223" s="52"/>
      <c r="AG223" s="103"/>
      <c r="AH223" s="111"/>
      <c r="AI223" s="111"/>
      <c r="AJ223" s="47"/>
      <c r="AL223" s="47"/>
      <c r="AM223" s="47"/>
      <c r="AN223" s="47"/>
      <c r="AP223" s="47"/>
      <c r="AQ223" s="47"/>
      <c r="AS223" s="250"/>
      <c r="AT223" s="67"/>
      <c r="AU223" s="67"/>
    </row>
    <row r="224" spans="2:47" s="25" customFormat="1" ht="12.75" customHeight="1" x14ac:dyDescent="0.3">
      <c r="B224" s="47"/>
      <c r="C224" s="47"/>
      <c r="D224" s="47"/>
      <c r="E224" s="47"/>
      <c r="F224" s="47"/>
      <c r="G224" s="47"/>
      <c r="H224" s="47"/>
      <c r="I224" s="107"/>
      <c r="K224" s="245"/>
      <c r="M224" s="246"/>
      <c r="N224" s="247"/>
      <c r="O224" s="248"/>
      <c r="Q224" s="249"/>
      <c r="R224" s="47"/>
      <c r="S224" s="47"/>
      <c r="T224" s="47"/>
      <c r="U224" s="47"/>
      <c r="V224" s="47"/>
      <c r="X224" s="180"/>
      <c r="Y224" s="47"/>
      <c r="Z224" s="47"/>
      <c r="AA224" s="47"/>
      <c r="AB224" s="52"/>
      <c r="AC224" s="52"/>
      <c r="AD224" s="52"/>
      <c r="AE224" s="52"/>
      <c r="AG224" s="103"/>
      <c r="AH224" s="111"/>
      <c r="AI224" s="111"/>
      <c r="AJ224" s="47"/>
      <c r="AL224" s="47"/>
      <c r="AM224" s="47"/>
      <c r="AN224" s="47"/>
      <c r="AP224" s="47"/>
      <c r="AQ224" s="47"/>
      <c r="AS224" s="250"/>
      <c r="AT224" s="67"/>
      <c r="AU224" s="67"/>
    </row>
    <row r="225" spans="2:47" s="25" customFormat="1" ht="12.75" customHeight="1" x14ac:dyDescent="0.3">
      <c r="B225" s="47"/>
      <c r="C225" s="47"/>
      <c r="D225" s="47"/>
      <c r="E225" s="47"/>
      <c r="F225" s="47"/>
      <c r="G225" s="47"/>
      <c r="H225" s="47"/>
      <c r="I225" s="107"/>
      <c r="K225" s="245"/>
      <c r="M225" s="246"/>
      <c r="N225" s="247"/>
      <c r="O225" s="248"/>
      <c r="Q225" s="249"/>
      <c r="R225" s="47"/>
      <c r="S225" s="47"/>
      <c r="T225" s="47"/>
      <c r="U225" s="47"/>
      <c r="V225" s="47"/>
      <c r="X225" s="180"/>
      <c r="Y225" s="47"/>
      <c r="Z225" s="47"/>
      <c r="AA225" s="47"/>
      <c r="AB225" s="52"/>
      <c r="AC225" s="52"/>
      <c r="AD225" s="52"/>
      <c r="AE225" s="52"/>
      <c r="AG225" s="103"/>
      <c r="AH225" s="111"/>
      <c r="AI225" s="111"/>
      <c r="AJ225" s="47"/>
      <c r="AL225" s="47"/>
      <c r="AM225" s="47"/>
      <c r="AN225" s="47"/>
      <c r="AP225" s="47"/>
      <c r="AQ225" s="47"/>
      <c r="AS225" s="250"/>
      <c r="AT225" s="67"/>
      <c r="AU225" s="67"/>
    </row>
    <row r="226" spans="2:47" s="25" customFormat="1" ht="12.75" customHeight="1" x14ac:dyDescent="0.3">
      <c r="B226" s="47"/>
      <c r="C226" s="47"/>
      <c r="D226" s="47"/>
      <c r="E226" s="47"/>
      <c r="F226" s="47"/>
      <c r="G226" s="47"/>
      <c r="H226" s="47"/>
      <c r="I226" s="107"/>
      <c r="K226" s="245"/>
      <c r="M226" s="246"/>
      <c r="N226" s="247"/>
      <c r="O226" s="248"/>
      <c r="Q226" s="249"/>
      <c r="R226" s="47"/>
      <c r="S226" s="47"/>
      <c r="T226" s="47"/>
      <c r="U226" s="47"/>
      <c r="V226" s="47"/>
      <c r="X226" s="180"/>
      <c r="Y226" s="47"/>
      <c r="Z226" s="47"/>
      <c r="AA226" s="47"/>
      <c r="AB226" s="52"/>
      <c r="AC226" s="52"/>
      <c r="AD226" s="52"/>
      <c r="AE226" s="52"/>
      <c r="AG226" s="103"/>
      <c r="AH226" s="111"/>
      <c r="AI226" s="111"/>
      <c r="AJ226" s="47"/>
      <c r="AL226" s="47"/>
      <c r="AM226" s="47"/>
      <c r="AN226" s="47"/>
      <c r="AP226" s="47"/>
      <c r="AQ226" s="47"/>
      <c r="AS226" s="250"/>
      <c r="AT226" s="67"/>
      <c r="AU226" s="67"/>
    </row>
    <row r="227" spans="2:47" s="25" customFormat="1" ht="12.75" customHeight="1" x14ac:dyDescent="0.3">
      <c r="B227" s="47"/>
      <c r="C227" s="47"/>
      <c r="D227" s="47"/>
      <c r="E227" s="47"/>
      <c r="F227" s="47"/>
      <c r="G227" s="47"/>
      <c r="H227" s="47"/>
      <c r="I227" s="107"/>
      <c r="K227" s="245"/>
      <c r="M227" s="246"/>
      <c r="N227" s="247"/>
      <c r="O227" s="248"/>
      <c r="Q227" s="249"/>
      <c r="R227" s="47"/>
      <c r="S227" s="47"/>
      <c r="T227" s="47"/>
      <c r="U227" s="47"/>
      <c r="V227" s="47"/>
      <c r="X227" s="180"/>
      <c r="Y227" s="47"/>
      <c r="Z227" s="47"/>
      <c r="AA227" s="47"/>
      <c r="AB227" s="52"/>
      <c r="AC227" s="52"/>
      <c r="AD227" s="52"/>
      <c r="AE227" s="52"/>
      <c r="AG227" s="103"/>
      <c r="AH227" s="111"/>
      <c r="AI227" s="111"/>
      <c r="AJ227" s="47"/>
      <c r="AL227" s="47"/>
      <c r="AM227" s="47"/>
      <c r="AN227" s="47"/>
      <c r="AP227" s="47"/>
      <c r="AQ227" s="47"/>
      <c r="AS227" s="250"/>
      <c r="AT227" s="67"/>
      <c r="AU227" s="67"/>
    </row>
    <row r="228" spans="2:47" s="25" customFormat="1" ht="12.75" customHeight="1" x14ac:dyDescent="0.3">
      <c r="B228" s="47"/>
      <c r="C228" s="47"/>
      <c r="D228" s="47"/>
      <c r="E228" s="47"/>
      <c r="F228" s="47"/>
      <c r="G228" s="47"/>
      <c r="H228" s="47"/>
      <c r="I228" s="107"/>
      <c r="K228" s="245"/>
      <c r="M228" s="246"/>
      <c r="N228" s="247"/>
      <c r="O228" s="248"/>
      <c r="Q228" s="249"/>
      <c r="R228" s="47"/>
      <c r="S228" s="47"/>
      <c r="T228" s="47"/>
      <c r="U228" s="47"/>
      <c r="V228" s="47"/>
      <c r="X228" s="180"/>
      <c r="Y228" s="47"/>
      <c r="Z228" s="47"/>
      <c r="AA228" s="47"/>
      <c r="AB228" s="52"/>
      <c r="AC228" s="52"/>
      <c r="AD228" s="52"/>
      <c r="AE228" s="52"/>
      <c r="AG228" s="103"/>
      <c r="AH228" s="111"/>
      <c r="AI228" s="111"/>
      <c r="AJ228" s="47"/>
      <c r="AL228" s="47"/>
      <c r="AM228" s="47"/>
      <c r="AN228" s="47"/>
      <c r="AP228" s="47"/>
      <c r="AQ228" s="47"/>
      <c r="AS228" s="250"/>
      <c r="AT228" s="67"/>
      <c r="AU228" s="67"/>
    </row>
    <row r="229" spans="2:47" s="25" customFormat="1" ht="12.75" customHeight="1" x14ac:dyDescent="0.3">
      <c r="B229" s="47"/>
      <c r="C229" s="47"/>
      <c r="D229" s="47"/>
      <c r="E229" s="47"/>
      <c r="F229" s="47"/>
      <c r="G229" s="47"/>
      <c r="H229" s="47"/>
      <c r="I229" s="107"/>
      <c r="K229" s="245"/>
      <c r="M229" s="246"/>
      <c r="N229" s="247"/>
      <c r="O229" s="248"/>
      <c r="Q229" s="249"/>
      <c r="R229" s="47"/>
      <c r="S229" s="47"/>
      <c r="T229" s="47"/>
      <c r="U229" s="47"/>
      <c r="V229" s="47"/>
      <c r="X229" s="180"/>
      <c r="Y229" s="47"/>
      <c r="Z229" s="47"/>
      <c r="AA229" s="47"/>
      <c r="AB229" s="52"/>
      <c r="AC229" s="52"/>
      <c r="AD229" s="52"/>
      <c r="AE229" s="52"/>
      <c r="AG229" s="103"/>
      <c r="AH229" s="111"/>
      <c r="AI229" s="111"/>
      <c r="AJ229" s="47"/>
      <c r="AL229" s="47"/>
      <c r="AM229" s="47"/>
      <c r="AN229" s="47"/>
      <c r="AP229" s="47"/>
      <c r="AQ229" s="47"/>
      <c r="AS229" s="250"/>
      <c r="AT229" s="67"/>
      <c r="AU229" s="67"/>
    </row>
    <row r="230" spans="2:47" s="25" customFormat="1" ht="12.75" customHeight="1" x14ac:dyDescent="0.3">
      <c r="B230" s="47"/>
      <c r="C230" s="47"/>
      <c r="D230" s="47"/>
      <c r="E230" s="47"/>
      <c r="F230" s="47"/>
      <c r="G230" s="47"/>
      <c r="H230" s="47"/>
      <c r="I230" s="107"/>
      <c r="K230" s="245"/>
      <c r="M230" s="246"/>
      <c r="N230" s="247"/>
      <c r="O230" s="248"/>
      <c r="Q230" s="249"/>
      <c r="R230" s="47"/>
      <c r="S230" s="47"/>
      <c r="T230" s="47"/>
      <c r="U230" s="47"/>
      <c r="V230" s="47"/>
      <c r="X230" s="180"/>
      <c r="Y230" s="47"/>
      <c r="Z230" s="47"/>
      <c r="AA230" s="47"/>
      <c r="AB230" s="52"/>
      <c r="AC230" s="52"/>
      <c r="AD230" s="52"/>
      <c r="AE230" s="52"/>
      <c r="AG230" s="103"/>
      <c r="AH230" s="111"/>
      <c r="AI230" s="111"/>
      <c r="AJ230" s="47"/>
      <c r="AL230" s="47"/>
      <c r="AM230" s="47"/>
      <c r="AN230" s="47"/>
      <c r="AP230" s="47"/>
      <c r="AQ230" s="47"/>
      <c r="AS230" s="250"/>
      <c r="AT230" s="67"/>
      <c r="AU230" s="67"/>
    </row>
    <row r="231" spans="2:47" s="25" customFormat="1" ht="12.75" customHeight="1" x14ac:dyDescent="0.3">
      <c r="B231" s="47"/>
      <c r="C231" s="47"/>
      <c r="D231" s="47"/>
      <c r="E231" s="47"/>
      <c r="F231" s="47"/>
      <c r="G231" s="47"/>
      <c r="H231" s="47"/>
      <c r="I231" s="107"/>
      <c r="K231" s="245"/>
      <c r="M231" s="246"/>
      <c r="N231" s="247"/>
      <c r="O231" s="248"/>
      <c r="Q231" s="249"/>
      <c r="R231" s="47"/>
      <c r="S231" s="47"/>
      <c r="T231" s="47"/>
      <c r="U231" s="47"/>
      <c r="V231" s="47"/>
      <c r="X231" s="180"/>
      <c r="Y231" s="47"/>
      <c r="Z231" s="47"/>
      <c r="AA231" s="47"/>
      <c r="AB231" s="52"/>
      <c r="AC231" s="52"/>
      <c r="AD231" s="52"/>
      <c r="AE231" s="52"/>
      <c r="AG231" s="103"/>
      <c r="AH231" s="111"/>
      <c r="AI231" s="111"/>
      <c r="AJ231" s="47"/>
      <c r="AL231" s="47"/>
      <c r="AM231" s="47"/>
      <c r="AN231" s="47"/>
      <c r="AP231" s="47"/>
      <c r="AQ231" s="47"/>
      <c r="AS231" s="250"/>
      <c r="AT231" s="67"/>
      <c r="AU231" s="67"/>
    </row>
    <row r="232" spans="2:47" s="25" customFormat="1" ht="12.75" customHeight="1" x14ac:dyDescent="0.3">
      <c r="B232" s="47"/>
      <c r="C232" s="47"/>
      <c r="D232" s="47"/>
      <c r="E232" s="47"/>
      <c r="F232" s="47"/>
      <c r="G232" s="47"/>
      <c r="H232" s="47"/>
      <c r="I232" s="107"/>
      <c r="K232" s="245"/>
      <c r="M232" s="246"/>
      <c r="N232" s="247"/>
      <c r="O232" s="248"/>
      <c r="Q232" s="249"/>
      <c r="R232" s="47"/>
      <c r="S232" s="47"/>
      <c r="T232" s="47"/>
      <c r="U232" s="47"/>
      <c r="V232" s="47"/>
      <c r="X232" s="180"/>
      <c r="Y232" s="47"/>
      <c r="Z232" s="47"/>
      <c r="AA232" s="47"/>
      <c r="AB232" s="52"/>
      <c r="AC232" s="52"/>
      <c r="AD232" s="52"/>
      <c r="AE232" s="52"/>
      <c r="AG232" s="103"/>
      <c r="AH232" s="111"/>
      <c r="AI232" s="111"/>
      <c r="AJ232" s="47"/>
      <c r="AL232" s="47"/>
      <c r="AM232" s="47"/>
      <c r="AN232" s="47"/>
      <c r="AP232" s="47"/>
      <c r="AQ232" s="47"/>
      <c r="AS232" s="250"/>
      <c r="AT232" s="67"/>
      <c r="AU232" s="67"/>
    </row>
    <row r="233" spans="2:47" s="25" customFormat="1" ht="12.75" customHeight="1" x14ac:dyDescent="0.3">
      <c r="B233" s="47"/>
      <c r="C233" s="47"/>
      <c r="D233" s="47"/>
      <c r="E233" s="47"/>
      <c r="F233" s="47"/>
      <c r="G233" s="47"/>
      <c r="H233" s="47"/>
      <c r="I233" s="107"/>
      <c r="K233" s="245"/>
      <c r="M233" s="246"/>
      <c r="N233" s="247"/>
      <c r="O233" s="248"/>
      <c r="Q233" s="249"/>
      <c r="R233" s="47"/>
      <c r="S233" s="47"/>
      <c r="T233" s="47"/>
      <c r="U233" s="47"/>
      <c r="V233" s="47"/>
      <c r="X233" s="180"/>
      <c r="Y233" s="47"/>
      <c r="Z233" s="47"/>
      <c r="AA233" s="47"/>
      <c r="AB233" s="52"/>
      <c r="AC233" s="52"/>
      <c r="AD233" s="52"/>
      <c r="AE233" s="52"/>
      <c r="AG233" s="103"/>
      <c r="AH233" s="111"/>
      <c r="AI233" s="111"/>
      <c r="AJ233" s="47"/>
      <c r="AL233" s="47"/>
      <c r="AM233" s="47"/>
      <c r="AN233" s="47"/>
      <c r="AP233" s="47"/>
      <c r="AQ233" s="47"/>
      <c r="AS233" s="250"/>
      <c r="AT233" s="67"/>
      <c r="AU233" s="67"/>
    </row>
    <row r="234" spans="2:47" s="25" customFormat="1" ht="12.75" customHeight="1" x14ac:dyDescent="0.3">
      <c r="B234" s="47"/>
      <c r="C234" s="47"/>
      <c r="D234" s="47"/>
      <c r="E234" s="47"/>
      <c r="F234" s="47"/>
      <c r="G234" s="47"/>
      <c r="H234" s="47"/>
      <c r="I234" s="107"/>
      <c r="K234" s="245"/>
      <c r="M234" s="246"/>
      <c r="N234" s="247"/>
      <c r="O234" s="248"/>
      <c r="Q234" s="249"/>
      <c r="R234" s="47"/>
      <c r="S234" s="47"/>
      <c r="T234" s="47"/>
      <c r="U234" s="47"/>
      <c r="V234" s="47"/>
      <c r="X234" s="180"/>
      <c r="Y234" s="47"/>
      <c r="Z234" s="47"/>
      <c r="AA234" s="47"/>
      <c r="AB234" s="52"/>
      <c r="AC234" s="52"/>
      <c r="AD234" s="52"/>
      <c r="AE234" s="52"/>
      <c r="AG234" s="103"/>
      <c r="AH234" s="111"/>
      <c r="AI234" s="111"/>
      <c r="AJ234" s="47"/>
      <c r="AL234" s="47"/>
      <c r="AM234" s="47"/>
      <c r="AN234" s="47"/>
      <c r="AP234" s="47"/>
      <c r="AQ234" s="47"/>
      <c r="AS234" s="250"/>
      <c r="AT234" s="67"/>
      <c r="AU234" s="67"/>
    </row>
    <row r="235" spans="2:47" s="25" customFormat="1" ht="12.75" customHeight="1" x14ac:dyDescent="0.3">
      <c r="B235" s="47"/>
      <c r="C235" s="47"/>
      <c r="D235" s="47"/>
      <c r="E235" s="47"/>
      <c r="F235" s="47"/>
      <c r="G235" s="47"/>
      <c r="H235" s="47"/>
      <c r="I235" s="107"/>
      <c r="K235" s="245"/>
      <c r="M235" s="246"/>
      <c r="N235" s="247"/>
      <c r="O235" s="248"/>
      <c r="Q235" s="249"/>
      <c r="R235" s="47"/>
      <c r="S235" s="47"/>
      <c r="T235" s="47"/>
      <c r="U235" s="47"/>
      <c r="V235" s="47"/>
      <c r="X235" s="180"/>
      <c r="Y235" s="47"/>
      <c r="Z235" s="47"/>
      <c r="AA235" s="47"/>
      <c r="AB235" s="52"/>
      <c r="AC235" s="52"/>
      <c r="AD235" s="52"/>
      <c r="AE235" s="52"/>
      <c r="AG235" s="103"/>
      <c r="AH235" s="111"/>
      <c r="AI235" s="111"/>
      <c r="AJ235" s="47"/>
      <c r="AL235" s="47"/>
      <c r="AM235" s="47"/>
      <c r="AN235" s="47"/>
      <c r="AP235" s="47"/>
      <c r="AQ235" s="47"/>
      <c r="AS235" s="250"/>
      <c r="AT235" s="67"/>
      <c r="AU235" s="67"/>
    </row>
    <row r="236" spans="2:47" s="25" customFormat="1" ht="12.75" customHeight="1" x14ac:dyDescent="0.3">
      <c r="B236" s="47"/>
      <c r="C236" s="47"/>
      <c r="D236" s="47"/>
      <c r="E236" s="47"/>
      <c r="F236" s="47"/>
      <c r="G236" s="47"/>
      <c r="H236" s="47"/>
      <c r="I236" s="107"/>
      <c r="K236" s="245"/>
      <c r="M236" s="246"/>
      <c r="N236" s="247"/>
      <c r="O236" s="248"/>
      <c r="Q236" s="249"/>
      <c r="R236" s="47"/>
      <c r="S236" s="47"/>
      <c r="T236" s="47"/>
      <c r="U236" s="47"/>
      <c r="V236" s="47"/>
      <c r="X236" s="180"/>
      <c r="Y236" s="47"/>
      <c r="Z236" s="47"/>
      <c r="AA236" s="47"/>
      <c r="AB236" s="52"/>
      <c r="AC236" s="52"/>
      <c r="AD236" s="52"/>
      <c r="AE236" s="52"/>
      <c r="AG236" s="103"/>
      <c r="AH236" s="111"/>
      <c r="AI236" s="111"/>
      <c r="AJ236" s="47"/>
      <c r="AL236" s="47"/>
      <c r="AM236" s="47"/>
      <c r="AN236" s="47"/>
      <c r="AP236" s="47"/>
      <c r="AQ236" s="47"/>
      <c r="AS236" s="250"/>
      <c r="AT236" s="67"/>
      <c r="AU236" s="67"/>
    </row>
    <row r="237" spans="2:47" s="25" customFormat="1" ht="12.75" customHeight="1" x14ac:dyDescent="0.3">
      <c r="B237" s="47"/>
      <c r="C237" s="47"/>
      <c r="D237" s="47"/>
      <c r="E237" s="47"/>
      <c r="F237" s="47"/>
      <c r="G237" s="47"/>
      <c r="H237" s="47"/>
      <c r="I237" s="107"/>
      <c r="K237" s="245"/>
      <c r="M237" s="246"/>
      <c r="N237" s="247"/>
      <c r="O237" s="248"/>
      <c r="Q237" s="249"/>
      <c r="R237" s="47"/>
      <c r="S237" s="47"/>
      <c r="T237" s="47"/>
      <c r="U237" s="47"/>
      <c r="V237" s="47"/>
      <c r="X237" s="180"/>
      <c r="Y237" s="47"/>
      <c r="Z237" s="47"/>
      <c r="AA237" s="47"/>
      <c r="AB237" s="52"/>
      <c r="AC237" s="52"/>
      <c r="AD237" s="52"/>
      <c r="AE237" s="52"/>
      <c r="AG237" s="103"/>
      <c r="AH237" s="111"/>
      <c r="AI237" s="111"/>
      <c r="AJ237" s="47"/>
      <c r="AL237" s="47"/>
      <c r="AM237" s="47"/>
      <c r="AN237" s="47"/>
      <c r="AP237" s="47"/>
      <c r="AQ237" s="47"/>
      <c r="AS237" s="250"/>
      <c r="AT237" s="67"/>
      <c r="AU237" s="67"/>
    </row>
    <row r="238" spans="2:47" s="25" customFormat="1" ht="12.75" customHeight="1" x14ac:dyDescent="0.3">
      <c r="B238" s="47"/>
      <c r="C238" s="47"/>
      <c r="D238" s="47"/>
      <c r="E238" s="47"/>
      <c r="F238" s="47"/>
      <c r="G238" s="47"/>
      <c r="H238" s="47"/>
      <c r="I238" s="107"/>
      <c r="K238" s="245"/>
      <c r="M238" s="246"/>
      <c r="N238" s="247"/>
      <c r="O238" s="248"/>
      <c r="Q238" s="249"/>
      <c r="R238" s="47"/>
      <c r="S238" s="47"/>
      <c r="T238" s="47"/>
      <c r="U238" s="47"/>
      <c r="V238" s="47"/>
      <c r="X238" s="180"/>
      <c r="Y238" s="47"/>
      <c r="Z238" s="47"/>
      <c r="AA238" s="47"/>
      <c r="AB238" s="52"/>
      <c r="AC238" s="52"/>
      <c r="AD238" s="52"/>
      <c r="AE238" s="52"/>
      <c r="AG238" s="103"/>
      <c r="AH238" s="111"/>
      <c r="AI238" s="111"/>
      <c r="AJ238" s="47"/>
      <c r="AL238" s="47"/>
      <c r="AM238" s="47"/>
      <c r="AN238" s="47"/>
      <c r="AP238" s="47"/>
      <c r="AQ238" s="47"/>
      <c r="AS238" s="250"/>
      <c r="AT238" s="67"/>
      <c r="AU238" s="67"/>
    </row>
    <row r="239" spans="2:47" s="25" customFormat="1" ht="12.75" customHeight="1" x14ac:dyDescent="0.3">
      <c r="B239" s="47"/>
      <c r="C239" s="47"/>
      <c r="D239" s="47"/>
      <c r="E239" s="47"/>
      <c r="F239" s="47"/>
      <c r="G239" s="47"/>
      <c r="H239" s="47"/>
      <c r="I239" s="107"/>
      <c r="K239" s="245"/>
      <c r="M239" s="246"/>
      <c r="N239" s="247"/>
      <c r="O239" s="248"/>
      <c r="Q239" s="249"/>
      <c r="R239" s="47"/>
      <c r="S239" s="47"/>
      <c r="T239" s="47"/>
      <c r="U239" s="47"/>
      <c r="V239" s="47"/>
      <c r="X239" s="180"/>
      <c r="Y239" s="47"/>
      <c r="Z239" s="47"/>
      <c r="AA239" s="47"/>
      <c r="AB239" s="52"/>
      <c r="AC239" s="52"/>
      <c r="AD239" s="52"/>
      <c r="AE239" s="52"/>
      <c r="AG239" s="103"/>
      <c r="AH239" s="111"/>
      <c r="AI239" s="111"/>
      <c r="AJ239" s="47"/>
      <c r="AL239" s="47"/>
      <c r="AM239" s="47"/>
      <c r="AN239" s="47"/>
      <c r="AP239" s="47"/>
      <c r="AQ239" s="47"/>
      <c r="AS239" s="250"/>
      <c r="AT239" s="67"/>
      <c r="AU239" s="67"/>
    </row>
    <row r="240" spans="2:47" s="25" customFormat="1" ht="12.75" customHeight="1" x14ac:dyDescent="0.3">
      <c r="B240" s="47"/>
      <c r="C240" s="47"/>
      <c r="D240" s="47"/>
      <c r="E240" s="47"/>
      <c r="F240" s="47"/>
      <c r="G240" s="47"/>
      <c r="H240" s="47"/>
      <c r="I240" s="107"/>
      <c r="K240" s="245"/>
      <c r="M240" s="246"/>
      <c r="N240" s="247"/>
      <c r="O240" s="248"/>
      <c r="Q240" s="249"/>
      <c r="R240" s="47"/>
      <c r="S240" s="47"/>
      <c r="T240" s="47"/>
      <c r="U240" s="47"/>
      <c r="V240" s="47"/>
      <c r="X240" s="180"/>
      <c r="Y240" s="47"/>
      <c r="Z240" s="47"/>
      <c r="AA240" s="47"/>
      <c r="AB240" s="52"/>
      <c r="AC240" s="52"/>
      <c r="AD240" s="52"/>
      <c r="AE240" s="52"/>
      <c r="AG240" s="103"/>
      <c r="AH240" s="111"/>
      <c r="AI240" s="111"/>
      <c r="AJ240" s="47"/>
      <c r="AL240" s="47"/>
      <c r="AM240" s="47"/>
      <c r="AN240" s="47"/>
      <c r="AP240" s="47"/>
      <c r="AQ240" s="47"/>
      <c r="AS240" s="250"/>
      <c r="AT240" s="67"/>
      <c r="AU240" s="67"/>
    </row>
    <row r="241" spans="2:47" s="25" customFormat="1" ht="12.75" customHeight="1" x14ac:dyDescent="0.3">
      <c r="B241" s="47"/>
      <c r="C241" s="47"/>
      <c r="D241" s="47"/>
      <c r="E241" s="47"/>
      <c r="F241" s="47"/>
      <c r="G241" s="47"/>
      <c r="H241" s="47"/>
      <c r="I241" s="107"/>
      <c r="K241" s="245"/>
      <c r="M241" s="246"/>
      <c r="N241" s="247"/>
      <c r="O241" s="248"/>
      <c r="Q241" s="249"/>
      <c r="R241" s="47"/>
      <c r="S241" s="47"/>
      <c r="T241" s="47"/>
      <c r="U241" s="47"/>
      <c r="V241" s="47"/>
      <c r="X241" s="180"/>
      <c r="Y241" s="47"/>
      <c r="Z241" s="47"/>
      <c r="AA241" s="47"/>
      <c r="AB241" s="52"/>
      <c r="AC241" s="52"/>
      <c r="AD241" s="52"/>
      <c r="AE241" s="52"/>
      <c r="AG241" s="103"/>
      <c r="AH241" s="111"/>
      <c r="AI241" s="111"/>
      <c r="AJ241" s="47"/>
      <c r="AL241" s="47"/>
      <c r="AM241" s="47"/>
      <c r="AN241" s="47"/>
      <c r="AP241" s="47"/>
      <c r="AQ241" s="47"/>
      <c r="AS241" s="250"/>
      <c r="AT241" s="67"/>
      <c r="AU241" s="67"/>
    </row>
    <row r="242" spans="2:47" s="25" customFormat="1" ht="12.75" customHeight="1" x14ac:dyDescent="0.3">
      <c r="B242" s="47"/>
      <c r="C242" s="47"/>
      <c r="D242" s="47"/>
      <c r="E242" s="47"/>
      <c r="F242" s="47"/>
      <c r="G242" s="47"/>
      <c r="H242" s="47"/>
      <c r="I242" s="107"/>
      <c r="K242" s="245"/>
      <c r="M242" s="246"/>
      <c r="N242" s="247"/>
      <c r="O242" s="248"/>
      <c r="Q242" s="249"/>
      <c r="R242" s="47"/>
      <c r="S242" s="47"/>
      <c r="T242" s="47"/>
      <c r="U242" s="47"/>
      <c r="V242" s="47"/>
      <c r="X242" s="180"/>
      <c r="Y242" s="47"/>
      <c r="Z242" s="47"/>
      <c r="AA242" s="47"/>
      <c r="AB242" s="52"/>
      <c r="AC242" s="52"/>
      <c r="AD242" s="52"/>
      <c r="AE242" s="52"/>
      <c r="AG242" s="103"/>
      <c r="AH242" s="111"/>
      <c r="AI242" s="111"/>
      <c r="AJ242" s="47"/>
      <c r="AL242" s="47"/>
      <c r="AM242" s="47"/>
      <c r="AN242" s="47"/>
      <c r="AP242" s="47"/>
      <c r="AQ242" s="47"/>
      <c r="AS242" s="250"/>
      <c r="AT242" s="67"/>
      <c r="AU242" s="67"/>
    </row>
    <row r="243" spans="2:47" s="25" customFormat="1" ht="12.75" customHeight="1" x14ac:dyDescent="0.3">
      <c r="B243" s="47"/>
      <c r="C243" s="47"/>
      <c r="D243" s="47"/>
      <c r="E243" s="47"/>
      <c r="F243" s="47"/>
      <c r="G243" s="47"/>
      <c r="H243" s="47"/>
      <c r="I243" s="107"/>
      <c r="K243" s="245"/>
      <c r="M243" s="246"/>
      <c r="N243" s="247"/>
      <c r="O243" s="248"/>
      <c r="Q243" s="249"/>
      <c r="R243" s="47"/>
      <c r="S243" s="47"/>
      <c r="T243" s="47"/>
      <c r="U243" s="47"/>
      <c r="V243" s="47"/>
      <c r="X243" s="180"/>
      <c r="Y243" s="47"/>
      <c r="Z243" s="47"/>
      <c r="AA243" s="47"/>
      <c r="AB243" s="52"/>
      <c r="AC243" s="52"/>
      <c r="AD243" s="52"/>
      <c r="AE243" s="52"/>
      <c r="AG243" s="103"/>
      <c r="AH243" s="111"/>
      <c r="AI243" s="111"/>
      <c r="AJ243" s="47"/>
      <c r="AL243" s="47"/>
      <c r="AM243" s="47"/>
      <c r="AN243" s="47"/>
      <c r="AP243" s="47"/>
      <c r="AQ243" s="47"/>
      <c r="AS243" s="250"/>
      <c r="AT243" s="67"/>
      <c r="AU243" s="67"/>
    </row>
    <row r="244" spans="2:47" s="25" customFormat="1" ht="12.75" customHeight="1" x14ac:dyDescent="0.3">
      <c r="B244" s="47"/>
      <c r="C244" s="47"/>
      <c r="D244" s="47"/>
      <c r="E244" s="47"/>
      <c r="F244" s="47"/>
      <c r="G244" s="47"/>
      <c r="H244" s="47"/>
      <c r="I244" s="107"/>
      <c r="K244" s="245"/>
      <c r="M244" s="246"/>
      <c r="N244" s="247"/>
      <c r="O244" s="248"/>
      <c r="Q244" s="249"/>
      <c r="R244" s="47"/>
      <c r="S244" s="47"/>
      <c r="T244" s="47"/>
      <c r="U244" s="47"/>
      <c r="V244" s="47"/>
      <c r="X244" s="180"/>
      <c r="Y244" s="47"/>
      <c r="Z244" s="47"/>
      <c r="AA244" s="47"/>
      <c r="AB244" s="52"/>
      <c r="AC244" s="52"/>
      <c r="AD244" s="52"/>
      <c r="AE244" s="52"/>
      <c r="AG244" s="103"/>
      <c r="AH244" s="111"/>
      <c r="AI244" s="111"/>
      <c r="AJ244" s="47"/>
      <c r="AL244" s="47"/>
      <c r="AM244" s="47"/>
      <c r="AN244" s="47"/>
      <c r="AP244" s="47"/>
      <c r="AQ244" s="47"/>
      <c r="AS244" s="250"/>
      <c r="AT244" s="67"/>
      <c r="AU244" s="67"/>
    </row>
    <row r="245" spans="2:47" s="25" customFormat="1" ht="12.75" customHeight="1" x14ac:dyDescent="0.3">
      <c r="B245" s="47"/>
      <c r="C245" s="47"/>
      <c r="D245" s="47"/>
      <c r="E245" s="47"/>
      <c r="F245" s="47"/>
      <c r="G245" s="47"/>
      <c r="H245" s="47"/>
      <c r="I245" s="107"/>
      <c r="K245" s="245"/>
      <c r="M245" s="246"/>
      <c r="N245" s="247"/>
      <c r="O245" s="248"/>
      <c r="Q245" s="249"/>
      <c r="R245" s="47"/>
      <c r="S245" s="47"/>
      <c r="T245" s="47"/>
      <c r="U245" s="47"/>
      <c r="V245" s="47"/>
      <c r="X245" s="180"/>
      <c r="Y245" s="47"/>
      <c r="Z245" s="47"/>
      <c r="AA245" s="47"/>
      <c r="AB245" s="52"/>
      <c r="AC245" s="52"/>
      <c r="AD245" s="52"/>
      <c r="AE245" s="52"/>
      <c r="AG245" s="103"/>
      <c r="AH245" s="111"/>
      <c r="AI245" s="111"/>
      <c r="AJ245" s="47"/>
      <c r="AL245" s="47"/>
      <c r="AM245" s="47"/>
      <c r="AN245" s="47"/>
      <c r="AP245" s="47"/>
      <c r="AQ245" s="47"/>
      <c r="AS245" s="250"/>
      <c r="AT245" s="67"/>
      <c r="AU245" s="67"/>
    </row>
    <row r="246" spans="2:47" s="25" customFormat="1" ht="12.75" customHeight="1" x14ac:dyDescent="0.3">
      <c r="B246" s="47"/>
      <c r="C246" s="47"/>
      <c r="D246" s="47"/>
      <c r="E246" s="47"/>
      <c r="F246" s="47"/>
      <c r="G246" s="47"/>
      <c r="H246" s="47"/>
      <c r="I246" s="107"/>
      <c r="K246" s="245"/>
      <c r="M246" s="246"/>
      <c r="N246" s="247"/>
      <c r="O246" s="248"/>
      <c r="Q246" s="249"/>
      <c r="R246" s="47"/>
      <c r="S246" s="47"/>
      <c r="T246" s="47"/>
      <c r="U246" s="47"/>
      <c r="V246" s="47"/>
      <c r="X246" s="180"/>
      <c r="Y246" s="47"/>
      <c r="Z246" s="47"/>
      <c r="AA246" s="47"/>
      <c r="AB246" s="52"/>
      <c r="AC246" s="52"/>
      <c r="AD246" s="52"/>
      <c r="AE246" s="52"/>
      <c r="AG246" s="103"/>
      <c r="AH246" s="111"/>
      <c r="AI246" s="111"/>
      <c r="AJ246" s="47"/>
      <c r="AL246" s="47"/>
      <c r="AM246" s="47"/>
      <c r="AN246" s="47"/>
      <c r="AP246" s="47"/>
      <c r="AQ246" s="47"/>
      <c r="AS246" s="250"/>
      <c r="AT246" s="67"/>
      <c r="AU246" s="67"/>
    </row>
    <row r="247" spans="2:47" s="25" customFormat="1" ht="12.75" customHeight="1" x14ac:dyDescent="0.3">
      <c r="B247" s="47"/>
      <c r="C247" s="47"/>
      <c r="D247" s="47"/>
      <c r="E247" s="47"/>
      <c r="F247" s="47"/>
      <c r="G247" s="47"/>
      <c r="H247" s="47"/>
      <c r="I247" s="107"/>
      <c r="K247" s="245"/>
      <c r="M247" s="246"/>
      <c r="N247" s="247"/>
      <c r="O247" s="248"/>
      <c r="Q247" s="249"/>
      <c r="R247" s="47"/>
      <c r="S247" s="47"/>
      <c r="T247" s="47"/>
      <c r="U247" s="47"/>
      <c r="V247" s="47"/>
      <c r="X247" s="180"/>
      <c r="Y247" s="47"/>
      <c r="Z247" s="47"/>
      <c r="AA247" s="47"/>
      <c r="AB247" s="52"/>
      <c r="AC247" s="52"/>
      <c r="AD247" s="52"/>
      <c r="AE247" s="52"/>
      <c r="AG247" s="103"/>
      <c r="AH247" s="111"/>
      <c r="AI247" s="111"/>
      <c r="AJ247" s="47"/>
      <c r="AL247" s="47"/>
      <c r="AM247" s="47"/>
      <c r="AN247" s="47"/>
      <c r="AP247" s="47"/>
      <c r="AQ247" s="47"/>
      <c r="AS247" s="250"/>
      <c r="AT247" s="67"/>
      <c r="AU247" s="67"/>
    </row>
    <row r="248" spans="2:47" s="25" customFormat="1" ht="12.75" customHeight="1" x14ac:dyDescent="0.3">
      <c r="B248" s="47"/>
      <c r="C248" s="47"/>
      <c r="D248" s="47"/>
      <c r="E248" s="47"/>
      <c r="F248" s="47"/>
      <c r="G248" s="47"/>
      <c r="H248" s="47"/>
      <c r="I248" s="107"/>
      <c r="K248" s="245"/>
      <c r="M248" s="246"/>
      <c r="N248" s="247"/>
      <c r="O248" s="248"/>
      <c r="Q248" s="249"/>
      <c r="R248" s="47"/>
      <c r="S248" s="47"/>
      <c r="T248" s="47"/>
      <c r="U248" s="47"/>
      <c r="V248" s="47"/>
      <c r="X248" s="180"/>
      <c r="Y248" s="47"/>
      <c r="Z248" s="47"/>
      <c r="AA248" s="47"/>
      <c r="AB248" s="52"/>
      <c r="AC248" s="52"/>
      <c r="AD248" s="52"/>
      <c r="AE248" s="52"/>
      <c r="AG248" s="103"/>
      <c r="AH248" s="111"/>
      <c r="AI248" s="111"/>
      <c r="AJ248" s="47"/>
      <c r="AL248" s="47"/>
      <c r="AM248" s="47"/>
      <c r="AN248" s="47"/>
      <c r="AP248" s="47"/>
      <c r="AQ248" s="47"/>
      <c r="AS248" s="250"/>
      <c r="AT248" s="67"/>
      <c r="AU248" s="67"/>
    </row>
    <row r="249" spans="2:47" s="25" customFormat="1" ht="12.75" customHeight="1" x14ac:dyDescent="0.3">
      <c r="B249" s="47"/>
      <c r="C249" s="47"/>
      <c r="D249" s="47"/>
      <c r="E249" s="47"/>
      <c r="F249" s="47"/>
      <c r="G249" s="47"/>
      <c r="H249" s="47"/>
      <c r="I249" s="107"/>
      <c r="K249" s="245"/>
      <c r="M249" s="246"/>
      <c r="N249" s="247"/>
      <c r="O249" s="248"/>
      <c r="Q249" s="249"/>
      <c r="R249" s="47"/>
      <c r="S249" s="47"/>
      <c r="T249" s="47"/>
      <c r="U249" s="47"/>
      <c r="V249" s="47"/>
      <c r="X249" s="180"/>
      <c r="Y249" s="47"/>
      <c r="Z249" s="47"/>
      <c r="AA249" s="47"/>
      <c r="AB249" s="52"/>
      <c r="AC249" s="52"/>
      <c r="AD249" s="52"/>
      <c r="AE249" s="52"/>
      <c r="AG249" s="103"/>
      <c r="AH249" s="111"/>
      <c r="AI249" s="111"/>
      <c r="AJ249" s="47"/>
      <c r="AL249" s="47"/>
      <c r="AM249" s="47"/>
      <c r="AN249" s="47"/>
      <c r="AP249" s="47"/>
      <c r="AQ249" s="47"/>
      <c r="AS249" s="250"/>
      <c r="AT249" s="67"/>
      <c r="AU249" s="67"/>
    </row>
    <row r="250" spans="2:47" s="25" customFormat="1" ht="12.75" customHeight="1" x14ac:dyDescent="0.3">
      <c r="B250" s="47"/>
      <c r="C250" s="47"/>
      <c r="D250" s="47"/>
      <c r="E250" s="47"/>
      <c r="F250" s="47"/>
      <c r="G250" s="47"/>
      <c r="H250" s="47"/>
      <c r="I250" s="107"/>
      <c r="K250" s="245"/>
      <c r="M250" s="246"/>
      <c r="N250" s="247"/>
      <c r="O250" s="248"/>
      <c r="Q250" s="249"/>
      <c r="R250" s="47"/>
      <c r="S250" s="47"/>
      <c r="T250" s="47"/>
      <c r="U250" s="47"/>
      <c r="V250" s="47"/>
      <c r="X250" s="180"/>
      <c r="Y250" s="47"/>
      <c r="Z250" s="47"/>
      <c r="AA250" s="47"/>
      <c r="AB250" s="52"/>
      <c r="AC250" s="52"/>
      <c r="AD250" s="52"/>
      <c r="AE250" s="52"/>
      <c r="AG250" s="103"/>
      <c r="AH250" s="111"/>
      <c r="AI250" s="111"/>
      <c r="AJ250" s="47"/>
      <c r="AL250" s="47"/>
      <c r="AM250" s="47"/>
      <c r="AN250" s="47"/>
      <c r="AP250" s="47"/>
      <c r="AQ250" s="47"/>
      <c r="AS250" s="250"/>
      <c r="AT250" s="67"/>
      <c r="AU250" s="67"/>
    </row>
    <row r="251" spans="2:47" s="25" customFormat="1" ht="12.75" customHeight="1" x14ac:dyDescent="0.3">
      <c r="B251" s="47"/>
      <c r="C251" s="47"/>
      <c r="D251" s="47"/>
      <c r="E251" s="47"/>
      <c r="F251" s="47"/>
      <c r="G251" s="47"/>
      <c r="H251" s="47"/>
      <c r="I251" s="107"/>
      <c r="K251" s="245"/>
      <c r="M251" s="246"/>
      <c r="N251" s="247"/>
      <c r="O251" s="248"/>
      <c r="Q251" s="249"/>
      <c r="R251" s="47"/>
      <c r="S251" s="47"/>
      <c r="T251" s="47"/>
      <c r="U251" s="47"/>
      <c r="V251" s="47"/>
      <c r="X251" s="180"/>
      <c r="Y251" s="47"/>
      <c r="Z251" s="47"/>
      <c r="AA251" s="47"/>
      <c r="AB251" s="52"/>
      <c r="AC251" s="52"/>
      <c r="AD251" s="52"/>
      <c r="AE251" s="52"/>
      <c r="AG251" s="103"/>
      <c r="AH251" s="111"/>
      <c r="AI251" s="111"/>
      <c r="AJ251" s="47"/>
      <c r="AL251" s="47"/>
      <c r="AM251" s="47"/>
      <c r="AN251" s="47"/>
      <c r="AP251" s="47"/>
      <c r="AQ251" s="47"/>
      <c r="AS251" s="250"/>
      <c r="AT251" s="67"/>
      <c r="AU251" s="67"/>
    </row>
    <row r="252" spans="2:47" s="25" customFormat="1" ht="12.75" customHeight="1" x14ac:dyDescent="0.3">
      <c r="B252" s="47"/>
      <c r="C252" s="47"/>
      <c r="D252" s="47"/>
      <c r="E252" s="47"/>
      <c r="F252" s="47"/>
      <c r="G252" s="47"/>
      <c r="H252" s="47"/>
      <c r="I252" s="107"/>
      <c r="K252" s="245"/>
      <c r="M252" s="246"/>
      <c r="N252" s="247"/>
      <c r="O252" s="248"/>
      <c r="Q252" s="249"/>
      <c r="R252" s="47"/>
      <c r="S252" s="47"/>
      <c r="T252" s="47"/>
      <c r="U252" s="47"/>
      <c r="V252" s="47"/>
      <c r="X252" s="180"/>
      <c r="Y252" s="47"/>
      <c r="Z252" s="47"/>
      <c r="AA252" s="47"/>
      <c r="AB252" s="52"/>
      <c r="AC252" s="52"/>
      <c r="AD252" s="52"/>
      <c r="AE252" s="52"/>
      <c r="AG252" s="103"/>
      <c r="AH252" s="111"/>
      <c r="AI252" s="111"/>
      <c r="AJ252" s="47"/>
      <c r="AL252" s="47"/>
      <c r="AM252" s="47"/>
      <c r="AN252" s="47"/>
      <c r="AP252" s="47"/>
      <c r="AQ252" s="47"/>
      <c r="AS252" s="250"/>
      <c r="AT252" s="67"/>
      <c r="AU252" s="67"/>
    </row>
    <row r="253" spans="2:47" s="25" customFormat="1" ht="12.75" customHeight="1" x14ac:dyDescent="0.3">
      <c r="B253" s="47"/>
      <c r="C253" s="47"/>
      <c r="D253" s="47"/>
      <c r="E253" s="47"/>
      <c r="F253" s="47"/>
      <c r="G253" s="47"/>
      <c r="H253" s="47"/>
      <c r="I253" s="107"/>
      <c r="K253" s="245"/>
      <c r="M253" s="246"/>
      <c r="N253" s="247"/>
      <c r="O253" s="248"/>
      <c r="Q253" s="249"/>
      <c r="R253" s="47"/>
      <c r="S253" s="47"/>
      <c r="T253" s="47"/>
      <c r="U253" s="47"/>
      <c r="V253" s="47"/>
      <c r="X253" s="180"/>
      <c r="Y253" s="47"/>
      <c r="Z253" s="47"/>
      <c r="AA253" s="47"/>
      <c r="AB253" s="52"/>
      <c r="AC253" s="52"/>
      <c r="AD253" s="52"/>
      <c r="AE253" s="52"/>
      <c r="AG253" s="103"/>
      <c r="AH253" s="111"/>
      <c r="AI253" s="111"/>
      <c r="AJ253" s="47"/>
      <c r="AL253" s="47"/>
      <c r="AM253" s="47"/>
      <c r="AN253" s="47"/>
      <c r="AP253" s="47"/>
      <c r="AQ253" s="47"/>
      <c r="AS253" s="250"/>
      <c r="AT253" s="67"/>
      <c r="AU253" s="67"/>
    </row>
    <row r="254" spans="2:47" s="25" customFormat="1" ht="12.75" customHeight="1" x14ac:dyDescent="0.3">
      <c r="B254" s="47"/>
      <c r="C254" s="47"/>
      <c r="D254" s="47"/>
      <c r="E254" s="47"/>
      <c r="F254" s="47"/>
      <c r="G254" s="47"/>
      <c r="H254" s="47"/>
      <c r="I254" s="107"/>
      <c r="K254" s="245"/>
      <c r="M254" s="246"/>
      <c r="N254" s="247"/>
      <c r="O254" s="248"/>
      <c r="Q254" s="249"/>
      <c r="R254" s="47"/>
      <c r="S254" s="47"/>
      <c r="T254" s="47"/>
      <c r="U254" s="47"/>
      <c r="V254" s="47"/>
      <c r="X254" s="180"/>
      <c r="Y254" s="47"/>
      <c r="Z254" s="47"/>
      <c r="AA254" s="47"/>
      <c r="AB254" s="52"/>
      <c r="AC254" s="52"/>
      <c r="AD254" s="52"/>
      <c r="AE254" s="52"/>
      <c r="AG254" s="103"/>
      <c r="AH254" s="111"/>
      <c r="AI254" s="111"/>
      <c r="AJ254" s="47"/>
      <c r="AL254" s="47"/>
      <c r="AM254" s="47"/>
      <c r="AN254" s="47"/>
      <c r="AP254" s="47"/>
      <c r="AQ254" s="47"/>
      <c r="AS254" s="250"/>
      <c r="AT254" s="67"/>
      <c r="AU254" s="67"/>
    </row>
    <row r="255" spans="2:47" s="25" customFormat="1" ht="12.75" customHeight="1" x14ac:dyDescent="0.3">
      <c r="B255" s="47"/>
      <c r="C255" s="47"/>
      <c r="D255" s="47"/>
      <c r="E255" s="47"/>
      <c r="F255" s="47"/>
      <c r="G255" s="47"/>
      <c r="H255" s="47"/>
      <c r="I255" s="107"/>
      <c r="K255" s="245"/>
      <c r="M255" s="246"/>
      <c r="N255" s="247"/>
      <c r="O255" s="248"/>
      <c r="Q255" s="249"/>
      <c r="R255" s="47"/>
      <c r="S255" s="47"/>
      <c r="T255" s="47"/>
      <c r="U255" s="47"/>
      <c r="V255" s="47"/>
      <c r="X255" s="180"/>
      <c r="Y255" s="47"/>
      <c r="Z255" s="47"/>
      <c r="AA255" s="47"/>
      <c r="AB255" s="52"/>
      <c r="AC255" s="52"/>
      <c r="AD255" s="52"/>
      <c r="AE255" s="52"/>
      <c r="AG255" s="103"/>
      <c r="AH255" s="111"/>
      <c r="AI255" s="111"/>
      <c r="AJ255" s="47"/>
      <c r="AL255" s="47"/>
      <c r="AM255" s="47"/>
      <c r="AN255" s="47"/>
      <c r="AP255" s="47"/>
      <c r="AQ255" s="47"/>
      <c r="AS255" s="250"/>
      <c r="AT255" s="67"/>
      <c r="AU255" s="67"/>
    </row>
    <row r="256" spans="2:47" s="25" customFormat="1" ht="12.75" customHeight="1" x14ac:dyDescent="0.3">
      <c r="B256" s="47"/>
      <c r="C256" s="47"/>
      <c r="D256" s="47"/>
      <c r="E256" s="47"/>
      <c r="F256" s="47"/>
      <c r="G256" s="47"/>
      <c r="H256" s="47"/>
      <c r="I256" s="107"/>
      <c r="K256" s="245"/>
      <c r="M256" s="246"/>
      <c r="N256" s="247"/>
      <c r="O256" s="248"/>
      <c r="Q256" s="249"/>
      <c r="R256" s="47"/>
      <c r="S256" s="47"/>
      <c r="T256" s="47"/>
      <c r="U256" s="47"/>
      <c r="V256" s="47"/>
      <c r="X256" s="180"/>
      <c r="Y256" s="47"/>
      <c r="Z256" s="47"/>
      <c r="AA256" s="47"/>
      <c r="AB256" s="52"/>
      <c r="AC256" s="52"/>
      <c r="AD256" s="52"/>
      <c r="AE256" s="52"/>
      <c r="AG256" s="103"/>
      <c r="AH256" s="111"/>
      <c r="AI256" s="111"/>
      <c r="AJ256" s="47"/>
      <c r="AL256" s="47"/>
      <c r="AM256" s="47"/>
      <c r="AN256" s="47"/>
      <c r="AP256" s="47"/>
      <c r="AQ256" s="47"/>
      <c r="AS256" s="250"/>
      <c r="AT256" s="67"/>
      <c r="AU256" s="67"/>
    </row>
    <row r="257" spans="2:47" s="25" customFormat="1" ht="12.75" customHeight="1" x14ac:dyDescent="0.3">
      <c r="B257" s="47"/>
      <c r="C257" s="47"/>
      <c r="D257" s="47"/>
      <c r="E257" s="47"/>
      <c r="F257" s="47"/>
      <c r="G257" s="47"/>
      <c r="H257" s="47"/>
      <c r="I257" s="107"/>
      <c r="K257" s="245"/>
      <c r="M257" s="246"/>
      <c r="N257" s="247"/>
      <c r="O257" s="248"/>
      <c r="Q257" s="249"/>
      <c r="R257" s="47"/>
      <c r="S257" s="47"/>
      <c r="T257" s="47"/>
      <c r="U257" s="47"/>
      <c r="V257" s="47"/>
      <c r="X257" s="180"/>
      <c r="Y257" s="47"/>
      <c r="Z257" s="47"/>
      <c r="AA257" s="47"/>
      <c r="AB257" s="52"/>
      <c r="AC257" s="52"/>
      <c r="AD257" s="52"/>
      <c r="AE257" s="52"/>
      <c r="AG257" s="103"/>
      <c r="AH257" s="111"/>
      <c r="AI257" s="111"/>
      <c r="AJ257" s="47"/>
      <c r="AL257" s="47"/>
      <c r="AM257" s="47"/>
      <c r="AN257" s="47"/>
      <c r="AP257" s="47"/>
      <c r="AQ257" s="47"/>
      <c r="AS257" s="250"/>
      <c r="AT257" s="67"/>
      <c r="AU257" s="67"/>
    </row>
    <row r="258" spans="2:47" s="25" customFormat="1" ht="12.75" customHeight="1" x14ac:dyDescent="0.3">
      <c r="B258" s="47"/>
      <c r="C258" s="47"/>
      <c r="D258" s="47"/>
      <c r="E258" s="47"/>
      <c r="F258" s="47"/>
      <c r="G258" s="47"/>
      <c r="H258" s="47"/>
      <c r="I258" s="107"/>
      <c r="K258" s="245"/>
      <c r="M258" s="246"/>
      <c r="N258" s="247"/>
      <c r="O258" s="248"/>
      <c r="Q258" s="249"/>
      <c r="R258" s="47"/>
      <c r="S258" s="47"/>
      <c r="T258" s="47"/>
      <c r="U258" s="47"/>
      <c r="V258" s="47"/>
      <c r="X258" s="180"/>
      <c r="Y258" s="47"/>
      <c r="Z258" s="47"/>
      <c r="AA258" s="47"/>
      <c r="AB258" s="52"/>
      <c r="AC258" s="52"/>
      <c r="AD258" s="52"/>
      <c r="AE258" s="52"/>
      <c r="AG258" s="103"/>
      <c r="AH258" s="111"/>
      <c r="AI258" s="111"/>
      <c r="AJ258" s="47"/>
      <c r="AL258" s="47"/>
      <c r="AM258" s="47"/>
      <c r="AN258" s="47"/>
      <c r="AP258" s="47"/>
      <c r="AQ258" s="47"/>
      <c r="AS258" s="250"/>
      <c r="AT258" s="67"/>
      <c r="AU258" s="67"/>
    </row>
    <row r="259" spans="2:47" s="25" customFormat="1" ht="12.75" customHeight="1" x14ac:dyDescent="0.3">
      <c r="B259" s="47"/>
      <c r="C259" s="47"/>
      <c r="D259" s="47"/>
      <c r="E259" s="47"/>
      <c r="F259" s="47"/>
      <c r="G259" s="47"/>
      <c r="H259" s="47"/>
      <c r="I259" s="107"/>
      <c r="K259" s="245"/>
      <c r="M259" s="246"/>
      <c r="N259" s="247"/>
      <c r="O259" s="248"/>
      <c r="Q259" s="249"/>
      <c r="R259" s="47"/>
      <c r="S259" s="47"/>
      <c r="T259" s="47"/>
      <c r="U259" s="47"/>
      <c r="V259" s="47"/>
      <c r="X259" s="180"/>
      <c r="Y259" s="47"/>
      <c r="Z259" s="47"/>
      <c r="AA259" s="47"/>
      <c r="AB259" s="52"/>
      <c r="AC259" s="52"/>
      <c r="AD259" s="52"/>
      <c r="AE259" s="52"/>
      <c r="AG259" s="103"/>
      <c r="AH259" s="111"/>
      <c r="AI259" s="111"/>
      <c r="AJ259" s="47"/>
      <c r="AL259" s="47"/>
      <c r="AM259" s="47"/>
      <c r="AN259" s="47"/>
      <c r="AP259" s="47"/>
      <c r="AQ259" s="47"/>
      <c r="AS259" s="250"/>
      <c r="AT259" s="67"/>
      <c r="AU259" s="67"/>
    </row>
    <row r="260" spans="2:47" s="25" customFormat="1" ht="12.75" customHeight="1" x14ac:dyDescent="0.3">
      <c r="B260" s="47"/>
      <c r="C260" s="47"/>
      <c r="D260" s="47"/>
      <c r="E260" s="47"/>
      <c r="F260" s="47"/>
      <c r="G260" s="47"/>
      <c r="H260" s="47"/>
      <c r="I260" s="107"/>
      <c r="K260" s="245"/>
      <c r="M260" s="246"/>
      <c r="N260" s="247"/>
      <c r="O260" s="248"/>
      <c r="Q260" s="249"/>
      <c r="R260" s="47"/>
      <c r="S260" s="47"/>
      <c r="T260" s="47"/>
      <c r="U260" s="47"/>
      <c r="V260" s="47"/>
      <c r="X260" s="180"/>
      <c r="Y260" s="47"/>
      <c r="Z260" s="47"/>
      <c r="AA260" s="47"/>
      <c r="AB260" s="52"/>
      <c r="AC260" s="52"/>
      <c r="AD260" s="52"/>
      <c r="AE260" s="52"/>
      <c r="AG260" s="103"/>
      <c r="AH260" s="111"/>
      <c r="AI260" s="111"/>
      <c r="AJ260" s="47"/>
      <c r="AL260" s="47"/>
      <c r="AM260" s="47"/>
      <c r="AN260" s="47"/>
      <c r="AP260" s="47"/>
      <c r="AQ260" s="47"/>
      <c r="AS260" s="250"/>
      <c r="AT260" s="67"/>
      <c r="AU260" s="67"/>
    </row>
    <row r="261" spans="2:47" s="25" customFormat="1" ht="12.75" customHeight="1" x14ac:dyDescent="0.3">
      <c r="B261" s="47"/>
      <c r="C261" s="47"/>
      <c r="D261" s="47"/>
      <c r="E261" s="47"/>
      <c r="F261" s="47"/>
      <c r="G261" s="47"/>
      <c r="H261" s="47"/>
      <c r="I261" s="107"/>
      <c r="K261" s="245"/>
      <c r="M261" s="246"/>
      <c r="N261" s="247"/>
      <c r="O261" s="248"/>
      <c r="Q261" s="249"/>
      <c r="R261" s="47"/>
      <c r="S261" s="47"/>
      <c r="T261" s="47"/>
      <c r="U261" s="47"/>
      <c r="V261" s="47"/>
      <c r="X261" s="180"/>
      <c r="Y261" s="47"/>
      <c r="Z261" s="47"/>
      <c r="AA261" s="47"/>
      <c r="AB261" s="52"/>
      <c r="AC261" s="52"/>
      <c r="AD261" s="52"/>
      <c r="AE261" s="52"/>
      <c r="AG261" s="103"/>
      <c r="AH261" s="111"/>
      <c r="AI261" s="111"/>
      <c r="AJ261" s="47"/>
      <c r="AL261" s="47"/>
      <c r="AM261" s="47"/>
      <c r="AN261" s="47"/>
      <c r="AP261" s="47"/>
      <c r="AQ261" s="47"/>
      <c r="AS261" s="250"/>
      <c r="AT261" s="67"/>
      <c r="AU261" s="67"/>
    </row>
    <row r="262" spans="2:47" s="25" customFormat="1" ht="12.75" customHeight="1" x14ac:dyDescent="0.3">
      <c r="B262" s="47"/>
      <c r="C262" s="47"/>
      <c r="D262" s="47"/>
      <c r="E262" s="47"/>
      <c r="F262" s="47"/>
      <c r="G262" s="47"/>
      <c r="H262" s="47"/>
      <c r="I262" s="107"/>
      <c r="K262" s="245"/>
      <c r="M262" s="246"/>
      <c r="N262" s="247"/>
      <c r="O262" s="248"/>
      <c r="Q262" s="249"/>
      <c r="R262" s="47"/>
      <c r="S262" s="47"/>
      <c r="T262" s="47"/>
      <c r="U262" s="47"/>
      <c r="V262" s="47"/>
      <c r="X262" s="180"/>
      <c r="Y262" s="47"/>
      <c r="Z262" s="47"/>
      <c r="AA262" s="47"/>
      <c r="AB262" s="52"/>
      <c r="AC262" s="52"/>
      <c r="AD262" s="52"/>
      <c r="AE262" s="52"/>
      <c r="AG262" s="103"/>
      <c r="AH262" s="111"/>
      <c r="AI262" s="111"/>
      <c r="AJ262" s="47"/>
      <c r="AL262" s="47"/>
      <c r="AM262" s="47"/>
      <c r="AN262" s="47"/>
      <c r="AP262" s="47"/>
      <c r="AQ262" s="47"/>
      <c r="AS262" s="250"/>
      <c r="AT262" s="67"/>
      <c r="AU262" s="67"/>
    </row>
    <row r="263" spans="2:47" s="25" customFormat="1" ht="12.75" customHeight="1" x14ac:dyDescent="0.3">
      <c r="B263" s="47"/>
      <c r="C263" s="47"/>
      <c r="D263" s="47"/>
      <c r="E263" s="47"/>
      <c r="F263" s="47"/>
      <c r="G263" s="47"/>
      <c r="H263" s="47"/>
      <c r="I263" s="107"/>
      <c r="K263" s="245"/>
      <c r="M263" s="246"/>
      <c r="N263" s="247"/>
      <c r="O263" s="248"/>
      <c r="Q263" s="249"/>
      <c r="R263" s="47"/>
      <c r="S263" s="47"/>
      <c r="T263" s="47"/>
      <c r="U263" s="47"/>
      <c r="V263" s="47"/>
      <c r="X263" s="180"/>
      <c r="Y263" s="47"/>
      <c r="Z263" s="47"/>
      <c r="AA263" s="47"/>
      <c r="AB263" s="52"/>
      <c r="AC263" s="52"/>
      <c r="AD263" s="52"/>
      <c r="AE263" s="52"/>
      <c r="AG263" s="103"/>
      <c r="AH263" s="111"/>
      <c r="AI263" s="111"/>
      <c r="AJ263" s="47"/>
      <c r="AL263" s="47"/>
      <c r="AM263" s="47"/>
      <c r="AN263" s="47"/>
      <c r="AP263" s="47"/>
      <c r="AQ263" s="47"/>
      <c r="AS263" s="250"/>
      <c r="AT263" s="67"/>
      <c r="AU263" s="67"/>
    </row>
    <row r="264" spans="2:47" s="25" customFormat="1" ht="12.75" customHeight="1" x14ac:dyDescent="0.3">
      <c r="B264" s="47"/>
      <c r="C264" s="47"/>
      <c r="D264" s="47"/>
      <c r="E264" s="47"/>
      <c r="F264" s="47"/>
      <c r="G264" s="47"/>
      <c r="H264" s="47"/>
      <c r="I264" s="107"/>
      <c r="K264" s="245"/>
      <c r="M264" s="246"/>
      <c r="N264" s="247"/>
      <c r="O264" s="248"/>
      <c r="Q264" s="249"/>
      <c r="R264" s="47"/>
      <c r="S264" s="47"/>
      <c r="T264" s="47"/>
      <c r="U264" s="47"/>
      <c r="V264" s="47"/>
      <c r="X264" s="180"/>
      <c r="Y264" s="47"/>
      <c r="Z264" s="47"/>
      <c r="AA264" s="47"/>
      <c r="AB264" s="52"/>
      <c r="AC264" s="52"/>
      <c r="AD264" s="52"/>
      <c r="AE264" s="52"/>
      <c r="AG264" s="103"/>
      <c r="AH264" s="111"/>
      <c r="AI264" s="111"/>
      <c r="AJ264" s="47"/>
      <c r="AL264" s="47"/>
      <c r="AM264" s="47"/>
      <c r="AN264" s="47"/>
      <c r="AP264" s="47"/>
      <c r="AQ264" s="47"/>
      <c r="AS264" s="250"/>
      <c r="AT264" s="67"/>
      <c r="AU264" s="67"/>
    </row>
    <row r="265" spans="2:47" s="25" customFormat="1" ht="12.75" customHeight="1" x14ac:dyDescent="0.3">
      <c r="B265" s="47"/>
      <c r="C265" s="47"/>
      <c r="D265" s="47"/>
      <c r="E265" s="47"/>
      <c r="F265" s="47"/>
      <c r="G265" s="47"/>
      <c r="H265" s="47"/>
      <c r="I265" s="107"/>
      <c r="K265" s="245"/>
      <c r="M265" s="246"/>
      <c r="N265" s="247"/>
      <c r="O265" s="248"/>
      <c r="Q265" s="249"/>
      <c r="R265" s="47"/>
      <c r="S265" s="47"/>
      <c r="T265" s="47"/>
      <c r="U265" s="47"/>
      <c r="V265" s="47"/>
      <c r="X265" s="180"/>
      <c r="Y265" s="47"/>
      <c r="Z265" s="47"/>
      <c r="AA265" s="47"/>
      <c r="AB265" s="52"/>
      <c r="AC265" s="52"/>
      <c r="AD265" s="52"/>
      <c r="AE265" s="52"/>
      <c r="AG265" s="103"/>
      <c r="AH265" s="111"/>
      <c r="AI265" s="111"/>
      <c r="AJ265" s="47"/>
      <c r="AL265" s="47"/>
      <c r="AM265" s="47"/>
      <c r="AN265" s="47"/>
      <c r="AP265" s="47"/>
      <c r="AQ265" s="47"/>
      <c r="AS265" s="250"/>
      <c r="AT265" s="67"/>
      <c r="AU265" s="67"/>
    </row>
    <row r="266" spans="2:47" s="25" customFormat="1" ht="12.75" customHeight="1" x14ac:dyDescent="0.3">
      <c r="B266" s="47"/>
      <c r="C266" s="47"/>
      <c r="D266" s="47"/>
      <c r="E266" s="47"/>
      <c r="F266" s="47"/>
      <c r="G266" s="47"/>
      <c r="H266" s="47"/>
      <c r="I266" s="107"/>
      <c r="K266" s="245"/>
      <c r="M266" s="246"/>
      <c r="N266" s="247"/>
      <c r="O266" s="248"/>
      <c r="Q266" s="249"/>
      <c r="R266" s="47"/>
      <c r="S266" s="47"/>
      <c r="T266" s="47"/>
      <c r="U266" s="47"/>
      <c r="V266" s="47"/>
      <c r="X266" s="180"/>
      <c r="Y266" s="47"/>
      <c r="Z266" s="47"/>
      <c r="AA266" s="47"/>
      <c r="AB266" s="52"/>
      <c r="AC266" s="52"/>
      <c r="AD266" s="52"/>
      <c r="AE266" s="52"/>
      <c r="AG266" s="103"/>
      <c r="AH266" s="111"/>
      <c r="AI266" s="111"/>
      <c r="AJ266" s="47"/>
      <c r="AL266" s="47"/>
      <c r="AM266" s="47"/>
      <c r="AN266" s="47"/>
      <c r="AP266" s="47"/>
      <c r="AQ266" s="47"/>
      <c r="AS266" s="250"/>
      <c r="AT266" s="67"/>
      <c r="AU266" s="67"/>
    </row>
    <row r="267" spans="2:47" s="25" customFormat="1" ht="12.75" customHeight="1" x14ac:dyDescent="0.3">
      <c r="B267" s="47"/>
      <c r="C267" s="47"/>
      <c r="D267" s="47"/>
      <c r="E267" s="47"/>
      <c r="F267" s="47"/>
      <c r="G267" s="47"/>
      <c r="H267" s="47"/>
      <c r="I267" s="107"/>
      <c r="K267" s="245"/>
      <c r="M267" s="246"/>
      <c r="N267" s="247"/>
      <c r="O267" s="248"/>
      <c r="Q267" s="249"/>
      <c r="R267" s="47"/>
      <c r="S267" s="47"/>
      <c r="T267" s="47"/>
      <c r="U267" s="47"/>
      <c r="V267" s="47"/>
      <c r="X267" s="180"/>
      <c r="Y267" s="47"/>
      <c r="Z267" s="47"/>
      <c r="AA267" s="47"/>
      <c r="AB267" s="52"/>
      <c r="AC267" s="52"/>
      <c r="AD267" s="52"/>
      <c r="AE267" s="52"/>
      <c r="AG267" s="103"/>
      <c r="AH267" s="111"/>
      <c r="AI267" s="111"/>
      <c r="AJ267" s="47"/>
      <c r="AL267" s="47"/>
      <c r="AM267" s="47"/>
      <c r="AN267" s="47"/>
      <c r="AP267" s="47"/>
      <c r="AQ267" s="47"/>
      <c r="AS267" s="250"/>
      <c r="AT267" s="67"/>
      <c r="AU267" s="67"/>
    </row>
    <row r="268" spans="2:47" s="25" customFormat="1" ht="12.75" customHeight="1" x14ac:dyDescent="0.3">
      <c r="B268" s="47"/>
      <c r="C268" s="47"/>
      <c r="D268" s="47"/>
      <c r="E268" s="47"/>
      <c r="F268" s="47"/>
      <c r="G268" s="47"/>
      <c r="H268" s="47"/>
      <c r="I268" s="107"/>
      <c r="K268" s="245"/>
      <c r="M268" s="246"/>
      <c r="N268" s="247"/>
      <c r="O268" s="248"/>
      <c r="Q268" s="249"/>
      <c r="R268" s="47"/>
      <c r="S268" s="47"/>
      <c r="T268" s="47"/>
      <c r="U268" s="47"/>
      <c r="V268" s="47"/>
      <c r="X268" s="180"/>
      <c r="Y268" s="47"/>
      <c r="Z268" s="47"/>
      <c r="AA268" s="47"/>
      <c r="AB268" s="52"/>
      <c r="AC268" s="52"/>
      <c r="AD268" s="52"/>
      <c r="AE268" s="52"/>
      <c r="AG268" s="103"/>
      <c r="AH268" s="111"/>
      <c r="AI268" s="111"/>
      <c r="AJ268" s="47"/>
      <c r="AL268" s="47"/>
      <c r="AM268" s="47"/>
      <c r="AN268" s="47"/>
      <c r="AP268" s="47"/>
      <c r="AQ268" s="47"/>
      <c r="AS268" s="250"/>
      <c r="AT268" s="67"/>
      <c r="AU268" s="67"/>
    </row>
    <row r="269" spans="2:47" s="25" customFormat="1" ht="12.75" customHeight="1" x14ac:dyDescent="0.3">
      <c r="B269" s="47"/>
      <c r="C269" s="47"/>
      <c r="D269" s="47"/>
      <c r="E269" s="47"/>
      <c r="F269" s="47"/>
      <c r="G269" s="47"/>
      <c r="H269" s="47"/>
      <c r="I269" s="107"/>
      <c r="K269" s="245"/>
      <c r="M269" s="246"/>
      <c r="N269" s="247"/>
      <c r="O269" s="248"/>
      <c r="Q269" s="249"/>
      <c r="R269" s="47"/>
      <c r="S269" s="47"/>
      <c r="T269" s="47"/>
      <c r="U269" s="47"/>
      <c r="V269" s="47"/>
      <c r="X269" s="180"/>
      <c r="Y269" s="47"/>
      <c r="Z269" s="47"/>
      <c r="AA269" s="47"/>
      <c r="AB269" s="52"/>
      <c r="AC269" s="52"/>
      <c r="AD269" s="52"/>
      <c r="AE269" s="52"/>
      <c r="AG269" s="103"/>
      <c r="AH269" s="111"/>
      <c r="AI269" s="111"/>
      <c r="AJ269" s="47"/>
      <c r="AL269" s="47"/>
      <c r="AM269" s="47"/>
      <c r="AN269" s="47"/>
      <c r="AP269" s="47"/>
      <c r="AQ269" s="47"/>
      <c r="AS269" s="250"/>
      <c r="AT269" s="67"/>
      <c r="AU269" s="67"/>
    </row>
    <row r="270" spans="2:47" s="25" customFormat="1" ht="12.75" customHeight="1" x14ac:dyDescent="0.3">
      <c r="B270" s="47"/>
      <c r="C270" s="47"/>
      <c r="D270" s="47"/>
      <c r="E270" s="47"/>
      <c r="F270" s="47"/>
      <c r="G270" s="47"/>
      <c r="H270" s="47"/>
      <c r="I270" s="107"/>
      <c r="K270" s="245"/>
      <c r="M270" s="246"/>
      <c r="N270" s="247"/>
      <c r="O270" s="248"/>
      <c r="Q270" s="249"/>
      <c r="R270" s="47"/>
      <c r="S270" s="47"/>
      <c r="T270" s="47"/>
      <c r="U270" s="47"/>
      <c r="V270" s="47"/>
      <c r="X270" s="180"/>
      <c r="Y270" s="47"/>
      <c r="Z270" s="47"/>
      <c r="AA270" s="47"/>
      <c r="AB270" s="52"/>
      <c r="AC270" s="52"/>
      <c r="AD270" s="52"/>
      <c r="AE270" s="52"/>
      <c r="AG270" s="103"/>
      <c r="AH270" s="111"/>
      <c r="AI270" s="111"/>
      <c r="AJ270" s="47"/>
      <c r="AL270" s="47"/>
      <c r="AM270" s="47"/>
      <c r="AN270" s="47"/>
      <c r="AP270" s="47"/>
      <c r="AQ270" s="47"/>
      <c r="AS270" s="250"/>
      <c r="AT270" s="67"/>
      <c r="AU270" s="67"/>
    </row>
    <row r="271" spans="2:47" s="25" customFormat="1" ht="12.75" customHeight="1" x14ac:dyDescent="0.3">
      <c r="B271" s="47"/>
      <c r="C271" s="47"/>
      <c r="D271" s="47"/>
      <c r="E271" s="47"/>
      <c r="F271" s="47"/>
      <c r="G271" s="47"/>
      <c r="H271" s="47"/>
      <c r="I271" s="107"/>
      <c r="K271" s="245"/>
      <c r="M271" s="246"/>
      <c r="N271" s="247"/>
      <c r="O271" s="248"/>
      <c r="Q271" s="249"/>
      <c r="R271" s="47"/>
      <c r="S271" s="47"/>
      <c r="T271" s="47"/>
      <c r="U271" s="47"/>
      <c r="V271" s="47"/>
      <c r="X271" s="180"/>
      <c r="Y271" s="47"/>
      <c r="Z271" s="47"/>
      <c r="AA271" s="47"/>
      <c r="AB271" s="52"/>
      <c r="AC271" s="52"/>
      <c r="AD271" s="52"/>
      <c r="AE271" s="52"/>
      <c r="AG271" s="103"/>
      <c r="AH271" s="111"/>
      <c r="AI271" s="111"/>
      <c r="AJ271" s="47"/>
      <c r="AL271" s="47"/>
      <c r="AM271" s="47"/>
      <c r="AN271" s="47"/>
      <c r="AP271" s="47"/>
      <c r="AQ271" s="47"/>
      <c r="AS271" s="250"/>
      <c r="AT271" s="67"/>
      <c r="AU271" s="67"/>
    </row>
    <row r="272" spans="2:47" s="25" customFormat="1" ht="12.75" customHeight="1" x14ac:dyDescent="0.3">
      <c r="B272" s="47"/>
      <c r="C272" s="47"/>
      <c r="D272" s="47"/>
      <c r="E272" s="47"/>
      <c r="F272" s="47"/>
      <c r="G272" s="47"/>
      <c r="H272" s="47"/>
      <c r="I272" s="107"/>
      <c r="K272" s="245"/>
      <c r="M272" s="246"/>
      <c r="N272" s="247"/>
      <c r="O272" s="248"/>
      <c r="Q272" s="249"/>
      <c r="R272" s="47"/>
      <c r="S272" s="47"/>
      <c r="T272" s="47"/>
      <c r="U272" s="47"/>
      <c r="V272" s="47"/>
      <c r="X272" s="180"/>
      <c r="Y272" s="47"/>
      <c r="Z272" s="47"/>
      <c r="AA272" s="47"/>
      <c r="AB272" s="52"/>
      <c r="AC272" s="52"/>
      <c r="AD272" s="52"/>
      <c r="AE272" s="52"/>
      <c r="AG272" s="103"/>
      <c r="AH272" s="111"/>
      <c r="AI272" s="111"/>
      <c r="AJ272" s="47"/>
      <c r="AL272" s="47"/>
      <c r="AM272" s="47"/>
      <c r="AN272" s="47"/>
      <c r="AP272" s="47"/>
      <c r="AQ272" s="47"/>
      <c r="AS272" s="250"/>
      <c r="AT272" s="67"/>
      <c r="AU272" s="67"/>
    </row>
    <row r="273" spans="2:47" s="25" customFormat="1" ht="12.75" customHeight="1" x14ac:dyDescent="0.3">
      <c r="B273" s="47"/>
      <c r="C273" s="47"/>
      <c r="D273" s="47"/>
      <c r="E273" s="47"/>
      <c r="F273" s="47"/>
      <c r="G273" s="47"/>
      <c r="H273" s="47"/>
      <c r="I273" s="107"/>
      <c r="K273" s="245"/>
      <c r="M273" s="246"/>
      <c r="N273" s="247"/>
      <c r="O273" s="248"/>
      <c r="Q273" s="249"/>
      <c r="R273" s="47"/>
      <c r="S273" s="47"/>
      <c r="T273" s="47"/>
      <c r="U273" s="47"/>
      <c r="V273" s="47"/>
      <c r="X273" s="180"/>
      <c r="Y273" s="47"/>
      <c r="Z273" s="47"/>
      <c r="AA273" s="47"/>
      <c r="AB273" s="52"/>
      <c r="AC273" s="52"/>
      <c r="AD273" s="52"/>
      <c r="AE273" s="52"/>
      <c r="AG273" s="103"/>
      <c r="AH273" s="111"/>
      <c r="AI273" s="111"/>
      <c r="AJ273" s="47"/>
      <c r="AL273" s="47"/>
      <c r="AM273" s="47"/>
      <c r="AN273" s="47"/>
      <c r="AP273" s="47"/>
      <c r="AQ273" s="47"/>
      <c r="AS273" s="250"/>
      <c r="AT273" s="67"/>
      <c r="AU273" s="67"/>
    </row>
    <row r="274" spans="2:47" s="25" customFormat="1" ht="12.75" customHeight="1" x14ac:dyDescent="0.3">
      <c r="B274" s="47"/>
      <c r="C274" s="47"/>
      <c r="D274" s="47"/>
      <c r="E274" s="47"/>
      <c r="F274" s="47"/>
      <c r="G274" s="47"/>
      <c r="H274" s="47"/>
      <c r="I274" s="107"/>
      <c r="K274" s="245"/>
      <c r="M274" s="246"/>
      <c r="N274" s="247"/>
      <c r="O274" s="248"/>
      <c r="Q274" s="249"/>
      <c r="R274" s="47"/>
      <c r="S274" s="47"/>
      <c r="T274" s="47"/>
      <c r="U274" s="47"/>
      <c r="V274" s="47"/>
      <c r="X274" s="180"/>
      <c r="Y274" s="47"/>
      <c r="Z274" s="47"/>
      <c r="AA274" s="47"/>
      <c r="AB274" s="52"/>
      <c r="AC274" s="52"/>
      <c r="AD274" s="52"/>
      <c r="AE274" s="52"/>
      <c r="AG274" s="103"/>
      <c r="AH274" s="111"/>
      <c r="AI274" s="111"/>
      <c r="AJ274" s="47"/>
      <c r="AL274" s="47"/>
      <c r="AM274" s="47"/>
      <c r="AN274" s="47"/>
      <c r="AP274" s="47"/>
      <c r="AQ274" s="47"/>
      <c r="AS274" s="250"/>
      <c r="AT274" s="67"/>
      <c r="AU274" s="67"/>
    </row>
    <row r="275" spans="2:47" s="25" customFormat="1" ht="12.75" customHeight="1" x14ac:dyDescent="0.3">
      <c r="B275" s="47"/>
      <c r="C275" s="47"/>
      <c r="D275" s="47"/>
      <c r="E275" s="47"/>
      <c r="F275" s="47"/>
      <c r="G275" s="47"/>
      <c r="H275" s="47"/>
      <c r="I275" s="107"/>
      <c r="K275" s="245"/>
      <c r="M275" s="246"/>
      <c r="N275" s="247"/>
      <c r="O275" s="248"/>
      <c r="Q275" s="249"/>
      <c r="R275" s="47"/>
      <c r="S275" s="47"/>
      <c r="T275" s="47"/>
      <c r="U275" s="47"/>
      <c r="V275" s="47"/>
      <c r="X275" s="180"/>
      <c r="Y275" s="47"/>
      <c r="Z275" s="47"/>
      <c r="AA275" s="47"/>
      <c r="AB275" s="52"/>
      <c r="AC275" s="52"/>
      <c r="AD275" s="52"/>
      <c r="AE275" s="52"/>
      <c r="AG275" s="103"/>
      <c r="AH275" s="111"/>
      <c r="AI275" s="111"/>
      <c r="AJ275" s="47"/>
      <c r="AL275" s="47"/>
      <c r="AM275" s="47"/>
      <c r="AN275" s="47"/>
      <c r="AP275" s="47"/>
      <c r="AQ275" s="47"/>
      <c r="AS275" s="250"/>
      <c r="AT275" s="67"/>
      <c r="AU275" s="67"/>
    </row>
    <row r="276" spans="2:47" s="25" customFormat="1" ht="12.75" customHeight="1" x14ac:dyDescent="0.3">
      <c r="B276" s="47"/>
      <c r="C276" s="47"/>
      <c r="D276" s="47"/>
      <c r="E276" s="47"/>
      <c r="F276" s="47"/>
      <c r="G276" s="47"/>
      <c r="H276" s="47"/>
      <c r="I276" s="107"/>
      <c r="K276" s="245"/>
      <c r="M276" s="246"/>
      <c r="N276" s="247"/>
      <c r="O276" s="248"/>
      <c r="Q276" s="249"/>
      <c r="R276" s="47"/>
      <c r="S276" s="47"/>
      <c r="T276" s="47"/>
      <c r="U276" s="47"/>
      <c r="V276" s="47"/>
      <c r="X276" s="180"/>
      <c r="Y276" s="47"/>
      <c r="Z276" s="47"/>
      <c r="AA276" s="47"/>
      <c r="AB276" s="52"/>
      <c r="AC276" s="52"/>
      <c r="AD276" s="52"/>
      <c r="AE276" s="52"/>
      <c r="AG276" s="103"/>
      <c r="AH276" s="111"/>
      <c r="AI276" s="111"/>
      <c r="AJ276" s="47"/>
      <c r="AL276" s="47"/>
      <c r="AM276" s="47"/>
      <c r="AN276" s="47"/>
      <c r="AP276" s="47"/>
      <c r="AQ276" s="47"/>
      <c r="AS276" s="250"/>
      <c r="AT276" s="67"/>
      <c r="AU276" s="67"/>
    </row>
    <row r="277" spans="2:47" s="25" customFormat="1" ht="12.75" customHeight="1" x14ac:dyDescent="0.3">
      <c r="B277" s="47"/>
      <c r="C277" s="47"/>
      <c r="D277" s="47"/>
      <c r="E277" s="47"/>
      <c r="F277" s="47"/>
      <c r="G277" s="47"/>
      <c r="H277" s="47"/>
      <c r="I277" s="107"/>
      <c r="K277" s="245"/>
      <c r="M277" s="246"/>
      <c r="N277" s="247"/>
      <c r="O277" s="248"/>
      <c r="Q277" s="249"/>
      <c r="R277" s="47"/>
      <c r="S277" s="47"/>
      <c r="T277" s="47"/>
      <c r="U277" s="47"/>
      <c r="V277" s="47"/>
      <c r="X277" s="180"/>
      <c r="Y277" s="47"/>
      <c r="Z277" s="47"/>
      <c r="AA277" s="47"/>
      <c r="AB277" s="52"/>
      <c r="AC277" s="52"/>
      <c r="AD277" s="52"/>
      <c r="AE277" s="52"/>
      <c r="AG277" s="103"/>
      <c r="AH277" s="111"/>
      <c r="AI277" s="111"/>
      <c r="AJ277" s="47"/>
      <c r="AL277" s="47"/>
      <c r="AM277" s="47"/>
      <c r="AN277" s="47"/>
      <c r="AP277" s="47"/>
      <c r="AQ277" s="47"/>
      <c r="AS277" s="250"/>
      <c r="AT277" s="67"/>
      <c r="AU277" s="67"/>
    </row>
    <row r="278" spans="2:47" s="25" customFormat="1" ht="12.75" customHeight="1" x14ac:dyDescent="0.3">
      <c r="B278" s="47"/>
      <c r="C278" s="47"/>
      <c r="D278" s="47"/>
      <c r="E278" s="47"/>
      <c r="F278" s="47"/>
      <c r="G278" s="47"/>
      <c r="H278" s="47"/>
      <c r="I278" s="107"/>
      <c r="K278" s="245"/>
      <c r="M278" s="246"/>
      <c r="N278" s="247"/>
      <c r="O278" s="248"/>
      <c r="Q278" s="249"/>
      <c r="R278" s="47"/>
      <c r="S278" s="47"/>
      <c r="T278" s="47"/>
      <c r="U278" s="47"/>
      <c r="V278" s="47"/>
      <c r="X278" s="180"/>
      <c r="Y278" s="47"/>
      <c r="Z278" s="47"/>
      <c r="AA278" s="47"/>
      <c r="AB278" s="52"/>
      <c r="AC278" s="52"/>
      <c r="AD278" s="52"/>
      <c r="AE278" s="52"/>
      <c r="AG278" s="103"/>
      <c r="AH278" s="111"/>
      <c r="AI278" s="111"/>
      <c r="AJ278" s="47"/>
      <c r="AL278" s="47"/>
      <c r="AM278" s="47"/>
      <c r="AN278" s="47"/>
      <c r="AP278" s="47"/>
      <c r="AQ278" s="47"/>
      <c r="AS278" s="250"/>
      <c r="AT278" s="67"/>
      <c r="AU278" s="67"/>
    </row>
    <row r="279" spans="2:47" s="25" customFormat="1" ht="12.75" customHeight="1" x14ac:dyDescent="0.3">
      <c r="B279" s="47"/>
      <c r="C279" s="47"/>
      <c r="D279" s="47"/>
      <c r="E279" s="47"/>
      <c r="F279" s="47"/>
      <c r="G279" s="47"/>
      <c r="H279" s="47"/>
      <c r="I279" s="107"/>
      <c r="K279" s="245"/>
      <c r="M279" s="246"/>
      <c r="N279" s="247"/>
      <c r="O279" s="248"/>
      <c r="Q279" s="249"/>
      <c r="R279" s="47"/>
      <c r="S279" s="47"/>
      <c r="T279" s="47"/>
      <c r="U279" s="47"/>
      <c r="V279" s="47"/>
      <c r="X279" s="180"/>
      <c r="Y279" s="47"/>
      <c r="Z279" s="47"/>
      <c r="AA279" s="47"/>
      <c r="AB279" s="52"/>
      <c r="AC279" s="52"/>
      <c r="AD279" s="52"/>
      <c r="AE279" s="52"/>
      <c r="AG279" s="103"/>
      <c r="AH279" s="111"/>
      <c r="AI279" s="111"/>
      <c r="AJ279" s="47"/>
      <c r="AL279" s="47"/>
      <c r="AM279" s="47"/>
      <c r="AN279" s="47"/>
      <c r="AP279" s="47"/>
      <c r="AQ279" s="47"/>
      <c r="AS279" s="250"/>
      <c r="AT279" s="67"/>
      <c r="AU279" s="67"/>
    </row>
    <row r="280" spans="2:47" s="25" customFormat="1" ht="12.75" customHeight="1" x14ac:dyDescent="0.3">
      <c r="B280" s="47"/>
      <c r="C280" s="47"/>
      <c r="D280" s="47"/>
      <c r="E280" s="47"/>
      <c r="F280" s="47"/>
      <c r="G280" s="47"/>
      <c r="H280" s="47"/>
      <c r="I280" s="107"/>
      <c r="K280" s="245"/>
      <c r="M280" s="246"/>
      <c r="N280" s="247"/>
      <c r="O280" s="248"/>
      <c r="Q280" s="249"/>
      <c r="R280" s="47"/>
      <c r="S280" s="47"/>
      <c r="T280" s="47"/>
      <c r="U280" s="47"/>
      <c r="V280" s="47"/>
      <c r="X280" s="180"/>
      <c r="Y280" s="47"/>
      <c r="Z280" s="47"/>
      <c r="AA280" s="47"/>
      <c r="AB280" s="52"/>
      <c r="AC280" s="52"/>
      <c r="AD280" s="52"/>
      <c r="AE280" s="52"/>
      <c r="AG280" s="103"/>
      <c r="AH280" s="111"/>
      <c r="AI280" s="111"/>
      <c r="AJ280" s="47"/>
      <c r="AL280" s="47"/>
      <c r="AM280" s="47"/>
      <c r="AN280" s="47"/>
      <c r="AP280" s="47"/>
      <c r="AQ280" s="47"/>
      <c r="AS280" s="250"/>
      <c r="AT280" s="67"/>
      <c r="AU280" s="67"/>
    </row>
    <row r="281" spans="2:47" s="25" customFormat="1" ht="12.75" customHeight="1" x14ac:dyDescent="0.3">
      <c r="B281" s="47"/>
      <c r="C281" s="47"/>
      <c r="D281" s="47"/>
      <c r="E281" s="47"/>
      <c r="F281" s="47"/>
      <c r="G281" s="47"/>
      <c r="H281" s="47"/>
      <c r="I281" s="107"/>
      <c r="K281" s="245"/>
      <c r="M281" s="246"/>
      <c r="N281" s="247"/>
      <c r="O281" s="248"/>
      <c r="Q281" s="249"/>
      <c r="R281" s="47"/>
      <c r="S281" s="47"/>
      <c r="T281" s="47"/>
      <c r="U281" s="47"/>
      <c r="V281" s="47"/>
      <c r="X281" s="180"/>
      <c r="Y281" s="47"/>
      <c r="Z281" s="47"/>
      <c r="AA281" s="47"/>
      <c r="AB281" s="52"/>
      <c r="AC281" s="52"/>
      <c r="AD281" s="52"/>
      <c r="AE281" s="52"/>
      <c r="AG281" s="103"/>
      <c r="AH281" s="111"/>
      <c r="AI281" s="111"/>
      <c r="AJ281" s="47"/>
      <c r="AL281" s="47"/>
      <c r="AM281" s="47"/>
      <c r="AN281" s="47"/>
      <c r="AP281" s="47"/>
      <c r="AQ281" s="47"/>
      <c r="AS281" s="250"/>
      <c r="AT281" s="67"/>
      <c r="AU281" s="67"/>
    </row>
    <row r="282" spans="2:47" s="25" customFormat="1" ht="12.75" customHeight="1" x14ac:dyDescent="0.3">
      <c r="B282" s="47"/>
      <c r="C282" s="47"/>
      <c r="D282" s="47"/>
      <c r="E282" s="47"/>
      <c r="F282" s="47"/>
      <c r="G282" s="47"/>
      <c r="H282" s="47"/>
      <c r="I282" s="107"/>
      <c r="K282" s="245"/>
      <c r="M282" s="246"/>
      <c r="N282" s="247"/>
      <c r="O282" s="248"/>
      <c r="Q282" s="249"/>
      <c r="R282" s="47"/>
      <c r="S282" s="47"/>
      <c r="T282" s="47"/>
      <c r="U282" s="47"/>
      <c r="V282" s="47"/>
      <c r="X282" s="180"/>
      <c r="Y282" s="47"/>
      <c r="Z282" s="47"/>
      <c r="AA282" s="47"/>
      <c r="AB282" s="52"/>
      <c r="AC282" s="52"/>
      <c r="AD282" s="52"/>
      <c r="AE282" s="52"/>
      <c r="AG282" s="103"/>
      <c r="AH282" s="111"/>
      <c r="AI282" s="111"/>
      <c r="AJ282" s="47"/>
      <c r="AL282" s="47"/>
      <c r="AM282" s="47"/>
      <c r="AN282" s="47"/>
      <c r="AP282" s="47"/>
      <c r="AQ282" s="47"/>
      <c r="AS282" s="250"/>
      <c r="AT282" s="67"/>
      <c r="AU282" s="67"/>
    </row>
    <row r="283" spans="2:47" s="25" customFormat="1" ht="12.75" customHeight="1" x14ac:dyDescent="0.3">
      <c r="B283" s="47"/>
      <c r="C283" s="47"/>
      <c r="D283" s="47"/>
      <c r="E283" s="47"/>
      <c r="F283" s="47"/>
      <c r="G283" s="47"/>
      <c r="H283" s="47"/>
      <c r="I283" s="107"/>
      <c r="K283" s="245"/>
      <c r="M283" s="246"/>
      <c r="N283" s="247"/>
      <c r="O283" s="248"/>
      <c r="Q283" s="249"/>
      <c r="R283" s="47"/>
      <c r="S283" s="47"/>
      <c r="T283" s="47"/>
      <c r="U283" s="47"/>
      <c r="V283" s="47"/>
      <c r="X283" s="180"/>
      <c r="Y283" s="47"/>
      <c r="Z283" s="47"/>
      <c r="AA283" s="47"/>
      <c r="AB283" s="52"/>
      <c r="AC283" s="52"/>
      <c r="AD283" s="52"/>
      <c r="AE283" s="52"/>
      <c r="AG283" s="103"/>
      <c r="AH283" s="111"/>
      <c r="AI283" s="111"/>
      <c r="AJ283" s="47"/>
      <c r="AL283" s="47"/>
      <c r="AM283" s="47"/>
      <c r="AN283" s="47"/>
      <c r="AP283" s="47"/>
      <c r="AQ283" s="47"/>
      <c r="AS283" s="250"/>
      <c r="AT283" s="67"/>
      <c r="AU283" s="67"/>
    </row>
    <row r="284" spans="2:47" s="25" customFormat="1" ht="12.75" customHeight="1" x14ac:dyDescent="0.3">
      <c r="B284" s="47"/>
      <c r="C284" s="47"/>
      <c r="D284" s="47"/>
      <c r="E284" s="47"/>
      <c r="F284" s="47"/>
      <c r="G284" s="47"/>
      <c r="H284" s="47"/>
      <c r="I284" s="107"/>
      <c r="K284" s="245"/>
      <c r="M284" s="246"/>
      <c r="N284" s="247"/>
      <c r="O284" s="248"/>
      <c r="Q284" s="249"/>
      <c r="R284" s="47"/>
      <c r="S284" s="47"/>
      <c r="T284" s="47"/>
      <c r="U284" s="47"/>
      <c r="V284" s="47"/>
      <c r="X284" s="180"/>
      <c r="Y284" s="47"/>
      <c r="Z284" s="47"/>
      <c r="AA284" s="47"/>
      <c r="AB284" s="52"/>
      <c r="AC284" s="52"/>
      <c r="AD284" s="52"/>
      <c r="AE284" s="52"/>
      <c r="AG284" s="103"/>
      <c r="AH284" s="111"/>
      <c r="AI284" s="111"/>
      <c r="AJ284" s="47"/>
      <c r="AL284" s="47"/>
      <c r="AM284" s="47"/>
      <c r="AN284" s="47"/>
      <c r="AP284" s="47"/>
      <c r="AQ284" s="47"/>
      <c r="AS284" s="250"/>
      <c r="AT284" s="67"/>
      <c r="AU284" s="67"/>
    </row>
    <row r="285" spans="2:47" s="25" customFormat="1" ht="12.75" customHeight="1" x14ac:dyDescent="0.3">
      <c r="B285" s="47"/>
      <c r="C285" s="47"/>
      <c r="D285" s="47"/>
      <c r="E285" s="47"/>
      <c r="F285" s="47"/>
      <c r="G285" s="47"/>
      <c r="H285" s="47"/>
      <c r="I285" s="107"/>
      <c r="K285" s="245"/>
      <c r="M285" s="246"/>
      <c r="N285" s="247"/>
      <c r="O285" s="248"/>
      <c r="Q285" s="249"/>
      <c r="R285" s="47"/>
      <c r="S285" s="47"/>
      <c r="T285" s="47"/>
      <c r="U285" s="47"/>
      <c r="V285" s="47"/>
      <c r="X285" s="180"/>
      <c r="Y285" s="47"/>
      <c r="Z285" s="47"/>
      <c r="AA285" s="47"/>
      <c r="AB285" s="52"/>
      <c r="AC285" s="52"/>
      <c r="AD285" s="52"/>
      <c r="AE285" s="52"/>
      <c r="AG285" s="103"/>
      <c r="AH285" s="111"/>
      <c r="AI285" s="111"/>
      <c r="AJ285" s="47"/>
      <c r="AL285" s="47"/>
      <c r="AM285" s="47"/>
      <c r="AN285" s="47"/>
      <c r="AP285" s="47"/>
      <c r="AQ285" s="47"/>
      <c r="AS285" s="250"/>
      <c r="AT285" s="67"/>
      <c r="AU285" s="67"/>
    </row>
    <row r="286" spans="2:47" s="25" customFormat="1" ht="12.75" customHeight="1" x14ac:dyDescent="0.3">
      <c r="B286" s="47"/>
      <c r="C286" s="47"/>
      <c r="D286" s="47"/>
      <c r="E286" s="47"/>
      <c r="F286" s="47"/>
      <c r="G286" s="47"/>
      <c r="H286" s="47"/>
      <c r="I286" s="107"/>
      <c r="K286" s="245"/>
      <c r="M286" s="246"/>
      <c r="N286" s="247"/>
      <c r="O286" s="248"/>
      <c r="Q286" s="249"/>
      <c r="R286" s="47"/>
      <c r="S286" s="47"/>
      <c r="T286" s="47"/>
      <c r="U286" s="47"/>
      <c r="V286" s="47"/>
      <c r="X286" s="180"/>
      <c r="Y286" s="47"/>
      <c r="Z286" s="47"/>
      <c r="AA286" s="47"/>
      <c r="AB286" s="52"/>
      <c r="AC286" s="52"/>
      <c r="AD286" s="52"/>
      <c r="AE286" s="52"/>
      <c r="AG286" s="103"/>
      <c r="AH286" s="111"/>
      <c r="AI286" s="111"/>
      <c r="AJ286" s="47"/>
      <c r="AL286" s="47"/>
      <c r="AM286" s="47"/>
      <c r="AN286" s="47"/>
      <c r="AP286" s="47"/>
      <c r="AQ286" s="47"/>
      <c r="AS286" s="250"/>
      <c r="AT286" s="67"/>
      <c r="AU286" s="67"/>
    </row>
    <row r="287" spans="2:47" s="25" customFormat="1" ht="12.75" customHeight="1" x14ac:dyDescent="0.3">
      <c r="B287" s="47"/>
      <c r="C287" s="47"/>
      <c r="D287" s="47"/>
      <c r="E287" s="47"/>
      <c r="F287" s="47"/>
      <c r="G287" s="47"/>
      <c r="H287" s="47"/>
      <c r="I287" s="107"/>
      <c r="K287" s="245"/>
      <c r="M287" s="246"/>
      <c r="N287" s="247"/>
      <c r="O287" s="248"/>
      <c r="Q287" s="249"/>
      <c r="R287" s="47"/>
      <c r="S287" s="47"/>
      <c r="T287" s="47"/>
      <c r="U287" s="47"/>
      <c r="V287" s="47"/>
      <c r="X287" s="180"/>
      <c r="Y287" s="47"/>
      <c r="Z287" s="47"/>
      <c r="AA287" s="47"/>
      <c r="AB287" s="52"/>
      <c r="AC287" s="52"/>
      <c r="AD287" s="52"/>
      <c r="AE287" s="52"/>
      <c r="AG287" s="103"/>
      <c r="AH287" s="111"/>
      <c r="AI287" s="111"/>
      <c r="AJ287" s="47"/>
      <c r="AL287" s="47"/>
      <c r="AM287" s="47"/>
      <c r="AN287" s="47"/>
      <c r="AP287" s="47"/>
      <c r="AQ287" s="47"/>
      <c r="AS287" s="250"/>
      <c r="AT287" s="67"/>
      <c r="AU287" s="67"/>
    </row>
    <row r="288" spans="2:47" s="25" customFormat="1" ht="12.75" customHeight="1" x14ac:dyDescent="0.3">
      <c r="B288" s="47"/>
      <c r="C288" s="47"/>
      <c r="D288" s="47"/>
      <c r="E288" s="47"/>
      <c r="F288" s="47"/>
      <c r="G288" s="47"/>
      <c r="H288" s="47"/>
      <c r="I288" s="107"/>
      <c r="K288" s="245"/>
      <c r="M288" s="246"/>
      <c r="N288" s="247"/>
      <c r="O288" s="248"/>
      <c r="Q288" s="249"/>
      <c r="R288" s="47"/>
      <c r="S288" s="47"/>
      <c r="T288" s="47"/>
      <c r="U288" s="47"/>
      <c r="V288" s="47"/>
      <c r="X288" s="180"/>
      <c r="Y288" s="47"/>
      <c r="Z288" s="47"/>
      <c r="AA288" s="47"/>
      <c r="AB288" s="52"/>
      <c r="AC288" s="52"/>
      <c r="AD288" s="52"/>
      <c r="AE288" s="52"/>
      <c r="AG288" s="103"/>
      <c r="AH288" s="111"/>
      <c r="AI288" s="111"/>
      <c r="AJ288" s="47"/>
      <c r="AL288" s="47"/>
      <c r="AM288" s="47"/>
      <c r="AN288" s="47"/>
      <c r="AP288" s="47"/>
      <c r="AQ288" s="47"/>
      <c r="AS288" s="250"/>
      <c r="AT288" s="67"/>
      <c r="AU288" s="67"/>
    </row>
    <row r="289" spans="2:47" s="25" customFormat="1" ht="12.75" customHeight="1" x14ac:dyDescent="0.3">
      <c r="B289" s="47"/>
      <c r="C289" s="47"/>
      <c r="D289" s="47"/>
      <c r="E289" s="47"/>
      <c r="F289" s="47"/>
      <c r="G289" s="47"/>
      <c r="H289" s="47"/>
      <c r="I289" s="107"/>
      <c r="K289" s="245"/>
      <c r="M289" s="246"/>
      <c r="N289" s="247"/>
      <c r="O289" s="248"/>
      <c r="Q289" s="249"/>
      <c r="R289" s="47"/>
      <c r="S289" s="47"/>
      <c r="T289" s="47"/>
      <c r="U289" s="47"/>
      <c r="V289" s="47"/>
      <c r="X289" s="180"/>
      <c r="Y289" s="47"/>
      <c r="Z289" s="47"/>
      <c r="AA289" s="47"/>
      <c r="AB289" s="52"/>
      <c r="AC289" s="52"/>
      <c r="AD289" s="52"/>
      <c r="AE289" s="52"/>
      <c r="AG289" s="103"/>
      <c r="AH289" s="111"/>
      <c r="AI289" s="111"/>
      <c r="AJ289" s="47"/>
      <c r="AL289" s="47"/>
      <c r="AM289" s="47"/>
      <c r="AN289" s="47"/>
      <c r="AP289" s="47"/>
      <c r="AQ289" s="47"/>
      <c r="AS289" s="250"/>
      <c r="AT289" s="67"/>
      <c r="AU289" s="67"/>
    </row>
    <row r="290" spans="2:47" s="25" customFormat="1" ht="12.75" customHeight="1" x14ac:dyDescent="0.3">
      <c r="B290" s="47"/>
      <c r="C290" s="47"/>
      <c r="D290" s="47"/>
      <c r="E290" s="47"/>
      <c r="F290" s="47"/>
      <c r="G290" s="47"/>
      <c r="H290" s="47"/>
      <c r="I290" s="107"/>
      <c r="K290" s="245"/>
      <c r="M290" s="246"/>
      <c r="N290" s="247"/>
      <c r="O290" s="248"/>
      <c r="Q290" s="249"/>
      <c r="R290" s="47"/>
      <c r="S290" s="47"/>
      <c r="T290" s="47"/>
      <c r="U290" s="47"/>
      <c r="V290" s="47"/>
      <c r="X290" s="180"/>
      <c r="Y290" s="47"/>
      <c r="Z290" s="47"/>
      <c r="AA290" s="47"/>
      <c r="AB290" s="52"/>
      <c r="AC290" s="52"/>
      <c r="AD290" s="52"/>
      <c r="AE290" s="52"/>
      <c r="AG290" s="103"/>
      <c r="AH290" s="111"/>
      <c r="AI290" s="111"/>
      <c r="AJ290" s="47"/>
      <c r="AL290" s="47"/>
      <c r="AM290" s="47"/>
      <c r="AN290" s="47"/>
      <c r="AP290" s="47"/>
      <c r="AQ290" s="47"/>
      <c r="AS290" s="250"/>
      <c r="AT290" s="67"/>
      <c r="AU290" s="67"/>
    </row>
    <row r="291" spans="2:47" s="25" customFormat="1" ht="12.75" customHeight="1" x14ac:dyDescent="0.3">
      <c r="B291" s="47"/>
      <c r="C291" s="47"/>
      <c r="D291" s="47"/>
      <c r="E291" s="47"/>
      <c r="F291" s="47"/>
      <c r="G291" s="47"/>
      <c r="H291" s="47"/>
      <c r="I291" s="107"/>
      <c r="K291" s="245"/>
      <c r="M291" s="246"/>
      <c r="N291" s="247"/>
      <c r="O291" s="248"/>
      <c r="Q291" s="249"/>
      <c r="R291" s="47"/>
      <c r="S291" s="47"/>
      <c r="T291" s="47"/>
      <c r="U291" s="47"/>
      <c r="V291" s="47"/>
      <c r="X291" s="180"/>
      <c r="Y291" s="47"/>
      <c r="Z291" s="47"/>
      <c r="AA291" s="47"/>
      <c r="AB291" s="52"/>
      <c r="AC291" s="52"/>
      <c r="AD291" s="52"/>
      <c r="AE291" s="52"/>
      <c r="AG291" s="103"/>
      <c r="AH291" s="111"/>
      <c r="AI291" s="111"/>
      <c r="AJ291" s="47"/>
      <c r="AL291" s="47"/>
      <c r="AM291" s="47"/>
      <c r="AN291" s="47"/>
      <c r="AP291" s="47"/>
      <c r="AQ291" s="47"/>
      <c r="AS291" s="250"/>
      <c r="AT291" s="67"/>
      <c r="AU291" s="67"/>
    </row>
    <row r="292" spans="2:47" s="25" customFormat="1" ht="12.75" customHeight="1" x14ac:dyDescent="0.3">
      <c r="B292" s="47"/>
      <c r="C292" s="47"/>
      <c r="D292" s="47"/>
      <c r="E292" s="47"/>
      <c r="F292" s="47"/>
      <c r="G292" s="47"/>
      <c r="H292" s="47"/>
      <c r="I292" s="107"/>
      <c r="K292" s="245"/>
      <c r="M292" s="246"/>
      <c r="N292" s="247"/>
      <c r="O292" s="248"/>
      <c r="Q292" s="249"/>
      <c r="R292" s="47"/>
      <c r="S292" s="47"/>
      <c r="T292" s="47"/>
      <c r="U292" s="47"/>
      <c r="V292" s="47"/>
      <c r="X292" s="180"/>
      <c r="Y292" s="47"/>
      <c r="Z292" s="47"/>
      <c r="AA292" s="47"/>
      <c r="AB292" s="52"/>
      <c r="AC292" s="52"/>
      <c r="AD292" s="52"/>
      <c r="AE292" s="52"/>
      <c r="AG292" s="103"/>
      <c r="AH292" s="111"/>
      <c r="AI292" s="111"/>
      <c r="AJ292" s="47"/>
      <c r="AL292" s="47"/>
      <c r="AM292" s="47"/>
      <c r="AN292" s="47"/>
      <c r="AP292" s="47"/>
      <c r="AQ292" s="47"/>
      <c r="AS292" s="250"/>
      <c r="AT292" s="67"/>
      <c r="AU292" s="67"/>
    </row>
    <row r="293" spans="2:47" s="25" customFormat="1" ht="12.75" customHeight="1" x14ac:dyDescent="0.3">
      <c r="B293" s="47"/>
      <c r="C293" s="47"/>
      <c r="D293" s="47"/>
      <c r="E293" s="47"/>
      <c r="F293" s="47"/>
      <c r="G293" s="47"/>
      <c r="H293" s="47"/>
      <c r="I293" s="107"/>
      <c r="K293" s="245"/>
      <c r="M293" s="246"/>
      <c r="N293" s="247"/>
      <c r="O293" s="248"/>
      <c r="Q293" s="249"/>
      <c r="R293" s="47"/>
      <c r="S293" s="47"/>
      <c r="T293" s="47"/>
      <c r="U293" s="47"/>
      <c r="V293" s="47"/>
      <c r="X293" s="180"/>
      <c r="Y293" s="47"/>
      <c r="Z293" s="47"/>
      <c r="AA293" s="47"/>
      <c r="AB293" s="52"/>
      <c r="AC293" s="52"/>
      <c r="AD293" s="52"/>
      <c r="AE293" s="52"/>
      <c r="AG293" s="103"/>
      <c r="AH293" s="111"/>
      <c r="AI293" s="111"/>
      <c r="AJ293" s="47"/>
      <c r="AL293" s="47"/>
      <c r="AM293" s="47"/>
      <c r="AN293" s="47"/>
      <c r="AP293" s="47"/>
      <c r="AQ293" s="47"/>
      <c r="AS293" s="250"/>
      <c r="AT293" s="67"/>
      <c r="AU293" s="67"/>
    </row>
    <row r="294" spans="2:47" s="25" customFormat="1" ht="12.75" customHeight="1" x14ac:dyDescent="0.3">
      <c r="B294" s="47"/>
      <c r="C294" s="47"/>
      <c r="D294" s="47"/>
      <c r="E294" s="47"/>
      <c r="F294" s="47"/>
      <c r="G294" s="47"/>
      <c r="H294" s="47"/>
      <c r="I294" s="107"/>
      <c r="K294" s="245"/>
      <c r="M294" s="246"/>
      <c r="N294" s="247"/>
      <c r="O294" s="248"/>
      <c r="Q294" s="249"/>
      <c r="R294" s="47"/>
      <c r="S294" s="47"/>
      <c r="T294" s="47"/>
      <c r="U294" s="47"/>
      <c r="V294" s="47"/>
      <c r="X294" s="180"/>
      <c r="Y294" s="47"/>
      <c r="Z294" s="47"/>
      <c r="AA294" s="47"/>
      <c r="AB294" s="52"/>
      <c r="AC294" s="52"/>
      <c r="AD294" s="52"/>
      <c r="AE294" s="52"/>
      <c r="AG294" s="103"/>
      <c r="AH294" s="111"/>
      <c r="AI294" s="111"/>
      <c r="AJ294" s="47"/>
      <c r="AL294" s="47"/>
      <c r="AM294" s="47"/>
      <c r="AN294" s="47"/>
      <c r="AP294" s="47"/>
      <c r="AQ294" s="47"/>
      <c r="AS294" s="250"/>
      <c r="AT294" s="67"/>
      <c r="AU294" s="67"/>
    </row>
    <row r="295" spans="2:47" s="25" customFormat="1" ht="12.75" customHeight="1" x14ac:dyDescent="0.3">
      <c r="B295" s="47"/>
      <c r="C295" s="47"/>
      <c r="D295" s="47"/>
      <c r="E295" s="47"/>
      <c r="F295" s="47"/>
      <c r="G295" s="47"/>
      <c r="H295" s="47"/>
      <c r="I295" s="107"/>
      <c r="K295" s="245"/>
      <c r="M295" s="246"/>
      <c r="N295" s="247"/>
      <c r="O295" s="248"/>
      <c r="Q295" s="249"/>
      <c r="R295" s="47"/>
      <c r="S295" s="47"/>
      <c r="T295" s="47"/>
      <c r="U295" s="47"/>
      <c r="V295" s="47"/>
      <c r="X295" s="180"/>
      <c r="Y295" s="47"/>
      <c r="Z295" s="47"/>
      <c r="AA295" s="47"/>
      <c r="AB295" s="52"/>
      <c r="AC295" s="52"/>
      <c r="AD295" s="52"/>
      <c r="AE295" s="52"/>
      <c r="AG295" s="103"/>
      <c r="AH295" s="111"/>
      <c r="AI295" s="111"/>
      <c r="AJ295" s="47"/>
      <c r="AL295" s="47"/>
      <c r="AM295" s="47"/>
      <c r="AN295" s="47"/>
      <c r="AP295" s="47"/>
      <c r="AQ295" s="47"/>
      <c r="AS295" s="250"/>
      <c r="AT295" s="67"/>
      <c r="AU295" s="67"/>
    </row>
    <row r="296" spans="2:47" s="25" customFormat="1" ht="12.75" customHeight="1" x14ac:dyDescent="0.3">
      <c r="B296" s="47"/>
      <c r="C296" s="47"/>
      <c r="D296" s="47"/>
      <c r="E296" s="47"/>
      <c r="F296" s="47"/>
      <c r="G296" s="47"/>
      <c r="H296" s="47"/>
      <c r="I296" s="107"/>
      <c r="K296" s="245"/>
      <c r="M296" s="246"/>
      <c r="N296" s="247"/>
      <c r="O296" s="248"/>
      <c r="Q296" s="249"/>
      <c r="R296" s="47"/>
      <c r="S296" s="47"/>
      <c r="T296" s="47"/>
      <c r="U296" s="47"/>
      <c r="V296" s="47"/>
      <c r="X296" s="180"/>
      <c r="Y296" s="47"/>
      <c r="Z296" s="47"/>
      <c r="AA296" s="47"/>
      <c r="AB296" s="52"/>
      <c r="AC296" s="52"/>
      <c r="AD296" s="52"/>
      <c r="AE296" s="52"/>
      <c r="AG296" s="103"/>
      <c r="AH296" s="111"/>
      <c r="AI296" s="111"/>
      <c r="AJ296" s="47"/>
      <c r="AL296" s="47"/>
      <c r="AM296" s="47"/>
      <c r="AN296" s="47"/>
      <c r="AP296" s="47"/>
      <c r="AQ296" s="47"/>
      <c r="AS296" s="250"/>
      <c r="AT296" s="67"/>
      <c r="AU296" s="67"/>
    </row>
    <row r="297" spans="2:47" s="25" customFormat="1" ht="12.75" customHeight="1" x14ac:dyDescent="0.3">
      <c r="B297" s="47"/>
      <c r="C297" s="47"/>
      <c r="D297" s="47"/>
      <c r="E297" s="47"/>
      <c r="F297" s="47"/>
      <c r="G297" s="47"/>
      <c r="H297" s="47"/>
      <c r="I297" s="107"/>
      <c r="K297" s="245"/>
      <c r="M297" s="246"/>
      <c r="N297" s="247"/>
      <c r="O297" s="248"/>
      <c r="Q297" s="249"/>
      <c r="R297" s="47"/>
      <c r="S297" s="47"/>
      <c r="T297" s="47"/>
      <c r="U297" s="47"/>
      <c r="V297" s="47"/>
      <c r="X297" s="180"/>
      <c r="Y297" s="47"/>
      <c r="Z297" s="47"/>
      <c r="AA297" s="47"/>
      <c r="AB297" s="52"/>
      <c r="AC297" s="52"/>
      <c r="AD297" s="52"/>
      <c r="AE297" s="52"/>
      <c r="AG297" s="103"/>
      <c r="AH297" s="111"/>
      <c r="AI297" s="111"/>
      <c r="AJ297" s="47"/>
      <c r="AL297" s="47"/>
      <c r="AM297" s="47"/>
      <c r="AN297" s="47"/>
      <c r="AP297" s="47"/>
      <c r="AQ297" s="47"/>
      <c r="AS297" s="250"/>
      <c r="AT297" s="67"/>
      <c r="AU297" s="67"/>
    </row>
    <row r="298" spans="2:47" s="25" customFormat="1" ht="12.75" customHeight="1" x14ac:dyDescent="0.3">
      <c r="B298" s="47"/>
      <c r="C298" s="47"/>
      <c r="D298" s="47"/>
      <c r="E298" s="47"/>
      <c r="F298" s="47"/>
      <c r="G298" s="47"/>
      <c r="H298" s="47"/>
      <c r="I298" s="107"/>
      <c r="K298" s="245"/>
      <c r="M298" s="246"/>
      <c r="N298" s="247"/>
      <c r="O298" s="248"/>
      <c r="Q298" s="249"/>
      <c r="R298" s="47"/>
      <c r="S298" s="47"/>
      <c r="T298" s="47"/>
      <c r="U298" s="47"/>
      <c r="V298" s="47"/>
      <c r="X298" s="180"/>
      <c r="Y298" s="47"/>
      <c r="Z298" s="47"/>
      <c r="AA298" s="47"/>
      <c r="AB298" s="52"/>
      <c r="AC298" s="52"/>
      <c r="AD298" s="52"/>
      <c r="AE298" s="52"/>
      <c r="AG298" s="103"/>
      <c r="AH298" s="111"/>
      <c r="AI298" s="111"/>
      <c r="AJ298" s="47"/>
      <c r="AL298" s="47"/>
      <c r="AM298" s="47"/>
      <c r="AN298" s="47"/>
      <c r="AP298" s="47"/>
      <c r="AQ298" s="47"/>
      <c r="AS298" s="250"/>
      <c r="AT298" s="67"/>
      <c r="AU298" s="67"/>
    </row>
    <row r="299" spans="2:47" s="25" customFormat="1" ht="12.75" customHeight="1" x14ac:dyDescent="0.3">
      <c r="B299" s="47"/>
      <c r="C299" s="47"/>
      <c r="D299" s="47"/>
      <c r="E299" s="47"/>
      <c r="F299" s="47"/>
      <c r="G299" s="47"/>
      <c r="H299" s="47"/>
      <c r="I299" s="107"/>
      <c r="K299" s="245"/>
      <c r="M299" s="246"/>
      <c r="N299" s="247"/>
      <c r="O299" s="248"/>
      <c r="Q299" s="249"/>
      <c r="R299" s="47"/>
      <c r="S299" s="47"/>
      <c r="T299" s="47"/>
      <c r="U299" s="47"/>
      <c r="V299" s="47"/>
      <c r="X299" s="180"/>
      <c r="Y299" s="47"/>
      <c r="Z299" s="47"/>
      <c r="AA299" s="47"/>
      <c r="AB299" s="52"/>
      <c r="AC299" s="52"/>
      <c r="AD299" s="52"/>
      <c r="AE299" s="52"/>
      <c r="AG299" s="103"/>
      <c r="AH299" s="111"/>
      <c r="AI299" s="111"/>
      <c r="AJ299" s="47"/>
      <c r="AL299" s="47"/>
      <c r="AM299" s="47"/>
      <c r="AN299" s="47"/>
      <c r="AP299" s="47"/>
      <c r="AQ299" s="47"/>
      <c r="AS299" s="250"/>
      <c r="AT299" s="67"/>
      <c r="AU299" s="67"/>
    </row>
    <row r="300" spans="2:47" s="25" customFormat="1" ht="12.75" customHeight="1" x14ac:dyDescent="0.3">
      <c r="B300" s="47"/>
      <c r="C300" s="47"/>
      <c r="D300" s="47"/>
      <c r="E300" s="47"/>
      <c r="F300" s="47"/>
      <c r="G300" s="47"/>
      <c r="H300" s="47"/>
      <c r="I300" s="107"/>
      <c r="K300" s="245"/>
      <c r="M300" s="246"/>
      <c r="N300" s="247"/>
      <c r="O300" s="248"/>
      <c r="Q300" s="249"/>
      <c r="R300" s="47"/>
      <c r="S300" s="47"/>
      <c r="T300" s="47"/>
      <c r="U300" s="47"/>
      <c r="V300" s="47"/>
      <c r="X300" s="180"/>
      <c r="Y300" s="47"/>
      <c r="Z300" s="47"/>
      <c r="AA300" s="47"/>
      <c r="AB300" s="52"/>
      <c r="AC300" s="52"/>
      <c r="AD300" s="52"/>
      <c r="AE300" s="52"/>
      <c r="AG300" s="103"/>
      <c r="AH300" s="111"/>
      <c r="AI300" s="111"/>
      <c r="AJ300" s="47"/>
      <c r="AL300" s="47"/>
      <c r="AM300" s="47"/>
      <c r="AN300" s="47"/>
      <c r="AP300" s="47"/>
      <c r="AQ300" s="47"/>
      <c r="AS300" s="250"/>
      <c r="AT300" s="67"/>
      <c r="AU300" s="67"/>
    </row>
    <row r="301" spans="2:47" s="25" customFormat="1" ht="12.75" customHeight="1" x14ac:dyDescent="0.3">
      <c r="B301" s="47"/>
      <c r="C301" s="47"/>
      <c r="D301" s="47"/>
      <c r="E301" s="47"/>
      <c r="F301" s="47"/>
      <c r="G301" s="47"/>
      <c r="H301" s="47"/>
      <c r="I301" s="107"/>
      <c r="K301" s="245"/>
      <c r="M301" s="246"/>
      <c r="N301" s="247"/>
      <c r="O301" s="248"/>
      <c r="Q301" s="249"/>
      <c r="R301" s="47"/>
      <c r="S301" s="47"/>
      <c r="T301" s="47"/>
      <c r="U301" s="47"/>
      <c r="V301" s="47"/>
      <c r="X301" s="180"/>
      <c r="Y301" s="47"/>
      <c r="Z301" s="47"/>
      <c r="AA301" s="47"/>
      <c r="AB301" s="52"/>
      <c r="AC301" s="52"/>
      <c r="AD301" s="52"/>
      <c r="AE301" s="52"/>
      <c r="AG301" s="103"/>
      <c r="AH301" s="111"/>
      <c r="AI301" s="111"/>
      <c r="AJ301" s="47"/>
      <c r="AL301" s="47"/>
      <c r="AM301" s="47"/>
      <c r="AN301" s="47"/>
      <c r="AP301" s="47"/>
      <c r="AQ301" s="47"/>
      <c r="AS301" s="250"/>
      <c r="AT301" s="67"/>
      <c r="AU301" s="67"/>
    </row>
    <row r="302" spans="2:47" s="25" customFormat="1" ht="12.75" customHeight="1" x14ac:dyDescent="0.3">
      <c r="B302" s="47"/>
      <c r="C302" s="47"/>
      <c r="D302" s="47"/>
      <c r="E302" s="47"/>
      <c r="F302" s="47"/>
      <c r="G302" s="47"/>
      <c r="H302" s="47"/>
      <c r="I302" s="107"/>
      <c r="K302" s="245"/>
      <c r="M302" s="246"/>
      <c r="N302" s="247"/>
      <c r="O302" s="248"/>
      <c r="Q302" s="249"/>
      <c r="R302" s="47"/>
      <c r="S302" s="47"/>
      <c r="T302" s="47"/>
      <c r="U302" s="47"/>
      <c r="V302" s="47"/>
      <c r="X302" s="180"/>
      <c r="Y302" s="47"/>
      <c r="Z302" s="47"/>
      <c r="AA302" s="47"/>
      <c r="AB302" s="52"/>
      <c r="AC302" s="52"/>
      <c r="AD302" s="52"/>
      <c r="AE302" s="52"/>
      <c r="AG302" s="103"/>
      <c r="AH302" s="111"/>
      <c r="AI302" s="111"/>
      <c r="AJ302" s="47"/>
      <c r="AL302" s="47"/>
      <c r="AM302" s="47"/>
      <c r="AN302" s="47"/>
      <c r="AP302" s="47"/>
      <c r="AQ302" s="47"/>
      <c r="AS302" s="250"/>
      <c r="AT302" s="67"/>
      <c r="AU302" s="67"/>
    </row>
    <row r="303" spans="2:47" s="25" customFormat="1" ht="12.75" customHeight="1" x14ac:dyDescent="0.3">
      <c r="B303" s="47"/>
      <c r="C303" s="47"/>
      <c r="D303" s="47"/>
      <c r="E303" s="47"/>
      <c r="F303" s="47"/>
      <c r="G303" s="47"/>
      <c r="H303" s="47"/>
      <c r="I303" s="107"/>
      <c r="K303" s="245"/>
      <c r="M303" s="246"/>
      <c r="N303" s="247"/>
      <c r="O303" s="248"/>
      <c r="Q303" s="249"/>
      <c r="R303" s="47"/>
      <c r="S303" s="47"/>
      <c r="T303" s="47"/>
      <c r="U303" s="47"/>
      <c r="V303" s="47"/>
      <c r="X303" s="180"/>
      <c r="Y303" s="47"/>
      <c r="Z303" s="47"/>
      <c r="AA303" s="47"/>
      <c r="AB303" s="52"/>
      <c r="AC303" s="52"/>
      <c r="AD303" s="52"/>
      <c r="AE303" s="52"/>
      <c r="AG303" s="103"/>
      <c r="AH303" s="111"/>
      <c r="AI303" s="111"/>
      <c r="AJ303" s="47"/>
      <c r="AL303" s="47"/>
      <c r="AM303" s="47"/>
      <c r="AN303" s="47"/>
      <c r="AP303" s="47"/>
      <c r="AQ303" s="47"/>
      <c r="AS303" s="250"/>
      <c r="AT303" s="67"/>
      <c r="AU303" s="67"/>
    </row>
    <row r="304" spans="2:47" s="25" customFormat="1" ht="12.75" customHeight="1" x14ac:dyDescent="0.3">
      <c r="B304" s="47"/>
      <c r="C304" s="47"/>
      <c r="D304" s="47"/>
      <c r="E304" s="47"/>
      <c r="F304" s="47"/>
      <c r="G304" s="47"/>
      <c r="H304" s="47"/>
      <c r="I304" s="107"/>
      <c r="K304" s="245"/>
      <c r="M304" s="246"/>
      <c r="N304" s="247"/>
      <c r="O304" s="248"/>
      <c r="Q304" s="249"/>
      <c r="R304" s="47"/>
      <c r="S304" s="47"/>
      <c r="T304" s="47"/>
      <c r="U304" s="47"/>
      <c r="V304" s="47"/>
      <c r="X304" s="180"/>
      <c r="Y304" s="47"/>
      <c r="Z304" s="47"/>
      <c r="AA304" s="47"/>
      <c r="AB304" s="52"/>
      <c r="AC304" s="52"/>
      <c r="AD304" s="52"/>
      <c r="AE304" s="52"/>
      <c r="AG304" s="103"/>
      <c r="AH304" s="111"/>
      <c r="AI304" s="111"/>
      <c r="AJ304" s="47"/>
      <c r="AL304" s="47"/>
      <c r="AM304" s="47"/>
      <c r="AN304" s="47"/>
      <c r="AP304" s="47"/>
      <c r="AQ304" s="47"/>
      <c r="AS304" s="250"/>
      <c r="AT304" s="67"/>
      <c r="AU304" s="67"/>
    </row>
    <row r="305" spans="2:47" s="25" customFormat="1" ht="12.75" customHeight="1" x14ac:dyDescent="0.3">
      <c r="B305" s="47"/>
      <c r="C305" s="47"/>
      <c r="D305" s="47"/>
      <c r="E305" s="47"/>
      <c r="F305" s="47"/>
      <c r="G305" s="47"/>
      <c r="H305" s="47"/>
      <c r="I305" s="107"/>
      <c r="K305" s="245"/>
      <c r="M305" s="246"/>
      <c r="N305" s="247"/>
      <c r="O305" s="248"/>
      <c r="Q305" s="249"/>
      <c r="R305" s="47"/>
      <c r="S305" s="47"/>
      <c r="T305" s="47"/>
      <c r="U305" s="47"/>
      <c r="V305" s="47"/>
      <c r="X305" s="180"/>
      <c r="Y305" s="47"/>
      <c r="Z305" s="47"/>
      <c r="AA305" s="47"/>
      <c r="AB305" s="52"/>
      <c r="AC305" s="52"/>
      <c r="AD305" s="52"/>
      <c r="AE305" s="52"/>
      <c r="AG305" s="103"/>
      <c r="AH305" s="111"/>
      <c r="AI305" s="111"/>
      <c r="AJ305" s="47"/>
      <c r="AL305" s="47"/>
      <c r="AM305" s="47"/>
      <c r="AN305" s="47"/>
      <c r="AP305" s="47"/>
      <c r="AQ305" s="47"/>
      <c r="AS305" s="250"/>
      <c r="AT305" s="67"/>
      <c r="AU305" s="67"/>
    </row>
    <row r="306" spans="2:47" s="25" customFormat="1" ht="12.75" customHeight="1" x14ac:dyDescent="0.3">
      <c r="B306" s="47"/>
      <c r="C306" s="47"/>
      <c r="D306" s="47"/>
      <c r="E306" s="47"/>
      <c r="F306" s="47"/>
      <c r="G306" s="47"/>
      <c r="H306" s="47"/>
      <c r="I306" s="107"/>
      <c r="K306" s="245"/>
      <c r="M306" s="246"/>
      <c r="N306" s="247"/>
      <c r="O306" s="248"/>
      <c r="Q306" s="249"/>
      <c r="R306" s="47"/>
      <c r="S306" s="47"/>
      <c r="T306" s="47"/>
      <c r="U306" s="47"/>
      <c r="V306" s="47"/>
      <c r="X306" s="180"/>
      <c r="Y306" s="47"/>
      <c r="Z306" s="47"/>
      <c r="AA306" s="47"/>
      <c r="AB306" s="52"/>
      <c r="AC306" s="52"/>
      <c r="AD306" s="52"/>
      <c r="AE306" s="52"/>
      <c r="AG306" s="103"/>
      <c r="AH306" s="111"/>
      <c r="AI306" s="111"/>
      <c r="AJ306" s="47"/>
      <c r="AL306" s="47"/>
      <c r="AM306" s="47"/>
      <c r="AN306" s="47"/>
      <c r="AP306" s="47"/>
      <c r="AQ306" s="47"/>
      <c r="AS306" s="250"/>
      <c r="AT306" s="67"/>
      <c r="AU306" s="67"/>
    </row>
    <row r="307" spans="2:47" s="25" customFormat="1" ht="12.75" customHeight="1" x14ac:dyDescent="0.3">
      <c r="B307" s="47"/>
      <c r="C307" s="47"/>
      <c r="D307" s="47"/>
      <c r="E307" s="47"/>
      <c r="F307" s="47"/>
      <c r="G307" s="47"/>
      <c r="H307" s="47"/>
      <c r="I307" s="107"/>
      <c r="K307" s="245"/>
      <c r="M307" s="246"/>
      <c r="N307" s="247"/>
      <c r="O307" s="248"/>
      <c r="Q307" s="249"/>
      <c r="R307" s="47"/>
      <c r="S307" s="47"/>
      <c r="T307" s="47"/>
      <c r="U307" s="47"/>
      <c r="V307" s="47"/>
      <c r="X307" s="180"/>
      <c r="Y307" s="47"/>
      <c r="Z307" s="47"/>
      <c r="AA307" s="47"/>
      <c r="AB307" s="52"/>
      <c r="AC307" s="52"/>
      <c r="AD307" s="52"/>
      <c r="AE307" s="52"/>
      <c r="AG307" s="103"/>
      <c r="AH307" s="111"/>
      <c r="AI307" s="111"/>
      <c r="AJ307" s="47"/>
      <c r="AL307" s="47"/>
      <c r="AM307" s="47"/>
      <c r="AN307" s="47"/>
      <c r="AP307" s="47"/>
      <c r="AQ307" s="47"/>
      <c r="AS307" s="250"/>
      <c r="AT307" s="67"/>
      <c r="AU307" s="67"/>
    </row>
    <row r="308" spans="2:47" s="25" customFormat="1" ht="12.75" customHeight="1" x14ac:dyDescent="0.3">
      <c r="B308" s="47"/>
      <c r="C308" s="47"/>
      <c r="D308" s="47"/>
      <c r="E308" s="47"/>
      <c r="F308" s="47"/>
      <c r="G308" s="47"/>
      <c r="H308" s="47"/>
      <c r="I308" s="107"/>
      <c r="K308" s="245"/>
      <c r="M308" s="246"/>
      <c r="N308" s="247"/>
      <c r="O308" s="248"/>
      <c r="Q308" s="249"/>
      <c r="R308" s="47"/>
      <c r="S308" s="47"/>
      <c r="T308" s="47"/>
      <c r="U308" s="47"/>
      <c r="V308" s="47"/>
      <c r="X308" s="180"/>
      <c r="Y308" s="47"/>
      <c r="Z308" s="47"/>
      <c r="AA308" s="47"/>
      <c r="AB308" s="52"/>
      <c r="AC308" s="52"/>
      <c r="AD308" s="52"/>
      <c r="AE308" s="52"/>
      <c r="AG308" s="103"/>
      <c r="AH308" s="111"/>
      <c r="AI308" s="111"/>
      <c r="AJ308" s="47"/>
      <c r="AL308" s="47"/>
      <c r="AM308" s="47"/>
      <c r="AN308" s="47"/>
      <c r="AP308" s="47"/>
      <c r="AQ308" s="47"/>
      <c r="AS308" s="250"/>
      <c r="AT308" s="67"/>
      <c r="AU308" s="67"/>
    </row>
    <row r="309" spans="2:47" s="25" customFormat="1" ht="12.75" customHeight="1" x14ac:dyDescent="0.3">
      <c r="B309" s="47"/>
      <c r="C309" s="47"/>
      <c r="D309" s="47"/>
      <c r="E309" s="47"/>
      <c r="F309" s="47"/>
      <c r="G309" s="47"/>
      <c r="H309" s="47"/>
      <c r="I309" s="107"/>
      <c r="K309" s="245"/>
      <c r="M309" s="246"/>
      <c r="N309" s="247"/>
      <c r="O309" s="248"/>
      <c r="Q309" s="249"/>
      <c r="R309" s="47"/>
      <c r="S309" s="47"/>
      <c r="T309" s="47"/>
      <c r="U309" s="47"/>
      <c r="V309" s="47"/>
      <c r="X309" s="180"/>
      <c r="Y309" s="47"/>
      <c r="Z309" s="47"/>
      <c r="AA309" s="47"/>
      <c r="AB309" s="52"/>
      <c r="AC309" s="52"/>
      <c r="AD309" s="52"/>
      <c r="AE309" s="52"/>
      <c r="AG309" s="103"/>
      <c r="AH309" s="111"/>
      <c r="AI309" s="111"/>
      <c r="AJ309" s="47"/>
      <c r="AL309" s="47"/>
      <c r="AM309" s="47"/>
      <c r="AN309" s="47"/>
      <c r="AP309" s="47"/>
      <c r="AQ309" s="47"/>
      <c r="AS309" s="250"/>
      <c r="AT309" s="67"/>
      <c r="AU309" s="67"/>
    </row>
    <row r="310" spans="2:47" s="25" customFormat="1" ht="12.75" customHeight="1" x14ac:dyDescent="0.3">
      <c r="B310" s="47"/>
      <c r="C310" s="47"/>
      <c r="D310" s="47"/>
      <c r="E310" s="47"/>
      <c r="F310" s="47"/>
      <c r="G310" s="47"/>
      <c r="H310" s="47"/>
      <c r="I310" s="107"/>
      <c r="K310" s="245"/>
      <c r="M310" s="246"/>
      <c r="N310" s="247"/>
      <c r="O310" s="248"/>
      <c r="Q310" s="249"/>
      <c r="R310" s="47"/>
      <c r="S310" s="47"/>
      <c r="T310" s="47"/>
      <c r="U310" s="47"/>
      <c r="V310" s="47"/>
      <c r="X310" s="180"/>
      <c r="Y310" s="47"/>
      <c r="Z310" s="47"/>
      <c r="AA310" s="47"/>
      <c r="AB310" s="52"/>
      <c r="AC310" s="52"/>
      <c r="AD310" s="52"/>
      <c r="AE310" s="52"/>
      <c r="AG310" s="103"/>
      <c r="AH310" s="111"/>
      <c r="AI310" s="111"/>
      <c r="AJ310" s="47"/>
      <c r="AL310" s="47"/>
      <c r="AM310" s="47"/>
      <c r="AN310" s="47"/>
      <c r="AP310" s="47"/>
      <c r="AQ310" s="47"/>
      <c r="AS310" s="250"/>
      <c r="AT310" s="67"/>
      <c r="AU310" s="67"/>
    </row>
    <row r="311" spans="2:47" s="25" customFormat="1" ht="12.75" customHeight="1" x14ac:dyDescent="0.3">
      <c r="B311" s="47"/>
      <c r="C311" s="47"/>
      <c r="D311" s="47"/>
      <c r="E311" s="47"/>
      <c r="F311" s="47"/>
      <c r="G311" s="47"/>
      <c r="H311" s="47"/>
      <c r="I311" s="107"/>
      <c r="K311" s="245"/>
      <c r="M311" s="246"/>
      <c r="N311" s="247"/>
      <c r="O311" s="248"/>
      <c r="Q311" s="249"/>
      <c r="R311" s="47"/>
      <c r="S311" s="47"/>
      <c r="T311" s="47"/>
      <c r="U311" s="47"/>
      <c r="V311" s="47"/>
      <c r="X311" s="180"/>
      <c r="Y311" s="47"/>
      <c r="Z311" s="47"/>
      <c r="AA311" s="47"/>
      <c r="AB311" s="52"/>
      <c r="AC311" s="52"/>
      <c r="AD311" s="52"/>
      <c r="AE311" s="52"/>
      <c r="AG311" s="103"/>
      <c r="AH311" s="111"/>
      <c r="AI311" s="111"/>
      <c r="AJ311" s="47"/>
      <c r="AL311" s="47"/>
      <c r="AM311" s="47"/>
      <c r="AN311" s="47"/>
      <c r="AP311" s="47"/>
      <c r="AQ311" s="47"/>
      <c r="AS311" s="250"/>
      <c r="AT311" s="67"/>
      <c r="AU311" s="67"/>
    </row>
    <row r="312" spans="2:47" s="25" customFormat="1" ht="12.75" customHeight="1" x14ac:dyDescent="0.3">
      <c r="B312" s="47"/>
      <c r="C312" s="47"/>
      <c r="D312" s="47"/>
      <c r="E312" s="47"/>
      <c r="F312" s="47"/>
      <c r="G312" s="47"/>
      <c r="H312" s="47"/>
      <c r="I312" s="107"/>
      <c r="K312" s="245"/>
      <c r="M312" s="246"/>
      <c r="N312" s="247"/>
      <c r="O312" s="248"/>
      <c r="Q312" s="249"/>
      <c r="R312" s="47"/>
      <c r="S312" s="47"/>
      <c r="T312" s="47"/>
      <c r="U312" s="47"/>
      <c r="V312" s="47"/>
      <c r="X312" s="180"/>
      <c r="Y312" s="47"/>
      <c r="Z312" s="47"/>
      <c r="AA312" s="47"/>
      <c r="AB312" s="52"/>
      <c r="AC312" s="52"/>
      <c r="AD312" s="52"/>
      <c r="AE312" s="52"/>
      <c r="AG312" s="103"/>
      <c r="AH312" s="111"/>
      <c r="AI312" s="111"/>
      <c r="AJ312" s="47"/>
      <c r="AL312" s="47"/>
      <c r="AM312" s="47"/>
      <c r="AN312" s="47"/>
      <c r="AP312" s="47"/>
      <c r="AQ312" s="47"/>
      <c r="AS312" s="250"/>
      <c r="AT312" s="67"/>
      <c r="AU312" s="67"/>
    </row>
    <row r="313" spans="2:47" s="25" customFormat="1" ht="12.75" customHeight="1" x14ac:dyDescent="0.3">
      <c r="B313" s="47"/>
      <c r="C313" s="47"/>
      <c r="D313" s="47"/>
      <c r="E313" s="47"/>
      <c r="F313" s="47"/>
      <c r="G313" s="47"/>
      <c r="H313" s="47"/>
      <c r="I313" s="107"/>
      <c r="K313" s="245"/>
      <c r="M313" s="246"/>
      <c r="N313" s="247"/>
      <c r="O313" s="248"/>
      <c r="Q313" s="249"/>
      <c r="R313" s="47"/>
      <c r="S313" s="47"/>
      <c r="T313" s="47"/>
      <c r="U313" s="47"/>
      <c r="V313" s="47"/>
      <c r="X313" s="180"/>
      <c r="Y313" s="47"/>
      <c r="Z313" s="47"/>
      <c r="AA313" s="47"/>
      <c r="AB313" s="52"/>
      <c r="AC313" s="52"/>
      <c r="AD313" s="52"/>
      <c r="AE313" s="52"/>
      <c r="AG313" s="103"/>
      <c r="AH313" s="111"/>
      <c r="AI313" s="111"/>
      <c r="AJ313" s="47"/>
      <c r="AL313" s="47"/>
      <c r="AM313" s="47"/>
      <c r="AN313" s="47"/>
      <c r="AP313" s="47"/>
      <c r="AQ313" s="47"/>
      <c r="AS313" s="250"/>
      <c r="AT313" s="67"/>
      <c r="AU313" s="67"/>
    </row>
    <row r="314" spans="2:47" s="25" customFormat="1" ht="12.75" customHeight="1" x14ac:dyDescent="0.3">
      <c r="B314" s="47"/>
      <c r="C314" s="47"/>
      <c r="D314" s="47"/>
      <c r="E314" s="47"/>
      <c r="F314" s="47"/>
      <c r="G314" s="47"/>
      <c r="H314" s="47"/>
      <c r="I314" s="107"/>
      <c r="K314" s="245"/>
      <c r="M314" s="246"/>
      <c r="N314" s="247"/>
      <c r="O314" s="248"/>
      <c r="Q314" s="249"/>
      <c r="R314" s="47"/>
      <c r="S314" s="47"/>
      <c r="T314" s="47"/>
      <c r="U314" s="47"/>
      <c r="V314" s="47"/>
      <c r="X314" s="180"/>
      <c r="Y314" s="47"/>
      <c r="Z314" s="47"/>
      <c r="AA314" s="47"/>
      <c r="AB314" s="52"/>
      <c r="AC314" s="52"/>
      <c r="AD314" s="52"/>
      <c r="AE314" s="52"/>
      <c r="AG314" s="103"/>
      <c r="AH314" s="111"/>
      <c r="AI314" s="111"/>
      <c r="AJ314" s="47"/>
      <c r="AL314" s="47"/>
      <c r="AM314" s="47"/>
      <c r="AN314" s="47"/>
      <c r="AP314" s="47"/>
      <c r="AQ314" s="47"/>
      <c r="AS314" s="250"/>
      <c r="AT314" s="67"/>
      <c r="AU314" s="67"/>
    </row>
    <row r="315" spans="2:47" s="25" customFormat="1" ht="12.75" customHeight="1" x14ac:dyDescent="0.3">
      <c r="B315" s="47"/>
      <c r="C315" s="47"/>
      <c r="D315" s="47"/>
      <c r="E315" s="47"/>
      <c r="F315" s="47"/>
      <c r="G315" s="47"/>
      <c r="H315" s="47"/>
      <c r="I315" s="107"/>
      <c r="K315" s="245"/>
      <c r="M315" s="246"/>
      <c r="N315" s="247"/>
      <c r="O315" s="248"/>
      <c r="Q315" s="249"/>
      <c r="R315" s="47"/>
      <c r="S315" s="47"/>
      <c r="T315" s="47"/>
      <c r="U315" s="47"/>
      <c r="V315" s="47"/>
      <c r="X315" s="180"/>
      <c r="Y315" s="47"/>
      <c r="Z315" s="47"/>
      <c r="AA315" s="47"/>
      <c r="AB315" s="52"/>
      <c r="AC315" s="52"/>
      <c r="AD315" s="52"/>
      <c r="AE315" s="52"/>
      <c r="AG315" s="103"/>
      <c r="AH315" s="111"/>
      <c r="AI315" s="111"/>
      <c r="AJ315" s="47"/>
      <c r="AL315" s="47"/>
      <c r="AM315" s="47"/>
      <c r="AN315" s="47"/>
      <c r="AP315" s="47"/>
      <c r="AQ315" s="47"/>
      <c r="AS315" s="250"/>
      <c r="AT315" s="67"/>
      <c r="AU315" s="67"/>
    </row>
    <row r="316" spans="2:47" s="25" customFormat="1" ht="12.75" customHeight="1" x14ac:dyDescent="0.3">
      <c r="B316" s="47"/>
      <c r="C316" s="47"/>
      <c r="D316" s="47"/>
      <c r="E316" s="47"/>
      <c r="F316" s="47"/>
      <c r="G316" s="47"/>
      <c r="H316" s="47"/>
      <c r="I316" s="107"/>
      <c r="K316" s="245"/>
      <c r="M316" s="246"/>
      <c r="N316" s="247"/>
      <c r="O316" s="248"/>
      <c r="Q316" s="249"/>
      <c r="R316" s="47"/>
      <c r="S316" s="47"/>
      <c r="T316" s="47"/>
      <c r="U316" s="47"/>
      <c r="V316" s="47"/>
      <c r="X316" s="180"/>
      <c r="Y316" s="47"/>
      <c r="Z316" s="47"/>
      <c r="AA316" s="47"/>
      <c r="AB316" s="52"/>
      <c r="AC316" s="52"/>
      <c r="AD316" s="52"/>
      <c r="AE316" s="52"/>
      <c r="AG316" s="103"/>
      <c r="AH316" s="111"/>
      <c r="AI316" s="111"/>
      <c r="AJ316" s="47"/>
      <c r="AL316" s="47"/>
      <c r="AM316" s="47"/>
      <c r="AN316" s="47"/>
      <c r="AP316" s="47"/>
      <c r="AQ316" s="47"/>
      <c r="AS316" s="250"/>
      <c r="AT316" s="67"/>
      <c r="AU316" s="67"/>
    </row>
    <row r="317" spans="2:47" s="25" customFormat="1" ht="12.75" customHeight="1" x14ac:dyDescent="0.3">
      <c r="B317" s="47"/>
      <c r="C317" s="47"/>
      <c r="D317" s="47"/>
      <c r="E317" s="47"/>
      <c r="F317" s="47"/>
      <c r="G317" s="47"/>
      <c r="H317" s="47"/>
      <c r="I317" s="107"/>
      <c r="K317" s="245"/>
      <c r="M317" s="246"/>
      <c r="N317" s="247"/>
      <c r="O317" s="248"/>
      <c r="Q317" s="249"/>
      <c r="R317" s="47"/>
      <c r="S317" s="47"/>
      <c r="T317" s="47"/>
      <c r="U317" s="47"/>
      <c r="V317" s="47"/>
      <c r="X317" s="180"/>
      <c r="Y317" s="47"/>
      <c r="Z317" s="47"/>
      <c r="AA317" s="47"/>
      <c r="AB317" s="52"/>
      <c r="AC317" s="52"/>
      <c r="AD317" s="52"/>
      <c r="AE317" s="52"/>
      <c r="AG317" s="103"/>
      <c r="AH317" s="111"/>
      <c r="AI317" s="111"/>
      <c r="AJ317" s="47"/>
      <c r="AL317" s="47"/>
      <c r="AM317" s="47"/>
      <c r="AN317" s="47"/>
      <c r="AP317" s="47"/>
      <c r="AQ317" s="47"/>
      <c r="AS317" s="250"/>
      <c r="AT317" s="67"/>
      <c r="AU317" s="67"/>
    </row>
    <row r="318" spans="2:47" s="25" customFormat="1" ht="12.75" customHeight="1" x14ac:dyDescent="0.3">
      <c r="B318" s="47"/>
      <c r="C318" s="47"/>
      <c r="D318" s="47"/>
      <c r="E318" s="47"/>
      <c r="F318" s="47"/>
      <c r="G318" s="47"/>
      <c r="H318" s="47"/>
      <c r="I318" s="107"/>
      <c r="K318" s="245"/>
      <c r="M318" s="246"/>
      <c r="N318" s="247"/>
      <c r="O318" s="248"/>
      <c r="Q318" s="249"/>
      <c r="R318" s="47"/>
      <c r="S318" s="47"/>
      <c r="T318" s="47"/>
      <c r="U318" s="47"/>
      <c r="V318" s="47"/>
      <c r="X318" s="180"/>
      <c r="Y318" s="47"/>
      <c r="Z318" s="47"/>
      <c r="AA318" s="47"/>
      <c r="AB318" s="52"/>
      <c r="AC318" s="52"/>
      <c r="AD318" s="52"/>
      <c r="AE318" s="52"/>
      <c r="AG318" s="103"/>
      <c r="AH318" s="111"/>
      <c r="AI318" s="111"/>
      <c r="AJ318" s="47"/>
      <c r="AL318" s="47"/>
      <c r="AM318" s="47"/>
      <c r="AN318" s="47"/>
      <c r="AP318" s="47"/>
      <c r="AQ318" s="47"/>
      <c r="AS318" s="250"/>
      <c r="AT318" s="67"/>
      <c r="AU318" s="67"/>
    </row>
    <row r="319" spans="2:47" s="25" customFormat="1" ht="12.75" customHeight="1" x14ac:dyDescent="0.3">
      <c r="B319" s="47"/>
      <c r="C319" s="47"/>
      <c r="D319" s="47"/>
      <c r="E319" s="47"/>
      <c r="F319" s="47"/>
      <c r="G319" s="47"/>
      <c r="H319" s="47"/>
      <c r="I319" s="107"/>
      <c r="K319" s="245"/>
      <c r="M319" s="246"/>
      <c r="N319" s="247"/>
      <c r="O319" s="248"/>
      <c r="Q319" s="249"/>
      <c r="R319" s="47"/>
      <c r="S319" s="47"/>
      <c r="T319" s="47"/>
      <c r="U319" s="47"/>
      <c r="V319" s="47"/>
      <c r="X319" s="180"/>
      <c r="Y319" s="47"/>
      <c r="Z319" s="47"/>
      <c r="AA319" s="47"/>
      <c r="AB319" s="52"/>
      <c r="AC319" s="52"/>
      <c r="AD319" s="52"/>
      <c r="AE319" s="52"/>
      <c r="AG319" s="103"/>
      <c r="AH319" s="111"/>
      <c r="AI319" s="111"/>
      <c r="AJ319" s="47"/>
      <c r="AL319" s="47"/>
      <c r="AM319" s="47"/>
      <c r="AN319" s="47"/>
      <c r="AP319" s="47"/>
      <c r="AQ319" s="47"/>
      <c r="AS319" s="250"/>
      <c r="AT319" s="67"/>
      <c r="AU319" s="67"/>
    </row>
    <row r="320" spans="2:47" s="25" customFormat="1" ht="12.75" customHeight="1" x14ac:dyDescent="0.3">
      <c r="B320" s="47"/>
      <c r="C320" s="47"/>
      <c r="D320" s="47"/>
      <c r="E320" s="47"/>
      <c r="F320" s="47"/>
      <c r="G320" s="47"/>
      <c r="H320" s="47"/>
      <c r="I320" s="107"/>
      <c r="K320" s="245"/>
      <c r="M320" s="246"/>
      <c r="N320" s="247"/>
      <c r="O320" s="248"/>
      <c r="Q320" s="249"/>
      <c r="R320" s="47"/>
      <c r="S320" s="47"/>
      <c r="T320" s="47"/>
      <c r="U320" s="47"/>
      <c r="V320" s="47"/>
      <c r="X320" s="180"/>
      <c r="Y320" s="47"/>
      <c r="Z320" s="47"/>
      <c r="AA320" s="47"/>
      <c r="AB320" s="52"/>
      <c r="AC320" s="52"/>
      <c r="AD320" s="52"/>
      <c r="AE320" s="52"/>
      <c r="AG320" s="103"/>
      <c r="AH320" s="111"/>
      <c r="AI320" s="111"/>
      <c r="AJ320" s="47"/>
      <c r="AL320" s="47"/>
      <c r="AM320" s="47"/>
      <c r="AN320" s="47"/>
      <c r="AP320" s="47"/>
      <c r="AQ320" s="47"/>
      <c r="AS320" s="250"/>
      <c r="AT320" s="67"/>
      <c r="AU320" s="67"/>
    </row>
    <row r="321" spans="2:47" s="25" customFormat="1" ht="12.75" customHeight="1" x14ac:dyDescent="0.3">
      <c r="B321" s="47"/>
      <c r="C321" s="47"/>
      <c r="D321" s="47"/>
      <c r="E321" s="47"/>
      <c r="F321" s="47"/>
      <c r="G321" s="47"/>
      <c r="H321" s="47"/>
      <c r="I321" s="107"/>
      <c r="K321" s="245"/>
      <c r="M321" s="246"/>
      <c r="N321" s="247"/>
      <c r="O321" s="248"/>
      <c r="Q321" s="249"/>
      <c r="R321" s="47"/>
      <c r="S321" s="47"/>
      <c r="T321" s="47"/>
      <c r="U321" s="47"/>
      <c r="V321" s="47"/>
      <c r="X321" s="180"/>
      <c r="Y321" s="47"/>
      <c r="Z321" s="47"/>
      <c r="AA321" s="47"/>
      <c r="AB321" s="52"/>
      <c r="AC321" s="52"/>
      <c r="AD321" s="52"/>
      <c r="AE321" s="52"/>
      <c r="AG321" s="103"/>
      <c r="AH321" s="111"/>
      <c r="AI321" s="111"/>
      <c r="AJ321" s="47"/>
      <c r="AL321" s="47"/>
      <c r="AM321" s="47"/>
      <c r="AN321" s="47"/>
      <c r="AP321" s="47"/>
      <c r="AQ321" s="47"/>
      <c r="AS321" s="250"/>
      <c r="AT321" s="67"/>
      <c r="AU321" s="67"/>
    </row>
    <row r="322" spans="2:47" s="25" customFormat="1" ht="12.75" customHeight="1" x14ac:dyDescent="0.3">
      <c r="B322" s="47"/>
      <c r="C322" s="47"/>
      <c r="D322" s="47"/>
      <c r="E322" s="47"/>
      <c r="F322" s="47"/>
      <c r="G322" s="47"/>
      <c r="H322" s="47"/>
      <c r="I322" s="107"/>
      <c r="K322" s="245"/>
      <c r="M322" s="246"/>
      <c r="N322" s="247"/>
      <c r="O322" s="248"/>
      <c r="Q322" s="249"/>
      <c r="R322" s="47"/>
      <c r="S322" s="47"/>
      <c r="T322" s="47"/>
      <c r="U322" s="47"/>
      <c r="V322" s="47"/>
      <c r="X322" s="180"/>
      <c r="Y322" s="47"/>
      <c r="Z322" s="47"/>
      <c r="AA322" s="47"/>
      <c r="AB322" s="52"/>
      <c r="AC322" s="52"/>
      <c r="AD322" s="52"/>
      <c r="AE322" s="52"/>
      <c r="AG322" s="103"/>
      <c r="AH322" s="111"/>
      <c r="AI322" s="111"/>
      <c r="AJ322" s="47"/>
      <c r="AL322" s="47"/>
      <c r="AM322" s="47"/>
      <c r="AN322" s="47"/>
      <c r="AP322" s="47"/>
      <c r="AQ322" s="47"/>
      <c r="AS322" s="250"/>
      <c r="AT322" s="67"/>
      <c r="AU322" s="67"/>
    </row>
    <row r="323" spans="2:47" s="25" customFormat="1" ht="12.75" customHeight="1" x14ac:dyDescent="0.3">
      <c r="B323" s="47"/>
      <c r="C323" s="47"/>
      <c r="D323" s="47"/>
      <c r="E323" s="47"/>
      <c r="F323" s="47"/>
      <c r="G323" s="47"/>
      <c r="H323" s="47"/>
      <c r="I323" s="107"/>
      <c r="K323" s="245"/>
      <c r="M323" s="246"/>
      <c r="N323" s="247"/>
      <c r="O323" s="248"/>
      <c r="Q323" s="249"/>
      <c r="R323" s="47"/>
      <c r="S323" s="47"/>
      <c r="T323" s="47"/>
      <c r="U323" s="47"/>
      <c r="V323" s="47"/>
      <c r="X323" s="180"/>
      <c r="Y323" s="47"/>
      <c r="Z323" s="47"/>
      <c r="AA323" s="47"/>
      <c r="AB323" s="52"/>
      <c r="AC323" s="52"/>
      <c r="AD323" s="52"/>
      <c r="AE323" s="52"/>
      <c r="AG323" s="103"/>
      <c r="AH323" s="111"/>
      <c r="AI323" s="111"/>
      <c r="AJ323" s="47"/>
      <c r="AL323" s="47"/>
      <c r="AM323" s="47"/>
      <c r="AN323" s="47"/>
      <c r="AP323" s="47"/>
      <c r="AQ323" s="47"/>
      <c r="AS323" s="250"/>
      <c r="AT323" s="67"/>
      <c r="AU323" s="67"/>
    </row>
    <row r="324" spans="2:47" s="25" customFormat="1" ht="12.75" customHeight="1" x14ac:dyDescent="0.3">
      <c r="B324" s="47"/>
      <c r="C324" s="47"/>
      <c r="D324" s="47"/>
      <c r="E324" s="47"/>
      <c r="F324" s="47"/>
      <c r="G324" s="47"/>
      <c r="H324" s="47"/>
      <c r="I324" s="107"/>
      <c r="K324" s="245"/>
      <c r="M324" s="246"/>
      <c r="N324" s="247"/>
      <c r="O324" s="248"/>
      <c r="Q324" s="249"/>
      <c r="R324" s="47"/>
      <c r="S324" s="47"/>
      <c r="T324" s="47"/>
      <c r="U324" s="47"/>
      <c r="V324" s="47"/>
      <c r="X324" s="180"/>
      <c r="Y324" s="47"/>
      <c r="Z324" s="47"/>
      <c r="AA324" s="47"/>
      <c r="AB324" s="52"/>
      <c r="AC324" s="52"/>
      <c r="AD324" s="52"/>
      <c r="AE324" s="52"/>
      <c r="AG324" s="103"/>
      <c r="AH324" s="111"/>
      <c r="AI324" s="111"/>
      <c r="AJ324" s="47"/>
      <c r="AL324" s="47"/>
      <c r="AM324" s="47"/>
      <c r="AN324" s="47"/>
      <c r="AP324" s="47"/>
      <c r="AQ324" s="47"/>
      <c r="AS324" s="250"/>
      <c r="AT324" s="67"/>
      <c r="AU324" s="67"/>
    </row>
    <row r="325" spans="2:47" s="25" customFormat="1" ht="12.75" customHeight="1" x14ac:dyDescent="0.3">
      <c r="B325" s="47"/>
      <c r="C325" s="47"/>
      <c r="D325" s="47"/>
      <c r="E325" s="47"/>
      <c r="F325" s="47"/>
      <c r="G325" s="47"/>
      <c r="H325" s="47"/>
      <c r="I325" s="107"/>
      <c r="K325" s="245"/>
      <c r="M325" s="246"/>
      <c r="N325" s="247"/>
      <c r="O325" s="248"/>
      <c r="Q325" s="249"/>
      <c r="R325" s="47"/>
      <c r="S325" s="47"/>
      <c r="T325" s="47"/>
      <c r="U325" s="47"/>
      <c r="V325" s="47"/>
      <c r="X325" s="180"/>
      <c r="Y325" s="47"/>
      <c r="Z325" s="47"/>
      <c r="AA325" s="47"/>
      <c r="AB325" s="52"/>
      <c r="AC325" s="52"/>
      <c r="AD325" s="52"/>
      <c r="AE325" s="52"/>
      <c r="AG325" s="103"/>
      <c r="AH325" s="111"/>
      <c r="AI325" s="111"/>
      <c r="AJ325" s="47"/>
      <c r="AL325" s="47"/>
      <c r="AM325" s="47"/>
      <c r="AN325" s="47"/>
      <c r="AP325" s="47"/>
      <c r="AQ325" s="47"/>
      <c r="AS325" s="250"/>
      <c r="AT325" s="67"/>
      <c r="AU325" s="67"/>
    </row>
    <row r="326" spans="2:47" s="25" customFormat="1" ht="12.75" customHeight="1" x14ac:dyDescent="0.3">
      <c r="B326" s="47"/>
      <c r="C326" s="47"/>
      <c r="D326" s="47"/>
      <c r="E326" s="47"/>
      <c r="F326" s="47"/>
      <c r="G326" s="47"/>
      <c r="H326" s="47"/>
      <c r="I326" s="107"/>
      <c r="K326" s="245"/>
      <c r="M326" s="246"/>
      <c r="N326" s="247"/>
      <c r="O326" s="248"/>
      <c r="Q326" s="249"/>
      <c r="R326" s="47"/>
      <c r="S326" s="47"/>
      <c r="T326" s="47"/>
      <c r="U326" s="47"/>
      <c r="V326" s="47"/>
      <c r="X326" s="180"/>
      <c r="Y326" s="47"/>
      <c r="Z326" s="47"/>
      <c r="AA326" s="47"/>
      <c r="AB326" s="52"/>
      <c r="AC326" s="52"/>
      <c r="AD326" s="52"/>
      <c r="AE326" s="52"/>
      <c r="AG326" s="103"/>
      <c r="AH326" s="111"/>
      <c r="AI326" s="111"/>
      <c r="AJ326" s="47"/>
      <c r="AL326" s="47"/>
      <c r="AM326" s="47"/>
      <c r="AN326" s="47"/>
      <c r="AP326" s="47"/>
      <c r="AQ326" s="47"/>
      <c r="AS326" s="250"/>
      <c r="AT326" s="67"/>
      <c r="AU326" s="67"/>
    </row>
    <row r="327" spans="2:47" s="25" customFormat="1" ht="12.75" customHeight="1" x14ac:dyDescent="0.3">
      <c r="B327" s="47"/>
      <c r="C327" s="47"/>
      <c r="D327" s="47"/>
      <c r="E327" s="47"/>
      <c r="F327" s="47"/>
      <c r="G327" s="47"/>
      <c r="H327" s="47"/>
      <c r="I327" s="107"/>
      <c r="K327" s="245"/>
      <c r="M327" s="246"/>
      <c r="N327" s="247"/>
      <c r="O327" s="248"/>
      <c r="Q327" s="249"/>
      <c r="R327" s="47"/>
      <c r="S327" s="47"/>
      <c r="T327" s="47"/>
      <c r="U327" s="47"/>
      <c r="V327" s="47"/>
      <c r="X327" s="180"/>
      <c r="Y327" s="47"/>
      <c r="Z327" s="47"/>
      <c r="AA327" s="47"/>
      <c r="AB327" s="52"/>
      <c r="AC327" s="52"/>
      <c r="AD327" s="52"/>
      <c r="AE327" s="52"/>
      <c r="AG327" s="103"/>
      <c r="AH327" s="111"/>
      <c r="AI327" s="111"/>
      <c r="AJ327" s="47"/>
      <c r="AL327" s="47"/>
      <c r="AM327" s="47"/>
      <c r="AN327" s="47"/>
      <c r="AP327" s="47"/>
      <c r="AQ327" s="47"/>
      <c r="AS327" s="250"/>
      <c r="AT327" s="67"/>
      <c r="AU327" s="67"/>
    </row>
    <row r="328" spans="2:47" s="25" customFormat="1" ht="12.75" customHeight="1" x14ac:dyDescent="0.3">
      <c r="B328" s="47"/>
      <c r="C328" s="47"/>
      <c r="D328" s="47"/>
      <c r="E328" s="47"/>
      <c r="F328" s="47"/>
      <c r="G328" s="47"/>
      <c r="H328" s="47"/>
      <c r="I328" s="107"/>
      <c r="K328" s="245"/>
      <c r="M328" s="246"/>
      <c r="N328" s="247"/>
      <c r="O328" s="248"/>
      <c r="Q328" s="249"/>
      <c r="R328" s="47"/>
      <c r="S328" s="47"/>
      <c r="T328" s="47"/>
      <c r="U328" s="47"/>
      <c r="V328" s="47"/>
      <c r="X328" s="180"/>
      <c r="Y328" s="47"/>
      <c r="Z328" s="47"/>
      <c r="AA328" s="47"/>
      <c r="AB328" s="52"/>
      <c r="AC328" s="52"/>
      <c r="AD328" s="52"/>
      <c r="AE328" s="52"/>
      <c r="AG328" s="103"/>
      <c r="AH328" s="111"/>
      <c r="AI328" s="111"/>
      <c r="AJ328" s="47"/>
      <c r="AL328" s="47"/>
      <c r="AM328" s="47"/>
      <c r="AN328" s="47"/>
      <c r="AP328" s="47"/>
      <c r="AQ328" s="47"/>
      <c r="AS328" s="250"/>
      <c r="AT328" s="67"/>
      <c r="AU328" s="67"/>
    </row>
    <row r="329" spans="2:47" s="25" customFormat="1" ht="12.75" customHeight="1" x14ac:dyDescent="0.3">
      <c r="B329" s="47"/>
      <c r="C329" s="47"/>
      <c r="D329" s="47"/>
      <c r="E329" s="47"/>
      <c r="F329" s="47"/>
      <c r="G329" s="47"/>
      <c r="H329" s="47"/>
      <c r="I329" s="107"/>
      <c r="K329" s="245"/>
      <c r="M329" s="246"/>
      <c r="N329" s="247"/>
      <c r="O329" s="248"/>
      <c r="Q329" s="249"/>
      <c r="R329" s="47"/>
      <c r="S329" s="47"/>
      <c r="T329" s="47"/>
      <c r="U329" s="47"/>
      <c r="V329" s="47"/>
      <c r="X329" s="180"/>
      <c r="Y329" s="47"/>
      <c r="Z329" s="47"/>
      <c r="AA329" s="47"/>
      <c r="AB329" s="52"/>
      <c r="AC329" s="52"/>
      <c r="AD329" s="52"/>
      <c r="AE329" s="52"/>
      <c r="AG329" s="103"/>
      <c r="AH329" s="111"/>
      <c r="AI329" s="111"/>
      <c r="AJ329" s="47"/>
      <c r="AL329" s="47"/>
      <c r="AM329" s="47"/>
      <c r="AN329" s="47"/>
      <c r="AP329" s="47"/>
      <c r="AQ329" s="47"/>
      <c r="AS329" s="250"/>
      <c r="AT329" s="67"/>
      <c r="AU329" s="67"/>
    </row>
    <row r="330" spans="2:47" s="25" customFormat="1" ht="12.75" customHeight="1" x14ac:dyDescent="0.3">
      <c r="B330" s="47"/>
      <c r="C330" s="47"/>
      <c r="D330" s="47"/>
      <c r="E330" s="47"/>
      <c r="F330" s="47"/>
      <c r="G330" s="47"/>
      <c r="H330" s="47"/>
      <c r="I330" s="107"/>
      <c r="K330" s="245"/>
      <c r="M330" s="246"/>
      <c r="N330" s="247"/>
      <c r="O330" s="248"/>
      <c r="Q330" s="249"/>
      <c r="R330" s="47"/>
      <c r="S330" s="47"/>
      <c r="T330" s="47"/>
      <c r="U330" s="47"/>
      <c r="V330" s="47"/>
      <c r="X330" s="180"/>
      <c r="Y330" s="47"/>
      <c r="Z330" s="47"/>
      <c r="AA330" s="47"/>
      <c r="AB330" s="52"/>
      <c r="AC330" s="52"/>
      <c r="AD330" s="52"/>
      <c r="AE330" s="52"/>
      <c r="AG330" s="103"/>
      <c r="AH330" s="111"/>
      <c r="AI330" s="111"/>
      <c r="AJ330" s="47"/>
      <c r="AL330" s="47"/>
      <c r="AM330" s="47"/>
      <c r="AN330" s="47"/>
      <c r="AP330" s="47"/>
      <c r="AQ330" s="47"/>
      <c r="AS330" s="250"/>
      <c r="AT330" s="67"/>
      <c r="AU330" s="67"/>
    </row>
    <row r="331" spans="2:47" s="25" customFormat="1" ht="12.75" customHeight="1" x14ac:dyDescent="0.3">
      <c r="B331" s="47"/>
      <c r="C331" s="47"/>
      <c r="D331" s="47"/>
      <c r="E331" s="47"/>
      <c r="F331" s="47"/>
      <c r="G331" s="47"/>
      <c r="H331" s="47"/>
      <c r="I331" s="107"/>
      <c r="K331" s="245"/>
      <c r="M331" s="246"/>
      <c r="N331" s="247"/>
      <c r="O331" s="248"/>
      <c r="Q331" s="249"/>
      <c r="R331" s="47"/>
      <c r="S331" s="47"/>
      <c r="T331" s="47"/>
      <c r="U331" s="47"/>
      <c r="V331" s="47"/>
      <c r="X331" s="180"/>
      <c r="Y331" s="47"/>
      <c r="Z331" s="47"/>
      <c r="AA331" s="47"/>
      <c r="AB331" s="52"/>
      <c r="AC331" s="52"/>
      <c r="AD331" s="52"/>
      <c r="AE331" s="52"/>
      <c r="AG331" s="103"/>
      <c r="AH331" s="111"/>
      <c r="AI331" s="111"/>
      <c r="AJ331" s="47"/>
      <c r="AL331" s="47"/>
      <c r="AM331" s="47"/>
      <c r="AN331" s="47"/>
      <c r="AP331" s="47"/>
      <c r="AQ331" s="47"/>
      <c r="AS331" s="250"/>
      <c r="AT331" s="67"/>
      <c r="AU331" s="67"/>
    </row>
    <row r="332" spans="2:47" s="25" customFormat="1" ht="12.75" customHeight="1" x14ac:dyDescent="0.3">
      <c r="B332" s="47"/>
      <c r="C332" s="47"/>
      <c r="D332" s="47"/>
      <c r="E332" s="47"/>
      <c r="F332" s="47"/>
      <c r="G332" s="47"/>
      <c r="H332" s="47"/>
      <c r="I332" s="107"/>
      <c r="K332" s="245"/>
      <c r="M332" s="246"/>
      <c r="N332" s="247"/>
      <c r="O332" s="248"/>
      <c r="Q332" s="249"/>
      <c r="R332" s="47"/>
      <c r="S332" s="47"/>
      <c r="T332" s="47"/>
      <c r="U332" s="47"/>
      <c r="V332" s="47"/>
      <c r="X332" s="180"/>
      <c r="Y332" s="47"/>
      <c r="Z332" s="47"/>
      <c r="AA332" s="47"/>
      <c r="AB332" s="52"/>
      <c r="AC332" s="52"/>
      <c r="AD332" s="52"/>
      <c r="AE332" s="52"/>
      <c r="AG332" s="103"/>
      <c r="AH332" s="111"/>
      <c r="AI332" s="111"/>
      <c r="AJ332" s="47"/>
      <c r="AL332" s="47"/>
      <c r="AM332" s="47"/>
      <c r="AN332" s="47"/>
      <c r="AP332" s="47"/>
      <c r="AQ332" s="47"/>
      <c r="AS332" s="250"/>
      <c r="AT332" s="67"/>
      <c r="AU332" s="67"/>
    </row>
    <row r="333" spans="2:47" s="25" customFormat="1" ht="12.75" customHeight="1" x14ac:dyDescent="0.3">
      <c r="B333" s="47"/>
      <c r="C333" s="47"/>
      <c r="D333" s="47"/>
      <c r="E333" s="47"/>
      <c r="F333" s="47"/>
      <c r="G333" s="47"/>
      <c r="H333" s="47"/>
      <c r="I333" s="107"/>
      <c r="K333" s="245"/>
      <c r="M333" s="246"/>
      <c r="N333" s="247"/>
      <c r="O333" s="248"/>
      <c r="Q333" s="249"/>
      <c r="R333" s="47"/>
      <c r="S333" s="47"/>
      <c r="T333" s="47"/>
      <c r="U333" s="47"/>
      <c r="V333" s="47"/>
      <c r="X333" s="180"/>
      <c r="Y333" s="47"/>
      <c r="Z333" s="47"/>
      <c r="AA333" s="47"/>
      <c r="AB333" s="52"/>
      <c r="AC333" s="52"/>
      <c r="AD333" s="52"/>
      <c r="AE333" s="52"/>
      <c r="AG333" s="103"/>
      <c r="AH333" s="111"/>
      <c r="AI333" s="111"/>
      <c r="AJ333" s="47"/>
      <c r="AL333" s="47"/>
      <c r="AM333" s="47"/>
      <c r="AN333" s="47"/>
      <c r="AP333" s="47"/>
      <c r="AQ333" s="47"/>
      <c r="AS333" s="250"/>
      <c r="AT333" s="67"/>
      <c r="AU333" s="67"/>
    </row>
    <row r="334" spans="2:47" s="25" customFormat="1" ht="12.75" customHeight="1" x14ac:dyDescent="0.3">
      <c r="B334" s="47"/>
      <c r="C334" s="47"/>
      <c r="D334" s="47"/>
      <c r="E334" s="47"/>
      <c r="F334" s="47"/>
      <c r="G334" s="47"/>
      <c r="H334" s="47"/>
      <c r="I334" s="107"/>
      <c r="K334" s="245"/>
      <c r="M334" s="246"/>
      <c r="N334" s="247"/>
      <c r="O334" s="248"/>
      <c r="Q334" s="249"/>
      <c r="R334" s="47"/>
      <c r="S334" s="47"/>
      <c r="T334" s="47"/>
      <c r="U334" s="47"/>
      <c r="V334" s="47"/>
      <c r="X334" s="180"/>
      <c r="Y334" s="47"/>
      <c r="Z334" s="47"/>
      <c r="AA334" s="47"/>
      <c r="AB334" s="52"/>
      <c r="AC334" s="52"/>
      <c r="AD334" s="52"/>
      <c r="AE334" s="52"/>
      <c r="AG334" s="103"/>
      <c r="AH334" s="111"/>
      <c r="AI334" s="111"/>
      <c r="AJ334" s="47"/>
      <c r="AL334" s="47"/>
      <c r="AM334" s="47"/>
      <c r="AN334" s="47"/>
      <c r="AP334" s="47"/>
      <c r="AQ334" s="47"/>
      <c r="AS334" s="250"/>
      <c r="AT334" s="67"/>
      <c r="AU334" s="67"/>
    </row>
    <row r="335" spans="2:47" s="25" customFormat="1" ht="12.75" customHeight="1" x14ac:dyDescent="0.3">
      <c r="B335" s="47"/>
      <c r="C335" s="47"/>
      <c r="D335" s="47"/>
      <c r="E335" s="47"/>
      <c r="F335" s="47"/>
      <c r="G335" s="47"/>
      <c r="H335" s="47"/>
      <c r="I335" s="107"/>
      <c r="K335" s="245"/>
      <c r="M335" s="246"/>
      <c r="N335" s="247"/>
      <c r="O335" s="248"/>
      <c r="Q335" s="249"/>
      <c r="R335" s="47"/>
      <c r="S335" s="47"/>
      <c r="T335" s="47"/>
      <c r="U335" s="47"/>
      <c r="V335" s="47"/>
      <c r="X335" s="180"/>
      <c r="Y335" s="47"/>
      <c r="Z335" s="47"/>
      <c r="AA335" s="47"/>
      <c r="AB335" s="52"/>
      <c r="AC335" s="52"/>
      <c r="AD335" s="52"/>
      <c r="AE335" s="52"/>
      <c r="AG335" s="103"/>
      <c r="AH335" s="111"/>
      <c r="AI335" s="111"/>
      <c r="AJ335" s="47"/>
      <c r="AL335" s="47"/>
      <c r="AM335" s="47"/>
      <c r="AN335" s="47"/>
      <c r="AP335" s="47"/>
      <c r="AQ335" s="47"/>
      <c r="AS335" s="250"/>
      <c r="AT335" s="67"/>
      <c r="AU335" s="67"/>
    </row>
    <row r="336" spans="2:47" s="25" customFormat="1" ht="12.75" customHeight="1" x14ac:dyDescent="0.3">
      <c r="B336" s="47"/>
      <c r="C336" s="47"/>
      <c r="D336" s="47"/>
      <c r="E336" s="47"/>
      <c r="F336" s="47"/>
      <c r="G336" s="47"/>
      <c r="H336" s="47"/>
      <c r="I336" s="107"/>
      <c r="K336" s="245"/>
      <c r="M336" s="246"/>
      <c r="N336" s="247"/>
      <c r="O336" s="248"/>
      <c r="Q336" s="249"/>
      <c r="R336" s="47"/>
      <c r="S336" s="47"/>
      <c r="T336" s="47"/>
      <c r="U336" s="47"/>
      <c r="V336" s="47"/>
      <c r="X336" s="180"/>
      <c r="Y336" s="47"/>
      <c r="Z336" s="47"/>
      <c r="AA336" s="47"/>
      <c r="AB336" s="52"/>
      <c r="AC336" s="52"/>
      <c r="AD336" s="52"/>
      <c r="AE336" s="52"/>
      <c r="AG336" s="103"/>
      <c r="AH336" s="111"/>
      <c r="AI336" s="111"/>
      <c r="AJ336" s="47"/>
      <c r="AL336" s="47"/>
      <c r="AM336" s="47"/>
      <c r="AN336" s="47"/>
      <c r="AP336" s="47"/>
      <c r="AQ336" s="47"/>
      <c r="AS336" s="250"/>
      <c r="AT336" s="67"/>
      <c r="AU336" s="67"/>
    </row>
    <row r="337" spans="2:47" s="25" customFormat="1" ht="12.75" customHeight="1" x14ac:dyDescent="0.3">
      <c r="B337" s="47"/>
      <c r="C337" s="47"/>
      <c r="D337" s="47"/>
      <c r="E337" s="47"/>
      <c r="F337" s="47"/>
      <c r="G337" s="47"/>
      <c r="H337" s="47"/>
      <c r="I337" s="107"/>
      <c r="K337" s="245"/>
      <c r="M337" s="246"/>
      <c r="N337" s="247"/>
      <c r="O337" s="248"/>
      <c r="Q337" s="249"/>
      <c r="R337" s="47"/>
      <c r="S337" s="47"/>
      <c r="T337" s="47"/>
      <c r="U337" s="47"/>
      <c r="V337" s="47"/>
      <c r="X337" s="180"/>
      <c r="Y337" s="47"/>
      <c r="Z337" s="47"/>
      <c r="AA337" s="47"/>
      <c r="AB337" s="52"/>
      <c r="AC337" s="52"/>
      <c r="AD337" s="52"/>
      <c r="AE337" s="52"/>
      <c r="AG337" s="103"/>
      <c r="AH337" s="111"/>
      <c r="AI337" s="111"/>
      <c r="AJ337" s="47"/>
      <c r="AL337" s="47"/>
      <c r="AM337" s="47"/>
      <c r="AN337" s="47"/>
      <c r="AP337" s="47"/>
      <c r="AQ337" s="47"/>
      <c r="AS337" s="250"/>
      <c r="AT337" s="67"/>
      <c r="AU337" s="67"/>
    </row>
    <row r="338" spans="2:47" s="25" customFormat="1" ht="12.75" customHeight="1" x14ac:dyDescent="0.3">
      <c r="B338" s="47"/>
      <c r="C338" s="47"/>
      <c r="D338" s="47"/>
      <c r="E338" s="47"/>
      <c r="F338" s="47"/>
      <c r="G338" s="47"/>
      <c r="H338" s="47"/>
      <c r="I338" s="107"/>
      <c r="K338" s="245"/>
      <c r="M338" s="246"/>
      <c r="N338" s="247"/>
      <c r="O338" s="248"/>
      <c r="Q338" s="249"/>
      <c r="R338" s="47"/>
      <c r="S338" s="47"/>
      <c r="T338" s="47"/>
      <c r="U338" s="47"/>
      <c r="V338" s="47"/>
      <c r="X338" s="180"/>
      <c r="Y338" s="47"/>
      <c r="Z338" s="47"/>
      <c r="AA338" s="47"/>
      <c r="AB338" s="52"/>
      <c r="AC338" s="52"/>
      <c r="AD338" s="52"/>
      <c r="AE338" s="52"/>
      <c r="AG338" s="103"/>
      <c r="AH338" s="111"/>
      <c r="AI338" s="111"/>
      <c r="AJ338" s="47"/>
      <c r="AL338" s="47"/>
      <c r="AM338" s="47"/>
      <c r="AN338" s="47"/>
      <c r="AP338" s="47"/>
      <c r="AQ338" s="47"/>
      <c r="AS338" s="250"/>
      <c r="AT338" s="67"/>
      <c r="AU338" s="67"/>
    </row>
    <row r="339" spans="2:47" s="25" customFormat="1" ht="12.75" customHeight="1" x14ac:dyDescent="0.3">
      <c r="B339" s="47"/>
      <c r="C339" s="47"/>
      <c r="D339" s="47"/>
      <c r="E339" s="47"/>
      <c r="F339" s="47"/>
      <c r="G339" s="47"/>
      <c r="H339" s="47"/>
      <c r="I339" s="107"/>
      <c r="K339" s="245"/>
      <c r="M339" s="246"/>
      <c r="N339" s="247"/>
      <c r="O339" s="248"/>
      <c r="Q339" s="249"/>
      <c r="R339" s="47"/>
      <c r="S339" s="47"/>
      <c r="T339" s="47"/>
      <c r="U339" s="47"/>
      <c r="V339" s="47"/>
      <c r="X339" s="180"/>
      <c r="Y339" s="47"/>
      <c r="Z339" s="47"/>
      <c r="AA339" s="47"/>
      <c r="AB339" s="52"/>
      <c r="AC339" s="52"/>
      <c r="AD339" s="52"/>
      <c r="AE339" s="52"/>
      <c r="AG339" s="103"/>
      <c r="AH339" s="111"/>
      <c r="AI339" s="111"/>
      <c r="AJ339" s="47"/>
      <c r="AL339" s="47"/>
      <c r="AM339" s="47"/>
      <c r="AN339" s="47"/>
      <c r="AP339" s="47"/>
      <c r="AQ339" s="47"/>
      <c r="AS339" s="250"/>
      <c r="AT339" s="67"/>
      <c r="AU339" s="67"/>
    </row>
    <row r="340" spans="2:47" s="25" customFormat="1" ht="12.75" customHeight="1" x14ac:dyDescent="0.3">
      <c r="B340" s="47"/>
      <c r="C340" s="47"/>
      <c r="D340" s="47"/>
      <c r="E340" s="47"/>
      <c r="F340" s="47"/>
      <c r="G340" s="47"/>
      <c r="H340" s="47"/>
      <c r="I340" s="107"/>
      <c r="K340" s="245"/>
      <c r="M340" s="246"/>
      <c r="N340" s="247"/>
      <c r="O340" s="248"/>
      <c r="Q340" s="249"/>
      <c r="R340" s="47"/>
      <c r="S340" s="47"/>
      <c r="T340" s="47"/>
      <c r="U340" s="47"/>
      <c r="V340" s="47"/>
      <c r="X340" s="180"/>
      <c r="Y340" s="47"/>
      <c r="Z340" s="47"/>
      <c r="AA340" s="47"/>
      <c r="AB340" s="52"/>
      <c r="AC340" s="52"/>
      <c r="AD340" s="52"/>
      <c r="AE340" s="52"/>
      <c r="AG340" s="103"/>
      <c r="AH340" s="111"/>
      <c r="AI340" s="111"/>
      <c r="AJ340" s="47"/>
      <c r="AL340" s="47"/>
      <c r="AM340" s="47"/>
      <c r="AN340" s="47"/>
      <c r="AP340" s="47"/>
      <c r="AQ340" s="47"/>
      <c r="AS340" s="250"/>
      <c r="AT340" s="67"/>
      <c r="AU340" s="67"/>
    </row>
    <row r="341" spans="2:47" s="25" customFormat="1" ht="12.75" customHeight="1" x14ac:dyDescent="0.3">
      <c r="B341" s="47"/>
      <c r="C341" s="47"/>
      <c r="D341" s="47"/>
      <c r="E341" s="47"/>
      <c r="F341" s="47"/>
      <c r="G341" s="47"/>
      <c r="H341" s="47"/>
      <c r="I341" s="107"/>
      <c r="K341" s="245"/>
      <c r="M341" s="246"/>
      <c r="N341" s="247"/>
      <c r="O341" s="248"/>
      <c r="Q341" s="249"/>
      <c r="R341" s="47"/>
      <c r="S341" s="47"/>
      <c r="T341" s="47"/>
      <c r="U341" s="47"/>
      <c r="V341" s="47"/>
      <c r="X341" s="180"/>
      <c r="Y341" s="47"/>
      <c r="Z341" s="47"/>
      <c r="AA341" s="47"/>
      <c r="AB341" s="52"/>
      <c r="AC341" s="52"/>
      <c r="AD341" s="52"/>
      <c r="AE341" s="52"/>
      <c r="AG341" s="103"/>
      <c r="AH341" s="111"/>
      <c r="AI341" s="111"/>
      <c r="AJ341" s="47"/>
      <c r="AL341" s="47"/>
      <c r="AM341" s="47"/>
      <c r="AN341" s="47"/>
      <c r="AP341" s="47"/>
      <c r="AQ341" s="47"/>
      <c r="AS341" s="250"/>
      <c r="AT341" s="67"/>
      <c r="AU341" s="67"/>
    </row>
    <row r="342" spans="2:47" s="25" customFormat="1" ht="12.75" customHeight="1" x14ac:dyDescent="0.3">
      <c r="B342" s="47"/>
      <c r="C342" s="47"/>
      <c r="D342" s="47"/>
      <c r="E342" s="47"/>
      <c r="F342" s="47"/>
      <c r="G342" s="47"/>
      <c r="H342" s="47"/>
      <c r="I342" s="107"/>
      <c r="K342" s="245"/>
      <c r="M342" s="246"/>
      <c r="N342" s="247"/>
      <c r="O342" s="248"/>
      <c r="Q342" s="249"/>
      <c r="R342" s="47"/>
      <c r="S342" s="47"/>
      <c r="T342" s="47"/>
      <c r="U342" s="47"/>
      <c r="V342" s="47"/>
      <c r="X342" s="180"/>
      <c r="Y342" s="47"/>
      <c r="Z342" s="47"/>
      <c r="AA342" s="47"/>
      <c r="AB342" s="52"/>
      <c r="AC342" s="52"/>
      <c r="AD342" s="52"/>
      <c r="AE342" s="52"/>
      <c r="AG342" s="103"/>
      <c r="AH342" s="111"/>
      <c r="AI342" s="111"/>
      <c r="AJ342" s="47"/>
      <c r="AL342" s="47"/>
      <c r="AM342" s="47"/>
      <c r="AN342" s="47"/>
      <c r="AP342" s="47"/>
      <c r="AQ342" s="47"/>
      <c r="AS342" s="250"/>
      <c r="AT342" s="67"/>
      <c r="AU342" s="67"/>
    </row>
    <row r="343" spans="2:47" s="25" customFormat="1" ht="12.75" customHeight="1" x14ac:dyDescent="0.3">
      <c r="B343" s="47"/>
      <c r="C343" s="47"/>
      <c r="D343" s="47"/>
      <c r="E343" s="47"/>
      <c r="F343" s="47"/>
      <c r="G343" s="47"/>
      <c r="H343" s="47"/>
      <c r="I343" s="107"/>
      <c r="K343" s="245"/>
      <c r="M343" s="246"/>
      <c r="N343" s="247"/>
      <c r="O343" s="248"/>
      <c r="Q343" s="249"/>
      <c r="R343" s="47"/>
      <c r="S343" s="47"/>
      <c r="T343" s="47"/>
      <c r="U343" s="47"/>
      <c r="V343" s="47"/>
      <c r="X343" s="180"/>
      <c r="Y343" s="47"/>
      <c r="Z343" s="47"/>
      <c r="AA343" s="47"/>
      <c r="AB343" s="52"/>
      <c r="AC343" s="52"/>
      <c r="AD343" s="52"/>
      <c r="AE343" s="52"/>
      <c r="AG343" s="103"/>
      <c r="AH343" s="111"/>
      <c r="AI343" s="111"/>
      <c r="AJ343" s="47"/>
      <c r="AL343" s="47"/>
      <c r="AM343" s="47"/>
      <c r="AN343" s="47"/>
      <c r="AP343" s="47"/>
      <c r="AQ343" s="47"/>
      <c r="AS343" s="250"/>
      <c r="AT343" s="67"/>
      <c r="AU343" s="67"/>
    </row>
    <row r="344" spans="2:47" s="25" customFormat="1" ht="12.75" customHeight="1" x14ac:dyDescent="0.3">
      <c r="B344" s="47"/>
      <c r="C344" s="47"/>
      <c r="D344" s="47"/>
      <c r="E344" s="47"/>
      <c r="F344" s="47"/>
      <c r="G344" s="47"/>
      <c r="H344" s="47"/>
      <c r="I344" s="107"/>
      <c r="K344" s="245"/>
      <c r="M344" s="246"/>
      <c r="N344" s="247"/>
      <c r="O344" s="248"/>
      <c r="Q344" s="249"/>
      <c r="R344" s="47"/>
      <c r="S344" s="47"/>
      <c r="T344" s="47"/>
      <c r="U344" s="47"/>
      <c r="V344" s="47"/>
      <c r="X344" s="180"/>
      <c r="Y344" s="47"/>
      <c r="Z344" s="47"/>
      <c r="AA344" s="47"/>
      <c r="AB344" s="52"/>
      <c r="AC344" s="52"/>
      <c r="AD344" s="52"/>
      <c r="AE344" s="52"/>
      <c r="AG344" s="103"/>
      <c r="AH344" s="111"/>
      <c r="AI344" s="111"/>
      <c r="AJ344" s="47"/>
      <c r="AL344" s="47"/>
      <c r="AM344" s="47"/>
      <c r="AN344" s="47"/>
      <c r="AP344" s="47"/>
      <c r="AQ344" s="47"/>
      <c r="AS344" s="250"/>
      <c r="AT344" s="67"/>
      <c r="AU344" s="67"/>
    </row>
    <row r="345" spans="2:47" s="25" customFormat="1" ht="12.75" customHeight="1" x14ac:dyDescent="0.3">
      <c r="B345" s="47"/>
      <c r="C345" s="47"/>
      <c r="D345" s="47"/>
      <c r="E345" s="47"/>
      <c r="F345" s="47"/>
      <c r="G345" s="47"/>
      <c r="H345" s="47"/>
      <c r="I345" s="107"/>
      <c r="K345" s="245"/>
      <c r="M345" s="246"/>
      <c r="N345" s="247"/>
      <c r="O345" s="248"/>
      <c r="Q345" s="249"/>
      <c r="R345" s="47"/>
      <c r="S345" s="47"/>
      <c r="T345" s="47"/>
      <c r="U345" s="47"/>
      <c r="V345" s="47"/>
      <c r="X345" s="180"/>
      <c r="Y345" s="47"/>
      <c r="Z345" s="47"/>
      <c r="AA345" s="47"/>
      <c r="AB345" s="52"/>
      <c r="AC345" s="52"/>
      <c r="AD345" s="52"/>
      <c r="AE345" s="52"/>
      <c r="AG345" s="103"/>
      <c r="AH345" s="111"/>
      <c r="AI345" s="111"/>
      <c r="AJ345" s="47"/>
      <c r="AL345" s="47"/>
      <c r="AM345" s="47"/>
      <c r="AN345" s="47"/>
      <c r="AP345" s="47"/>
      <c r="AQ345" s="47"/>
      <c r="AS345" s="250"/>
      <c r="AT345" s="67"/>
      <c r="AU345" s="67"/>
    </row>
    <row r="346" spans="2:47" s="25" customFormat="1" ht="12.75" customHeight="1" x14ac:dyDescent="0.3">
      <c r="B346" s="47"/>
      <c r="C346" s="47"/>
      <c r="D346" s="47"/>
      <c r="E346" s="47"/>
      <c r="F346" s="47"/>
      <c r="G346" s="47"/>
      <c r="H346" s="47"/>
      <c r="I346" s="107"/>
      <c r="K346" s="245"/>
      <c r="M346" s="246"/>
      <c r="N346" s="247"/>
      <c r="O346" s="248"/>
      <c r="Q346" s="249"/>
      <c r="R346" s="47"/>
      <c r="S346" s="47"/>
      <c r="T346" s="47"/>
      <c r="U346" s="47"/>
      <c r="V346" s="47"/>
      <c r="X346" s="180"/>
      <c r="Y346" s="47"/>
      <c r="Z346" s="47"/>
      <c r="AA346" s="47"/>
      <c r="AB346" s="52"/>
      <c r="AC346" s="52"/>
      <c r="AD346" s="52"/>
      <c r="AE346" s="52"/>
      <c r="AG346" s="103"/>
      <c r="AH346" s="111"/>
      <c r="AI346" s="111"/>
      <c r="AJ346" s="47"/>
      <c r="AL346" s="47"/>
      <c r="AM346" s="47"/>
      <c r="AN346" s="47"/>
      <c r="AP346" s="47"/>
      <c r="AQ346" s="47"/>
      <c r="AS346" s="250"/>
      <c r="AT346" s="67"/>
      <c r="AU346" s="67"/>
    </row>
    <row r="347" spans="2:47" s="25" customFormat="1" ht="12.75" customHeight="1" x14ac:dyDescent="0.3">
      <c r="B347" s="47"/>
      <c r="C347" s="47"/>
      <c r="D347" s="47"/>
      <c r="E347" s="47"/>
      <c r="F347" s="47"/>
      <c r="G347" s="47"/>
      <c r="H347" s="47"/>
      <c r="I347" s="107"/>
      <c r="K347" s="245"/>
      <c r="M347" s="246"/>
      <c r="N347" s="247"/>
      <c r="O347" s="248"/>
      <c r="Q347" s="249"/>
      <c r="R347" s="47"/>
      <c r="S347" s="47"/>
      <c r="T347" s="47"/>
      <c r="U347" s="47"/>
      <c r="V347" s="47"/>
      <c r="X347" s="180"/>
      <c r="Y347" s="47"/>
      <c r="Z347" s="47"/>
      <c r="AA347" s="47"/>
      <c r="AB347" s="52"/>
      <c r="AC347" s="52"/>
      <c r="AD347" s="52"/>
      <c r="AE347" s="52"/>
      <c r="AG347" s="103"/>
      <c r="AH347" s="111"/>
      <c r="AI347" s="111"/>
      <c r="AJ347" s="47"/>
      <c r="AL347" s="47"/>
      <c r="AM347" s="47"/>
      <c r="AN347" s="47"/>
      <c r="AP347" s="47"/>
      <c r="AQ347" s="47"/>
      <c r="AS347" s="250"/>
      <c r="AT347" s="67"/>
      <c r="AU347" s="67"/>
    </row>
    <row r="348" spans="2:47" s="25" customFormat="1" ht="12.75" customHeight="1" x14ac:dyDescent="0.3">
      <c r="B348" s="47"/>
      <c r="C348" s="47"/>
      <c r="D348" s="47"/>
      <c r="E348" s="47"/>
      <c r="F348" s="47"/>
      <c r="G348" s="47"/>
      <c r="H348" s="47"/>
      <c r="I348" s="107"/>
      <c r="K348" s="245"/>
      <c r="M348" s="246"/>
      <c r="N348" s="247"/>
      <c r="O348" s="248"/>
      <c r="Q348" s="249"/>
      <c r="R348" s="47"/>
      <c r="S348" s="47"/>
      <c r="T348" s="47"/>
      <c r="U348" s="47"/>
      <c r="V348" s="47"/>
      <c r="X348" s="180"/>
      <c r="Y348" s="47"/>
      <c r="Z348" s="47"/>
      <c r="AA348" s="47"/>
      <c r="AB348" s="52"/>
      <c r="AC348" s="52"/>
      <c r="AD348" s="52"/>
      <c r="AE348" s="52"/>
      <c r="AG348" s="103"/>
      <c r="AH348" s="111"/>
      <c r="AI348" s="111"/>
      <c r="AJ348" s="47"/>
      <c r="AL348" s="47"/>
      <c r="AM348" s="47"/>
      <c r="AN348" s="47"/>
      <c r="AP348" s="47"/>
      <c r="AQ348" s="47"/>
      <c r="AS348" s="250"/>
      <c r="AT348" s="67"/>
      <c r="AU348" s="67"/>
    </row>
    <row r="349" spans="2:47" s="25" customFormat="1" ht="12.75" customHeight="1" x14ac:dyDescent="0.3">
      <c r="B349" s="47"/>
      <c r="C349" s="47"/>
      <c r="D349" s="47"/>
      <c r="E349" s="47"/>
      <c r="F349" s="47"/>
      <c r="G349" s="47"/>
      <c r="H349" s="47"/>
      <c r="I349" s="107"/>
      <c r="K349" s="245"/>
      <c r="M349" s="246"/>
      <c r="N349" s="247"/>
      <c r="O349" s="248"/>
      <c r="Q349" s="249"/>
      <c r="R349" s="47"/>
      <c r="S349" s="47"/>
      <c r="T349" s="47"/>
      <c r="U349" s="47"/>
      <c r="V349" s="47"/>
      <c r="X349" s="180"/>
      <c r="Y349" s="47"/>
      <c r="Z349" s="47"/>
      <c r="AA349" s="47"/>
      <c r="AB349" s="52"/>
      <c r="AC349" s="52"/>
      <c r="AD349" s="52"/>
      <c r="AE349" s="52"/>
      <c r="AG349" s="103"/>
      <c r="AH349" s="111"/>
      <c r="AI349" s="111"/>
      <c r="AJ349" s="47"/>
      <c r="AL349" s="47"/>
      <c r="AM349" s="47"/>
      <c r="AN349" s="47"/>
      <c r="AP349" s="47"/>
      <c r="AQ349" s="47"/>
      <c r="AS349" s="250"/>
      <c r="AT349" s="67"/>
      <c r="AU349" s="67"/>
    </row>
    <row r="350" spans="2:47" s="25" customFormat="1" ht="12.75" customHeight="1" x14ac:dyDescent="0.3">
      <c r="B350" s="47"/>
      <c r="C350" s="47"/>
      <c r="D350" s="47"/>
      <c r="E350" s="47"/>
      <c r="F350" s="47"/>
      <c r="G350" s="47"/>
      <c r="H350" s="47"/>
      <c r="I350" s="107"/>
      <c r="K350" s="245"/>
      <c r="M350" s="246"/>
      <c r="N350" s="247"/>
      <c r="O350" s="248"/>
      <c r="Q350" s="249"/>
      <c r="R350" s="47"/>
      <c r="S350" s="47"/>
      <c r="T350" s="47"/>
      <c r="U350" s="47"/>
      <c r="V350" s="47"/>
      <c r="X350" s="180"/>
      <c r="Y350" s="47"/>
      <c r="Z350" s="47"/>
      <c r="AA350" s="47"/>
      <c r="AB350" s="52"/>
      <c r="AC350" s="52"/>
      <c r="AD350" s="52"/>
      <c r="AE350" s="52"/>
      <c r="AG350" s="103"/>
      <c r="AH350" s="111"/>
      <c r="AI350" s="111"/>
      <c r="AJ350" s="47"/>
      <c r="AL350" s="47"/>
      <c r="AM350" s="47"/>
      <c r="AN350" s="47"/>
      <c r="AP350" s="47"/>
      <c r="AQ350" s="47"/>
      <c r="AS350" s="250"/>
      <c r="AT350" s="67"/>
      <c r="AU350" s="67"/>
    </row>
    <row r="351" spans="2:47" s="25" customFormat="1" ht="12.75" customHeight="1" x14ac:dyDescent="0.3">
      <c r="B351" s="47"/>
      <c r="C351" s="47"/>
      <c r="D351" s="47"/>
      <c r="E351" s="47"/>
      <c r="F351" s="47"/>
      <c r="G351" s="47"/>
      <c r="H351" s="47"/>
      <c r="I351" s="107"/>
      <c r="K351" s="245"/>
      <c r="M351" s="246"/>
      <c r="N351" s="247"/>
      <c r="O351" s="248"/>
      <c r="Q351" s="249"/>
      <c r="R351" s="47"/>
      <c r="S351" s="47"/>
      <c r="T351" s="47"/>
      <c r="U351" s="47"/>
      <c r="V351" s="47"/>
      <c r="X351" s="180"/>
      <c r="Y351" s="47"/>
      <c r="Z351" s="47"/>
      <c r="AA351" s="47"/>
      <c r="AB351" s="52"/>
      <c r="AC351" s="52"/>
      <c r="AD351" s="52"/>
      <c r="AE351" s="52"/>
      <c r="AG351" s="103"/>
      <c r="AH351" s="111"/>
      <c r="AI351" s="111"/>
      <c r="AJ351" s="47"/>
      <c r="AL351" s="47"/>
      <c r="AM351" s="47"/>
      <c r="AN351" s="47"/>
      <c r="AP351" s="47"/>
      <c r="AQ351" s="47"/>
      <c r="AS351" s="250"/>
      <c r="AT351" s="67"/>
      <c r="AU351" s="67"/>
    </row>
    <row r="352" spans="2:47" s="25" customFormat="1" ht="12.75" customHeight="1" x14ac:dyDescent="0.3">
      <c r="B352" s="47"/>
      <c r="C352" s="47"/>
      <c r="D352" s="47"/>
      <c r="E352" s="47"/>
      <c r="F352" s="47"/>
      <c r="G352" s="47"/>
      <c r="H352" s="47"/>
      <c r="I352" s="107"/>
      <c r="K352" s="245"/>
      <c r="M352" s="246"/>
      <c r="N352" s="247"/>
      <c r="O352" s="248"/>
      <c r="Q352" s="249"/>
      <c r="R352" s="47"/>
      <c r="S352" s="47"/>
      <c r="T352" s="47"/>
      <c r="U352" s="47"/>
      <c r="V352" s="47"/>
      <c r="X352" s="180"/>
      <c r="Y352" s="47"/>
      <c r="Z352" s="47"/>
      <c r="AA352" s="47"/>
      <c r="AB352" s="52"/>
      <c r="AC352" s="52"/>
      <c r="AD352" s="52"/>
      <c r="AE352" s="52"/>
      <c r="AG352" s="103"/>
      <c r="AH352" s="111"/>
      <c r="AI352" s="111"/>
      <c r="AJ352" s="47"/>
      <c r="AL352" s="47"/>
      <c r="AM352" s="47"/>
      <c r="AN352" s="47"/>
      <c r="AP352" s="47"/>
      <c r="AQ352" s="47"/>
      <c r="AS352" s="250"/>
      <c r="AT352" s="67"/>
      <c r="AU352" s="67"/>
    </row>
    <row r="353" spans="2:47" s="25" customFormat="1" ht="12.75" customHeight="1" x14ac:dyDescent="0.3">
      <c r="B353" s="47"/>
      <c r="C353" s="47"/>
      <c r="D353" s="47"/>
      <c r="E353" s="47"/>
      <c r="F353" s="47"/>
      <c r="G353" s="47"/>
      <c r="H353" s="47"/>
      <c r="I353" s="107"/>
      <c r="K353" s="245"/>
      <c r="M353" s="246"/>
      <c r="N353" s="247"/>
      <c r="O353" s="248"/>
      <c r="Q353" s="249"/>
      <c r="R353" s="47"/>
      <c r="S353" s="47"/>
      <c r="T353" s="47"/>
      <c r="U353" s="47"/>
      <c r="V353" s="47"/>
      <c r="X353" s="180"/>
      <c r="Y353" s="47"/>
      <c r="Z353" s="47"/>
      <c r="AA353" s="47"/>
      <c r="AB353" s="52"/>
      <c r="AC353" s="52"/>
      <c r="AD353" s="52"/>
      <c r="AE353" s="52"/>
      <c r="AG353" s="103"/>
      <c r="AH353" s="111"/>
      <c r="AI353" s="111"/>
      <c r="AJ353" s="47"/>
      <c r="AL353" s="47"/>
      <c r="AM353" s="47"/>
      <c r="AN353" s="47"/>
      <c r="AP353" s="47"/>
      <c r="AQ353" s="47"/>
      <c r="AS353" s="250"/>
      <c r="AT353" s="67"/>
      <c r="AU353" s="67"/>
    </row>
    <row r="354" spans="2:47" s="25" customFormat="1" ht="12.75" customHeight="1" x14ac:dyDescent="0.3">
      <c r="B354" s="47"/>
      <c r="C354" s="47"/>
      <c r="D354" s="47"/>
      <c r="E354" s="47"/>
      <c r="F354" s="47"/>
      <c r="G354" s="47"/>
      <c r="H354" s="47"/>
      <c r="I354" s="107"/>
      <c r="K354" s="245"/>
      <c r="M354" s="246"/>
      <c r="N354" s="247"/>
      <c r="O354" s="248"/>
      <c r="Q354" s="249"/>
      <c r="R354" s="47"/>
      <c r="S354" s="47"/>
      <c r="T354" s="47"/>
      <c r="U354" s="47"/>
      <c r="V354" s="47"/>
      <c r="X354" s="180"/>
      <c r="Y354" s="47"/>
      <c r="Z354" s="47"/>
      <c r="AA354" s="47"/>
      <c r="AB354" s="52"/>
      <c r="AC354" s="52"/>
      <c r="AD354" s="52"/>
      <c r="AE354" s="52"/>
      <c r="AG354" s="103"/>
      <c r="AH354" s="111"/>
      <c r="AI354" s="111"/>
      <c r="AJ354" s="47"/>
      <c r="AL354" s="47"/>
      <c r="AM354" s="47"/>
      <c r="AN354" s="47"/>
      <c r="AP354" s="47"/>
      <c r="AQ354" s="47"/>
      <c r="AS354" s="250"/>
      <c r="AT354" s="67"/>
      <c r="AU354" s="67"/>
    </row>
    <row r="355" spans="2:47" s="25" customFormat="1" ht="12.75" customHeight="1" x14ac:dyDescent="0.3">
      <c r="B355" s="47"/>
      <c r="C355" s="47"/>
      <c r="D355" s="47"/>
      <c r="E355" s="47"/>
      <c r="F355" s="47"/>
      <c r="G355" s="47"/>
      <c r="H355" s="47"/>
      <c r="I355" s="107"/>
      <c r="K355" s="245"/>
      <c r="M355" s="246"/>
      <c r="N355" s="247"/>
      <c r="O355" s="248"/>
      <c r="Q355" s="249"/>
      <c r="R355" s="47"/>
      <c r="S355" s="47"/>
      <c r="T355" s="47"/>
      <c r="U355" s="47"/>
      <c r="V355" s="47"/>
      <c r="X355" s="180"/>
      <c r="Y355" s="47"/>
      <c r="Z355" s="47"/>
      <c r="AA355" s="47"/>
      <c r="AB355" s="52"/>
      <c r="AC355" s="52"/>
      <c r="AD355" s="52"/>
      <c r="AE355" s="52"/>
      <c r="AG355" s="103"/>
      <c r="AH355" s="111"/>
      <c r="AI355" s="111"/>
      <c r="AJ355" s="47"/>
      <c r="AL355" s="47"/>
      <c r="AM355" s="47"/>
      <c r="AN355" s="47"/>
      <c r="AP355" s="47"/>
      <c r="AQ355" s="47"/>
      <c r="AS355" s="250"/>
      <c r="AT355" s="67"/>
      <c r="AU355" s="67"/>
    </row>
    <row r="356" spans="2:47" s="25" customFormat="1" ht="12.75" customHeight="1" x14ac:dyDescent="0.3">
      <c r="B356" s="47"/>
      <c r="C356" s="47"/>
      <c r="D356" s="47"/>
      <c r="E356" s="47"/>
      <c r="F356" s="47"/>
      <c r="G356" s="47"/>
      <c r="H356" s="47"/>
      <c r="I356" s="107"/>
      <c r="K356" s="245"/>
      <c r="M356" s="246"/>
      <c r="N356" s="247"/>
      <c r="O356" s="248"/>
      <c r="Q356" s="249"/>
      <c r="R356" s="47"/>
      <c r="S356" s="47"/>
      <c r="T356" s="47"/>
      <c r="U356" s="47"/>
      <c r="V356" s="47"/>
      <c r="X356" s="180"/>
      <c r="Y356" s="47"/>
      <c r="Z356" s="47"/>
      <c r="AA356" s="47"/>
      <c r="AB356" s="52"/>
      <c r="AC356" s="52"/>
      <c r="AD356" s="52"/>
      <c r="AE356" s="52"/>
      <c r="AG356" s="103"/>
      <c r="AH356" s="111"/>
      <c r="AI356" s="111"/>
      <c r="AJ356" s="47"/>
      <c r="AL356" s="47"/>
      <c r="AM356" s="47"/>
      <c r="AN356" s="47"/>
      <c r="AP356" s="47"/>
      <c r="AQ356" s="47"/>
      <c r="AS356" s="250"/>
      <c r="AT356" s="67"/>
      <c r="AU356" s="67"/>
    </row>
    <row r="357" spans="2:47" s="25" customFormat="1" ht="12.75" customHeight="1" x14ac:dyDescent="0.3">
      <c r="B357" s="47"/>
      <c r="C357" s="47"/>
      <c r="D357" s="47"/>
      <c r="E357" s="47"/>
      <c r="F357" s="47"/>
      <c r="G357" s="47"/>
      <c r="H357" s="47"/>
      <c r="I357" s="107"/>
      <c r="K357" s="245"/>
      <c r="M357" s="246"/>
      <c r="N357" s="247"/>
      <c r="O357" s="248"/>
      <c r="Q357" s="249"/>
      <c r="R357" s="47"/>
      <c r="S357" s="47"/>
      <c r="T357" s="47"/>
      <c r="U357" s="47"/>
      <c r="V357" s="47"/>
      <c r="X357" s="180"/>
      <c r="Y357" s="47"/>
      <c r="Z357" s="47"/>
      <c r="AA357" s="47"/>
      <c r="AB357" s="52"/>
      <c r="AC357" s="52"/>
      <c r="AD357" s="52"/>
      <c r="AE357" s="52"/>
      <c r="AG357" s="103"/>
      <c r="AH357" s="111"/>
      <c r="AI357" s="111"/>
      <c r="AJ357" s="47"/>
      <c r="AL357" s="47"/>
      <c r="AM357" s="47"/>
      <c r="AN357" s="47"/>
      <c r="AP357" s="47"/>
      <c r="AQ357" s="47"/>
      <c r="AS357" s="250"/>
      <c r="AT357" s="67"/>
      <c r="AU357" s="67"/>
    </row>
    <row r="358" spans="2:47" s="25" customFormat="1" ht="12.75" customHeight="1" x14ac:dyDescent="0.3">
      <c r="B358" s="47"/>
      <c r="C358" s="47"/>
      <c r="D358" s="47"/>
      <c r="E358" s="47"/>
      <c r="F358" s="47"/>
      <c r="G358" s="47"/>
      <c r="H358" s="47"/>
      <c r="I358" s="107"/>
      <c r="K358" s="245"/>
      <c r="M358" s="246"/>
      <c r="N358" s="247"/>
      <c r="O358" s="248"/>
      <c r="Q358" s="249"/>
      <c r="R358" s="47"/>
      <c r="S358" s="47"/>
      <c r="T358" s="47"/>
      <c r="U358" s="47"/>
      <c r="V358" s="47"/>
      <c r="X358" s="180"/>
      <c r="Y358" s="47"/>
      <c r="Z358" s="47"/>
      <c r="AA358" s="47"/>
      <c r="AB358" s="52"/>
      <c r="AC358" s="52"/>
      <c r="AD358" s="52"/>
      <c r="AE358" s="52"/>
      <c r="AG358" s="103"/>
      <c r="AH358" s="111"/>
      <c r="AI358" s="111"/>
      <c r="AJ358" s="47"/>
      <c r="AL358" s="47"/>
      <c r="AM358" s="47"/>
      <c r="AN358" s="47"/>
      <c r="AP358" s="47"/>
      <c r="AQ358" s="47"/>
      <c r="AS358" s="250"/>
      <c r="AT358" s="67"/>
      <c r="AU358" s="67"/>
    </row>
    <row r="359" spans="2:47" s="25" customFormat="1" ht="12.75" customHeight="1" x14ac:dyDescent="0.3">
      <c r="B359" s="47"/>
      <c r="C359" s="47"/>
      <c r="D359" s="47"/>
      <c r="E359" s="47"/>
      <c r="F359" s="47"/>
      <c r="G359" s="47"/>
      <c r="H359" s="47"/>
      <c r="I359" s="107"/>
      <c r="K359" s="245"/>
      <c r="M359" s="246"/>
      <c r="N359" s="247"/>
      <c r="O359" s="248"/>
      <c r="Q359" s="249"/>
      <c r="R359" s="47"/>
      <c r="S359" s="47"/>
      <c r="T359" s="47"/>
      <c r="U359" s="47"/>
      <c r="V359" s="47"/>
      <c r="X359" s="180"/>
      <c r="Y359" s="47"/>
      <c r="Z359" s="47"/>
      <c r="AA359" s="47"/>
      <c r="AB359" s="52"/>
      <c r="AC359" s="52"/>
      <c r="AD359" s="52"/>
      <c r="AE359" s="52"/>
      <c r="AG359" s="103"/>
      <c r="AH359" s="111"/>
      <c r="AI359" s="111"/>
      <c r="AJ359" s="47"/>
      <c r="AL359" s="47"/>
      <c r="AM359" s="47"/>
      <c r="AN359" s="47"/>
      <c r="AP359" s="47"/>
      <c r="AQ359" s="47"/>
      <c r="AS359" s="250"/>
      <c r="AT359" s="67"/>
      <c r="AU359" s="67"/>
    </row>
    <row r="360" spans="2:47" s="25" customFormat="1" ht="12.75" customHeight="1" x14ac:dyDescent="0.3">
      <c r="B360" s="47"/>
      <c r="C360" s="47"/>
      <c r="D360" s="47"/>
      <c r="E360" s="47"/>
      <c r="F360" s="47"/>
      <c r="G360" s="47"/>
      <c r="H360" s="47"/>
      <c r="I360" s="107"/>
      <c r="K360" s="245"/>
      <c r="M360" s="246"/>
      <c r="N360" s="247"/>
      <c r="O360" s="248"/>
      <c r="Q360" s="249"/>
      <c r="R360" s="47"/>
      <c r="S360" s="47"/>
      <c r="T360" s="47"/>
      <c r="U360" s="47"/>
      <c r="V360" s="47"/>
      <c r="X360" s="180"/>
      <c r="Y360" s="47"/>
      <c r="Z360" s="47"/>
      <c r="AA360" s="47"/>
      <c r="AB360" s="52"/>
      <c r="AC360" s="52"/>
      <c r="AD360" s="52"/>
      <c r="AE360" s="52"/>
      <c r="AG360" s="103"/>
      <c r="AH360" s="111"/>
      <c r="AI360" s="111"/>
      <c r="AJ360" s="47"/>
      <c r="AL360" s="47"/>
      <c r="AM360" s="47"/>
      <c r="AN360" s="47"/>
      <c r="AP360" s="47"/>
      <c r="AQ360" s="47"/>
      <c r="AS360" s="250"/>
      <c r="AT360" s="67"/>
      <c r="AU360" s="67"/>
    </row>
    <row r="361" spans="2:47" s="25" customFormat="1" ht="12.75" customHeight="1" x14ac:dyDescent="0.3">
      <c r="B361" s="47"/>
      <c r="C361" s="47"/>
      <c r="D361" s="47"/>
      <c r="E361" s="47"/>
      <c r="F361" s="47"/>
      <c r="G361" s="47"/>
      <c r="H361" s="47"/>
      <c r="I361" s="107"/>
      <c r="K361" s="245"/>
      <c r="M361" s="246"/>
      <c r="N361" s="247"/>
      <c r="O361" s="248"/>
      <c r="Q361" s="249"/>
      <c r="R361" s="47"/>
      <c r="S361" s="47"/>
      <c r="T361" s="47"/>
      <c r="U361" s="47"/>
      <c r="V361" s="47"/>
      <c r="X361" s="180"/>
      <c r="Y361" s="47"/>
      <c r="Z361" s="47"/>
      <c r="AA361" s="47"/>
      <c r="AB361" s="52"/>
      <c r="AC361" s="52"/>
      <c r="AD361" s="52"/>
      <c r="AE361" s="52"/>
      <c r="AG361" s="103"/>
      <c r="AH361" s="111"/>
      <c r="AI361" s="111"/>
      <c r="AJ361" s="47"/>
      <c r="AL361" s="47"/>
      <c r="AM361" s="47"/>
      <c r="AN361" s="47"/>
      <c r="AP361" s="47"/>
      <c r="AQ361" s="47"/>
      <c r="AS361" s="250"/>
      <c r="AT361" s="67"/>
      <c r="AU361" s="67"/>
    </row>
    <row r="362" spans="2:47" s="25" customFormat="1" ht="12.75" customHeight="1" x14ac:dyDescent="0.3">
      <c r="B362" s="47"/>
      <c r="C362" s="47"/>
      <c r="D362" s="47"/>
      <c r="E362" s="47"/>
      <c r="F362" s="47"/>
      <c r="G362" s="47"/>
      <c r="H362" s="47"/>
      <c r="I362" s="107"/>
      <c r="K362" s="245"/>
      <c r="M362" s="246"/>
      <c r="N362" s="247"/>
      <c r="O362" s="248"/>
      <c r="Q362" s="249"/>
      <c r="R362" s="47"/>
      <c r="S362" s="47"/>
      <c r="T362" s="47"/>
      <c r="U362" s="47"/>
      <c r="V362" s="47"/>
      <c r="X362" s="180"/>
      <c r="Y362" s="47"/>
      <c r="Z362" s="47"/>
      <c r="AA362" s="47"/>
      <c r="AB362" s="52"/>
      <c r="AC362" s="52"/>
      <c r="AD362" s="52"/>
      <c r="AE362" s="52"/>
      <c r="AG362" s="103"/>
      <c r="AH362" s="111"/>
      <c r="AI362" s="111"/>
      <c r="AJ362" s="47"/>
      <c r="AL362" s="47"/>
      <c r="AM362" s="47"/>
      <c r="AN362" s="47"/>
      <c r="AP362" s="47"/>
      <c r="AQ362" s="47"/>
      <c r="AS362" s="250"/>
      <c r="AT362" s="67"/>
      <c r="AU362" s="67"/>
    </row>
    <row r="363" spans="2:47" s="25" customFormat="1" ht="12.75" customHeight="1" x14ac:dyDescent="0.3">
      <c r="B363" s="47"/>
      <c r="C363" s="47"/>
      <c r="D363" s="47"/>
      <c r="E363" s="47"/>
      <c r="F363" s="47"/>
      <c r="G363" s="47"/>
      <c r="H363" s="47"/>
      <c r="I363" s="107"/>
      <c r="K363" s="245"/>
      <c r="M363" s="246"/>
      <c r="N363" s="247"/>
      <c r="O363" s="248"/>
      <c r="Q363" s="249"/>
      <c r="R363" s="47"/>
      <c r="S363" s="47"/>
      <c r="T363" s="47"/>
      <c r="U363" s="47"/>
      <c r="V363" s="47"/>
      <c r="X363" s="180"/>
      <c r="Y363" s="47"/>
      <c r="Z363" s="47"/>
      <c r="AA363" s="47"/>
      <c r="AB363" s="52"/>
      <c r="AC363" s="52"/>
      <c r="AD363" s="52"/>
      <c r="AE363" s="52"/>
      <c r="AG363" s="103"/>
      <c r="AH363" s="111"/>
      <c r="AI363" s="111"/>
      <c r="AJ363" s="47"/>
      <c r="AL363" s="47"/>
      <c r="AM363" s="47"/>
      <c r="AN363" s="47"/>
      <c r="AP363" s="47"/>
      <c r="AQ363" s="47"/>
      <c r="AS363" s="250"/>
      <c r="AT363" s="67"/>
      <c r="AU363" s="67"/>
    </row>
    <row r="364" spans="2:47" s="25" customFormat="1" ht="12.75" customHeight="1" x14ac:dyDescent="0.3">
      <c r="B364" s="47"/>
      <c r="C364" s="47"/>
      <c r="D364" s="47"/>
      <c r="E364" s="47"/>
      <c r="F364" s="47"/>
      <c r="G364" s="47"/>
      <c r="H364" s="47"/>
      <c r="I364" s="107"/>
      <c r="K364" s="245"/>
      <c r="M364" s="246"/>
      <c r="N364" s="247"/>
      <c r="O364" s="248"/>
      <c r="Q364" s="249"/>
      <c r="R364" s="47"/>
      <c r="S364" s="47"/>
      <c r="T364" s="47"/>
      <c r="U364" s="47"/>
      <c r="V364" s="47"/>
      <c r="X364" s="180"/>
      <c r="Y364" s="47"/>
      <c r="Z364" s="47"/>
      <c r="AA364" s="47"/>
      <c r="AB364" s="52"/>
      <c r="AC364" s="52"/>
      <c r="AD364" s="52"/>
      <c r="AE364" s="52"/>
      <c r="AG364" s="103"/>
      <c r="AH364" s="111"/>
      <c r="AI364" s="111"/>
      <c r="AJ364" s="47"/>
      <c r="AL364" s="47"/>
      <c r="AM364" s="47"/>
      <c r="AN364" s="47"/>
      <c r="AP364" s="47"/>
      <c r="AQ364" s="47"/>
      <c r="AS364" s="250"/>
      <c r="AT364" s="67"/>
      <c r="AU364" s="67"/>
    </row>
    <row r="365" spans="2:47" s="25" customFormat="1" ht="12.75" customHeight="1" x14ac:dyDescent="0.3">
      <c r="B365" s="47"/>
      <c r="C365" s="47"/>
      <c r="D365" s="47"/>
      <c r="E365" s="47"/>
      <c r="F365" s="47"/>
      <c r="G365" s="47"/>
      <c r="H365" s="47"/>
      <c r="I365" s="107"/>
      <c r="K365" s="245"/>
      <c r="M365" s="246"/>
      <c r="N365" s="247"/>
      <c r="O365" s="248"/>
      <c r="Q365" s="249"/>
      <c r="R365" s="47"/>
      <c r="S365" s="47"/>
      <c r="T365" s="47"/>
      <c r="U365" s="47"/>
      <c r="V365" s="47"/>
      <c r="X365" s="180"/>
      <c r="Y365" s="47"/>
      <c r="Z365" s="47"/>
      <c r="AA365" s="47"/>
      <c r="AB365" s="52"/>
      <c r="AC365" s="52"/>
      <c r="AD365" s="52"/>
      <c r="AE365" s="52"/>
      <c r="AG365" s="103"/>
      <c r="AH365" s="111"/>
      <c r="AI365" s="111"/>
      <c r="AJ365" s="47"/>
      <c r="AL365" s="47"/>
      <c r="AM365" s="47"/>
      <c r="AN365" s="47"/>
      <c r="AP365" s="47"/>
      <c r="AQ365" s="47"/>
      <c r="AS365" s="250"/>
      <c r="AT365" s="67"/>
      <c r="AU365" s="67"/>
    </row>
    <row r="366" spans="2:47" s="25" customFormat="1" ht="12.75" customHeight="1" x14ac:dyDescent="0.3">
      <c r="B366" s="47"/>
      <c r="C366" s="47"/>
      <c r="D366" s="47"/>
      <c r="E366" s="47"/>
      <c r="F366" s="47"/>
      <c r="G366" s="47"/>
      <c r="H366" s="47"/>
      <c r="I366" s="107"/>
      <c r="K366" s="245"/>
      <c r="M366" s="246"/>
      <c r="N366" s="247"/>
      <c r="O366" s="248"/>
      <c r="Q366" s="249"/>
      <c r="R366" s="47"/>
      <c r="S366" s="47"/>
      <c r="T366" s="47"/>
      <c r="U366" s="47"/>
      <c r="V366" s="47"/>
      <c r="X366" s="180"/>
      <c r="Y366" s="47"/>
      <c r="Z366" s="47"/>
      <c r="AA366" s="47"/>
      <c r="AB366" s="52"/>
      <c r="AC366" s="52"/>
      <c r="AD366" s="52"/>
      <c r="AE366" s="52"/>
      <c r="AG366" s="103"/>
      <c r="AH366" s="111"/>
      <c r="AI366" s="111"/>
      <c r="AJ366" s="47"/>
      <c r="AL366" s="47"/>
      <c r="AM366" s="47"/>
      <c r="AN366" s="47"/>
      <c r="AP366" s="47"/>
      <c r="AQ366" s="47"/>
      <c r="AS366" s="250"/>
      <c r="AT366" s="67"/>
      <c r="AU366" s="67"/>
    </row>
    <row r="367" spans="2:47" s="25" customFormat="1" ht="12.75" customHeight="1" x14ac:dyDescent="0.3">
      <c r="B367" s="47"/>
      <c r="C367" s="47"/>
      <c r="D367" s="47"/>
      <c r="E367" s="47"/>
      <c r="F367" s="47"/>
      <c r="G367" s="47"/>
      <c r="H367" s="47"/>
      <c r="I367" s="107"/>
      <c r="K367" s="245"/>
      <c r="M367" s="246"/>
      <c r="N367" s="247"/>
      <c r="O367" s="248"/>
      <c r="Q367" s="249"/>
      <c r="R367" s="47"/>
      <c r="S367" s="47"/>
      <c r="T367" s="47"/>
      <c r="U367" s="47"/>
      <c r="V367" s="47"/>
      <c r="X367" s="180"/>
      <c r="Y367" s="47"/>
      <c r="Z367" s="47"/>
      <c r="AA367" s="47"/>
      <c r="AB367" s="52"/>
      <c r="AC367" s="52"/>
      <c r="AD367" s="52"/>
      <c r="AE367" s="52"/>
      <c r="AG367" s="103"/>
      <c r="AH367" s="111"/>
      <c r="AI367" s="111"/>
      <c r="AJ367" s="47"/>
      <c r="AL367" s="47"/>
      <c r="AM367" s="47"/>
      <c r="AN367" s="47"/>
      <c r="AP367" s="47"/>
      <c r="AQ367" s="47"/>
      <c r="AS367" s="250"/>
      <c r="AT367" s="67"/>
      <c r="AU367" s="67"/>
    </row>
    <row r="368" spans="2:47" s="25" customFormat="1" ht="12.75" customHeight="1" x14ac:dyDescent="0.3">
      <c r="B368" s="47"/>
      <c r="C368" s="47"/>
      <c r="D368" s="47"/>
      <c r="E368" s="47"/>
      <c r="F368" s="47"/>
      <c r="G368" s="47"/>
      <c r="H368" s="47"/>
      <c r="I368" s="107"/>
      <c r="K368" s="245"/>
      <c r="M368" s="246"/>
      <c r="N368" s="247"/>
      <c r="O368" s="248"/>
      <c r="Q368" s="249"/>
      <c r="R368" s="47"/>
      <c r="S368" s="47"/>
      <c r="T368" s="47"/>
      <c r="U368" s="47"/>
      <c r="V368" s="47"/>
      <c r="X368" s="180"/>
      <c r="Y368" s="47"/>
      <c r="Z368" s="47"/>
      <c r="AA368" s="47"/>
      <c r="AB368" s="52"/>
      <c r="AC368" s="52"/>
      <c r="AD368" s="52"/>
      <c r="AE368" s="52"/>
      <c r="AG368" s="103"/>
      <c r="AH368" s="111"/>
      <c r="AI368" s="111"/>
      <c r="AJ368" s="47"/>
      <c r="AL368" s="47"/>
      <c r="AM368" s="47"/>
      <c r="AN368" s="47"/>
      <c r="AP368" s="47"/>
      <c r="AQ368" s="47"/>
      <c r="AS368" s="250"/>
      <c r="AT368" s="67"/>
      <c r="AU368" s="67"/>
    </row>
    <row r="369" spans="2:47" s="25" customFormat="1" ht="12.75" customHeight="1" x14ac:dyDescent="0.3">
      <c r="B369" s="47"/>
      <c r="C369" s="47"/>
      <c r="D369" s="47"/>
      <c r="E369" s="47"/>
      <c r="F369" s="47"/>
      <c r="G369" s="47"/>
      <c r="H369" s="47"/>
      <c r="I369" s="107"/>
      <c r="K369" s="245"/>
      <c r="M369" s="246"/>
      <c r="N369" s="247"/>
      <c r="O369" s="248"/>
      <c r="Q369" s="249"/>
      <c r="R369" s="47"/>
      <c r="S369" s="47"/>
      <c r="T369" s="47"/>
      <c r="U369" s="47"/>
      <c r="V369" s="47"/>
      <c r="X369" s="180"/>
      <c r="Y369" s="47"/>
      <c r="Z369" s="47"/>
      <c r="AA369" s="47"/>
      <c r="AB369" s="52"/>
      <c r="AC369" s="52"/>
      <c r="AD369" s="52"/>
      <c r="AE369" s="52"/>
      <c r="AG369" s="103"/>
      <c r="AH369" s="111"/>
      <c r="AI369" s="111"/>
      <c r="AJ369" s="47"/>
      <c r="AL369" s="47"/>
      <c r="AM369" s="47"/>
      <c r="AN369" s="47"/>
      <c r="AP369" s="47"/>
      <c r="AQ369" s="47"/>
      <c r="AS369" s="250"/>
      <c r="AT369" s="67"/>
      <c r="AU369" s="67"/>
    </row>
    <row r="370" spans="2:47" s="25" customFormat="1" ht="12.75" customHeight="1" x14ac:dyDescent="0.3">
      <c r="B370" s="47"/>
      <c r="C370" s="47"/>
      <c r="D370" s="47"/>
      <c r="E370" s="47"/>
      <c r="F370" s="47"/>
      <c r="G370" s="47"/>
      <c r="H370" s="47"/>
      <c r="I370" s="107"/>
      <c r="K370" s="245"/>
      <c r="M370" s="246"/>
      <c r="N370" s="247"/>
      <c r="O370" s="248"/>
      <c r="Q370" s="249"/>
      <c r="R370" s="47"/>
      <c r="S370" s="47"/>
      <c r="T370" s="47"/>
      <c r="U370" s="47"/>
      <c r="V370" s="47"/>
      <c r="X370" s="180"/>
      <c r="Y370" s="47"/>
      <c r="Z370" s="47"/>
      <c r="AA370" s="47"/>
      <c r="AB370" s="52"/>
      <c r="AC370" s="52"/>
      <c r="AD370" s="52"/>
      <c r="AE370" s="52"/>
      <c r="AG370" s="103"/>
      <c r="AH370" s="111"/>
      <c r="AI370" s="111"/>
      <c r="AJ370" s="47"/>
      <c r="AL370" s="47"/>
      <c r="AM370" s="47"/>
      <c r="AN370" s="47"/>
      <c r="AP370" s="47"/>
      <c r="AQ370" s="47"/>
      <c r="AS370" s="250"/>
      <c r="AT370" s="67"/>
      <c r="AU370" s="67"/>
    </row>
    <row r="371" spans="2:47" s="25" customFormat="1" ht="12.75" customHeight="1" x14ac:dyDescent="0.3">
      <c r="B371" s="47"/>
      <c r="C371" s="47"/>
      <c r="D371" s="47"/>
      <c r="E371" s="47"/>
      <c r="F371" s="47"/>
      <c r="G371" s="47"/>
      <c r="H371" s="47"/>
      <c r="I371" s="107"/>
      <c r="K371" s="245"/>
      <c r="M371" s="246"/>
      <c r="N371" s="247"/>
      <c r="O371" s="248"/>
      <c r="Q371" s="249"/>
      <c r="R371" s="47"/>
      <c r="S371" s="47"/>
      <c r="T371" s="47"/>
      <c r="U371" s="47"/>
      <c r="V371" s="47"/>
      <c r="X371" s="180"/>
      <c r="Y371" s="47"/>
      <c r="Z371" s="47"/>
      <c r="AA371" s="47"/>
      <c r="AB371" s="52"/>
      <c r="AC371" s="52"/>
      <c r="AD371" s="52"/>
      <c r="AE371" s="52"/>
      <c r="AG371" s="103"/>
      <c r="AH371" s="111"/>
      <c r="AI371" s="111"/>
      <c r="AJ371" s="47"/>
      <c r="AL371" s="47"/>
      <c r="AM371" s="47"/>
      <c r="AN371" s="47"/>
      <c r="AP371" s="47"/>
      <c r="AQ371" s="47"/>
      <c r="AS371" s="250"/>
      <c r="AT371" s="67"/>
      <c r="AU371" s="67"/>
    </row>
    <row r="372" spans="2:47" s="25" customFormat="1" ht="12.75" customHeight="1" x14ac:dyDescent="0.3">
      <c r="B372" s="47"/>
      <c r="C372" s="47"/>
      <c r="D372" s="47"/>
      <c r="E372" s="47"/>
      <c r="F372" s="47"/>
      <c r="G372" s="47"/>
      <c r="H372" s="47"/>
      <c r="I372" s="107"/>
      <c r="K372" s="245"/>
      <c r="M372" s="246"/>
      <c r="N372" s="247"/>
      <c r="O372" s="248"/>
      <c r="Q372" s="249"/>
      <c r="R372" s="47"/>
      <c r="S372" s="47"/>
      <c r="T372" s="47"/>
      <c r="U372" s="47"/>
      <c r="V372" s="47"/>
      <c r="X372" s="180"/>
      <c r="Y372" s="47"/>
      <c r="Z372" s="47"/>
      <c r="AA372" s="47"/>
      <c r="AB372" s="52"/>
      <c r="AC372" s="52"/>
      <c r="AD372" s="52"/>
      <c r="AE372" s="52"/>
      <c r="AG372" s="103"/>
      <c r="AH372" s="111"/>
      <c r="AI372" s="111"/>
      <c r="AJ372" s="47"/>
      <c r="AL372" s="47"/>
      <c r="AM372" s="47"/>
      <c r="AN372" s="47"/>
      <c r="AP372" s="47"/>
      <c r="AQ372" s="47"/>
      <c r="AS372" s="250"/>
      <c r="AT372" s="67"/>
      <c r="AU372" s="67"/>
    </row>
    <row r="373" spans="2:47" s="25" customFormat="1" ht="12.75" customHeight="1" x14ac:dyDescent="0.3">
      <c r="B373" s="47"/>
      <c r="C373" s="47"/>
      <c r="D373" s="47"/>
      <c r="E373" s="47"/>
      <c r="F373" s="47"/>
      <c r="G373" s="47"/>
      <c r="H373" s="47"/>
      <c r="I373" s="107"/>
      <c r="K373" s="245"/>
      <c r="M373" s="246"/>
      <c r="N373" s="247"/>
      <c r="O373" s="248"/>
      <c r="Q373" s="249"/>
      <c r="R373" s="47"/>
      <c r="S373" s="47"/>
      <c r="T373" s="47"/>
      <c r="U373" s="47"/>
      <c r="V373" s="47"/>
      <c r="X373" s="180"/>
      <c r="Y373" s="47"/>
      <c r="Z373" s="47"/>
      <c r="AA373" s="47"/>
      <c r="AB373" s="52"/>
      <c r="AC373" s="52"/>
      <c r="AD373" s="52"/>
      <c r="AE373" s="52"/>
      <c r="AG373" s="103"/>
      <c r="AH373" s="111"/>
      <c r="AI373" s="111"/>
      <c r="AJ373" s="47"/>
      <c r="AL373" s="47"/>
      <c r="AM373" s="47"/>
      <c r="AN373" s="47"/>
      <c r="AP373" s="47"/>
      <c r="AQ373" s="47"/>
      <c r="AS373" s="250"/>
      <c r="AT373" s="67"/>
      <c r="AU373" s="67"/>
    </row>
    <row r="374" spans="2:47" s="25" customFormat="1" ht="12.75" customHeight="1" x14ac:dyDescent="0.3">
      <c r="B374" s="47"/>
      <c r="C374" s="47"/>
      <c r="D374" s="47"/>
      <c r="E374" s="47"/>
      <c r="F374" s="47"/>
      <c r="G374" s="47"/>
      <c r="H374" s="47"/>
      <c r="I374" s="107"/>
      <c r="K374" s="245"/>
      <c r="M374" s="246"/>
      <c r="N374" s="247"/>
      <c r="O374" s="248"/>
      <c r="Q374" s="249"/>
      <c r="R374" s="47"/>
      <c r="S374" s="47"/>
      <c r="T374" s="47"/>
      <c r="U374" s="47"/>
      <c r="V374" s="47"/>
      <c r="X374" s="180"/>
      <c r="Y374" s="47"/>
      <c r="Z374" s="47"/>
      <c r="AA374" s="47"/>
      <c r="AB374" s="52"/>
      <c r="AC374" s="52"/>
      <c r="AD374" s="52"/>
      <c r="AE374" s="52"/>
      <c r="AG374" s="103"/>
      <c r="AH374" s="111"/>
      <c r="AI374" s="111"/>
      <c r="AJ374" s="47"/>
      <c r="AL374" s="47"/>
      <c r="AM374" s="47"/>
      <c r="AN374" s="47"/>
      <c r="AP374" s="47"/>
      <c r="AQ374" s="47"/>
      <c r="AS374" s="250"/>
      <c r="AT374" s="67"/>
      <c r="AU374" s="67"/>
    </row>
    <row r="375" spans="2:47" s="25" customFormat="1" ht="12.75" customHeight="1" x14ac:dyDescent="0.3">
      <c r="B375" s="47"/>
      <c r="C375" s="47"/>
      <c r="D375" s="47"/>
      <c r="E375" s="47"/>
      <c r="F375" s="47"/>
      <c r="G375" s="47"/>
      <c r="H375" s="47"/>
      <c r="I375" s="107"/>
      <c r="K375" s="245"/>
      <c r="M375" s="246"/>
      <c r="N375" s="247"/>
      <c r="O375" s="248"/>
      <c r="Q375" s="249"/>
      <c r="R375" s="47"/>
      <c r="S375" s="47"/>
      <c r="T375" s="47"/>
      <c r="U375" s="47"/>
      <c r="V375" s="47"/>
      <c r="X375" s="180"/>
      <c r="Y375" s="47"/>
      <c r="Z375" s="47"/>
      <c r="AA375" s="47"/>
      <c r="AB375" s="52"/>
      <c r="AC375" s="52"/>
      <c r="AD375" s="52"/>
      <c r="AE375" s="52"/>
      <c r="AG375" s="103"/>
      <c r="AH375" s="111"/>
      <c r="AI375" s="111"/>
      <c r="AJ375" s="47"/>
      <c r="AL375" s="47"/>
      <c r="AM375" s="47"/>
      <c r="AN375" s="47"/>
      <c r="AP375" s="47"/>
      <c r="AQ375" s="47"/>
      <c r="AS375" s="250"/>
      <c r="AT375" s="67"/>
      <c r="AU375" s="67"/>
    </row>
    <row r="376" spans="2:47" s="25" customFormat="1" ht="12.75" customHeight="1" x14ac:dyDescent="0.3">
      <c r="B376" s="47"/>
      <c r="C376" s="47"/>
      <c r="D376" s="47"/>
      <c r="E376" s="47"/>
      <c r="F376" s="47"/>
      <c r="G376" s="47"/>
      <c r="H376" s="47"/>
      <c r="I376" s="107"/>
      <c r="K376" s="245"/>
      <c r="M376" s="246"/>
      <c r="N376" s="247"/>
      <c r="O376" s="248"/>
      <c r="Q376" s="249"/>
      <c r="R376" s="47"/>
      <c r="S376" s="47"/>
      <c r="T376" s="47"/>
      <c r="U376" s="47"/>
      <c r="V376" s="47"/>
      <c r="X376" s="180"/>
      <c r="Y376" s="47"/>
      <c r="Z376" s="47"/>
      <c r="AA376" s="47"/>
      <c r="AB376" s="52"/>
      <c r="AC376" s="52"/>
      <c r="AD376" s="52"/>
      <c r="AE376" s="52"/>
      <c r="AG376" s="103"/>
      <c r="AH376" s="111"/>
      <c r="AI376" s="111"/>
      <c r="AJ376" s="47"/>
      <c r="AL376" s="47"/>
      <c r="AM376" s="47"/>
      <c r="AN376" s="47"/>
      <c r="AP376" s="47"/>
      <c r="AQ376" s="47"/>
      <c r="AS376" s="250"/>
      <c r="AT376" s="67"/>
      <c r="AU376" s="67"/>
    </row>
    <row r="377" spans="2:47" s="25" customFormat="1" ht="12.75" customHeight="1" x14ac:dyDescent="0.3">
      <c r="B377" s="47"/>
      <c r="C377" s="47"/>
      <c r="D377" s="47"/>
      <c r="E377" s="47"/>
      <c r="F377" s="47"/>
      <c r="G377" s="47"/>
      <c r="H377" s="47"/>
      <c r="I377" s="107"/>
      <c r="K377" s="245"/>
      <c r="M377" s="246"/>
      <c r="N377" s="247"/>
      <c r="O377" s="248"/>
      <c r="Q377" s="249"/>
      <c r="R377" s="47"/>
      <c r="S377" s="47"/>
      <c r="T377" s="47"/>
      <c r="U377" s="47"/>
      <c r="V377" s="47"/>
      <c r="X377" s="180"/>
      <c r="Y377" s="47"/>
      <c r="Z377" s="47"/>
      <c r="AA377" s="47"/>
      <c r="AB377" s="52"/>
      <c r="AC377" s="52"/>
      <c r="AD377" s="52"/>
      <c r="AE377" s="52"/>
      <c r="AG377" s="103"/>
      <c r="AH377" s="111"/>
      <c r="AI377" s="111"/>
      <c r="AJ377" s="47"/>
      <c r="AL377" s="47"/>
      <c r="AM377" s="47"/>
      <c r="AN377" s="47"/>
      <c r="AP377" s="47"/>
      <c r="AQ377" s="47"/>
      <c r="AS377" s="250"/>
      <c r="AT377" s="67"/>
      <c r="AU377" s="67"/>
    </row>
    <row r="378" spans="2:47" s="25" customFormat="1" ht="12.75" customHeight="1" x14ac:dyDescent="0.3">
      <c r="B378" s="47"/>
      <c r="C378" s="47"/>
      <c r="D378" s="47"/>
      <c r="E378" s="47"/>
      <c r="F378" s="47"/>
      <c r="G378" s="47"/>
      <c r="H378" s="47"/>
      <c r="I378" s="107"/>
      <c r="K378" s="245"/>
      <c r="M378" s="246"/>
      <c r="N378" s="247"/>
      <c r="O378" s="248"/>
      <c r="Q378" s="249"/>
      <c r="R378" s="47"/>
      <c r="S378" s="47"/>
      <c r="T378" s="47"/>
      <c r="U378" s="47"/>
      <c r="V378" s="47"/>
      <c r="X378" s="180"/>
      <c r="Y378" s="47"/>
      <c r="Z378" s="47"/>
      <c r="AA378" s="47"/>
      <c r="AB378" s="52"/>
      <c r="AC378" s="52"/>
      <c r="AD378" s="52"/>
      <c r="AE378" s="52"/>
      <c r="AG378" s="103"/>
      <c r="AH378" s="111"/>
      <c r="AI378" s="111"/>
      <c r="AJ378" s="47"/>
      <c r="AL378" s="47"/>
      <c r="AM378" s="47"/>
      <c r="AN378" s="47"/>
      <c r="AP378" s="47"/>
      <c r="AQ378" s="47"/>
      <c r="AS378" s="250"/>
      <c r="AT378" s="67"/>
      <c r="AU378" s="67"/>
    </row>
    <row r="379" spans="2:47" s="25" customFormat="1" ht="12.75" customHeight="1" x14ac:dyDescent="0.3">
      <c r="B379" s="47"/>
      <c r="C379" s="47"/>
      <c r="D379" s="47"/>
      <c r="E379" s="47"/>
      <c r="F379" s="47"/>
      <c r="G379" s="47"/>
      <c r="H379" s="47"/>
      <c r="I379" s="107"/>
      <c r="K379" s="245"/>
      <c r="M379" s="246"/>
      <c r="N379" s="247"/>
      <c r="O379" s="248"/>
      <c r="Q379" s="249"/>
      <c r="R379" s="47"/>
      <c r="S379" s="47"/>
      <c r="T379" s="47"/>
      <c r="U379" s="47"/>
      <c r="V379" s="47"/>
      <c r="X379" s="180"/>
      <c r="Y379" s="47"/>
      <c r="Z379" s="47"/>
      <c r="AA379" s="47"/>
      <c r="AB379" s="52"/>
      <c r="AC379" s="52"/>
      <c r="AD379" s="52"/>
      <c r="AE379" s="52"/>
      <c r="AG379" s="103"/>
      <c r="AH379" s="111"/>
      <c r="AI379" s="111"/>
      <c r="AJ379" s="47"/>
      <c r="AL379" s="47"/>
      <c r="AM379" s="47"/>
      <c r="AN379" s="47"/>
      <c r="AP379" s="47"/>
      <c r="AQ379" s="47"/>
      <c r="AS379" s="250"/>
      <c r="AT379" s="67"/>
      <c r="AU379" s="67"/>
    </row>
    <row r="380" spans="2:47" s="25" customFormat="1" ht="12.75" customHeight="1" x14ac:dyDescent="0.3">
      <c r="B380" s="47"/>
      <c r="C380" s="47"/>
      <c r="D380" s="47"/>
      <c r="E380" s="47"/>
      <c r="F380" s="47"/>
      <c r="G380" s="47"/>
      <c r="H380" s="47"/>
      <c r="I380" s="107"/>
      <c r="K380" s="245"/>
      <c r="M380" s="246"/>
      <c r="N380" s="247"/>
      <c r="O380" s="248"/>
      <c r="Q380" s="249"/>
      <c r="R380" s="47"/>
      <c r="S380" s="47"/>
      <c r="T380" s="47"/>
      <c r="U380" s="47"/>
      <c r="V380" s="47"/>
      <c r="X380" s="180"/>
      <c r="Y380" s="47"/>
      <c r="Z380" s="47"/>
      <c r="AA380" s="47"/>
      <c r="AB380" s="52"/>
      <c r="AC380" s="52"/>
      <c r="AD380" s="52"/>
      <c r="AE380" s="52"/>
      <c r="AG380" s="103"/>
      <c r="AH380" s="111"/>
      <c r="AI380" s="111"/>
      <c r="AJ380" s="47"/>
      <c r="AL380" s="47"/>
      <c r="AM380" s="47"/>
      <c r="AN380" s="47"/>
      <c r="AP380" s="47"/>
      <c r="AQ380" s="47"/>
      <c r="AS380" s="250"/>
      <c r="AT380" s="67"/>
      <c r="AU380" s="67"/>
    </row>
    <row r="381" spans="2:47" s="25" customFormat="1" ht="12.75" customHeight="1" x14ac:dyDescent="0.3">
      <c r="B381" s="47"/>
      <c r="C381" s="47"/>
      <c r="D381" s="47"/>
      <c r="E381" s="47"/>
      <c r="F381" s="47"/>
      <c r="G381" s="47"/>
      <c r="H381" s="47"/>
      <c r="I381" s="107"/>
      <c r="K381" s="245"/>
      <c r="M381" s="246"/>
      <c r="N381" s="247"/>
      <c r="O381" s="248"/>
      <c r="Q381" s="249"/>
      <c r="R381" s="47"/>
      <c r="S381" s="47"/>
      <c r="T381" s="47"/>
      <c r="U381" s="47"/>
      <c r="V381" s="47"/>
      <c r="X381" s="180"/>
      <c r="Y381" s="47"/>
      <c r="Z381" s="47"/>
      <c r="AA381" s="47"/>
      <c r="AB381" s="52"/>
      <c r="AC381" s="52"/>
      <c r="AD381" s="52"/>
      <c r="AE381" s="52"/>
      <c r="AG381" s="103"/>
      <c r="AH381" s="111"/>
      <c r="AI381" s="111"/>
      <c r="AJ381" s="47"/>
      <c r="AL381" s="47"/>
      <c r="AM381" s="47"/>
      <c r="AN381" s="47"/>
      <c r="AP381" s="47"/>
      <c r="AQ381" s="47"/>
      <c r="AS381" s="250"/>
      <c r="AT381" s="67"/>
      <c r="AU381" s="67"/>
    </row>
    <row r="382" spans="2:47" s="25" customFormat="1" ht="12.75" customHeight="1" x14ac:dyDescent="0.3">
      <c r="B382" s="47"/>
      <c r="C382" s="47"/>
      <c r="D382" s="47"/>
      <c r="E382" s="47"/>
      <c r="F382" s="47"/>
      <c r="G382" s="47"/>
      <c r="H382" s="47"/>
      <c r="I382" s="107"/>
      <c r="K382" s="245"/>
      <c r="M382" s="246"/>
      <c r="N382" s="247"/>
      <c r="O382" s="248"/>
      <c r="Q382" s="249"/>
      <c r="R382" s="47"/>
      <c r="S382" s="47"/>
      <c r="T382" s="47"/>
      <c r="U382" s="47"/>
      <c r="V382" s="47"/>
      <c r="X382" s="180"/>
      <c r="Y382" s="47"/>
      <c r="Z382" s="47"/>
      <c r="AA382" s="47"/>
      <c r="AB382" s="52"/>
      <c r="AC382" s="52"/>
      <c r="AD382" s="52"/>
      <c r="AE382" s="52"/>
      <c r="AG382" s="103"/>
      <c r="AH382" s="111"/>
      <c r="AI382" s="111"/>
      <c r="AJ382" s="47"/>
      <c r="AL382" s="47"/>
      <c r="AM382" s="47"/>
      <c r="AN382" s="47"/>
      <c r="AP382" s="47"/>
      <c r="AQ382" s="47"/>
      <c r="AS382" s="250"/>
      <c r="AT382" s="67"/>
      <c r="AU382" s="67"/>
    </row>
    <row r="383" spans="2:47" s="25" customFormat="1" ht="12.75" customHeight="1" x14ac:dyDescent="0.3">
      <c r="B383" s="47"/>
      <c r="C383" s="47"/>
      <c r="D383" s="47"/>
      <c r="E383" s="47"/>
      <c r="F383" s="47"/>
      <c r="G383" s="47"/>
      <c r="H383" s="47"/>
      <c r="I383" s="107"/>
      <c r="K383" s="245"/>
      <c r="M383" s="246"/>
      <c r="N383" s="247"/>
      <c r="O383" s="248"/>
      <c r="Q383" s="249"/>
      <c r="R383" s="47"/>
      <c r="S383" s="47"/>
      <c r="T383" s="47"/>
      <c r="U383" s="47"/>
      <c r="V383" s="47"/>
      <c r="X383" s="180"/>
      <c r="Y383" s="47"/>
      <c r="Z383" s="47"/>
      <c r="AA383" s="47"/>
      <c r="AB383" s="52"/>
      <c r="AC383" s="52"/>
      <c r="AD383" s="52"/>
      <c r="AE383" s="52"/>
      <c r="AG383" s="103"/>
      <c r="AH383" s="111"/>
      <c r="AI383" s="111"/>
      <c r="AJ383" s="47"/>
      <c r="AL383" s="47"/>
      <c r="AM383" s="47"/>
      <c r="AN383" s="47"/>
      <c r="AP383" s="47"/>
      <c r="AQ383" s="47"/>
      <c r="AS383" s="250"/>
      <c r="AT383" s="67"/>
      <c r="AU383" s="67"/>
    </row>
    <row r="384" spans="2:47" s="25" customFormat="1" ht="12.75" customHeight="1" x14ac:dyDescent="0.3">
      <c r="B384" s="47"/>
      <c r="C384" s="47"/>
      <c r="D384" s="47"/>
      <c r="E384" s="47"/>
      <c r="F384" s="47"/>
      <c r="G384" s="47"/>
      <c r="H384" s="47"/>
      <c r="I384" s="107"/>
      <c r="K384" s="245"/>
      <c r="M384" s="246"/>
      <c r="N384" s="247"/>
      <c r="O384" s="248"/>
      <c r="Q384" s="249"/>
      <c r="R384" s="47"/>
      <c r="S384" s="47"/>
      <c r="T384" s="47"/>
      <c r="U384" s="47"/>
      <c r="V384" s="47"/>
      <c r="X384" s="180"/>
      <c r="Y384" s="47"/>
      <c r="Z384" s="47"/>
      <c r="AA384" s="47"/>
      <c r="AB384" s="52"/>
      <c r="AC384" s="52"/>
      <c r="AD384" s="52"/>
      <c r="AE384" s="52"/>
      <c r="AG384" s="103"/>
      <c r="AH384" s="111"/>
      <c r="AI384" s="111"/>
      <c r="AJ384" s="47"/>
      <c r="AL384" s="47"/>
      <c r="AM384" s="47"/>
      <c r="AN384" s="47"/>
      <c r="AP384" s="47"/>
      <c r="AQ384" s="47"/>
      <c r="AS384" s="250"/>
      <c r="AT384" s="67"/>
      <c r="AU384" s="67"/>
    </row>
    <row r="385" spans="2:47" s="25" customFormat="1" ht="12.75" customHeight="1" x14ac:dyDescent="0.3">
      <c r="B385" s="47"/>
      <c r="C385" s="47"/>
      <c r="D385" s="47"/>
      <c r="E385" s="47"/>
      <c r="F385" s="47"/>
      <c r="G385" s="47"/>
      <c r="H385" s="47"/>
      <c r="I385" s="107"/>
      <c r="K385" s="245"/>
      <c r="M385" s="246"/>
      <c r="N385" s="247"/>
      <c r="O385" s="248"/>
      <c r="Q385" s="249"/>
      <c r="R385" s="47"/>
      <c r="S385" s="47"/>
      <c r="T385" s="47"/>
      <c r="U385" s="47"/>
      <c r="V385" s="47"/>
      <c r="X385" s="180"/>
      <c r="Y385" s="47"/>
      <c r="Z385" s="47"/>
      <c r="AA385" s="47"/>
      <c r="AB385" s="52"/>
      <c r="AC385" s="52"/>
      <c r="AD385" s="52"/>
      <c r="AE385" s="52"/>
      <c r="AG385" s="103"/>
      <c r="AH385" s="111"/>
      <c r="AI385" s="111"/>
      <c r="AJ385" s="47"/>
      <c r="AL385" s="47"/>
      <c r="AM385" s="47"/>
      <c r="AN385" s="47"/>
      <c r="AP385" s="47"/>
      <c r="AQ385" s="47"/>
      <c r="AS385" s="250"/>
      <c r="AT385" s="67"/>
      <c r="AU385" s="67"/>
    </row>
    <row r="386" spans="2:47" s="25" customFormat="1" ht="12.75" customHeight="1" x14ac:dyDescent="0.3">
      <c r="B386" s="47"/>
      <c r="C386" s="47"/>
      <c r="D386" s="47"/>
      <c r="E386" s="47"/>
      <c r="F386" s="47"/>
      <c r="G386" s="47"/>
      <c r="H386" s="47"/>
      <c r="I386" s="107"/>
      <c r="K386" s="245"/>
      <c r="M386" s="246"/>
      <c r="N386" s="247"/>
      <c r="O386" s="248"/>
      <c r="Q386" s="249"/>
      <c r="R386" s="47"/>
      <c r="S386" s="47"/>
      <c r="T386" s="47"/>
      <c r="U386" s="47"/>
      <c r="V386" s="47"/>
      <c r="X386" s="180"/>
      <c r="Y386" s="47"/>
      <c r="Z386" s="47"/>
      <c r="AA386" s="47"/>
      <c r="AB386" s="52"/>
      <c r="AC386" s="52"/>
      <c r="AD386" s="52"/>
      <c r="AE386" s="52"/>
      <c r="AG386" s="103"/>
      <c r="AH386" s="111"/>
      <c r="AI386" s="111"/>
      <c r="AJ386" s="47"/>
      <c r="AL386" s="47"/>
      <c r="AM386" s="47"/>
      <c r="AN386" s="47"/>
      <c r="AP386" s="47"/>
      <c r="AQ386" s="47"/>
      <c r="AS386" s="250"/>
      <c r="AT386" s="67"/>
      <c r="AU386" s="67"/>
    </row>
    <row r="387" spans="2:47" s="25" customFormat="1" ht="12.75" customHeight="1" x14ac:dyDescent="0.3">
      <c r="B387" s="47"/>
      <c r="C387" s="47"/>
      <c r="D387" s="47"/>
      <c r="E387" s="47"/>
      <c r="F387" s="47"/>
      <c r="G387" s="47"/>
      <c r="H387" s="47"/>
      <c r="I387" s="107"/>
      <c r="K387" s="245"/>
      <c r="M387" s="246"/>
      <c r="N387" s="247"/>
      <c r="O387" s="248"/>
      <c r="Q387" s="249"/>
      <c r="R387" s="47"/>
      <c r="S387" s="47"/>
      <c r="T387" s="47"/>
      <c r="U387" s="47"/>
      <c r="V387" s="47"/>
      <c r="X387" s="180"/>
      <c r="Y387" s="47"/>
      <c r="Z387" s="47"/>
      <c r="AA387" s="47"/>
      <c r="AB387" s="52"/>
      <c r="AC387" s="52"/>
      <c r="AD387" s="52"/>
      <c r="AE387" s="52"/>
      <c r="AG387" s="103"/>
      <c r="AH387" s="111"/>
      <c r="AI387" s="111"/>
      <c r="AJ387" s="47"/>
      <c r="AL387" s="47"/>
      <c r="AM387" s="47"/>
      <c r="AN387" s="47"/>
      <c r="AP387" s="47"/>
      <c r="AQ387" s="47"/>
      <c r="AS387" s="250"/>
      <c r="AT387" s="67"/>
      <c r="AU387" s="67"/>
    </row>
    <row r="388" spans="2:47" s="25" customFormat="1" ht="12.75" customHeight="1" x14ac:dyDescent="0.3">
      <c r="B388" s="47"/>
      <c r="C388" s="47"/>
      <c r="D388" s="47"/>
      <c r="E388" s="47"/>
      <c r="F388" s="47"/>
      <c r="G388" s="47"/>
      <c r="H388" s="47"/>
      <c r="I388" s="107"/>
      <c r="K388" s="245"/>
      <c r="M388" s="246"/>
      <c r="N388" s="247"/>
      <c r="O388" s="248"/>
      <c r="Q388" s="249"/>
      <c r="R388" s="47"/>
      <c r="S388" s="47"/>
      <c r="T388" s="47"/>
      <c r="U388" s="47"/>
      <c r="V388" s="47"/>
      <c r="X388" s="180"/>
      <c r="Y388" s="47"/>
      <c r="Z388" s="47"/>
      <c r="AA388" s="47"/>
      <c r="AB388" s="52"/>
      <c r="AC388" s="52"/>
      <c r="AD388" s="52"/>
      <c r="AE388" s="52"/>
      <c r="AG388" s="103"/>
      <c r="AH388" s="111"/>
      <c r="AI388" s="111"/>
      <c r="AJ388" s="47"/>
      <c r="AL388" s="47"/>
      <c r="AM388" s="47"/>
      <c r="AN388" s="47"/>
      <c r="AP388" s="47"/>
      <c r="AQ388" s="47"/>
      <c r="AS388" s="250"/>
      <c r="AT388" s="67"/>
      <c r="AU388" s="67"/>
    </row>
    <row r="389" spans="2:47" s="25" customFormat="1" ht="12.75" customHeight="1" x14ac:dyDescent="0.3">
      <c r="B389" s="47"/>
      <c r="C389" s="47"/>
      <c r="D389" s="47"/>
      <c r="E389" s="47"/>
      <c r="F389" s="47"/>
      <c r="G389" s="47"/>
      <c r="H389" s="47"/>
      <c r="I389" s="107"/>
      <c r="K389" s="245"/>
      <c r="M389" s="246"/>
      <c r="N389" s="247"/>
      <c r="O389" s="248"/>
      <c r="Q389" s="249"/>
      <c r="R389" s="47"/>
      <c r="S389" s="47"/>
      <c r="T389" s="47"/>
      <c r="U389" s="47"/>
      <c r="V389" s="47"/>
      <c r="X389" s="180"/>
      <c r="Y389" s="47"/>
      <c r="Z389" s="47"/>
      <c r="AA389" s="47"/>
      <c r="AB389" s="52"/>
      <c r="AC389" s="52"/>
      <c r="AD389" s="52"/>
      <c r="AE389" s="52"/>
      <c r="AG389" s="103"/>
      <c r="AH389" s="111"/>
      <c r="AI389" s="111"/>
      <c r="AJ389" s="47"/>
      <c r="AL389" s="47"/>
      <c r="AM389" s="47"/>
      <c r="AN389" s="47"/>
      <c r="AP389" s="47"/>
      <c r="AQ389" s="47"/>
      <c r="AS389" s="250"/>
      <c r="AT389" s="67"/>
      <c r="AU389" s="67"/>
    </row>
    <row r="390" spans="2:47" s="25" customFormat="1" ht="12.75" customHeight="1" x14ac:dyDescent="0.3">
      <c r="B390" s="47"/>
      <c r="C390" s="47"/>
      <c r="D390" s="47"/>
      <c r="E390" s="47"/>
      <c r="F390" s="47"/>
      <c r="G390" s="47"/>
      <c r="H390" s="47"/>
      <c r="I390" s="107"/>
      <c r="K390" s="245"/>
      <c r="M390" s="246"/>
      <c r="N390" s="247"/>
      <c r="O390" s="248"/>
      <c r="Q390" s="249"/>
      <c r="R390" s="47"/>
      <c r="S390" s="47"/>
      <c r="T390" s="47"/>
      <c r="U390" s="47"/>
      <c r="V390" s="47"/>
      <c r="X390" s="180"/>
      <c r="Y390" s="47"/>
      <c r="Z390" s="47"/>
      <c r="AA390" s="47"/>
      <c r="AB390" s="52"/>
      <c r="AC390" s="52"/>
      <c r="AD390" s="52"/>
      <c r="AE390" s="52"/>
      <c r="AG390" s="103"/>
      <c r="AH390" s="111"/>
      <c r="AI390" s="111"/>
      <c r="AJ390" s="47"/>
      <c r="AL390" s="47"/>
      <c r="AM390" s="47"/>
      <c r="AN390" s="47"/>
      <c r="AP390" s="47"/>
      <c r="AQ390" s="47"/>
      <c r="AS390" s="250"/>
      <c r="AT390" s="67"/>
      <c r="AU390" s="67"/>
    </row>
    <row r="391" spans="2:47" s="25" customFormat="1" ht="12.75" customHeight="1" x14ac:dyDescent="0.3">
      <c r="B391" s="47"/>
      <c r="C391" s="47"/>
      <c r="D391" s="47"/>
      <c r="E391" s="47"/>
      <c r="F391" s="47"/>
      <c r="G391" s="47"/>
      <c r="H391" s="47"/>
      <c r="I391" s="107"/>
      <c r="K391" s="245"/>
      <c r="M391" s="246"/>
      <c r="N391" s="247"/>
      <c r="O391" s="248"/>
      <c r="Q391" s="249"/>
      <c r="R391" s="47"/>
      <c r="S391" s="47"/>
      <c r="T391" s="47"/>
      <c r="U391" s="47"/>
      <c r="V391" s="47"/>
      <c r="X391" s="180"/>
      <c r="Y391" s="47"/>
      <c r="Z391" s="47"/>
      <c r="AA391" s="47"/>
      <c r="AB391" s="52"/>
      <c r="AC391" s="52"/>
      <c r="AD391" s="52"/>
      <c r="AE391" s="52"/>
      <c r="AG391" s="103"/>
      <c r="AH391" s="111"/>
      <c r="AI391" s="111"/>
      <c r="AJ391" s="47"/>
      <c r="AL391" s="47"/>
      <c r="AM391" s="47"/>
      <c r="AN391" s="47"/>
      <c r="AP391" s="47"/>
      <c r="AQ391" s="47"/>
      <c r="AS391" s="250"/>
      <c r="AT391" s="67"/>
      <c r="AU391" s="67"/>
    </row>
    <row r="392" spans="2:47" s="25" customFormat="1" ht="12.75" customHeight="1" x14ac:dyDescent="0.3">
      <c r="B392" s="47"/>
      <c r="C392" s="47"/>
      <c r="D392" s="47"/>
      <c r="E392" s="47"/>
      <c r="F392" s="47"/>
      <c r="G392" s="47"/>
      <c r="H392" s="47"/>
      <c r="I392" s="107"/>
      <c r="K392" s="245"/>
      <c r="M392" s="246"/>
      <c r="N392" s="247"/>
      <c r="O392" s="248"/>
      <c r="Q392" s="249"/>
      <c r="R392" s="47"/>
      <c r="S392" s="47"/>
      <c r="T392" s="47"/>
      <c r="U392" s="47"/>
      <c r="V392" s="47"/>
      <c r="X392" s="180"/>
      <c r="Y392" s="47"/>
      <c r="Z392" s="47"/>
      <c r="AA392" s="47"/>
      <c r="AB392" s="52"/>
      <c r="AC392" s="52"/>
      <c r="AD392" s="52"/>
      <c r="AE392" s="52"/>
      <c r="AG392" s="103"/>
      <c r="AH392" s="111"/>
      <c r="AI392" s="111"/>
      <c r="AJ392" s="47"/>
      <c r="AL392" s="47"/>
      <c r="AM392" s="47"/>
      <c r="AN392" s="47"/>
      <c r="AP392" s="47"/>
      <c r="AQ392" s="47"/>
      <c r="AS392" s="250"/>
      <c r="AT392" s="67"/>
      <c r="AU392" s="67"/>
    </row>
    <row r="393" spans="2:47" s="25" customFormat="1" ht="12.75" customHeight="1" x14ac:dyDescent="0.3">
      <c r="B393" s="47"/>
      <c r="C393" s="47"/>
      <c r="D393" s="47"/>
      <c r="E393" s="47"/>
      <c r="F393" s="47"/>
      <c r="G393" s="47"/>
      <c r="H393" s="47"/>
      <c r="I393" s="107"/>
      <c r="K393" s="245"/>
      <c r="M393" s="246"/>
      <c r="N393" s="247"/>
      <c r="O393" s="248"/>
      <c r="Q393" s="249"/>
      <c r="R393" s="47"/>
      <c r="S393" s="47"/>
      <c r="T393" s="47"/>
      <c r="U393" s="47"/>
      <c r="V393" s="47"/>
      <c r="X393" s="180"/>
      <c r="Y393" s="47"/>
      <c r="Z393" s="47"/>
      <c r="AA393" s="47"/>
      <c r="AB393" s="52"/>
      <c r="AC393" s="52"/>
      <c r="AD393" s="52"/>
      <c r="AE393" s="52"/>
      <c r="AG393" s="103"/>
      <c r="AH393" s="111"/>
      <c r="AI393" s="111"/>
      <c r="AJ393" s="47"/>
      <c r="AL393" s="47"/>
      <c r="AM393" s="47"/>
      <c r="AN393" s="47"/>
      <c r="AP393" s="47"/>
      <c r="AQ393" s="47"/>
      <c r="AS393" s="250"/>
      <c r="AT393" s="67"/>
      <c r="AU393" s="67"/>
    </row>
    <row r="394" spans="2:47" s="25" customFormat="1" ht="12.75" customHeight="1" x14ac:dyDescent="0.3">
      <c r="B394" s="47"/>
      <c r="C394" s="47"/>
      <c r="D394" s="47"/>
      <c r="E394" s="47"/>
      <c r="F394" s="47"/>
      <c r="G394" s="47"/>
      <c r="H394" s="47"/>
      <c r="I394" s="107"/>
      <c r="K394" s="245"/>
      <c r="M394" s="246"/>
      <c r="N394" s="247"/>
      <c r="O394" s="248"/>
      <c r="Q394" s="249"/>
      <c r="R394" s="47"/>
      <c r="S394" s="47"/>
      <c r="T394" s="47"/>
      <c r="U394" s="47"/>
      <c r="V394" s="47"/>
      <c r="X394" s="180"/>
      <c r="Y394" s="47"/>
      <c r="Z394" s="47"/>
      <c r="AA394" s="47"/>
      <c r="AB394" s="52"/>
      <c r="AC394" s="52"/>
      <c r="AD394" s="52"/>
      <c r="AE394" s="52"/>
      <c r="AG394" s="103"/>
      <c r="AH394" s="111"/>
      <c r="AI394" s="111"/>
      <c r="AJ394" s="47"/>
      <c r="AL394" s="47"/>
      <c r="AM394" s="47"/>
      <c r="AN394" s="47"/>
      <c r="AP394" s="47"/>
      <c r="AQ394" s="47"/>
      <c r="AS394" s="250"/>
      <c r="AT394" s="67"/>
      <c r="AU394" s="67"/>
    </row>
    <row r="395" spans="2:47" s="25" customFormat="1" ht="12.75" customHeight="1" x14ac:dyDescent="0.3">
      <c r="B395" s="47"/>
      <c r="C395" s="47"/>
      <c r="D395" s="47"/>
      <c r="E395" s="47"/>
      <c r="F395" s="47"/>
      <c r="G395" s="47"/>
      <c r="H395" s="47"/>
      <c r="I395" s="107"/>
      <c r="K395" s="245"/>
      <c r="M395" s="246"/>
      <c r="N395" s="247"/>
      <c r="O395" s="248"/>
      <c r="Q395" s="249"/>
      <c r="R395" s="47"/>
      <c r="S395" s="47"/>
      <c r="T395" s="47"/>
      <c r="U395" s="47"/>
      <c r="V395" s="47"/>
      <c r="X395" s="180"/>
      <c r="Y395" s="47"/>
      <c r="Z395" s="47"/>
      <c r="AA395" s="47"/>
      <c r="AB395" s="52"/>
      <c r="AC395" s="52"/>
      <c r="AD395" s="52"/>
      <c r="AE395" s="52"/>
      <c r="AG395" s="103"/>
      <c r="AH395" s="111"/>
      <c r="AI395" s="111"/>
      <c r="AJ395" s="47"/>
      <c r="AL395" s="47"/>
      <c r="AM395" s="47"/>
      <c r="AN395" s="47"/>
      <c r="AP395" s="47"/>
      <c r="AQ395" s="47"/>
      <c r="AS395" s="250"/>
      <c r="AT395" s="67"/>
      <c r="AU395" s="67"/>
    </row>
    <row r="396" spans="2:47" s="25" customFormat="1" ht="12.75" customHeight="1" x14ac:dyDescent="0.3">
      <c r="B396" s="47"/>
      <c r="C396" s="47"/>
      <c r="D396" s="47"/>
      <c r="E396" s="47"/>
      <c r="F396" s="47"/>
      <c r="G396" s="47"/>
      <c r="H396" s="47"/>
      <c r="I396" s="107"/>
      <c r="K396" s="245"/>
      <c r="M396" s="246"/>
      <c r="N396" s="247"/>
      <c r="O396" s="248"/>
      <c r="Q396" s="249"/>
      <c r="R396" s="47"/>
      <c r="S396" s="47"/>
      <c r="T396" s="47"/>
      <c r="U396" s="47"/>
      <c r="V396" s="47"/>
      <c r="X396" s="180"/>
      <c r="Y396" s="47"/>
      <c r="Z396" s="47"/>
      <c r="AA396" s="47"/>
      <c r="AB396" s="52"/>
      <c r="AC396" s="52"/>
      <c r="AD396" s="52"/>
      <c r="AE396" s="52"/>
      <c r="AG396" s="103"/>
      <c r="AH396" s="111"/>
      <c r="AI396" s="111"/>
      <c r="AJ396" s="47"/>
      <c r="AL396" s="47"/>
      <c r="AM396" s="47"/>
      <c r="AN396" s="47"/>
      <c r="AP396" s="47"/>
      <c r="AQ396" s="47"/>
      <c r="AS396" s="250"/>
      <c r="AT396" s="67"/>
      <c r="AU396" s="67"/>
    </row>
    <row r="397" spans="2:47" s="25" customFormat="1" ht="12.75" customHeight="1" x14ac:dyDescent="0.3">
      <c r="B397" s="47"/>
      <c r="C397" s="47"/>
      <c r="D397" s="47"/>
      <c r="E397" s="47"/>
      <c r="F397" s="47"/>
      <c r="G397" s="47"/>
      <c r="H397" s="47"/>
      <c r="I397" s="107"/>
      <c r="K397" s="245"/>
      <c r="M397" s="246"/>
      <c r="N397" s="247"/>
      <c r="O397" s="248"/>
      <c r="Q397" s="249"/>
      <c r="R397" s="47"/>
      <c r="S397" s="47"/>
      <c r="T397" s="47"/>
      <c r="U397" s="47"/>
      <c r="V397" s="47"/>
      <c r="X397" s="180"/>
      <c r="Y397" s="47"/>
      <c r="Z397" s="47"/>
      <c r="AA397" s="47"/>
      <c r="AB397" s="52"/>
      <c r="AC397" s="52"/>
      <c r="AD397" s="52"/>
      <c r="AE397" s="52"/>
      <c r="AG397" s="103"/>
      <c r="AH397" s="111"/>
      <c r="AI397" s="111"/>
      <c r="AJ397" s="47"/>
      <c r="AL397" s="47"/>
      <c r="AM397" s="47"/>
      <c r="AN397" s="47"/>
      <c r="AP397" s="47"/>
      <c r="AQ397" s="47"/>
      <c r="AS397" s="250"/>
      <c r="AT397" s="67"/>
      <c r="AU397" s="67"/>
    </row>
    <row r="398" spans="2:47" s="25" customFormat="1" ht="12.75" customHeight="1" x14ac:dyDescent="0.3">
      <c r="B398" s="47"/>
      <c r="C398" s="47"/>
      <c r="D398" s="47"/>
      <c r="E398" s="47"/>
      <c r="F398" s="47"/>
      <c r="G398" s="47"/>
      <c r="H398" s="47"/>
      <c r="I398" s="107"/>
      <c r="K398" s="245"/>
      <c r="M398" s="246"/>
      <c r="N398" s="247"/>
      <c r="O398" s="248"/>
      <c r="Q398" s="249"/>
      <c r="R398" s="47"/>
      <c r="S398" s="47"/>
      <c r="T398" s="47"/>
      <c r="U398" s="47"/>
      <c r="V398" s="47"/>
      <c r="X398" s="180"/>
      <c r="Y398" s="47"/>
      <c r="Z398" s="47"/>
      <c r="AA398" s="47"/>
      <c r="AB398" s="52"/>
      <c r="AC398" s="52"/>
      <c r="AD398" s="52"/>
      <c r="AE398" s="52"/>
      <c r="AG398" s="103"/>
      <c r="AH398" s="111"/>
      <c r="AI398" s="111"/>
      <c r="AJ398" s="47"/>
      <c r="AL398" s="47"/>
      <c r="AM398" s="47"/>
      <c r="AN398" s="47"/>
      <c r="AP398" s="47"/>
      <c r="AQ398" s="47"/>
      <c r="AS398" s="250"/>
      <c r="AT398" s="67"/>
      <c r="AU398" s="67"/>
    </row>
    <row r="399" spans="2:47" s="25" customFormat="1" ht="12.75" customHeight="1" x14ac:dyDescent="0.3">
      <c r="B399" s="47"/>
      <c r="C399" s="47"/>
      <c r="D399" s="47"/>
      <c r="E399" s="47"/>
      <c r="F399" s="47"/>
      <c r="G399" s="47"/>
      <c r="H399" s="47"/>
      <c r="I399" s="107"/>
      <c r="K399" s="245"/>
      <c r="M399" s="246"/>
      <c r="N399" s="247"/>
      <c r="O399" s="248"/>
      <c r="Q399" s="249"/>
      <c r="R399" s="47"/>
      <c r="S399" s="47"/>
      <c r="T399" s="47"/>
      <c r="U399" s="47"/>
      <c r="V399" s="47"/>
      <c r="X399" s="180"/>
      <c r="Y399" s="47"/>
      <c r="Z399" s="47"/>
      <c r="AA399" s="47"/>
      <c r="AB399" s="52"/>
      <c r="AC399" s="52"/>
      <c r="AD399" s="52"/>
      <c r="AE399" s="52"/>
      <c r="AG399" s="103"/>
      <c r="AH399" s="111"/>
      <c r="AI399" s="111"/>
      <c r="AJ399" s="47"/>
      <c r="AL399" s="47"/>
      <c r="AM399" s="47"/>
      <c r="AN399" s="47"/>
      <c r="AP399" s="47"/>
      <c r="AQ399" s="47"/>
      <c r="AS399" s="250"/>
      <c r="AT399" s="67"/>
      <c r="AU399" s="67"/>
    </row>
    <row r="400" spans="2:47" s="25" customFormat="1" ht="12.75" customHeight="1" x14ac:dyDescent="0.3">
      <c r="B400" s="47"/>
      <c r="C400" s="47"/>
      <c r="D400" s="47"/>
      <c r="E400" s="47"/>
      <c r="F400" s="47"/>
      <c r="G400" s="47"/>
      <c r="H400" s="47"/>
      <c r="I400" s="107"/>
      <c r="K400" s="245"/>
      <c r="M400" s="246"/>
      <c r="N400" s="247"/>
      <c r="O400" s="248"/>
      <c r="Q400" s="249"/>
      <c r="R400" s="47"/>
      <c r="S400" s="47"/>
      <c r="T400" s="47"/>
      <c r="U400" s="47"/>
      <c r="V400" s="47"/>
      <c r="X400" s="180"/>
      <c r="Y400" s="47"/>
      <c r="Z400" s="47"/>
      <c r="AA400" s="47"/>
      <c r="AB400" s="52"/>
      <c r="AC400" s="52"/>
      <c r="AD400" s="52"/>
      <c r="AE400" s="52"/>
      <c r="AG400" s="103"/>
      <c r="AH400" s="111"/>
      <c r="AI400" s="111"/>
      <c r="AJ400" s="47"/>
      <c r="AL400" s="47"/>
      <c r="AM400" s="47"/>
      <c r="AN400" s="47"/>
      <c r="AP400" s="47"/>
      <c r="AQ400" s="47"/>
      <c r="AS400" s="250"/>
      <c r="AT400" s="67"/>
      <c r="AU400" s="67"/>
    </row>
    <row r="401" spans="2:47" s="25" customFormat="1" ht="12.75" customHeight="1" x14ac:dyDescent="0.3">
      <c r="B401" s="47"/>
      <c r="C401" s="47"/>
      <c r="D401" s="47"/>
      <c r="E401" s="47"/>
      <c r="F401" s="47"/>
      <c r="G401" s="47"/>
      <c r="H401" s="47"/>
      <c r="I401" s="107"/>
      <c r="K401" s="245"/>
      <c r="M401" s="246"/>
      <c r="N401" s="247"/>
      <c r="O401" s="248"/>
      <c r="Q401" s="249"/>
      <c r="R401" s="47"/>
      <c r="S401" s="47"/>
      <c r="T401" s="47"/>
      <c r="U401" s="47"/>
      <c r="V401" s="47"/>
      <c r="X401" s="180"/>
      <c r="Y401" s="47"/>
      <c r="Z401" s="47"/>
      <c r="AA401" s="47"/>
      <c r="AB401" s="52"/>
      <c r="AC401" s="52"/>
      <c r="AD401" s="52"/>
      <c r="AE401" s="52"/>
      <c r="AG401" s="103"/>
      <c r="AH401" s="111"/>
      <c r="AI401" s="111"/>
      <c r="AJ401" s="47"/>
      <c r="AL401" s="47"/>
      <c r="AM401" s="47"/>
      <c r="AN401" s="47"/>
      <c r="AP401" s="47"/>
      <c r="AQ401" s="47"/>
      <c r="AS401" s="250"/>
      <c r="AT401" s="67"/>
      <c r="AU401" s="67"/>
    </row>
    <row r="402" spans="2:47" s="25" customFormat="1" ht="12.75" customHeight="1" x14ac:dyDescent="0.3">
      <c r="B402" s="47"/>
      <c r="C402" s="47"/>
      <c r="D402" s="47"/>
      <c r="E402" s="47"/>
      <c r="F402" s="47"/>
      <c r="G402" s="47"/>
      <c r="H402" s="47"/>
      <c r="I402" s="107"/>
      <c r="K402" s="245"/>
      <c r="M402" s="246"/>
      <c r="N402" s="247"/>
      <c r="O402" s="248"/>
      <c r="Q402" s="249"/>
      <c r="R402" s="47"/>
      <c r="S402" s="47"/>
      <c r="T402" s="47"/>
      <c r="U402" s="47"/>
      <c r="V402" s="47"/>
      <c r="X402" s="180"/>
      <c r="Y402" s="47"/>
      <c r="Z402" s="47"/>
      <c r="AA402" s="47"/>
      <c r="AB402" s="52"/>
      <c r="AC402" s="52"/>
      <c r="AD402" s="52"/>
      <c r="AE402" s="52"/>
      <c r="AG402" s="103"/>
      <c r="AH402" s="111"/>
      <c r="AI402" s="111"/>
      <c r="AJ402" s="47"/>
      <c r="AL402" s="47"/>
      <c r="AM402" s="47"/>
      <c r="AN402" s="47"/>
      <c r="AP402" s="47"/>
      <c r="AQ402" s="47"/>
      <c r="AS402" s="250"/>
      <c r="AT402" s="67"/>
      <c r="AU402" s="67"/>
    </row>
    <row r="403" spans="2:47" s="25" customFormat="1" ht="12.75" customHeight="1" x14ac:dyDescent="0.3">
      <c r="B403" s="47"/>
      <c r="C403" s="47"/>
      <c r="D403" s="47"/>
      <c r="E403" s="47"/>
      <c r="F403" s="47"/>
      <c r="G403" s="47"/>
      <c r="H403" s="47"/>
      <c r="I403" s="107"/>
      <c r="K403" s="245"/>
      <c r="M403" s="246"/>
      <c r="N403" s="247"/>
      <c r="O403" s="248"/>
      <c r="Q403" s="249"/>
      <c r="R403" s="47"/>
      <c r="S403" s="47"/>
      <c r="T403" s="47"/>
      <c r="U403" s="47"/>
      <c r="V403" s="47"/>
      <c r="X403" s="180"/>
      <c r="Y403" s="47"/>
      <c r="Z403" s="47"/>
      <c r="AA403" s="47"/>
      <c r="AB403" s="52"/>
      <c r="AC403" s="52"/>
      <c r="AD403" s="52"/>
      <c r="AE403" s="52"/>
      <c r="AG403" s="103"/>
      <c r="AH403" s="111"/>
      <c r="AI403" s="111"/>
      <c r="AJ403" s="47"/>
      <c r="AL403" s="47"/>
      <c r="AM403" s="47"/>
      <c r="AN403" s="47"/>
      <c r="AP403" s="47"/>
      <c r="AQ403" s="47"/>
      <c r="AS403" s="250"/>
      <c r="AT403" s="67"/>
      <c r="AU403" s="67"/>
    </row>
    <row r="404" spans="2:47" s="25" customFormat="1" ht="12.75" customHeight="1" x14ac:dyDescent="0.3">
      <c r="B404" s="47"/>
      <c r="C404" s="47"/>
      <c r="D404" s="47"/>
      <c r="E404" s="47"/>
      <c r="F404" s="47"/>
      <c r="G404" s="47"/>
      <c r="H404" s="47"/>
      <c r="I404" s="107"/>
      <c r="K404" s="245"/>
      <c r="M404" s="246"/>
      <c r="N404" s="247"/>
      <c r="O404" s="248"/>
      <c r="Q404" s="249"/>
      <c r="R404" s="47"/>
      <c r="S404" s="47"/>
      <c r="T404" s="47"/>
      <c r="U404" s="47"/>
      <c r="V404" s="47"/>
      <c r="X404" s="180"/>
      <c r="Y404" s="47"/>
      <c r="Z404" s="47"/>
      <c r="AA404" s="47"/>
      <c r="AB404" s="52"/>
      <c r="AC404" s="52"/>
      <c r="AD404" s="52"/>
      <c r="AE404" s="52"/>
      <c r="AG404" s="103"/>
      <c r="AH404" s="111"/>
      <c r="AI404" s="111"/>
      <c r="AJ404" s="47"/>
      <c r="AL404" s="47"/>
      <c r="AM404" s="47"/>
      <c r="AN404" s="47"/>
      <c r="AP404" s="47"/>
      <c r="AQ404" s="47"/>
      <c r="AS404" s="250"/>
      <c r="AT404" s="67"/>
      <c r="AU404" s="67"/>
    </row>
    <row r="405" spans="2:47" s="25" customFormat="1" ht="12.75" customHeight="1" x14ac:dyDescent="0.3">
      <c r="B405" s="47"/>
      <c r="C405" s="47"/>
      <c r="D405" s="47"/>
      <c r="E405" s="47"/>
      <c r="F405" s="47"/>
      <c r="G405" s="47"/>
      <c r="H405" s="47"/>
      <c r="I405" s="107"/>
      <c r="K405" s="245"/>
      <c r="M405" s="246"/>
      <c r="N405" s="247"/>
      <c r="O405" s="248"/>
      <c r="Q405" s="249"/>
      <c r="R405" s="47"/>
      <c r="S405" s="47"/>
      <c r="T405" s="47"/>
      <c r="U405" s="47"/>
      <c r="V405" s="47"/>
      <c r="X405" s="180"/>
      <c r="Y405" s="47"/>
      <c r="Z405" s="47"/>
      <c r="AA405" s="47"/>
      <c r="AB405" s="52"/>
      <c r="AC405" s="52"/>
      <c r="AD405" s="52"/>
      <c r="AE405" s="52"/>
      <c r="AG405" s="103"/>
      <c r="AH405" s="111"/>
      <c r="AI405" s="111"/>
      <c r="AJ405" s="47"/>
      <c r="AL405" s="47"/>
      <c r="AM405" s="47"/>
      <c r="AN405" s="47"/>
      <c r="AP405" s="47"/>
      <c r="AQ405" s="47"/>
      <c r="AS405" s="250"/>
      <c r="AT405" s="67"/>
      <c r="AU405" s="67"/>
    </row>
    <row r="406" spans="2:47" s="25" customFormat="1" ht="12.75" customHeight="1" x14ac:dyDescent="0.3">
      <c r="B406" s="47"/>
      <c r="C406" s="47"/>
      <c r="D406" s="47"/>
      <c r="E406" s="47"/>
      <c r="F406" s="47"/>
      <c r="G406" s="47"/>
      <c r="H406" s="47"/>
      <c r="I406" s="107"/>
      <c r="K406" s="245"/>
      <c r="M406" s="246"/>
      <c r="N406" s="247"/>
      <c r="O406" s="248"/>
      <c r="Q406" s="249"/>
      <c r="R406" s="47"/>
      <c r="S406" s="47"/>
      <c r="T406" s="47"/>
      <c r="U406" s="47"/>
      <c r="V406" s="47"/>
      <c r="X406" s="180"/>
      <c r="Y406" s="47"/>
      <c r="Z406" s="47"/>
      <c r="AA406" s="47"/>
      <c r="AB406" s="52"/>
      <c r="AC406" s="52"/>
      <c r="AD406" s="52"/>
      <c r="AE406" s="52"/>
      <c r="AG406" s="103"/>
      <c r="AH406" s="111"/>
      <c r="AI406" s="111"/>
      <c r="AJ406" s="47"/>
      <c r="AL406" s="47"/>
      <c r="AM406" s="47"/>
      <c r="AN406" s="47"/>
      <c r="AP406" s="47"/>
      <c r="AQ406" s="47"/>
      <c r="AS406" s="250"/>
      <c r="AT406" s="67"/>
      <c r="AU406" s="67"/>
    </row>
    <row r="407" spans="2:47" s="25" customFormat="1" ht="12.75" customHeight="1" x14ac:dyDescent="0.3">
      <c r="B407" s="47"/>
      <c r="C407" s="47"/>
      <c r="D407" s="47"/>
      <c r="E407" s="47"/>
      <c r="F407" s="47"/>
      <c r="G407" s="47"/>
      <c r="H407" s="47"/>
      <c r="I407" s="107"/>
      <c r="K407" s="245"/>
      <c r="M407" s="246"/>
      <c r="N407" s="247"/>
      <c r="O407" s="248"/>
      <c r="Q407" s="249"/>
      <c r="R407" s="47"/>
      <c r="S407" s="47"/>
      <c r="T407" s="47"/>
      <c r="U407" s="47"/>
      <c r="V407" s="47"/>
      <c r="X407" s="180"/>
      <c r="Y407" s="47"/>
      <c r="Z407" s="47"/>
      <c r="AA407" s="47"/>
      <c r="AB407" s="52"/>
      <c r="AC407" s="52"/>
      <c r="AD407" s="52"/>
      <c r="AE407" s="52"/>
      <c r="AG407" s="103"/>
      <c r="AH407" s="111"/>
      <c r="AI407" s="111"/>
      <c r="AJ407" s="47"/>
      <c r="AL407" s="47"/>
      <c r="AM407" s="47"/>
      <c r="AN407" s="47"/>
      <c r="AP407" s="47"/>
      <c r="AQ407" s="47"/>
      <c r="AS407" s="250"/>
      <c r="AT407" s="67"/>
      <c r="AU407" s="67"/>
    </row>
    <row r="408" spans="2:47" s="25" customFormat="1" ht="12.75" customHeight="1" x14ac:dyDescent="0.3">
      <c r="B408" s="47"/>
      <c r="C408" s="47"/>
      <c r="D408" s="47"/>
      <c r="E408" s="47"/>
      <c r="F408" s="47"/>
      <c r="G408" s="47"/>
      <c r="H408" s="47"/>
      <c r="I408" s="107"/>
      <c r="K408" s="245"/>
      <c r="M408" s="246"/>
      <c r="N408" s="247"/>
      <c r="O408" s="248"/>
      <c r="Q408" s="249"/>
      <c r="R408" s="47"/>
      <c r="S408" s="47"/>
      <c r="T408" s="47"/>
      <c r="U408" s="47"/>
      <c r="V408" s="47"/>
      <c r="X408" s="180"/>
      <c r="Y408" s="47"/>
      <c r="Z408" s="47"/>
      <c r="AA408" s="47"/>
      <c r="AB408" s="52"/>
      <c r="AC408" s="52"/>
      <c r="AD408" s="52"/>
      <c r="AE408" s="52"/>
      <c r="AG408" s="103"/>
      <c r="AH408" s="111"/>
      <c r="AI408" s="111"/>
      <c r="AJ408" s="47"/>
      <c r="AL408" s="47"/>
      <c r="AM408" s="47"/>
      <c r="AN408" s="47"/>
      <c r="AP408" s="47"/>
      <c r="AQ408" s="47"/>
      <c r="AS408" s="250"/>
      <c r="AT408" s="67"/>
      <c r="AU408" s="67"/>
    </row>
    <row r="409" spans="2:47" s="25" customFormat="1" ht="12.75" customHeight="1" x14ac:dyDescent="0.3">
      <c r="B409" s="47"/>
      <c r="C409" s="47"/>
      <c r="D409" s="47"/>
      <c r="E409" s="47"/>
      <c r="F409" s="47"/>
      <c r="G409" s="47"/>
      <c r="H409" s="47"/>
      <c r="I409" s="107"/>
      <c r="K409" s="245"/>
      <c r="M409" s="246"/>
      <c r="N409" s="247"/>
      <c r="O409" s="248"/>
      <c r="Q409" s="249"/>
      <c r="R409" s="47"/>
      <c r="S409" s="47"/>
      <c r="T409" s="47"/>
      <c r="U409" s="47"/>
      <c r="V409" s="47"/>
      <c r="X409" s="180"/>
      <c r="Y409" s="47"/>
      <c r="Z409" s="47"/>
      <c r="AA409" s="47"/>
      <c r="AB409" s="52"/>
      <c r="AC409" s="52"/>
      <c r="AD409" s="52"/>
      <c r="AE409" s="52"/>
      <c r="AG409" s="103"/>
      <c r="AH409" s="111"/>
      <c r="AI409" s="111"/>
      <c r="AJ409" s="47"/>
      <c r="AL409" s="47"/>
      <c r="AM409" s="47"/>
      <c r="AN409" s="47"/>
      <c r="AP409" s="47"/>
      <c r="AQ409" s="47"/>
      <c r="AS409" s="250"/>
      <c r="AT409" s="67"/>
      <c r="AU409" s="67"/>
    </row>
    <row r="410" spans="2:47" s="25" customFormat="1" ht="12.75" customHeight="1" x14ac:dyDescent="0.3">
      <c r="B410" s="47"/>
      <c r="C410" s="47"/>
      <c r="D410" s="47"/>
      <c r="E410" s="47"/>
      <c r="F410" s="47"/>
      <c r="G410" s="47"/>
      <c r="H410" s="47"/>
      <c r="I410" s="107"/>
      <c r="K410" s="245"/>
      <c r="M410" s="246"/>
      <c r="N410" s="247"/>
      <c r="O410" s="248"/>
      <c r="Q410" s="249"/>
      <c r="R410" s="47"/>
      <c r="S410" s="47"/>
      <c r="T410" s="47"/>
      <c r="U410" s="47"/>
      <c r="V410" s="47"/>
      <c r="X410" s="180"/>
      <c r="Y410" s="47"/>
      <c r="Z410" s="47"/>
      <c r="AA410" s="47"/>
      <c r="AB410" s="52"/>
      <c r="AC410" s="52"/>
      <c r="AD410" s="52"/>
      <c r="AE410" s="52"/>
      <c r="AG410" s="103"/>
      <c r="AH410" s="111"/>
      <c r="AI410" s="111"/>
      <c r="AJ410" s="47"/>
      <c r="AL410" s="47"/>
      <c r="AM410" s="47"/>
      <c r="AN410" s="47"/>
      <c r="AP410" s="47"/>
      <c r="AQ410" s="47"/>
      <c r="AS410" s="250"/>
      <c r="AT410" s="67"/>
      <c r="AU410" s="67"/>
    </row>
    <row r="411" spans="2:47" s="25" customFormat="1" ht="12.75" customHeight="1" x14ac:dyDescent="0.3">
      <c r="B411" s="47"/>
      <c r="C411" s="47"/>
      <c r="D411" s="47"/>
      <c r="E411" s="47"/>
      <c r="F411" s="47"/>
      <c r="G411" s="47"/>
      <c r="H411" s="47"/>
      <c r="I411" s="107"/>
      <c r="K411" s="245"/>
      <c r="M411" s="246"/>
      <c r="N411" s="247"/>
      <c r="O411" s="248"/>
      <c r="Q411" s="249"/>
      <c r="R411" s="47"/>
      <c r="S411" s="47"/>
      <c r="T411" s="47"/>
      <c r="U411" s="47"/>
      <c r="V411" s="47"/>
      <c r="X411" s="180"/>
      <c r="Y411" s="47"/>
      <c r="Z411" s="47"/>
      <c r="AA411" s="47"/>
      <c r="AB411" s="52"/>
      <c r="AC411" s="52"/>
      <c r="AD411" s="52"/>
      <c r="AE411" s="52"/>
      <c r="AG411" s="103"/>
      <c r="AH411" s="111"/>
      <c r="AI411" s="111"/>
      <c r="AJ411" s="47"/>
      <c r="AL411" s="47"/>
      <c r="AM411" s="47"/>
      <c r="AN411" s="47"/>
      <c r="AP411" s="47"/>
      <c r="AQ411" s="47"/>
      <c r="AS411" s="250"/>
      <c r="AT411" s="67"/>
      <c r="AU411" s="67"/>
    </row>
    <row r="412" spans="2:47" s="25" customFormat="1" ht="12.75" customHeight="1" x14ac:dyDescent="0.3">
      <c r="B412" s="47"/>
      <c r="C412" s="47"/>
      <c r="D412" s="47"/>
      <c r="E412" s="47"/>
      <c r="F412" s="47"/>
      <c r="G412" s="47"/>
      <c r="H412" s="47"/>
      <c r="I412" s="107"/>
      <c r="K412" s="245"/>
      <c r="M412" s="246"/>
      <c r="N412" s="247"/>
      <c r="O412" s="248"/>
      <c r="Q412" s="249"/>
      <c r="R412" s="47"/>
      <c r="S412" s="47"/>
      <c r="T412" s="47"/>
      <c r="U412" s="47"/>
      <c r="V412" s="47"/>
      <c r="X412" s="180"/>
      <c r="Y412" s="47"/>
      <c r="Z412" s="47"/>
      <c r="AA412" s="47"/>
      <c r="AB412" s="52"/>
      <c r="AC412" s="52"/>
      <c r="AD412" s="52"/>
      <c r="AE412" s="52"/>
      <c r="AG412" s="103"/>
      <c r="AH412" s="111"/>
      <c r="AI412" s="111"/>
      <c r="AJ412" s="47"/>
      <c r="AL412" s="47"/>
      <c r="AM412" s="47"/>
      <c r="AN412" s="47"/>
      <c r="AP412" s="47"/>
      <c r="AQ412" s="47"/>
      <c r="AS412" s="250"/>
      <c r="AT412" s="67"/>
      <c r="AU412" s="67"/>
    </row>
    <row r="413" spans="2:47" s="25" customFormat="1" ht="12.75" customHeight="1" x14ac:dyDescent="0.3">
      <c r="B413" s="47"/>
      <c r="C413" s="47"/>
      <c r="D413" s="47"/>
      <c r="E413" s="47"/>
      <c r="F413" s="47"/>
      <c r="G413" s="47"/>
      <c r="H413" s="47"/>
      <c r="I413" s="107"/>
      <c r="K413" s="245"/>
      <c r="M413" s="246"/>
      <c r="N413" s="247"/>
      <c r="O413" s="248"/>
      <c r="Q413" s="249"/>
      <c r="R413" s="47"/>
      <c r="S413" s="47"/>
      <c r="T413" s="47"/>
      <c r="U413" s="47"/>
      <c r="V413" s="47"/>
      <c r="X413" s="180"/>
      <c r="Y413" s="47"/>
      <c r="Z413" s="47"/>
      <c r="AA413" s="47"/>
      <c r="AB413" s="52"/>
      <c r="AC413" s="52"/>
      <c r="AD413" s="52"/>
      <c r="AE413" s="52"/>
      <c r="AG413" s="103"/>
      <c r="AH413" s="111"/>
      <c r="AI413" s="111"/>
      <c r="AJ413" s="47"/>
      <c r="AL413" s="47"/>
      <c r="AM413" s="47"/>
      <c r="AN413" s="47"/>
      <c r="AP413" s="47"/>
      <c r="AQ413" s="47"/>
      <c r="AS413" s="250"/>
      <c r="AT413" s="67"/>
      <c r="AU413" s="67"/>
    </row>
    <row r="414" spans="2:47" s="25" customFormat="1" ht="12.75" customHeight="1" x14ac:dyDescent="0.3">
      <c r="B414" s="47"/>
      <c r="C414" s="47"/>
      <c r="D414" s="47"/>
      <c r="E414" s="47"/>
      <c r="F414" s="47"/>
      <c r="G414" s="47"/>
      <c r="H414" s="47"/>
      <c r="I414" s="107"/>
      <c r="K414" s="245"/>
      <c r="M414" s="246"/>
      <c r="N414" s="247"/>
      <c r="O414" s="248"/>
      <c r="Q414" s="249"/>
      <c r="R414" s="47"/>
      <c r="S414" s="47"/>
      <c r="T414" s="47"/>
      <c r="U414" s="47"/>
      <c r="V414" s="47"/>
      <c r="X414" s="180"/>
      <c r="Y414" s="47"/>
      <c r="Z414" s="47"/>
      <c r="AA414" s="47"/>
      <c r="AB414" s="52"/>
      <c r="AC414" s="52"/>
      <c r="AD414" s="52"/>
      <c r="AE414" s="52"/>
      <c r="AG414" s="103"/>
      <c r="AH414" s="111"/>
      <c r="AI414" s="111"/>
      <c r="AJ414" s="47"/>
      <c r="AL414" s="47"/>
      <c r="AM414" s="47"/>
      <c r="AN414" s="47"/>
      <c r="AP414" s="47"/>
      <c r="AQ414" s="47"/>
      <c r="AS414" s="250"/>
      <c r="AT414" s="67"/>
      <c r="AU414" s="67"/>
    </row>
    <row r="415" spans="2:47" s="25" customFormat="1" ht="12.75" customHeight="1" x14ac:dyDescent="0.3">
      <c r="B415" s="47"/>
      <c r="C415" s="47"/>
      <c r="D415" s="47"/>
      <c r="E415" s="47"/>
      <c r="F415" s="47"/>
      <c r="G415" s="47"/>
      <c r="H415" s="47"/>
      <c r="I415" s="107"/>
      <c r="K415" s="245"/>
      <c r="M415" s="246"/>
      <c r="N415" s="247"/>
      <c r="O415" s="248"/>
      <c r="Q415" s="249"/>
      <c r="R415" s="47"/>
      <c r="S415" s="47"/>
      <c r="T415" s="47"/>
      <c r="U415" s="47"/>
      <c r="V415" s="47"/>
      <c r="X415" s="180"/>
      <c r="Y415" s="47"/>
      <c r="Z415" s="47"/>
      <c r="AA415" s="47"/>
      <c r="AB415" s="52"/>
      <c r="AC415" s="52"/>
      <c r="AD415" s="52"/>
      <c r="AE415" s="52"/>
      <c r="AG415" s="103"/>
      <c r="AH415" s="111"/>
      <c r="AI415" s="111"/>
      <c r="AJ415" s="47"/>
      <c r="AL415" s="47"/>
      <c r="AM415" s="47"/>
      <c r="AN415" s="47"/>
      <c r="AP415" s="47"/>
      <c r="AQ415" s="47"/>
      <c r="AS415" s="250"/>
      <c r="AT415" s="67"/>
      <c r="AU415" s="67"/>
    </row>
    <row r="416" spans="2:47" s="25" customFormat="1" ht="12.75" customHeight="1" x14ac:dyDescent="0.3">
      <c r="B416" s="47"/>
      <c r="C416" s="47"/>
      <c r="D416" s="47"/>
      <c r="E416" s="47"/>
      <c r="F416" s="47"/>
      <c r="G416" s="47"/>
      <c r="H416" s="47"/>
      <c r="I416" s="107"/>
      <c r="K416" s="245"/>
      <c r="M416" s="246"/>
      <c r="N416" s="247"/>
      <c r="O416" s="248"/>
      <c r="Q416" s="249"/>
      <c r="R416" s="47"/>
      <c r="S416" s="47"/>
      <c r="T416" s="47"/>
      <c r="U416" s="47"/>
      <c r="V416" s="47"/>
      <c r="X416" s="180"/>
      <c r="Y416" s="47"/>
      <c r="Z416" s="47"/>
      <c r="AA416" s="47"/>
      <c r="AB416" s="52"/>
      <c r="AC416" s="52"/>
      <c r="AD416" s="52"/>
      <c r="AE416" s="52"/>
      <c r="AG416" s="103"/>
      <c r="AH416" s="111"/>
      <c r="AI416" s="111"/>
      <c r="AJ416" s="47"/>
      <c r="AL416" s="47"/>
      <c r="AM416" s="47"/>
      <c r="AN416" s="47"/>
      <c r="AP416" s="47"/>
      <c r="AQ416" s="47"/>
      <c r="AS416" s="250"/>
      <c r="AT416" s="67"/>
      <c r="AU416" s="67"/>
    </row>
    <row r="417" spans="2:47" s="25" customFormat="1" ht="12.75" customHeight="1" x14ac:dyDescent="0.3">
      <c r="B417" s="47"/>
      <c r="C417" s="47"/>
      <c r="D417" s="47"/>
      <c r="E417" s="47"/>
      <c r="F417" s="47"/>
      <c r="G417" s="47"/>
      <c r="H417" s="47"/>
      <c r="I417" s="107"/>
      <c r="K417" s="245"/>
      <c r="M417" s="246"/>
      <c r="N417" s="247"/>
      <c r="O417" s="248"/>
      <c r="Q417" s="249"/>
      <c r="R417" s="47"/>
      <c r="S417" s="47"/>
      <c r="T417" s="47"/>
      <c r="U417" s="47"/>
      <c r="V417" s="47"/>
      <c r="X417" s="180"/>
      <c r="Y417" s="47"/>
      <c r="Z417" s="47"/>
      <c r="AA417" s="47"/>
      <c r="AB417" s="52"/>
      <c r="AC417" s="52"/>
      <c r="AD417" s="52"/>
      <c r="AE417" s="52"/>
      <c r="AG417" s="103"/>
      <c r="AH417" s="111"/>
      <c r="AI417" s="111"/>
      <c r="AJ417" s="47"/>
      <c r="AL417" s="47"/>
      <c r="AM417" s="47"/>
      <c r="AN417" s="47"/>
      <c r="AP417" s="47"/>
      <c r="AQ417" s="47"/>
      <c r="AS417" s="250"/>
      <c r="AT417" s="67"/>
      <c r="AU417" s="67"/>
    </row>
    <row r="418" spans="2:47" s="25" customFormat="1" ht="12.75" customHeight="1" x14ac:dyDescent="0.3">
      <c r="B418" s="47"/>
      <c r="C418" s="47"/>
      <c r="D418" s="47"/>
      <c r="E418" s="47"/>
      <c r="F418" s="47"/>
      <c r="G418" s="47"/>
      <c r="H418" s="47"/>
      <c r="I418" s="107"/>
      <c r="K418" s="245"/>
      <c r="M418" s="246"/>
      <c r="N418" s="247"/>
      <c r="O418" s="248"/>
      <c r="Q418" s="249"/>
      <c r="R418" s="47"/>
      <c r="S418" s="47"/>
      <c r="T418" s="47"/>
      <c r="U418" s="47"/>
      <c r="V418" s="47"/>
      <c r="X418" s="180"/>
      <c r="Y418" s="47"/>
      <c r="Z418" s="47"/>
      <c r="AA418" s="47"/>
      <c r="AB418" s="52"/>
      <c r="AC418" s="52"/>
      <c r="AD418" s="52"/>
      <c r="AE418" s="52"/>
      <c r="AG418" s="103"/>
      <c r="AH418" s="111"/>
      <c r="AI418" s="111"/>
      <c r="AJ418" s="47"/>
      <c r="AL418" s="47"/>
      <c r="AM418" s="47"/>
      <c r="AN418" s="47"/>
      <c r="AP418" s="47"/>
      <c r="AQ418" s="47"/>
      <c r="AS418" s="250"/>
      <c r="AT418" s="67"/>
      <c r="AU418" s="67"/>
    </row>
    <row r="419" spans="2:47" s="25" customFormat="1" ht="12.75" customHeight="1" x14ac:dyDescent="0.3">
      <c r="B419" s="47"/>
      <c r="C419" s="47"/>
      <c r="D419" s="47"/>
      <c r="E419" s="47"/>
      <c r="F419" s="47"/>
      <c r="G419" s="47"/>
      <c r="H419" s="47"/>
      <c r="I419" s="107"/>
      <c r="K419" s="245"/>
      <c r="M419" s="246"/>
      <c r="N419" s="247"/>
      <c r="O419" s="248"/>
      <c r="Q419" s="249"/>
      <c r="R419" s="47"/>
      <c r="S419" s="47"/>
      <c r="T419" s="47"/>
      <c r="U419" s="47"/>
      <c r="V419" s="47"/>
      <c r="X419" s="180"/>
      <c r="Y419" s="47"/>
      <c r="Z419" s="47"/>
      <c r="AA419" s="47"/>
      <c r="AB419" s="52"/>
      <c r="AC419" s="52"/>
      <c r="AD419" s="52"/>
      <c r="AE419" s="52"/>
      <c r="AG419" s="103"/>
      <c r="AH419" s="111"/>
      <c r="AI419" s="111"/>
      <c r="AJ419" s="47"/>
      <c r="AL419" s="47"/>
      <c r="AM419" s="47"/>
      <c r="AN419" s="47"/>
      <c r="AP419" s="47"/>
      <c r="AQ419" s="47"/>
      <c r="AS419" s="250"/>
      <c r="AT419" s="67"/>
      <c r="AU419" s="67"/>
    </row>
    <row r="420" spans="2:47" s="25" customFormat="1" ht="12.75" customHeight="1" x14ac:dyDescent="0.3">
      <c r="B420" s="47"/>
      <c r="C420" s="47"/>
      <c r="D420" s="47"/>
      <c r="E420" s="47"/>
      <c r="F420" s="47"/>
      <c r="G420" s="47"/>
      <c r="H420" s="47"/>
      <c r="I420" s="107"/>
      <c r="K420" s="245"/>
      <c r="M420" s="246"/>
      <c r="N420" s="247"/>
      <c r="O420" s="248"/>
      <c r="Q420" s="249"/>
      <c r="R420" s="47"/>
      <c r="S420" s="47"/>
      <c r="T420" s="47"/>
      <c r="U420" s="47"/>
      <c r="V420" s="47"/>
      <c r="X420" s="180"/>
      <c r="Y420" s="47"/>
      <c r="Z420" s="47"/>
      <c r="AA420" s="47"/>
      <c r="AB420" s="52"/>
      <c r="AC420" s="52"/>
      <c r="AD420" s="52"/>
      <c r="AE420" s="52"/>
      <c r="AG420" s="103"/>
      <c r="AH420" s="111"/>
      <c r="AI420" s="111"/>
      <c r="AJ420" s="47"/>
      <c r="AL420" s="47"/>
      <c r="AM420" s="47"/>
      <c r="AN420" s="47"/>
      <c r="AP420" s="47"/>
      <c r="AQ420" s="47"/>
      <c r="AS420" s="250"/>
      <c r="AT420" s="67"/>
      <c r="AU420" s="67"/>
    </row>
    <row r="421" spans="2:47" s="25" customFormat="1" ht="12.75" customHeight="1" x14ac:dyDescent="0.3">
      <c r="B421" s="47"/>
      <c r="C421" s="47"/>
      <c r="D421" s="47"/>
      <c r="E421" s="47"/>
      <c r="F421" s="47"/>
      <c r="G421" s="47"/>
      <c r="H421" s="47"/>
      <c r="I421" s="107"/>
      <c r="K421" s="245"/>
      <c r="M421" s="246"/>
      <c r="N421" s="247"/>
      <c r="O421" s="248"/>
      <c r="Q421" s="249"/>
      <c r="R421" s="47"/>
      <c r="S421" s="47"/>
      <c r="T421" s="47"/>
      <c r="U421" s="47"/>
      <c r="V421" s="47"/>
      <c r="X421" s="180"/>
      <c r="Y421" s="47"/>
      <c r="Z421" s="47"/>
      <c r="AA421" s="47"/>
      <c r="AB421" s="52"/>
      <c r="AC421" s="52"/>
      <c r="AD421" s="52"/>
      <c r="AE421" s="52"/>
      <c r="AG421" s="103"/>
      <c r="AH421" s="111"/>
      <c r="AI421" s="111"/>
      <c r="AJ421" s="47"/>
      <c r="AL421" s="47"/>
      <c r="AM421" s="47"/>
      <c r="AN421" s="47"/>
      <c r="AP421" s="47"/>
      <c r="AQ421" s="47"/>
      <c r="AS421" s="250"/>
      <c r="AT421" s="67"/>
      <c r="AU421" s="67"/>
    </row>
    <row r="422" spans="2:47" s="25" customFormat="1" ht="12.75" customHeight="1" x14ac:dyDescent="0.3">
      <c r="B422" s="47"/>
      <c r="C422" s="47"/>
      <c r="D422" s="47"/>
      <c r="E422" s="47"/>
      <c r="F422" s="47"/>
      <c r="G422" s="47"/>
      <c r="H422" s="47"/>
      <c r="I422" s="107"/>
      <c r="K422" s="245"/>
      <c r="M422" s="246"/>
      <c r="N422" s="247"/>
      <c r="O422" s="248"/>
      <c r="Q422" s="249"/>
      <c r="R422" s="47"/>
      <c r="S422" s="47"/>
      <c r="T422" s="47"/>
      <c r="U422" s="47"/>
      <c r="V422" s="47"/>
      <c r="X422" s="180"/>
      <c r="Y422" s="47"/>
      <c r="Z422" s="47"/>
      <c r="AA422" s="47"/>
      <c r="AB422" s="52"/>
      <c r="AC422" s="52"/>
      <c r="AD422" s="52"/>
      <c r="AE422" s="52"/>
      <c r="AG422" s="103"/>
      <c r="AH422" s="111"/>
      <c r="AI422" s="111"/>
      <c r="AJ422" s="47"/>
      <c r="AL422" s="47"/>
      <c r="AM422" s="47"/>
      <c r="AN422" s="47"/>
      <c r="AP422" s="47"/>
      <c r="AQ422" s="47"/>
      <c r="AS422" s="250"/>
      <c r="AT422" s="67"/>
      <c r="AU422" s="67"/>
    </row>
    <row r="423" spans="2:47" s="25" customFormat="1" ht="12.75" customHeight="1" x14ac:dyDescent="0.3">
      <c r="B423" s="47"/>
      <c r="C423" s="47"/>
      <c r="D423" s="47"/>
      <c r="E423" s="47"/>
      <c r="F423" s="47"/>
      <c r="G423" s="47"/>
      <c r="H423" s="47"/>
      <c r="I423" s="107"/>
      <c r="K423" s="245"/>
      <c r="M423" s="246"/>
      <c r="N423" s="247"/>
      <c r="O423" s="248"/>
      <c r="Q423" s="249"/>
      <c r="R423" s="47"/>
      <c r="S423" s="47"/>
      <c r="T423" s="47"/>
      <c r="U423" s="47"/>
      <c r="V423" s="47"/>
      <c r="X423" s="180"/>
      <c r="Y423" s="47"/>
      <c r="Z423" s="47"/>
      <c r="AA423" s="47"/>
      <c r="AB423" s="52"/>
      <c r="AC423" s="52"/>
      <c r="AD423" s="52"/>
      <c r="AE423" s="52"/>
      <c r="AG423" s="103"/>
      <c r="AH423" s="111"/>
      <c r="AI423" s="111"/>
      <c r="AJ423" s="47"/>
      <c r="AL423" s="47"/>
      <c r="AM423" s="47"/>
      <c r="AN423" s="47"/>
      <c r="AP423" s="47"/>
      <c r="AQ423" s="47"/>
      <c r="AS423" s="250"/>
      <c r="AT423" s="67"/>
      <c r="AU423" s="67"/>
    </row>
    <row r="424" spans="2:47" s="25" customFormat="1" ht="12.75" customHeight="1" x14ac:dyDescent="0.3">
      <c r="B424" s="47"/>
      <c r="C424" s="47"/>
      <c r="D424" s="47"/>
      <c r="E424" s="47"/>
      <c r="F424" s="47"/>
      <c r="G424" s="47"/>
      <c r="H424" s="47"/>
      <c r="I424" s="107"/>
      <c r="K424" s="245"/>
      <c r="M424" s="246"/>
      <c r="N424" s="247"/>
      <c r="O424" s="248"/>
      <c r="Q424" s="249"/>
      <c r="R424" s="47"/>
      <c r="S424" s="47"/>
      <c r="T424" s="47"/>
      <c r="U424" s="47"/>
      <c r="V424" s="47"/>
      <c r="X424" s="180"/>
      <c r="Y424" s="47"/>
      <c r="Z424" s="47"/>
      <c r="AA424" s="47"/>
      <c r="AB424" s="52"/>
      <c r="AC424" s="52"/>
      <c r="AD424" s="52"/>
      <c r="AE424" s="52"/>
      <c r="AG424" s="103"/>
      <c r="AH424" s="111"/>
      <c r="AI424" s="111"/>
      <c r="AJ424" s="47"/>
      <c r="AL424" s="47"/>
      <c r="AM424" s="47"/>
      <c r="AN424" s="47"/>
      <c r="AP424" s="47"/>
      <c r="AQ424" s="47"/>
      <c r="AS424" s="250"/>
      <c r="AT424" s="67"/>
      <c r="AU424" s="67"/>
    </row>
    <row r="425" spans="2:47" s="25" customFormat="1" ht="12.75" customHeight="1" x14ac:dyDescent="0.3">
      <c r="B425" s="47"/>
      <c r="C425" s="47"/>
      <c r="D425" s="47"/>
      <c r="E425" s="47"/>
      <c r="F425" s="47"/>
      <c r="G425" s="47"/>
      <c r="H425" s="47"/>
      <c r="I425" s="107"/>
      <c r="K425" s="245"/>
      <c r="M425" s="246"/>
      <c r="N425" s="247"/>
      <c r="O425" s="248"/>
      <c r="Q425" s="249"/>
      <c r="R425" s="47"/>
      <c r="S425" s="47"/>
      <c r="T425" s="47"/>
      <c r="U425" s="47"/>
      <c r="V425" s="47"/>
      <c r="X425" s="180"/>
      <c r="Y425" s="47"/>
      <c r="Z425" s="47"/>
      <c r="AA425" s="47"/>
      <c r="AB425" s="52"/>
      <c r="AC425" s="52"/>
      <c r="AD425" s="52"/>
      <c r="AE425" s="52"/>
      <c r="AG425" s="103"/>
      <c r="AH425" s="111"/>
      <c r="AI425" s="111"/>
      <c r="AJ425" s="47"/>
      <c r="AL425" s="47"/>
      <c r="AM425" s="47"/>
      <c r="AN425" s="47"/>
      <c r="AP425" s="47"/>
      <c r="AQ425" s="47"/>
      <c r="AS425" s="250"/>
      <c r="AT425" s="67"/>
      <c r="AU425" s="67"/>
    </row>
    <row r="426" spans="2:47" s="25" customFormat="1" ht="12.75" customHeight="1" x14ac:dyDescent="0.3">
      <c r="B426" s="47"/>
      <c r="C426" s="47"/>
      <c r="D426" s="47"/>
      <c r="E426" s="47"/>
      <c r="F426" s="47"/>
      <c r="G426" s="47"/>
      <c r="H426" s="47"/>
      <c r="I426" s="107"/>
      <c r="K426" s="245"/>
      <c r="M426" s="246"/>
      <c r="N426" s="247"/>
      <c r="O426" s="248"/>
      <c r="Q426" s="249"/>
      <c r="R426" s="47"/>
      <c r="S426" s="47"/>
      <c r="T426" s="47"/>
      <c r="U426" s="47"/>
      <c r="V426" s="47"/>
      <c r="X426" s="180"/>
      <c r="Y426" s="47"/>
      <c r="Z426" s="47"/>
      <c r="AA426" s="47"/>
      <c r="AB426" s="52"/>
      <c r="AC426" s="52"/>
      <c r="AD426" s="52"/>
      <c r="AE426" s="52"/>
      <c r="AG426" s="103"/>
      <c r="AH426" s="111"/>
      <c r="AI426" s="111"/>
      <c r="AJ426" s="47"/>
      <c r="AL426" s="47"/>
      <c r="AM426" s="47"/>
      <c r="AN426" s="47"/>
      <c r="AP426" s="47"/>
      <c r="AQ426" s="47"/>
      <c r="AS426" s="250"/>
      <c r="AT426" s="67"/>
      <c r="AU426" s="67"/>
    </row>
    <row r="427" spans="2:47" s="25" customFormat="1" ht="12.75" customHeight="1" x14ac:dyDescent="0.3">
      <c r="B427" s="47"/>
      <c r="C427" s="47"/>
      <c r="D427" s="47"/>
      <c r="E427" s="47"/>
      <c r="F427" s="47"/>
      <c r="G427" s="47"/>
      <c r="H427" s="47"/>
      <c r="I427" s="107"/>
      <c r="K427" s="245"/>
      <c r="M427" s="246"/>
      <c r="N427" s="247"/>
      <c r="O427" s="248"/>
      <c r="Q427" s="249"/>
      <c r="R427" s="47"/>
      <c r="S427" s="47"/>
      <c r="T427" s="47"/>
      <c r="U427" s="47"/>
      <c r="V427" s="47"/>
      <c r="X427" s="180"/>
      <c r="Y427" s="47"/>
      <c r="Z427" s="47"/>
      <c r="AA427" s="47"/>
      <c r="AB427" s="52"/>
      <c r="AC427" s="52"/>
      <c r="AD427" s="52"/>
      <c r="AE427" s="52"/>
      <c r="AG427" s="103"/>
      <c r="AH427" s="111"/>
      <c r="AI427" s="111"/>
      <c r="AJ427" s="47"/>
      <c r="AL427" s="47"/>
      <c r="AM427" s="47"/>
      <c r="AN427" s="47"/>
      <c r="AP427" s="47"/>
      <c r="AQ427" s="47"/>
      <c r="AS427" s="250"/>
      <c r="AT427" s="67"/>
      <c r="AU427" s="67"/>
    </row>
    <row r="428" spans="2:47" s="25" customFormat="1" ht="12.75" customHeight="1" x14ac:dyDescent="0.3">
      <c r="B428" s="47"/>
      <c r="C428" s="47"/>
      <c r="D428" s="47"/>
      <c r="E428" s="47"/>
      <c r="F428" s="47"/>
      <c r="G428" s="47"/>
      <c r="H428" s="47"/>
      <c r="I428" s="107"/>
      <c r="K428" s="245"/>
      <c r="M428" s="246"/>
      <c r="N428" s="247"/>
      <c r="O428" s="248"/>
      <c r="Q428" s="249"/>
      <c r="R428" s="47"/>
      <c r="S428" s="47"/>
      <c r="T428" s="47"/>
      <c r="U428" s="47"/>
      <c r="V428" s="47"/>
      <c r="X428" s="180"/>
      <c r="Y428" s="47"/>
      <c r="Z428" s="47"/>
      <c r="AA428" s="47"/>
      <c r="AB428" s="52"/>
      <c r="AC428" s="52"/>
      <c r="AD428" s="52"/>
      <c r="AE428" s="52"/>
      <c r="AG428" s="103"/>
      <c r="AH428" s="111"/>
      <c r="AI428" s="111"/>
      <c r="AJ428" s="47"/>
      <c r="AL428" s="47"/>
      <c r="AM428" s="47"/>
      <c r="AN428" s="47"/>
      <c r="AP428" s="47"/>
      <c r="AQ428" s="47"/>
      <c r="AS428" s="250"/>
      <c r="AT428" s="67"/>
      <c r="AU428" s="67"/>
    </row>
    <row r="429" spans="2:47" s="25" customFormat="1" ht="12.75" customHeight="1" x14ac:dyDescent="0.3">
      <c r="B429" s="47"/>
      <c r="C429" s="47"/>
      <c r="D429" s="47"/>
      <c r="E429" s="47"/>
      <c r="F429" s="47"/>
      <c r="G429" s="47"/>
      <c r="H429" s="47"/>
      <c r="I429" s="107"/>
      <c r="K429" s="245"/>
      <c r="M429" s="246"/>
      <c r="N429" s="247"/>
      <c r="O429" s="248"/>
      <c r="Q429" s="249"/>
      <c r="R429" s="47"/>
      <c r="S429" s="47"/>
      <c r="T429" s="47"/>
      <c r="U429" s="47"/>
      <c r="V429" s="47"/>
      <c r="X429" s="180"/>
      <c r="Y429" s="47"/>
      <c r="Z429" s="47"/>
      <c r="AA429" s="47"/>
      <c r="AB429" s="52"/>
      <c r="AC429" s="52"/>
      <c r="AD429" s="52"/>
      <c r="AE429" s="52"/>
      <c r="AG429" s="103"/>
      <c r="AH429" s="111"/>
      <c r="AI429" s="111"/>
      <c r="AJ429" s="47"/>
      <c r="AL429" s="47"/>
      <c r="AM429" s="47"/>
      <c r="AN429" s="47"/>
      <c r="AP429" s="47"/>
      <c r="AQ429" s="47"/>
      <c r="AS429" s="250"/>
      <c r="AT429" s="67"/>
      <c r="AU429" s="67"/>
    </row>
    <row r="430" spans="2:47" s="25" customFormat="1" ht="12.75" customHeight="1" x14ac:dyDescent="0.3">
      <c r="B430" s="47"/>
      <c r="C430" s="47"/>
      <c r="D430" s="47"/>
      <c r="E430" s="47"/>
      <c r="F430" s="47"/>
      <c r="G430" s="47"/>
      <c r="H430" s="47"/>
      <c r="I430" s="107"/>
      <c r="K430" s="245"/>
      <c r="M430" s="246"/>
      <c r="N430" s="247"/>
      <c r="O430" s="248"/>
      <c r="Q430" s="249"/>
      <c r="R430" s="47"/>
      <c r="S430" s="47"/>
      <c r="T430" s="47"/>
      <c r="U430" s="47"/>
      <c r="V430" s="47"/>
      <c r="X430" s="180"/>
      <c r="Y430" s="47"/>
      <c r="Z430" s="47"/>
      <c r="AA430" s="47"/>
      <c r="AB430" s="52"/>
      <c r="AC430" s="52"/>
      <c r="AD430" s="52"/>
      <c r="AE430" s="52"/>
      <c r="AG430" s="103"/>
      <c r="AH430" s="111"/>
      <c r="AI430" s="111"/>
      <c r="AJ430" s="47"/>
      <c r="AL430" s="47"/>
      <c r="AM430" s="47"/>
      <c r="AN430" s="47"/>
      <c r="AP430" s="47"/>
      <c r="AQ430" s="47"/>
      <c r="AS430" s="250"/>
      <c r="AT430" s="67"/>
      <c r="AU430" s="67"/>
    </row>
    <row r="431" spans="2:47" s="25" customFormat="1" ht="12.75" customHeight="1" x14ac:dyDescent="0.3">
      <c r="B431" s="47"/>
      <c r="C431" s="47"/>
      <c r="D431" s="47"/>
      <c r="E431" s="47"/>
      <c r="F431" s="47"/>
      <c r="G431" s="47"/>
      <c r="H431" s="47"/>
      <c r="I431" s="107"/>
      <c r="K431" s="245"/>
      <c r="M431" s="246"/>
      <c r="N431" s="247"/>
      <c r="O431" s="248"/>
      <c r="Q431" s="249"/>
      <c r="R431" s="47"/>
      <c r="S431" s="47"/>
      <c r="T431" s="47"/>
      <c r="U431" s="47"/>
      <c r="V431" s="47"/>
      <c r="X431" s="180"/>
      <c r="Y431" s="47"/>
      <c r="Z431" s="47"/>
      <c r="AA431" s="47"/>
      <c r="AB431" s="52"/>
      <c r="AC431" s="52"/>
      <c r="AD431" s="52"/>
      <c r="AE431" s="52"/>
      <c r="AG431" s="103"/>
      <c r="AH431" s="111"/>
      <c r="AI431" s="111"/>
      <c r="AJ431" s="47"/>
      <c r="AL431" s="47"/>
      <c r="AM431" s="47"/>
      <c r="AN431" s="47"/>
      <c r="AP431" s="47"/>
      <c r="AQ431" s="47"/>
      <c r="AS431" s="250"/>
      <c r="AT431" s="67"/>
      <c r="AU431" s="67"/>
    </row>
    <row r="432" spans="2:47" s="25" customFormat="1" ht="12.75" customHeight="1" x14ac:dyDescent="0.3">
      <c r="B432" s="47"/>
      <c r="C432" s="47"/>
      <c r="D432" s="47"/>
      <c r="E432" s="47"/>
      <c r="F432" s="47"/>
      <c r="G432" s="47"/>
      <c r="H432" s="47"/>
      <c r="I432" s="107"/>
      <c r="K432" s="245"/>
      <c r="M432" s="246"/>
      <c r="N432" s="247"/>
      <c r="O432" s="248"/>
      <c r="Q432" s="249"/>
      <c r="R432" s="47"/>
      <c r="S432" s="47"/>
      <c r="T432" s="47"/>
      <c r="U432" s="47"/>
      <c r="V432" s="47"/>
      <c r="X432" s="180"/>
      <c r="Y432" s="47"/>
      <c r="Z432" s="47"/>
      <c r="AA432" s="47"/>
      <c r="AB432" s="52"/>
      <c r="AC432" s="52"/>
      <c r="AD432" s="52"/>
      <c r="AE432" s="52"/>
      <c r="AG432" s="103"/>
      <c r="AH432" s="111"/>
      <c r="AI432" s="111"/>
      <c r="AJ432" s="47"/>
      <c r="AL432" s="47"/>
      <c r="AM432" s="47"/>
      <c r="AN432" s="47"/>
      <c r="AP432" s="47"/>
      <c r="AQ432" s="47"/>
      <c r="AS432" s="250"/>
      <c r="AT432" s="67"/>
      <c r="AU432" s="67"/>
    </row>
    <row r="433" spans="2:47" s="25" customFormat="1" ht="12.75" customHeight="1" x14ac:dyDescent="0.3">
      <c r="B433" s="47"/>
      <c r="C433" s="47"/>
      <c r="D433" s="47"/>
      <c r="E433" s="47"/>
      <c r="F433" s="47"/>
      <c r="G433" s="47"/>
      <c r="H433" s="47"/>
      <c r="I433" s="107"/>
      <c r="K433" s="245"/>
      <c r="M433" s="246"/>
      <c r="N433" s="247"/>
      <c r="O433" s="248"/>
      <c r="Q433" s="249"/>
      <c r="R433" s="47"/>
      <c r="S433" s="47"/>
      <c r="T433" s="47"/>
      <c r="U433" s="47"/>
      <c r="V433" s="47"/>
      <c r="X433" s="180"/>
      <c r="Y433" s="47"/>
      <c r="Z433" s="47"/>
      <c r="AA433" s="47"/>
      <c r="AB433" s="52"/>
      <c r="AC433" s="52"/>
      <c r="AD433" s="52"/>
      <c r="AE433" s="52"/>
      <c r="AG433" s="103"/>
      <c r="AH433" s="111"/>
      <c r="AI433" s="111"/>
      <c r="AJ433" s="47"/>
      <c r="AL433" s="47"/>
      <c r="AM433" s="47"/>
      <c r="AN433" s="47"/>
      <c r="AP433" s="47"/>
      <c r="AQ433" s="47"/>
      <c r="AS433" s="250"/>
      <c r="AT433" s="67"/>
      <c r="AU433" s="67"/>
    </row>
    <row r="434" spans="2:47" s="25" customFormat="1" ht="12.75" customHeight="1" x14ac:dyDescent="0.3">
      <c r="B434" s="47"/>
      <c r="C434" s="47"/>
      <c r="D434" s="47"/>
      <c r="E434" s="47"/>
      <c r="F434" s="47"/>
      <c r="G434" s="47"/>
      <c r="H434" s="47"/>
      <c r="I434" s="107"/>
      <c r="K434" s="245"/>
      <c r="M434" s="246"/>
      <c r="N434" s="247"/>
      <c r="O434" s="248"/>
      <c r="Q434" s="249"/>
      <c r="R434" s="47"/>
      <c r="S434" s="47"/>
      <c r="T434" s="47"/>
      <c r="U434" s="47"/>
      <c r="V434" s="47"/>
      <c r="X434" s="180"/>
      <c r="Y434" s="47"/>
      <c r="Z434" s="47"/>
      <c r="AA434" s="47"/>
      <c r="AB434" s="52"/>
      <c r="AC434" s="52"/>
      <c r="AD434" s="52"/>
      <c r="AE434" s="52"/>
      <c r="AG434" s="103"/>
      <c r="AH434" s="111"/>
      <c r="AI434" s="111"/>
      <c r="AJ434" s="47"/>
      <c r="AL434" s="47"/>
      <c r="AM434" s="47"/>
      <c r="AN434" s="47"/>
      <c r="AP434" s="47"/>
      <c r="AQ434" s="47"/>
      <c r="AS434" s="250"/>
      <c r="AT434" s="67"/>
      <c r="AU434" s="67"/>
    </row>
    <row r="435" spans="2:47" s="25" customFormat="1" ht="12.75" customHeight="1" x14ac:dyDescent="0.3">
      <c r="B435" s="47"/>
      <c r="C435" s="47"/>
      <c r="D435" s="47"/>
      <c r="E435" s="47"/>
      <c r="F435" s="47"/>
      <c r="G435" s="47"/>
      <c r="H435" s="47"/>
      <c r="I435" s="107"/>
      <c r="K435" s="245"/>
      <c r="M435" s="246"/>
      <c r="N435" s="247"/>
      <c r="O435" s="248"/>
      <c r="Q435" s="249"/>
      <c r="R435" s="47"/>
      <c r="S435" s="47"/>
      <c r="T435" s="47"/>
      <c r="U435" s="47"/>
      <c r="V435" s="47"/>
      <c r="X435" s="180"/>
      <c r="Y435" s="47"/>
      <c r="Z435" s="47"/>
      <c r="AA435" s="47"/>
      <c r="AB435" s="52"/>
      <c r="AC435" s="52"/>
      <c r="AD435" s="52"/>
      <c r="AE435" s="52"/>
      <c r="AG435" s="103"/>
      <c r="AH435" s="111"/>
      <c r="AI435" s="111"/>
      <c r="AJ435" s="47"/>
      <c r="AL435" s="47"/>
      <c r="AM435" s="47"/>
      <c r="AN435" s="47"/>
      <c r="AP435" s="47"/>
      <c r="AQ435" s="47"/>
      <c r="AS435" s="250"/>
      <c r="AT435" s="67"/>
      <c r="AU435" s="67"/>
    </row>
    <row r="436" spans="2:47" s="25" customFormat="1" ht="12.75" customHeight="1" x14ac:dyDescent="0.3">
      <c r="B436" s="47"/>
      <c r="C436" s="47"/>
      <c r="D436" s="47"/>
      <c r="E436" s="47"/>
      <c r="F436" s="47"/>
      <c r="G436" s="47"/>
      <c r="H436" s="47"/>
      <c r="I436" s="107"/>
      <c r="K436" s="245"/>
      <c r="M436" s="246"/>
      <c r="N436" s="247"/>
      <c r="O436" s="248"/>
      <c r="Q436" s="249"/>
      <c r="R436" s="47"/>
      <c r="S436" s="47"/>
      <c r="T436" s="47"/>
      <c r="U436" s="47"/>
      <c r="V436" s="47"/>
      <c r="X436" s="180"/>
      <c r="Y436" s="47"/>
      <c r="Z436" s="47"/>
      <c r="AA436" s="47"/>
      <c r="AB436" s="52"/>
      <c r="AC436" s="52"/>
      <c r="AD436" s="52"/>
      <c r="AE436" s="52"/>
      <c r="AG436" s="103"/>
      <c r="AH436" s="111"/>
      <c r="AI436" s="111"/>
      <c r="AJ436" s="47"/>
      <c r="AL436" s="47"/>
      <c r="AM436" s="47"/>
      <c r="AN436" s="47"/>
      <c r="AP436" s="47"/>
      <c r="AQ436" s="47"/>
      <c r="AS436" s="250"/>
      <c r="AT436" s="67"/>
      <c r="AU436" s="67"/>
    </row>
    <row r="437" spans="2:47" s="25" customFormat="1" ht="12.75" customHeight="1" x14ac:dyDescent="0.3">
      <c r="B437" s="47"/>
      <c r="C437" s="47"/>
      <c r="D437" s="47"/>
      <c r="E437" s="47"/>
      <c r="F437" s="47"/>
      <c r="G437" s="47"/>
      <c r="H437" s="47"/>
      <c r="I437" s="107"/>
      <c r="K437" s="245"/>
      <c r="M437" s="246"/>
      <c r="N437" s="247"/>
      <c r="O437" s="248"/>
      <c r="Q437" s="249"/>
      <c r="R437" s="47"/>
      <c r="S437" s="47"/>
      <c r="T437" s="47"/>
      <c r="U437" s="47"/>
      <c r="V437" s="47"/>
      <c r="X437" s="180"/>
      <c r="Y437" s="47"/>
      <c r="Z437" s="47"/>
      <c r="AA437" s="47"/>
      <c r="AB437" s="52"/>
      <c r="AC437" s="52"/>
      <c r="AD437" s="52"/>
      <c r="AE437" s="52"/>
      <c r="AG437" s="103"/>
      <c r="AH437" s="111"/>
      <c r="AI437" s="111"/>
      <c r="AJ437" s="47"/>
      <c r="AL437" s="47"/>
      <c r="AM437" s="47"/>
      <c r="AN437" s="47"/>
      <c r="AP437" s="47"/>
      <c r="AQ437" s="47"/>
      <c r="AS437" s="250"/>
      <c r="AT437" s="67"/>
      <c r="AU437" s="67"/>
    </row>
    <row r="438" spans="2:47" s="25" customFormat="1" ht="12.75" customHeight="1" x14ac:dyDescent="0.3">
      <c r="B438" s="47"/>
      <c r="C438" s="47"/>
      <c r="D438" s="47"/>
      <c r="E438" s="47"/>
      <c r="F438" s="47"/>
      <c r="G438" s="47"/>
      <c r="H438" s="47"/>
      <c r="I438" s="107"/>
      <c r="K438" s="245"/>
      <c r="M438" s="246"/>
      <c r="N438" s="247"/>
      <c r="O438" s="248"/>
      <c r="Q438" s="249"/>
      <c r="R438" s="47"/>
      <c r="S438" s="47"/>
      <c r="T438" s="47"/>
      <c r="U438" s="47"/>
      <c r="V438" s="47"/>
      <c r="X438" s="180"/>
      <c r="Y438" s="47"/>
      <c r="Z438" s="47"/>
      <c r="AA438" s="47"/>
      <c r="AB438" s="52"/>
      <c r="AC438" s="52"/>
      <c r="AD438" s="52"/>
      <c r="AE438" s="52"/>
      <c r="AG438" s="103"/>
      <c r="AH438" s="111"/>
      <c r="AI438" s="111"/>
      <c r="AJ438" s="47"/>
      <c r="AL438" s="47"/>
      <c r="AM438" s="47"/>
      <c r="AN438" s="47"/>
      <c r="AP438" s="47"/>
      <c r="AQ438" s="47"/>
      <c r="AS438" s="250"/>
      <c r="AT438" s="67"/>
      <c r="AU438" s="67"/>
    </row>
    <row r="439" spans="2:47" s="25" customFormat="1" ht="12.75" customHeight="1" x14ac:dyDescent="0.3">
      <c r="B439" s="47"/>
      <c r="C439" s="47"/>
      <c r="D439" s="47"/>
      <c r="E439" s="47"/>
      <c r="F439" s="47"/>
      <c r="G439" s="47"/>
      <c r="H439" s="47"/>
      <c r="I439" s="107"/>
      <c r="K439" s="245"/>
      <c r="M439" s="246"/>
      <c r="N439" s="247"/>
      <c r="O439" s="248"/>
      <c r="Q439" s="249"/>
      <c r="R439" s="47"/>
      <c r="S439" s="47"/>
      <c r="T439" s="47"/>
      <c r="U439" s="47"/>
      <c r="V439" s="47"/>
      <c r="X439" s="180"/>
      <c r="Y439" s="47"/>
      <c r="Z439" s="47"/>
      <c r="AA439" s="47"/>
      <c r="AB439" s="52"/>
      <c r="AC439" s="52"/>
      <c r="AD439" s="52"/>
      <c r="AE439" s="52"/>
      <c r="AG439" s="103"/>
      <c r="AH439" s="111"/>
      <c r="AI439" s="111"/>
      <c r="AJ439" s="47"/>
      <c r="AL439" s="47"/>
      <c r="AM439" s="47"/>
      <c r="AN439" s="47"/>
      <c r="AP439" s="47"/>
      <c r="AQ439" s="47"/>
      <c r="AS439" s="250"/>
      <c r="AT439" s="67"/>
      <c r="AU439" s="67"/>
    </row>
    <row r="440" spans="2:47" s="25" customFormat="1" ht="12.75" customHeight="1" x14ac:dyDescent="0.3">
      <c r="B440" s="47"/>
      <c r="C440" s="47"/>
      <c r="D440" s="47"/>
      <c r="E440" s="47"/>
      <c r="F440" s="47"/>
      <c r="G440" s="47"/>
      <c r="H440" s="47"/>
      <c r="I440" s="107"/>
      <c r="K440" s="245"/>
      <c r="M440" s="246"/>
      <c r="N440" s="247"/>
      <c r="O440" s="248"/>
      <c r="Q440" s="249"/>
      <c r="R440" s="47"/>
      <c r="S440" s="47"/>
      <c r="T440" s="47"/>
      <c r="U440" s="47"/>
      <c r="V440" s="47"/>
      <c r="X440" s="180"/>
      <c r="Y440" s="47"/>
      <c r="Z440" s="47"/>
      <c r="AA440" s="47"/>
      <c r="AB440" s="52"/>
      <c r="AC440" s="52"/>
      <c r="AD440" s="52"/>
      <c r="AE440" s="52"/>
      <c r="AG440" s="103"/>
      <c r="AH440" s="111"/>
      <c r="AI440" s="111"/>
      <c r="AJ440" s="47"/>
      <c r="AL440" s="47"/>
      <c r="AM440" s="47"/>
      <c r="AN440" s="47"/>
      <c r="AP440" s="47"/>
      <c r="AQ440" s="47"/>
      <c r="AS440" s="250"/>
      <c r="AT440" s="67"/>
      <c r="AU440" s="67"/>
    </row>
    <row r="441" spans="2:47" s="25" customFormat="1" ht="12.75" customHeight="1" x14ac:dyDescent="0.3">
      <c r="B441" s="47"/>
      <c r="C441" s="47"/>
      <c r="D441" s="47"/>
      <c r="E441" s="47"/>
      <c r="F441" s="47"/>
      <c r="G441" s="47"/>
      <c r="H441" s="47"/>
      <c r="I441" s="107"/>
      <c r="K441" s="245"/>
      <c r="M441" s="246"/>
      <c r="N441" s="247"/>
      <c r="O441" s="248"/>
      <c r="Q441" s="249"/>
      <c r="R441" s="47"/>
      <c r="S441" s="47"/>
      <c r="T441" s="47"/>
      <c r="U441" s="47"/>
      <c r="V441" s="47"/>
      <c r="X441" s="180"/>
      <c r="Y441" s="47"/>
      <c r="Z441" s="47"/>
      <c r="AA441" s="47"/>
      <c r="AB441" s="52"/>
      <c r="AC441" s="52"/>
      <c r="AD441" s="52"/>
      <c r="AE441" s="52"/>
      <c r="AG441" s="103"/>
      <c r="AH441" s="111"/>
      <c r="AI441" s="111"/>
      <c r="AJ441" s="47"/>
      <c r="AL441" s="47"/>
      <c r="AM441" s="47"/>
      <c r="AN441" s="47"/>
      <c r="AP441" s="47"/>
      <c r="AQ441" s="47"/>
      <c r="AS441" s="250"/>
      <c r="AT441" s="67"/>
      <c r="AU441" s="67"/>
    </row>
    <row r="442" spans="2:47" s="25" customFormat="1" ht="12.75" customHeight="1" x14ac:dyDescent="0.3">
      <c r="B442" s="47"/>
      <c r="C442" s="47"/>
      <c r="D442" s="47"/>
      <c r="E442" s="47"/>
      <c r="F442" s="47"/>
      <c r="G442" s="47"/>
      <c r="H442" s="47"/>
      <c r="I442" s="107"/>
      <c r="K442" s="245"/>
      <c r="M442" s="246"/>
      <c r="N442" s="247"/>
      <c r="O442" s="248"/>
      <c r="Q442" s="249"/>
      <c r="R442" s="47"/>
      <c r="S442" s="47"/>
      <c r="T442" s="47"/>
      <c r="U442" s="47"/>
      <c r="V442" s="47"/>
      <c r="X442" s="180"/>
      <c r="Y442" s="47"/>
      <c r="Z442" s="47"/>
      <c r="AA442" s="47"/>
      <c r="AB442" s="52"/>
      <c r="AC442" s="52"/>
      <c r="AD442" s="52"/>
      <c r="AE442" s="52"/>
      <c r="AG442" s="103"/>
      <c r="AH442" s="111"/>
      <c r="AI442" s="111"/>
      <c r="AJ442" s="47"/>
      <c r="AL442" s="47"/>
      <c r="AM442" s="47"/>
      <c r="AN442" s="47"/>
      <c r="AP442" s="47"/>
      <c r="AQ442" s="47"/>
      <c r="AS442" s="250"/>
      <c r="AT442" s="67"/>
      <c r="AU442" s="67"/>
    </row>
    <row r="443" spans="2:47" s="25" customFormat="1" ht="12.75" customHeight="1" x14ac:dyDescent="0.3">
      <c r="B443" s="47"/>
      <c r="C443" s="47"/>
      <c r="D443" s="47"/>
      <c r="E443" s="47"/>
      <c r="F443" s="47"/>
      <c r="G443" s="47"/>
      <c r="H443" s="47"/>
      <c r="I443" s="107"/>
      <c r="K443" s="245"/>
      <c r="M443" s="246"/>
      <c r="N443" s="247"/>
      <c r="O443" s="248"/>
      <c r="Q443" s="249"/>
      <c r="R443" s="47"/>
      <c r="S443" s="47"/>
      <c r="T443" s="47"/>
      <c r="U443" s="47"/>
      <c r="V443" s="47"/>
      <c r="X443" s="180"/>
      <c r="Y443" s="47"/>
      <c r="Z443" s="47"/>
      <c r="AA443" s="47"/>
      <c r="AB443" s="52"/>
      <c r="AC443" s="52"/>
      <c r="AD443" s="52"/>
      <c r="AE443" s="52"/>
      <c r="AG443" s="103"/>
      <c r="AH443" s="111"/>
      <c r="AI443" s="111"/>
      <c r="AJ443" s="47"/>
      <c r="AL443" s="47"/>
      <c r="AM443" s="47"/>
      <c r="AN443" s="47"/>
      <c r="AP443" s="47"/>
      <c r="AQ443" s="47"/>
      <c r="AS443" s="250"/>
      <c r="AT443" s="67"/>
      <c r="AU443" s="67"/>
    </row>
    <row r="444" spans="2:47" s="25" customFormat="1" ht="12.75" customHeight="1" x14ac:dyDescent="0.3">
      <c r="B444" s="47"/>
      <c r="C444" s="47"/>
      <c r="D444" s="47"/>
      <c r="E444" s="47"/>
      <c r="F444" s="47"/>
      <c r="G444" s="47"/>
      <c r="H444" s="47"/>
      <c r="I444" s="107"/>
      <c r="K444" s="245"/>
      <c r="M444" s="246"/>
      <c r="N444" s="247"/>
      <c r="O444" s="248"/>
      <c r="Q444" s="249"/>
      <c r="R444" s="47"/>
      <c r="S444" s="47"/>
      <c r="T444" s="47"/>
      <c r="U444" s="47"/>
      <c r="V444" s="47"/>
      <c r="X444" s="180"/>
      <c r="Y444" s="47"/>
      <c r="Z444" s="47"/>
      <c r="AA444" s="47"/>
      <c r="AB444" s="52"/>
      <c r="AC444" s="52"/>
      <c r="AD444" s="52"/>
      <c r="AE444" s="52"/>
      <c r="AG444" s="103"/>
      <c r="AH444" s="111"/>
      <c r="AI444" s="111"/>
      <c r="AJ444" s="47"/>
      <c r="AL444" s="47"/>
      <c r="AM444" s="47"/>
      <c r="AN444" s="47"/>
      <c r="AP444" s="47"/>
      <c r="AQ444" s="47"/>
      <c r="AS444" s="250"/>
      <c r="AT444" s="67"/>
      <c r="AU444" s="67"/>
    </row>
    <row r="445" spans="2:47" s="25" customFormat="1" ht="12.75" customHeight="1" x14ac:dyDescent="0.3">
      <c r="B445" s="47"/>
      <c r="C445" s="47"/>
      <c r="D445" s="47"/>
      <c r="E445" s="47"/>
      <c r="F445" s="47"/>
      <c r="G445" s="47"/>
      <c r="H445" s="47"/>
      <c r="I445" s="107"/>
      <c r="K445" s="245"/>
      <c r="M445" s="246"/>
      <c r="N445" s="247"/>
      <c r="O445" s="248"/>
      <c r="Q445" s="249"/>
      <c r="R445" s="47"/>
      <c r="S445" s="47"/>
      <c r="T445" s="47"/>
      <c r="U445" s="47"/>
      <c r="V445" s="47"/>
      <c r="X445" s="180"/>
      <c r="Y445" s="47"/>
      <c r="Z445" s="47"/>
      <c r="AA445" s="47"/>
      <c r="AB445" s="52"/>
      <c r="AC445" s="52"/>
      <c r="AD445" s="52"/>
      <c r="AE445" s="52"/>
      <c r="AG445" s="103"/>
      <c r="AH445" s="111"/>
      <c r="AI445" s="111"/>
      <c r="AJ445" s="47"/>
      <c r="AL445" s="47"/>
      <c r="AM445" s="47"/>
      <c r="AN445" s="47"/>
      <c r="AP445" s="47"/>
      <c r="AQ445" s="47"/>
      <c r="AS445" s="250"/>
      <c r="AT445" s="67"/>
      <c r="AU445" s="67"/>
    </row>
    <row r="446" spans="2:47" s="25" customFormat="1" ht="12.75" customHeight="1" x14ac:dyDescent="0.3">
      <c r="B446" s="47"/>
      <c r="C446" s="47"/>
      <c r="D446" s="47"/>
      <c r="E446" s="47"/>
      <c r="F446" s="47"/>
      <c r="G446" s="47"/>
      <c r="H446" s="47"/>
      <c r="I446" s="107"/>
      <c r="K446" s="245"/>
      <c r="M446" s="246"/>
      <c r="N446" s="247"/>
      <c r="O446" s="248"/>
      <c r="Q446" s="249"/>
      <c r="R446" s="47"/>
      <c r="S446" s="47"/>
      <c r="T446" s="47"/>
      <c r="U446" s="47"/>
      <c r="V446" s="47"/>
      <c r="X446" s="180"/>
      <c r="Y446" s="47"/>
      <c r="Z446" s="47"/>
      <c r="AA446" s="47"/>
      <c r="AB446" s="52"/>
      <c r="AC446" s="52"/>
      <c r="AD446" s="52"/>
      <c r="AE446" s="52"/>
      <c r="AG446" s="103"/>
      <c r="AH446" s="111"/>
      <c r="AI446" s="111"/>
      <c r="AJ446" s="47"/>
      <c r="AL446" s="47"/>
      <c r="AM446" s="47"/>
      <c r="AN446" s="47"/>
      <c r="AP446" s="47"/>
      <c r="AQ446" s="47"/>
      <c r="AS446" s="250"/>
      <c r="AT446" s="67"/>
      <c r="AU446" s="67"/>
    </row>
    <row r="447" spans="2:47" s="25" customFormat="1" ht="12.75" customHeight="1" x14ac:dyDescent="0.3">
      <c r="B447" s="47"/>
      <c r="C447" s="47"/>
      <c r="D447" s="47"/>
      <c r="E447" s="47"/>
      <c r="F447" s="47"/>
      <c r="G447" s="47"/>
      <c r="H447" s="47"/>
      <c r="I447" s="107"/>
      <c r="K447" s="245"/>
      <c r="M447" s="246"/>
      <c r="N447" s="247"/>
      <c r="O447" s="248"/>
      <c r="Q447" s="249"/>
      <c r="R447" s="47"/>
      <c r="S447" s="47"/>
      <c r="T447" s="47"/>
      <c r="U447" s="47"/>
      <c r="V447" s="47"/>
      <c r="X447" s="180"/>
      <c r="Y447" s="47"/>
      <c r="Z447" s="47"/>
      <c r="AA447" s="47"/>
      <c r="AB447" s="52"/>
      <c r="AC447" s="52"/>
      <c r="AD447" s="52"/>
      <c r="AE447" s="52"/>
      <c r="AG447" s="103"/>
      <c r="AH447" s="111"/>
      <c r="AI447" s="111"/>
      <c r="AJ447" s="47"/>
      <c r="AL447" s="47"/>
      <c r="AM447" s="47"/>
      <c r="AN447" s="47"/>
      <c r="AP447" s="47"/>
      <c r="AQ447" s="47"/>
      <c r="AS447" s="250"/>
      <c r="AT447" s="67"/>
      <c r="AU447" s="67"/>
    </row>
    <row r="448" spans="2:47" s="25" customFormat="1" ht="12.75" customHeight="1" x14ac:dyDescent="0.3">
      <c r="B448" s="47"/>
      <c r="C448" s="47"/>
      <c r="D448" s="47"/>
      <c r="E448" s="47"/>
      <c r="F448" s="47"/>
      <c r="G448" s="47"/>
      <c r="H448" s="47"/>
      <c r="I448" s="107"/>
      <c r="K448" s="245"/>
      <c r="M448" s="246"/>
      <c r="N448" s="247"/>
      <c r="O448" s="248"/>
      <c r="Q448" s="249"/>
      <c r="R448" s="47"/>
      <c r="S448" s="47"/>
      <c r="T448" s="47"/>
      <c r="U448" s="47"/>
      <c r="V448" s="47"/>
      <c r="X448" s="180"/>
      <c r="Y448" s="47"/>
      <c r="Z448" s="47"/>
      <c r="AA448" s="47"/>
      <c r="AB448" s="52"/>
      <c r="AC448" s="52"/>
      <c r="AD448" s="52"/>
      <c r="AE448" s="52"/>
      <c r="AG448" s="103"/>
      <c r="AH448" s="111"/>
      <c r="AI448" s="111"/>
      <c r="AJ448" s="47"/>
      <c r="AL448" s="47"/>
      <c r="AM448" s="47"/>
      <c r="AN448" s="47"/>
      <c r="AP448" s="47"/>
      <c r="AQ448" s="47"/>
      <c r="AS448" s="250"/>
      <c r="AT448" s="67"/>
      <c r="AU448" s="67"/>
    </row>
    <row r="449" spans="2:47" s="25" customFormat="1" ht="12.75" customHeight="1" x14ac:dyDescent="0.3">
      <c r="B449" s="47"/>
      <c r="C449" s="47"/>
      <c r="D449" s="47"/>
      <c r="E449" s="47"/>
      <c r="F449" s="47"/>
      <c r="G449" s="47"/>
      <c r="H449" s="47"/>
      <c r="I449" s="107"/>
      <c r="K449" s="245"/>
      <c r="M449" s="246"/>
      <c r="N449" s="247"/>
      <c r="O449" s="248"/>
      <c r="Q449" s="249"/>
      <c r="R449" s="47"/>
      <c r="S449" s="47"/>
      <c r="T449" s="47"/>
      <c r="U449" s="47"/>
      <c r="V449" s="47"/>
      <c r="X449" s="180"/>
      <c r="Y449" s="47"/>
      <c r="Z449" s="47"/>
      <c r="AA449" s="47"/>
      <c r="AB449" s="52"/>
      <c r="AC449" s="52"/>
      <c r="AD449" s="52"/>
      <c r="AE449" s="52"/>
      <c r="AG449" s="103"/>
      <c r="AH449" s="111"/>
      <c r="AI449" s="111"/>
      <c r="AJ449" s="47"/>
      <c r="AL449" s="47"/>
      <c r="AM449" s="47"/>
      <c r="AN449" s="47"/>
      <c r="AP449" s="47"/>
      <c r="AQ449" s="47"/>
      <c r="AS449" s="250"/>
      <c r="AT449" s="67"/>
      <c r="AU449" s="67"/>
    </row>
    <row r="450" spans="2:47" s="25" customFormat="1" ht="12.75" customHeight="1" x14ac:dyDescent="0.3">
      <c r="B450" s="47"/>
      <c r="C450" s="47"/>
      <c r="D450" s="47"/>
      <c r="E450" s="47"/>
      <c r="F450" s="47"/>
      <c r="G450" s="47"/>
      <c r="H450" s="47"/>
      <c r="I450" s="107"/>
      <c r="K450" s="245"/>
      <c r="M450" s="246"/>
      <c r="N450" s="247"/>
      <c r="O450" s="248"/>
      <c r="Q450" s="249"/>
      <c r="R450" s="47"/>
      <c r="S450" s="47"/>
      <c r="T450" s="47"/>
      <c r="U450" s="47"/>
      <c r="V450" s="47"/>
      <c r="X450" s="180"/>
      <c r="Y450" s="47"/>
      <c r="Z450" s="47"/>
      <c r="AA450" s="47"/>
      <c r="AB450" s="52"/>
      <c r="AC450" s="52"/>
      <c r="AD450" s="52"/>
      <c r="AE450" s="52"/>
      <c r="AG450" s="103"/>
      <c r="AH450" s="111"/>
      <c r="AI450" s="111"/>
      <c r="AJ450" s="47"/>
      <c r="AL450" s="47"/>
      <c r="AM450" s="47"/>
      <c r="AN450" s="47"/>
      <c r="AP450" s="47"/>
      <c r="AQ450" s="47"/>
      <c r="AS450" s="250"/>
      <c r="AT450" s="67"/>
      <c r="AU450" s="67"/>
    </row>
    <row r="451" spans="2:47" s="25" customFormat="1" ht="12.75" customHeight="1" x14ac:dyDescent="0.3">
      <c r="B451" s="47"/>
      <c r="C451" s="47"/>
      <c r="D451" s="47"/>
      <c r="E451" s="47"/>
      <c r="F451" s="47"/>
      <c r="G451" s="47"/>
      <c r="H451" s="47"/>
      <c r="I451" s="107"/>
      <c r="K451" s="245"/>
      <c r="M451" s="246"/>
      <c r="N451" s="247"/>
      <c r="O451" s="248"/>
      <c r="Q451" s="249"/>
      <c r="R451" s="47"/>
      <c r="S451" s="47"/>
      <c r="T451" s="47"/>
      <c r="U451" s="47"/>
      <c r="V451" s="47"/>
      <c r="X451" s="180"/>
      <c r="Y451" s="47"/>
      <c r="Z451" s="47"/>
      <c r="AA451" s="47"/>
      <c r="AB451" s="52"/>
      <c r="AC451" s="52"/>
      <c r="AD451" s="52"/>
      <c r="AE451" s="52"/>
      <c r="AG451" s="103"/>
      <c r="AH451" s="111"/>
      <c r="AI451" s="111"/>
      <c r="AJ451" s="47"/>
      <c r="AL451" s="47"/>
      <c r="AM451" s="47"/>
      <c r="AN451" s="47"/>
      <c r="AP451" s="47"/>
      <c r="AQ451" s="47"/>
      <c r="AS451" s="250"/>
      <c r="AT451" s="67"/>
      <c r="AU451" s="67"/>
    </row>
    <row r="452" spans="2:47" s="25" customFormat="1" ht="12.75" customHeight="1" x14ac:dyDescent="0.3">
      <c r="B452" s="47"/>
      <c r="C452" s="47"/>
      <c r="D452" s="47"/>
      <c r="E452" s="47"/>
      <c r="F452" s="47"/>
      <c r="G452" s="47"/>
      <c r="H452" s="47"/>
      <c r="I452" s="107"/>
      <c r="K452" s="245"/>
      <c r="M452" s="246"/>
      <c r="N452" s="247"/>
      <c r="O452" s="248"/>
      <c r="Q452" s="249"/>
      <c r="R452" s="47"/>
      <c r="S452" s="47"/>
      <c r="T452" s="47"/>
      <c r="U452" s="47"/>
      <c r="V452" s="47"/>
      <c r="X452" s="180"/>
      <c r="Y452" s="47"/>
      <c r="Z452" s="47"/>
      <c r="AA452" s="47"/>
      <c r="AB452" s="52"/>
      <c r="AC452" s="52"/>
      <c r="AD452" s="52"/>
      <c r="AE452" s="52"/>
      <c r="AG452" s="103"/>
      <c r="AH452" s="111"/>
      <c r="AI452" s="111"/>
      <c r="AJ452" s="47"/>
      <c r="AL452" s="47"/>
      <c r="AM452" s="47"/>
      <c r="AN452" s="47"/>
      <c r="AP452" s="47"/>
      <c r="AQ452" s="47"/>
      <c r="AS452" s="250"/>
      <c r="AT452" s="67"/>
      <c r="AU452" s="67"/>
    </row>
    <row r="453" spans="2:47" s="25" customFormat="1" ht="12.75" customHeight="1" x14ac:dyDescent="0.3">
      <c r="B453" s="47"/>
      <c r="C453" s="47"/>
      <c r="D453" s="47"/>
      <c r="E453" s="47"/>
      <c r="F453" s="47"/>
      <c r="G453" s="47"/>
      <c r="H453" s="47"/>
      <c r="I453" s="107"/>
      <c r="K453" s="245"/>
      <c r="M453" s="246"/>
      <c r="N453" s="247"/>
      <c r="O453" s="248"/>
      <c r="Q453" s="249"/>
      <c r="R453" s="47"/>
      <c r="S453" s="47"/>
      <c r="T453" s="47"/>
      <c r="U453" s="47"/>
      <c r="V453" s="47"/>
      <c r="X453" s="180"/>
      <c r="Y453" s="47"/>
      <c r="Z453" s="47"/>
      <c r="AA453" s="47"/>
      <c r="AB453" s="52"/>
      <c r="AC453" s="52"/>
      <c r="AD453" s="52"/>
      <c r="AE453" s="52"/>
      <c r="AG453" s="103"/>
      <c r="AH453" s="111"/>
      <c r="AI453" s="111"/>
      <c r="AJ453" s="47"/>
      <c r="AL453" s="47"/>
      <c r="AM453" s="47"/>
      <c r="AN453" s="47"/>
      <c r="AP453" s="47"/>
      <c r="AQ453" s="47"/>
      <c r="AS453" s="250"/>
      <c r="AT453" s="67"/>
      <c r="AU453" s="67"/>
    </row>
    <row r="454" spans="2:47" s="25" customFormat="1" ht="12.75" customHeight="1" x14ac:dyDescent="0.3">
      <c r="B454" s="47"/>
      <c r="C454" s="47"/>
      <c r="D454" s="47"/>
      <c r="E454" s="47"/>
      <c r="F454" s="47"/>
      <c r="G454" s="47"/>
      <c r="H454" s="47"/>
      <c r="I454" s="107"/>
      <c r="K454" s="245"/>
      <c r="M454" s="246"/>
      <c r="N454" s="247"/>
      <c r="O454" s="248"/>
      <c r="Q454" s="249"/>
      <c r="R454" s="47"/>
      <c r="S454" s="47"/>
      <c r="T454" s="47"/>
      <c r="U454" s="47"/>
      <c r="V454" s="47"/>
      <c r="X454" s="180"/>
      <c r="Y454" s="47"/>
      <c r="Z454" s="47"/>
      <c r="AA454" s="47"/>
      <c r="AB454" s="52"/>
      <c r="AC454" s="52"/>
      <c r="AD454" s="52"/>
      <c r="AE454" s="52"/>
      <c r="AG454" s="103"/>
      <c r="AH454" s="111"/>
      <c r="AI454" s="111"/>
      <c r="AJ454" s="47"/>
      <c r="AL454" s="47"/>
      <c r="AM454" s="47"/>
      <c r="AN454" s="47"/>
      <c r="AP454" s="47"/>
      <c r="AQ454" s="47"/>
      <c r="AS454" s="250"/>
      <c r="AT454" s="67"/>
      <c r="AU454" s="67"/>
    </row>
    <row r="455" spans="2:47" s="25" customFormat="1" ht="12.75" customHeight="1" x14ac:dyDescent="0.3">
      <c r="B455" s="47"/>
      <c r="C455" s="47"/>
      <c r="D455" s="47"/>
      <c r="E455" s="47"/>
      <c r="F455" s="47"/>
      <c r="G455" s="47"/>
      <c r="H455" s="47"/>
      <c r="I455" s="107"/>
      <c r="K455" s="245"/>
      <c r="M455" s="246"/>
      <c r="N455" s="247"/>
      <c r="O455" s="248"/>
      <c r="Q455" s="249"/>
      <c r="R455" s="47"/>
      <c r="S455" s="47"/>
      <c r="T455" s="47"/>
      <c r="U455" s="47"/>
      <c r="V455" s="47"/>
      <c r="X455" s="180"/>
      <c r="Y455" s="47"/>
      <c r="Z455" s="47"/>
      <c r="AA455" s="47"/>
      <c r="AB455" s="52"/>
      <c r="AC455" s="52"/>
      <c r="AD455" s="52"/>
      <c r="AE455" s="52"/>
      <c r="AG455" s="103"/>
      <c r="AH455" s="111"/>
      <c r="AI455" s="111"/>
      <c r="AJ455" s="47"/>
      <c r="AL455" s="47"/>
      <c r="AM455" s="47"/>
      <c r="AN455" s="47"/>
      <c r="AP455" s="47"/>
      <c r="AQ455" s="47"/>
      <c r="AS455" s="250"/>
      <c r="AT455" s="67"/>
      <c r="AU455" s="67"/>
    </row>
    <row r="456" spans="2:47" s="25" customFormat="1" ht="12.75" customHeight="1" x14ac:dyDescent="0.3">
      <c r="B456" s="47"/>
      <c r="C456" s="47"/>
      <c r="D456" s="47"/>
      <c r="E456" s="47"/>
      <c r="F456" s="47"/>
      <c r="G456" s="47"/>
      <c r="H456" s="47"/>
      <c r="I456" s="107"/>
      <c r="K456" s="245"/>
      <c r="M456" s="246"/>
      <c r="N456" s="247"/>
      <c r="O456" s="248"/>
      <c r="Q456" s="249"/>
      <c r="R456" s="47"/>
      <c r="S456" s="47"/>
      <c r="T456" s="47"/>
      <c r="U456" s="47"/>
      <c r="V456" s="47"/>
      <c r="X456" s="180"/>
      <c r="Y456" s="47"/>
      <c r="Z456" s="47"/>
      <c r="AA456" s="47"/>
      <c r="AB456" s="52"/>
      <c r="AC456" s="52"/>
      <c r="AD456" s="52"/>
      <c r="AE456" s="52"/>
      <c r="AG456" s="103"/>
      <c r="AH456" s="111"/>
      <c r="AI456" s="111"/>
      <c r="AJ456" s="47"/>
      <c r="AL456" s="47"/>
      <c r="AM456" s="47"/>
      <c r="AN456" s="47"/>
      <c r="AP456" s="47"/>
      <c r="AQ456" s="47"/>
      <c r="AS456" s="250"/>
      <c r="AT456" s="67"/>
      <c r="AU456" s="67"/>
    </row>
    <row r="457" spans="2:47" s="25" customFormat="1" ht="12.75" customHeight="1" x14ac:dyDescent="0.3">
      <c r="B457" s="47"/>
      <c r="C457" s="47"/>
      <c r="D457" s="47"/>
      <c r="E457" s="47"/>
      <c r="F457" s="47"/>
      <c r="G457" s="47"/>
      <c r="H457" s="47"/>
      <c r="I457" s="107"/>
      <c r="K457" s="245"/>
      <c r="M457" s="246"/>
      <c r="N457" s="247"/>
      <c r="O457" s="248"/>
      <c r="Q457" s="249"/>
      <c r="R457" s="47"/>
      <c r="S457" s="47"/>
      <c r="T457" s="47"/>
      <c r="U457" s="47"/>
      <c r="V457" s="47"/>
      <c r="X457" s="180"/>
      <c r="Y457" s="47"/>
      <c r="Z457" s="47"/>
      <c r="AA457" s="47"/>
      <c r="AB457" s="52"/>
      <c r="AC457" s="52"/>
      <c r="AD457" s="52"/>
      <c r="AE457" s="52"/>
      <c r="AG457" s="103"/>
      <c r="AH457" s="111"/>
      <c r="AI457" s="111"/>
      <c r="AJ457" s="47"/>
      <c r="AL457" s="47"/>
      <c r="AM457" s="47"/>
      <c r="AN457" s="47"/>
      <c r="AP457" s="47"/>
      <c r="AQ457" s="47"/>
      <c r="AS457" s="250"/>
      <c r="AT457" s="67"/>
      <c r="AU457" s="67"/>
    </row>
    <row r="458" spans="2:47" s="25" customFormat="1" ht="12.75" customHeight="1" x14ac:dyDescent="0.3">
      <c r="B458" s="47"/>
      <c r="C458" s="47"/>
      <c r="D458" s="47"/>
      <c r="E458" s="47"/>
      <c r="F458" s="47"/>
      <c r="G458" s="47"/>
      <c r="H458" s="47"/>
      <c r="I458" s="107"/>
      <c r="K458" s="245"/>
      <c r="M458" s="246"/>
      <c r="N458" s="247"/>
      <c r="O458" s="248"/>
      <c r="Q458" s="249"/>
      <c r="R458" s="47"/>
      <c r="S458" s="47"/>
      <c r="T458" s="47"/>
      <c r="U458" s="47"/>
      <c r="V458" s="47"/>
      <c r="X458" s="180"/>
      <c r="Y458" s="47"/>
      <c r="Z458" s="47"/>
      <c r="AA458" s="47"/>
      <c r="AB458" s="52"/>
      <c r="AC458" s="52"/>
      <c r="AD458" s="52"/>
      <c r="AE458" s="52"/>
      <c r="AG458" s="103"/>
      <c r="AH458" s="111"/>
      <c r="AI458" s="111"/>
      <c r="AJ458" s="47"/>
      <c r="AL458" s="47"/>
      <c r="AM458" s="47"/>
      <c r="AN458" s="47"/>
      <c r="AP458" s="47"/>
      <c r="AQ458" s="47"/>
      <c r="AS458" s="250"/>
      <c r="AT458" s="67"/>
      <c r="AU458" s="67"/>
    </row>
    <row r="459" spans="2:47" s="25" customFormat="1" ht="12.75" customHeight="1" x14ac:dyDescent="0.3">
      <c r="B459" s="47"/>
      <c r="C459" s="47"/>
      <c r="D459" s="47"/>
      <c r="E459" s="47"/>
      <c r="F459" s="47"/>
      <c r="G459" s="47"/>
      <c r="H459" s="47"/>
      <c r="I459" s="107"/>
      <c r="K459" s="245"/>
      <c r="M459" s="246"/>
      <c r="N459" s="247"/>
      <c r="O459" s="248"/>
      <c r="Q459" s="249"/>
      <c r="R459" s="47"/>
      <c r="S459" s="47"/>
      <c r="T459" s="47"/>
      <c r="U459" s="47"/>
      <c r="V459" s="47"/>
      <c r="X459" s="180"/>
      <c r="Y459" s="47"/>
      <c r="Z459" s="47"/>
      <c r="AA459" s="47"/>
      <c r="AB459" s="52"/>
      <c r="AC459" s="52"/>
      <c r="AD459" s="52"/>
      <c r="AE459" s="52"/>
      <c r="AG459" s="103"/>
      <c r="AH459" s="111"/>
      <c r="AI459" s="111"/>
      <c r="AJ459" s="47"/>
      <c r="AL459" s="47"/>
      <c r="AM459" s="47"/>
      <c r="AN459" s="47"/>
      <c r="AP459" s="47"/>
      <c r="AQ459" s="47"/>
      <c r="AS459" s="250"/>
      <c r="AT459" s="67"/>
      <c r="AU459" s="67"/>
    </row>
    <row r="460" spans="2:47" s="25" customFormat="1" ht="12.75" customHeight="1" x14ac:dyDescent="0.3">
      <c r="B460" s="47"/>
      <c r="C460" s="47"/>
      <c r="D460" s="47"/>
      <c r="E460" s="47"/>
      <c r="F460" s="47"/>
      <c r="G460" s="47"/>
      <c r="H460" s="47"/>
      <c r="I460" s="107"/>
      <c r="K460" s="245"/>
      <c r="M460" s="246"/>
      <c r="N460" s="247"/>
      <c r="O460" s="248"/>
      <c r="Q460" s="249"/>
      <c r="R460" s="47"/>
      <c r="S460" s="47"/>
      <c r="T460" s="47"/>
      <c r="U460" s="47"/>
      <c r="V460" s="47"/>
      <c r="X460" s="180"/>
      <c r="Y460" s="47"/>
      <c r="Z460" s="47"/>
      <c r="AA460" s="47"/>
      <c r="AB460" s="52"/>
      <c r="AC460" s="52"/>
      <c r="AD460" s="52"/>
      <c r="AE460" s="52"/>
      <c r="AG460" s="103"/>
      <c r="AH460" s="111"/>
      <c r="AI460" s="111"/>
      <c r="AJ460" s="47"/>
      <c r="AL460" s="47"/>
      <c r="AM460" s="47"/>
      <c r="AN460" s="47"/>
      <c r="AP460" s="47"/>
      <c r="AQ460" s="47"/>
      <c r="AS460" s="250"/>
      <c r="AT460" s="67"/>
      <c r="AU460" s="67"/>
    </row>
    <row r="461" spans="2:47" s="25" customFormat="1" ht="12.75" customHeight="1" x14ac:dyDescent="0.3">
      <c r="B461" s="47"/>
      <c r="C461" s="47"/>
      <c r="D461" s="47"/>
      <c r="E461" s="47"/>
      <c r="F461" s="47"/>
      <c r="G461" s="47"/>
      <c r="H461" s="47"/>
      <c r="I461" s="107"/>
      <c r="K461" s="245"/>
      <c r="M461" s="246"/>
      <c r="N461" s="247"/>
      <c r="O461" s="248"/>
      <c r="Q461" s="249"/>
      <c r="R461" s="47"/>
      <c r="S461" s="47"/>
      <c r="T461" s="47"/>
      <c r="U461" s="47"/>
      <c r="V461" s="47"/>
      <c r="X461" s="180"/>
      <c r="Y461" s="47"/>
      <c r="Z461" s="47"/>
      <c r="AA461" s="47"/>
      <c r="AB461" s="52"/>
      <c r="AC461" s="52"/>
      <c r="AD461" s="52"/>
      <c r="AE461" s="52"/>
      <c r="AG461" s="103"/>
      <c r="AH461" s="111"/>
      <c r="AI461" s="111"/>
      <c r="AJ461" s="47"/>
      <c r="AL461" s="47"/>
      <c r="AM461" s="47"/>
      <c r="AN461" s="47"/>
      <c r="AP461" s="47"/>
      <c r="AQ461" s="47"/>
      <c r="AS461" s="250"/>
      <c r="AT461" s="67"/>
      <c r="AU461" s="67"/>
    </row>
    <row r="462" spans="2:47" s="25" customFormat="1" ht="12.75" customHeight="1" x14ac:dyDescent="0.3">
      <c r="B462" s="47"/>
      <c r="C462" s="47"/>
      <c r="D462" s="47"/>
      <c r="E462" s="47"/>
      <c r="F462" s="47"/>
      <c r="G462" s="47"/>
      <c r="H462" s="47"/>
      <c r="I462" s="107"/>
      <c r="K462" s="245"/>
      <c r="M462" s="246"/>
      <c r="N462" s="247"/>
      <c r="O462" s="248"/>
      <c r="Q462" s="249"/>
      <c r="R462" s="47"/>
      <c r="S462" s="47"/>
      <c r="T462" s="47"/>
      <c r="U462" s="47"/>
      <c r="V462" s="47"/>
      <c r="X462" s="180"/>
      <c r="Y462" s="47"/>
      <c r="Z462" s="47"/>
      <c r="AA462" s="47"/>
      <c r="AB462" s="52"/>
      <c r="AC462" s="52"/>
      <c r="AD462" s="52"/>
      <c r="AE462" s="52"/>
      <c r="AG462" s="103"/>
      <c r="AH462" s="111"/>
      <c r="AI462" s="111"/>
      <c r="AJ462" s="47"/>
      <c r="AL462" s="47"/>
      <c r="AM462" s="47"/>
      <c r="AN462" s="47"/>
      <c r="AP462" s="47"/>
      <c r="AQ462" s="47"/>
      <c r="AS462" s="250"/>
      <c r="AT462" s="67"/>
      <c r="AU462" s="67"/>
    </row>
    <row r="463" spans="2:47" s="25" customFormat="1" ht="12.75" customHeight="1" x14ac:dyDescent="0.3">
      <c r="B463" s="47"/>
      <c r="C463" s="47"/>
      <c r="D463" s="47"/>
      <c r="E463" s="47"/>
      <c r="F463" s="47"/>
      <c r="G463" s="47"/>
      <c r="H463" s="47"/>
      <c r="I463" s="107"/>
      <c r="K463" s="245"/>
      <c r="M463" s="246"/>
      <c r="N463" s="247"/>
      <c r="O463" s="248"/>
      <c r="Q463" s="249"/>
      <c r="R463" s="47"/>
      <c r="S463" s="47"/>
      <c r="T463" s="47"/>
      <c r="U463" s="47"/>
      <c r="V463" s="47"/>
      <c r="X463" s="180"/>
      <c r="Y463" s="47"/>
      <c r="Z463" s="47"/>
      <c r="AA463" s="47"/>
      <c r="AB463" s="52"/>
      <c r="AC463" s="52"/>
      <c r="AD463" s="52"/>
      <c r="AE463" s="52"/>
      <c r="AG463" s="103"/>
      <c r="AH463" s="111"/>
      <c r="AI463" s="111"/>
      <c r="AJ463" s="47"/>
      <c r="AL463" s="47"/>
      <c r="AM463" s="47"/>
      <c r="AN463" s="47"/>
      <c r="AP463" s="47"/>
      <c r="AQ463" s="47"/>
      <c r="AS463" s="250"/>
      <c r="AT463" s="67"/>
      <c r="AU463" s="67"/>
    </row>
    <row r="464" spans="2:47" s="25" customFormat="1" ht="12.75" customHeight="1" x14ac:dyDescent="0.3">
      <c r="B464" s="47"/>
      <c r="C464" s="47"/>
      <c r="D464" s="47"/>
      <c r="E464" s="47"/>
      <c r="F464" s="47"/>
      <c r="G464" s="47"/>
      <c r="H464" s="47"/>
      <c r="I464" s="107"/>
      <c r="K464" s="245"/>
      <c r="M464" s="246"/>
      <c r="N464" s="247"/>
      <c r="O464" s="248"/>
      <c r="Q464" s="249"/>
      <c r="R464" s="47"/>
      <c r="S464" s="47"/>
      <c r="T464" s="47"/>
      <c r="U464" s="47"/>
      <c r="V464" s="47"/>
      <c r="X464" s="180"/>
      <c r="Y464" s="47"/>
      <c r="Z464" s="47"/>
      <c r="AA464" s="47"/>
      <c r="AB464" s="52"/>
      <c r="AC464" s="52"/>
      <c r="AD464" s="52"/>
      <c r="AE464" s="52"/>
      <c r="AG464" s="103"/>
      <c r="AH464" s="111"/>
      <c r="AI464" s="111"/>
      <c r="AJ464" s="47"/>
      <c r="AL464" s="47"/>
      <c r="AM464" s="47"/>
      <c r="AN464" s="47"/>
      <c r="AP464" s="47"/>
      <c r="AQ464" s="47"/>
      <c r="AS464" s="250"/>
      <c r="AT464" s="67"/>
      <c r="AU464" s="67"/>
    </row>
    <row r="465" spans="2:47" s="25" customFormat="1" ht="12.75" customHeight="1" x14ac:dyDescent="0.3">
      <c r="B465" s="47"/>
      <c r="C465" s="47"/>
      <c r="D465" s="47"/>
      <c r="E465" s="47"/>
      <c r="F465" s="47"/>
      <c r="G465" s="47"/>
      <c r="H465" s="47"/>
      <c r="I465" s="107"/>
      <c r="K465" s="245"/>
      <c r="M465" s="246"/>
      <c r="N465" s="247"/>
      <c r="O465" s="248"/>
      <c r="Q465" s="249"/>
      <c r="R465" s="47"/>
      <c r="S465" s="47"/>
      <c r="T465" s="47"/>
      <c r="U465" s="47"/>
      <c r="V465" s="47"/>
      <c r="X465" s="180"/>
      <c r="Y465" s="47"/>
      <c r="Z465" s="47"/>
      <c r="AA465" s="47"/>
      <c r="AB465" s="52"/>
      <c r="AC465" s="52"/>
      <c r="AD465" s="52"/>
      <c r="AE465" s="52"/>
      <c r="AG465" s="103"/>
      <c r="AH465" s="111"/>
      <c r="AI465" s="111"/>
      <c r="AJ465" s="47"/>
      <c r="AL465" s="47"/>
      <c r="AM465" s="47"/>
      <c r="AN465" s="47"/>
      <c r="AP465" s="47"/>
      <c r="AQ465" s="47"/>
      <c r="AS465" s="250"/>
      <c r="AT465" s="67"/>
      <c r="AU465" s="67"/>
    </row>
    <row r="466" spans="2:47" s="25" customFormat="1" ht="12.75" customHeight="1" x14ac:dyDescent="0.3">
      <c r="B466" s="47"/>
      <c r="C466" s="47"/>
      <c r="D466" s="47"/>
      <c r="E466" s="47"/>
      <c r="F466" s="47"/>
      <c r="G466" s="47"/>
      <c r="H466" s="47"/>
      <c r="I466" s="107"/>
      <c r="K466" s="245"/>
      <c r="M466" s="246"/>
      <c r="N466" s="247"/>
      <c r="O466" s="248"/>
      <c r="Q466" s="249"/>
      <c r="R466" s="47"/>
      <c r="S466" s="47"/>
      <c r="T466" s="47"/>
      <c r="U466" s="47"/>
      <c r="V466" s="47"/>
      <c r="X466" s="180"/>
      <c r="Y466" s="47"/>
      <c r="Z466" s="47"/>
      <c r="AA466" s="47"/>
      <c r="AB466" s="52"/>
      <c r="AC466" s="52"/>
      <c r="AD466" s="52"/>
      <c r="AE466" s="52"/>
      <c r="AG466" s="103"/>
      <c r="AH466" s="111"/>
      <c r="AI466" s="111"/>
      <c r="AJ466" s="47"/>
      <c r="AL466" s="47"/>
      <c r="AM466" s="47"/>
      <c r="AN466" s="47"/>
      <c r="AP466" s="47"/>
      <c r="AQ466" s="47"/>
      <c r="AS466" s="250"/>
      <c r="AT466" s="67"/>
      <c r="AU466" s="67"/>
    </row>
    <row r="467" spans="2:47" s="25" customFormat="1" ht="12.75" customHeight="1" x14ac:dyDescent="0.3">
      <c r="B467" s="47"/>
      <c r="C467" s="47"/>
      <c r="D467" s="47"/>
      <c r="E467" s="47"/>
      <c r="F467" s="47"/>
      <c r="G467" s="47"/>
      <c r="H467" s="47"/>
      <c r="I467" s="107"/>
      <c r="K467" s="245"/>
      <c r="M467" s="246"/>
      <c r="N467" s="247"/>
      <c r="O467" s="248"/>
      <c r="Q467" s="249"/>
      <c r="R467" s="47"/>
      <c r="S467" s="47"/>
      <c r="T467" s="47"/>
      <c r="U467" s="47"/>
      <c r="V467" s="47"/>
      <c r="X467" s="180"/>
      <c r="Y467" s="47"/>
      <c r="Z467" s="47"/>
      <c r="AA467" s="47"/>
      <c r="AB467" s="52"/>
      <c r="AC467" s="52"/>
      <c r="AD467" s="52"/>
      <c r="AE467" s="52"/>
      <c r="AG467" s="103"/>
      <c r="AH467" s="111"/>
      <c r="AI467" s="111"/>
      <c r="AJ467" s="47"/>
      <c r="AL467" s="47"/>
      <c r="AM467" s="47"/>
      <c r="AN467" s="47"/>
      <c r="AP467" s="47"/>
      <c r="AQ467" s="47"/>
      <c r="AS467" s="250"/>
      <c r="AT467" s="67"/>
      <c r="AU467" s="67"/>
    </row>
    <row r="468" spans="2:47" s="25" customFormat="1" ht="12.75" customHeight="1" x14ac:dyDescent="0.3">
      <c r="B468" s="47"/>
      <c r="C468" s="47"/>
      <c r="D468" s="47"/>
      <c r="E468" s="47"/>
      <c r="F468" s="47"/>
      <c r="G468" s="47"/>
      <c r="H468" s="47"/>
      <c r="I468" s="107"/>
      <c r="K468" s="245"/>
      <c r="M468" s="246"/>
      <c r="N468" s="247"/>
      <c r="O468" s="248"/>
      <c r="Q468" s="249"/>
      <c r="R468" s="47"/>
      <c r="S468" s="47"/>
      <c r="T468" s="47"/>
      <c r="U468" s="47"/>
      <c r="V468" s="47"/>
      <c r="X468" s="180"/>
      <c r="Y468" s="47"/>
      <c r="Z468" s="47"/>
      <c r="AA468" s="47"/>
      <c r="AB468" s="52"/>
      <c r="AC468" s="52"/>
      <c r="AD468" s="52"/>
      <c r="AE468" s="52"/>
      <c r="AG468" s="103"/>
      <c r="AH468" s="111"/>
      <c r="AI468" s="111"/>
      <c r="AJ468" s="47"/>
      <c r="AL468" s="47"/>
      <c r="AM468" s="47"/>
      <c r="AN468" s="47"/>
      <c r="AP468" s="47"/>
      <c r="AQ468" s="47"/>
      <c r="AS468" s="250"/>
      <c r="AT468" s="67"/>
      <c r="AU468" s="67"/>
    </row>
    <row r="469" spans="2:47" s="25" customFormat="1" ht="12.75" customHeight="1" x14ac:dyDescent="0.3">
      <c r="B469" s="47"/>
      <c r="C469" s="47"/>
      <c r="D469" s="47"/>
      <c r="E469" s="47"/>
      <c r="F469" s="47"/>
      <c r="G469" s="47"/>
      <c r="H469" s="47"/>
      <c r="I469" s="107"/>
      <c r="K469" s="245"/>
      <c r="M469" s="246"/>
      <c r="N469" s="247"/>
      <c r="O469" s="248"/>
      <c r="Q469" s="249"/>
      <c r="R469" s="47"/>
      <c r="S469" s="47"/>
      <c r="T469" s="47"/>
      <c r="U469" s="47"/>
      <c r="V469" s="47"/>
      <c r="X469" s="180"/>
      <c r="Y469" s="47"/>
      <c r="Z469" s="47"/>
      <c r="AA469" s="47"/>
      <c r="AB469" s="52"/>
      <c r="AC469" s="52"/>
      <c r="AD469" s="52"/>
      <c r="AE469" s="52"/>
      <c r="AG469" s="103"/>
      <c r="AH469" s="111"/>
      <c r="AI469" s="111"/>
      <c r="AJ469" s="47"/>
      <c r="AL469" s="47"/>
      <c r="AM469" s="47"/>
      <c r="AN469" s="47"/>
      <c r="AP469" s="47"/>
      <c r="AQ469" s="47"/>
      <c r="AS469" s="250"/>
      <c r="AT469" s="67"/>
      <c r="AU469" s="67"/>
    </row>
    <row r="470" spans="2:47" s="25" customFormat="1" ht="12.75" customHeight="1" x14ac:dyDescent="0.3">
      <c r="B470" s="47"/>
      <c r="C470" s="47"/>
      <c r="D470" s="47"/>
      <c r="E470" s="47"/>
      <c r="F470" s="47"/>
      <c r="G470" s="47"/>
      <c r="H470" s="47"/>
      <c r="I470" s="107"/>
      <c r="K470" s="245"/>
      <c r="M470" s="246"/>
      <c r="N470" s="247"/>
      <c r="O470" s="248"/>
      <c r="Q470" s="249"/>
      <c r="R470" s="47"/>
      <c r="S470" s="47"/>
      <c r="T470" s="47"/>
      <c r="U470" s="47"/>
      <c r="V470" s="47"/>
      <c r="X470" s="180"/>
      <c r="Y470" s="47"/>
      <c r="Z470" s="47"/>
      <c r="AA470" s="47"/>
      <c r="AB470" s="52"/>
      <c r="AC470" s="52"/>
      <c r="AD470" s="52"/>
      <c r="AE470" s="52"/>
      <c r="AG470" s="103"/>
      <c r="AH470" s="111"/>
      <c r="AI470" s="111"/>
      <c r="AJ470" s="47"/>
      <c r="AL470" s="47"/>
      <c r="AM470" s="47"/>
      <c r="AN470" s="47"/>
      <c r="AP470" s="47"/>
      <c r="AQ470" s="47"/>
      <c r="AS470" s="250"/>
      <c r="AT470" s="67"/>
      <c r="AU470" s="67"/>
    </row>
    <row r="471" spans="2:47" s="25" customFormat="1" ht="12.75" customHeight="1" x14ac:dyDescent="0.3">
      <c r="B471" s="47"/>
      <c r="C471" s="47"/>
      <c r="D471" s="47"/>
      <c r="E471" s="47"/>
      <c r="F471" s="47"/>
      <c r="G471" s="47"/>
      <c r="H471" s="47"/>
      <c r="I471" s="107"/>
      <c r="K471" s="245"/>
      <c r="M471" s="246"/>
      <c r="N471" s="247"/>
      <c r="O471" s="248"/>
      <c r="Q471" s="249"/>
      <c r="R471" s="47"/>
      <c r="S471" s="47"/>
      <c r="T471" s="47"/>
      <c r="U471" s="47"/>
      <c r="V471" s="47"/>
      <c r="X471" s="180"/>
      <c r="Y471" s="47"/>
      <c r="Z471" s="47"/>
      <c r="AA471" s="47"/>
      <c r="AB471" s="52"/>
      <c r="AC471" s="52"/>
      <c r="AD471" s="52"/>
      <c r="AE471" s="52"/>
      <c r="AG471" s="103"/>
      <c r="AH471" s="111"/>
      <c r="AI471" s="111"/>
      <c r="AJ471" s="47"/>
      <c r="AL471" s="47"/>
      <c r="AM471" s="47"/>
      <c r="AN471" s="47"/>
      <c r="AP471" s="47"/>
      <c r="AQ471" s="47"/>
      <c r="AS471" s="250"/>
      <c r="AT471" s="67"/>
      <c r="AU471" s="67"/>
    </row>
    <row r="472" spans="2:47" s="25" customFormat="1" ht="12.75" customHeight="1" x14ac:dyDescent="0.3">
      <c r="B472" s="47"/>
      <c r="C472" s="47"/>
      <c r="D472" s="47"/>
      <c r="E472" s="47"/>
      <c r="F472" s="47"/>
      <c r="G472" s="47"/>
      <c r="H472" s="47"/>
      <c r="I472" s="107"/>
      <c r="K472" s="245"/>
      <c r="M472" s="246"/>
      <c r="N472" s="247"/>
      <c r="O472" s="248"/>
      <c r="Q472" s="249"/>
      <c r="R472" s="47"/>
      <c r="S472" s="47"/>
      <c r="T472" s="47"/>
      <c r="U472" s="47"/>
      <c r="V472" s="47"/>
      <c r="X472" s="180"/>
      <c r="Y472" s="47"/>
      <c r="Z472" s="47"/>
      <c r="AA472" s="47"/>
      <c r="AB472" s="52"/>
      <c r="AC472" s="52"/>
      <c r="AD472" s="52"/>
      <c r="AE472" s="52"/>
      <c r="AG472" s="103"/>
      <c r="AH472" s="111"/>
      <c r="AI472" s="111"/>
      <c r="AJ472" s="47"/>
      <c r="AL472" s="47"/>
      <c r="AM472" s="47"/>
      <c r="AN472" s="47"/>
      <c r="AP472" s="47"/>
      <c r="AQ472" s="47"/>
      <c r="AS472" s="250"/>
      <c r="AT472" s="67"/>
      <c r="AU472" s="67"/>
    </row>
    <row r="473" spans="2:47" s="25" customFormat="1" ht="12.75" customHeight="1" x14ac:dyDescent="0.3">
      <c r="B473" s="47"/>
      <c r="C473" s="47"/>
      <c r="D473" s="47"/>
      <c r="E473" s="47"/>
      <c r="F473" s="47"/>
      <c r="G473" s="47"/>
      <c r="H473" s="47"/>
      <c r="I473" s="107"/>
      <c r="K473" s="245"/>
      <c r="M473" s="246"/>
      <c r="N473" s="247"/>
      <c r="O473" s="248"/>
      <c r="Q473" s="249"/>
      <c r="R473" s="47"/>
      <c r="S473" s="47"/>
      <c r="T473" s="47"/>
      <c r="U473" s="47"/>
      <c r="V473" s="47"/>
      <c r="X473" s="180"/>
      <c r="Y473" s="47"/>
      <c r="Z473" s="47"/>
      <c r="AA473" s="47"/>
      <c r="AB473" s="52"/>
      <c r="AC473" s="52"/>
      <c r="AD473" s="52"/>
      <c r="AE473" s="52"/>
      <c r="AG473" s="103"/>
      <c r="AH473" s="111"/>
      <c r="AI473" s="111"/>
      <c r="AJ473" s="47"/>
      <c r="AL473" s="47"/>
      <c r="AM473" s="47"/>
      <c r="AN473" s="47"/>
      <c r="AP473" s="47"/>
      <c r="AQ473" s="47"/>
      <c r="AS473" s="250"/>
      <c r="AT473" s="67"/>
      <c r="AU473" s="67"/>
    </row>
    <row r="474" spans="2:47" s="25" customFormat="1" ht="12.75" customHeight="1" x14ac:dyDescent="0.3">
      <c r="B474" s="47"/>
      <c r="C474" s="47"/>
      <c r="D474" s="47"/>
      <c r="E474" s="47"/>
      <c r="F474" s="47"/>
      <c r="G474" s="47"/>
      <c r="H474" s="47"/>
      <c r="I474" s="107"/>
      <c r="K474" s="245"/>
      <c r="M474" s="246"/>
      <c r="N474" s="247"/>
      <c r="O474" s="248"/>
      <c r="Q474" s="249"/>
      <c r="R474" s="47"/>
      <c r="S474" s="47"/>
      <c r="T474" s="47"/>
      <c r="U474" s="47"/>
      <c r="V474" s="47"/>
      <c r="X474" s="180"/>
      <c r="Y474" s="47"/>
      <c r="Z474" s="47"/>
      <c r="AA474" s="47"/>
      <c r="AB474" s="52"/>
      <c r="AC474" s="52"/>
      <c r="AD474" s="52"/>
      <c r="AE474" s="52"/>
      <c r="AG474" s="103"/>
      <c r="AH474" s="111"/>
      <c r="AI474" s="111"/>
      <c r="AJ474" s="47"/>
      <c r="AL474" s="47"/>
      <c r="AM474" s="47"/>
      <c r="AN474" s="47"/>
      <c r="AP474" s="47"/>
      <c r="AQ474" s="47"/>
      <c r="AS474" s="250"/>
      <c r="AT474" s="67"/>
      <c r="AU474" s="67"/>
    </row>
    <row r="475" spans="2:47" s="25" customFormat="1" ht="12.75" customHeight="1" x14ac:dyDescent="0.3">
      <c r="B475" s="47"/>
      <c r="C475" s="47"/>
      <c r="D475" s="47"/>
      <c r="E475" s="47"/>
      <c r="F475" s="47"/>
      <c r="G475" s="47"/>
      <c r="H475" s="47"/>
      <c r="I475" s="107"/>
      <c r="K475" s="245"/>
      <c r="M475" s="246"/>
      <c r="N475" s="247"/>
      <c r="O475" s="248"/>
      <c r="Q475" s="249"/>
      <c r="R475" s="47"/>
      <c r="S475" s="47"/>
      <c r="T475" s="47"/>
      <c r="U475" s="47"/>
      <c r="V475" s="47"/>
      <c r="X475" s="180"/>
      <c r="Y475" s="47"/>
      <c r="Z475" s="47"/>
      <c r="AA475" s="47"/>
      <c r="AB475" s="52"/>
      <c r="AC475" s="52"/>
      <c r="AD475" s="52"/>
      <c r="AE475" s="52"/>
      <c r="AG475" s="103"/>
      <c r="AH475" s="111"/>
      <c r="AI475" s="111"/>
      <c r="AJ475" s="47"/>
      <c r="AL475" s="47"/>
      <c r="AM475" s="47"/>
      <c r="AN475" s="47"/>
      <c r="AP475" s="47"/>
      <c r="AQ475" s="47"/>
      <c r="AS475" s="250"/>
      <c r="AT475" s="67"/>
      <c r="AU475" s="67"/>
    </row>
    <row r="476" spans="2:47" s="25" customFormat="1" ht="12.75" customHeight="1" x14ac:dyDescent="0.3">
      <c r="B476" s="47"/>
      <c r="C476" s="47"/>
      <c r="D476" s="47"/>
      <c r="E476" s="47"/>
      <c r="F476" s="47"/>
      <c r="G476" s="47"/>
      <c r="H476" s="47"/>
      <c r="I476" s="107"/>
      <c r="K476" s="245"/>
      <c r="M476" s="246"/>
      <c r="N476" s="247"/>
      <c r="O476" s="248"/>
      <c r="Q476" s="249"/>
      <c r="R476" s="47"/>
      <c r="S476" s="47"/>
      <c r="T476" s="47"/>
      <c r="U476" s="47"/>
      <c r="V476" s="47"/>
      <c r="X476" s="180"/>
      <c r="Y476" s="47"/>
      <c r="Z476" s="47"/>
      <c r="AA476" s="47"/>
      <c r="AB476" s="52"/>
      <c r="AC476" s="52"/>
      <c r="AD476" s="52"/>
      <c r="AE476" s="52"/>
      <c r="AG476" s="103"/>
      <c r="AH476" s="111"/>
      <c r="AI476" s="111"/>
      <c r="AJ476" s="47"/>
      <c r="AL476" s="47"/>
      <c r="AM476" s="47"/>
      <c r="AN476" s="47"/>
      <c r="AP476" s="47"/>
      <c r="AQ476" s="47"/>
      <c r="AS476" s="250"/>
      <c r="AT476" s="67"/>
      <c r="AU476" s="67"/>
    </row>
    <row r="477" spans="2:47" s="25" customFormat="1" ht="12.75" customHeight="1" x14ac:dyDescent="0.3">
      <c r="B477" s="47"/>
      <c r="C477" s="47"/>
      <c r="D477" s="47"/>
      <c r="E477" s="47"/>
      <c r="F477" s="47"/>
      <c r="G477" s="47"/>
      <c r="H477" s="47"/>
      <c r="I477" s="107"/>
      <c r="K477" s="245"/>
      <c r="M477" s="246"/>
      <c r="N477" s="247"/>
      <c r="O477" s="248"/>
      <c r="Q477" s="249"/>
      <c r="R477" s="47"/>
      <c r="S477" s="47"/>
      <c r="T477" s="47"/>
      <c r="U477" s="47"/>
      <c r="V477" s="47"/>
      <c r="X477" s="180"/>
      <c r="Y477" s="47"/>
      <c r="Z477" s="47"/>
      <c r="AA477" s="47"/>
      <c r="AB477" s="52"/>
      <c r="AC477" s="52"/>
      <c r="AD477" s="52"/>
      <c r="AE477" s="52"/>
      <c r="AG477" s="103"/>
      <c r="AH477" s="111"/>
      <c r="AI477" s="111"/>
      <c r="AJ477" s="47"/>
      <c r="AL477" s="47"/>
      <c r="AM477" s="47"/>
      <c r="AN477" s="47"/>
      <c r="AP477" s="47"/>
      <c r="AQ477" s="47"/>
      <c r="AS477" s="250"/>
      <c r="AT477" s="67"/>
      <c r="AU477" s="67"/>
    </row>
    <row r="478" spans="2:47" s="25" customFormat="1" ht="12.75" customHeight="1" x14ac:dyDescent="0.3">
      <c r="B478" s="47"/>
      <c r="C478" s="47"/>
      <c r="D478" s="47"/>
      <c r="E478" s="47"/>
      <c r="F478" s="47"/>
      <c r="G478" s="47"/>
      <c r="H478" s="47"/>
      <c r="I478" s="107"/>
      <c r="K478" s="245"/>
      <c r="M478" s="246"/>
      <c r="N478" s="247"/>
      <c r="O478" s="248"/>
      <c r="Q478" s="249"/>
      <c r="R478" s="47"/>
      <c r="S478" s="47"/>
      <c r="T478" s="47"/>
      <c r="U478" s="47"/>
      <c r="V478" s="47"/>
      <c r="X478" s="180"/>
      <c r="Y478" s="47"/>
      <c r="Z478" s="47"/>
      <c r="AA478" s="47"/>
      <c r="AB478" s="52"/>
      <c r="AC478" s="52"/>
      <c r="AD478" s="52"/>
      <c r="AE478" s="52"/>
      <c r="AG478" s="103"/>
      <c r="AH478" s="111"/>
      <c r="AI478" s="111"/>
      <c r="AJ478" s="47"/>
      <c r="AL478" s="47"/>
      <c r="AM478" s="47"/>
      <c r="AN478" s="47"/>
      <c r="AP478" s="47"/>
      <c r="AQ478" s="47"/>
      <c r="AS478" s="250"/>
      <c r="AT478" s="67"/>
      <c r="AU478" s="67"/>
    </row>
    <row r="479" spans="2:47" s="25" customFormat="1" ht="12.75" customHeight="1" x14ac:dyDescent="0.3">
      <c r="B479" s="47"/>
      <c r="C479" s="47"/>
      <c r="D479" s="47"/>
      <c r="E479" s="47"/>
      <c r="F479" s="47"/>
      <c r="G479" s="47"/>
      <c r="H479" s="47"/>
      <c r="I479" s="107"/>
      <c r="K479" s="245"/>
      <c r="M479" s="246"/>
      <c r="N479" s="247"/>
      <c r="O479" s="248"/>
      <c r="Q479" s="249"/>
      <c r="R479" s="47"/>
      <c r="S479" s="47"/>
      <c r="T479" s="47"/>
      <c r="U479" s="47"/>
      <c r="V479" s="47"/>
      <c r="X479" s="180"/>
      <c r="Y479" s="47"/>
      <c r="Z479" s="47"/>
      <c r="AA479" s="47"/>
      <c r="AB479" s="52"/>
      <c r="AC479" s="52"/>
      <c r="AD479" s="52"/>
      <c r="AE479" s="52"/>
      <c r="AG479" s="103"/>
      <c r="AH479" s="111"/>
      <c r="AI479" s="111"/>
      <c r="AJ479" s="47"/>
      <c r="AL479" s="47"/>
      <c r="AM479" s="47"/>
      <c r="AN479" s="47"/>
      <c r="AP479" s="47"/>
      <c r="AQ479" s="47"/>
      <c r="AS479" s="250"/>
      <c r="AT479" s="67"/>
      <c r="AU479" s="67"/>
    </row>
    <row r="480" spans="2:47" s="25" customFormat="1" ht="12.75" customHeight="1" x14ac:dyDescent="0.3">
      <c r="B480" s="47"/>
      <c r="C480" s="47"/>
      <c r="D480" s="47"/>
      <c r="E480" s="47"/>
      <c r="F480" s="47"/>
      <c r="G480" s="47"/>
      <c r="H480" s="47"/>
      <c r="I480" s="107"/>
      <c r="K480" s="245"/>
      <c r="M480" s="246"/>
      <c r="N480" s="247"/>
      <c r="O480" s="248"/>
      <c r="Q480" s="249"/>
      <c r="R480" s="47"/>
      <c r="S480" s="47"/>
      <c r="T480" s="47"/>
      <c r="U480" s="47"/>
      <c r="V480" s="47"/>
      <c r="X480" s="180"/>
      <c r="Y480" s="47"/>
      <c r="Z480" s="47"/>
      <c r="AA480" s="47"/>
      <c r="AB480" s="52"/>
      <c r="AC480" s="52"/>
      <c r="AD480" s="52"/>
      <c r="AE480" s="52"/>
      <c r="AG480" s="103"/>
      <c r="AH480" s="111"/>
      <c r="AI480" s="111"/>
      <c r="AJ480" s="47"/>
      <c r="AL480" s="47"/>
      <c r="AM480" s="47"/>
      <c r="AN480" s="47"/>
      <c r="AP480" s="47"/>
      <c r="AQ480" s="47"/>
      <c r="AS480" s="250"/>
      <c r="AT480" s="67"/>
      <c r="AU480" s="67"/>
    </row>
    <row r="481" spans="2:47" s="25" customFormat="1" ht="12.75" customHeight="1" x14ac:dyDescent="0.3">
      <c r="B481" s="47"/>
      <c r="C481" s="47"/>
      <c r="D481" s="47"/>
      <c r="E481" s="47"/>
      <c r="F481" s="47"/>
      <c r="G481" s="47"/>
      <c r="H481" s="47"/>
      <c r="I481" s="107"/>
      <c r="K481" s="245"/>
      <c r="M481" s="246"/>
      <c r="N481" s="247"/>
      <c r="O481" s="248"/>
      <c r="Q481" s="249"/>
      <c r="R481" s="47"/>
      <c r="S481" s="47"/>
      <c r="T481" s="47"/>
      <c r="U481" s="47"/>
      <c r="V481" s="47"/>
      <c r="X481" s="180"/>
      <c r="Y481" s="47"/>
      <c r="Z481" s="47"/>
      <c r="AA481" s="47"/>
      <c r="AB481" s="52"/>
      <c r="AC481" s="52"/>
      <c r="AD481" s="52"/>
      <c r="AE481" s="52"/>
      <c r="AG481" s="103"/>
      <c r="AH481" s="111"/>
      <c r="AI481" s="111"/>
      <c r="AJ481" s="47"/>
      <c r="AL481" s="47"/>
      <c r="AM481" s="47"/>
      <c r="AN481" s="47"/>
      <c r="AP481" s="47"/>
      <c r="AQ481" s="47"/>
      <c r="AS481" s="250"/>
      <c r="AT481" s="67"/>
      <c r="AU481" s="67"/>
    </row>
    <row r="482" spans="2:47" s="25" customFormat="1" ht="12.75" customHeight="1" x14ac:dyDescent="0.3">
      <c r="B482" s="47"/>
      <c r="C482" s="47"/>
      <c r="D482" s="47"/>
      <c r="E482" s="47"/>
      <c r="F482" s="47"/>
      <c r="G482" s="47"/>
      <c r="H482" s="47"/>
      <c r="I482" s="107"/>
      <c r="K482" s="245"/>
      <c r="M482" s="246"/>
      <c r="N482" s="247"/>
      <c r="O482" s="248"/>
      <c r="Q482" s="249"/>
      <c r="R482" s="47"/>
      <c r="S482" s="47"/>
      <c r="T482" s="47"/>
      <c r="U482" s="47"/>
      <c r="V482" s="47"/>
      <c r="X482" s="180"/>
      <c r="Y482" s="47"/>
      <c r="Z482" s="47"/>
      <c r="AA482" s="47"/>
      <c r="AB482" s="52"/>
      <c r="AC482" s="52"/>
      <c r="AD482" s="52"/>
      <c r="AE482" s="52"/>
      <c r="AG482" s="103"/>
      <c r="AH482" s="111"/>
      <c r="AI482" s="111"/>
      <c r="AJ482" s="47"/>
      <c r="AL482" s="47"/>
      <c r="AM482" s="47"/>
      <c r="AN482" s="47"/>
      <c r="AP482" s="47"/>
      <c r="AQ482" s="47"/>
      <c r="AS482" s="250"/>
      <c r="AT482" s="67"/>
      <c r="AU482" s="67"/>
    </row>
    <row r="483" spans="2:47" s="25" customFormat="1" ht="12.75" customHeight="1" x14ac:dyDescent="0.3">
      <c r="B483" s="47"/>
      <c r="C483" s="47"/>
      <c r="D483" s="47"/>
      <c r="E483" s="47"/>
      <c r="F483" s="47"/>
      <c r="G483" s="47"/>
      <c r="H483" s="47"/>
      <c r="I483" s="107"/>
      <c r="K483" s="245"/>
      <c r="M483" s="246"/>
      <c r="N483" s="247"/>
      <c r="O483" s="248"/>
      <c r="Q483" s="249"/>
      <c r="R483" s="47"/>
      <c r="S483" s="47"/>
      <c r="T483" s="47"/>
      <c r="U483" s="47"/>
      <c r="V483" s="47"/>
      <c r="X483" s="180"/>
      <c r="Y483" s="47"/>
      <c r="Z483" s="47"/>
      <c r="AA483" s="47"/>
      <c r="AB483" s="52"/>
      <c r="AC483" s="52"/>
      <c r="AD483" s="52"/>
      <c r="AE483" s="52"/>
      <c r="AG483" s="103"/>
      <c r="AH483" s="111"/>
      <c r="AI483" s="111"/>
      <c r="AJ483" s="47"/>
      <c r="AL483" s="47"/>
      <c r="AM483" s="47"/>
      <c r="AN483" s="47"/>
      <c r="AP483" s="47"/>
      <c r="AQ483" s="47"/>
      <c r="AS483" s="250"/>
      <c r="AT483" s="67"/>
      <c r="AU483" s="67"/>
    </row>
    <row r="484" spans="2:47" s="25" customFormat="1" ht="12.75" customHeight="1" x14ac:dyDescent="0.3">
      <c r="B484" s="47"/>
      <c r="C484" s="47"/>
      <c r="D484" s="47"/>
      <c r="E484" s="47"/>
      <c r="F484" s="47"/>
      <c r="G484" s="47"/>
      <c r="H484" s="47"/>
      <c r="I484" s="107"/>
      <c r="K484" s="245"/>
      <c r="M484" s="246"/>
      <c r="N484" s="247"/>
      <c r="O484" s="248"/>
      <c r="Q484" s="249"/>
      <c r="R484" s="47"/>
      <c r="S484" s="47"/>
      <c r="T484" s="47"/>
      <c r="U484" s="47"/>
      <c r="V484" s="47"/>
      <c r="X484" s="180"/>
      <c r="Y484" s="47"/>
      <c r="Z484" s="47"/>
      <c r="AA484" s="47"/>
      <c r="AB484" s="52"/>
      <c r="AC484" s="52"/>
      <c r="AD484" s="52"/>
      <c r="AE484" s="52"/>
      <c r="AG484" s="103"/>
      <c r="AH484" s="111"/>
      <c r="AI484" s="111"/>
      <c r="AJ484" s="47"/>
      <c r="AL484" s="47"/>
      <c r="AM484" s="47"/>
      <c r="AN484" s="47"/>
      <c r="AP484" s="47"/>
      <c r="AQ484" s="47"/>
      <c r="AS484" s="250"/>
      <c r="AT484" s="67"/>
      <c r="AU484" s="67"/>
    </row>
    <row r="485" spans="2:47" s="25" customFormat="1" ht="12.75" customHeight="1" x14ac:dyDescent="0.3">
      <c r="B485" s="47"/>
      <c r="C485" s="47"/>
      <c r="D485" s="47"/>
      <c r="E485" s="47"/>
      <c r="F485" s="47"/>
      <c r="G485" s="47"/>
      <c r="H485" s="47"/>
      <c r="I485" s="107"/>
      <c r="K485" s="245"/>
      <c r="M485" s="246"/>
      <c r="N485" s="247"/>
      <c r="O485" s="248"/>
      <c r="Q485" s="249"/>
      <c r="R485" s="47"/>
      <c r="S485" s="47"/>
      <c r="T485" s="47"/>
      <c r="U485" s="47"/>
      <c r="V485" s="47"/>
      <c r="X485" s="180"/>
      <c r="Y485" s="47"/>
      <c r="Z485" s="47"/>
      <c r="AA485" s="47"/>
      <c r="AB485" s="52"/>
      <c r="AC485" s="52"/>
      <c r="AD485" s="52"/>
      <c r="AE485" s="52"/>
      <c r="AG485" s="103"/>
      <c r="AH485" s="111"/>
      <c r="AI485" s="111"/>
      <c r="AJ485" s="47"/>
      <c r="AL485" s="47"/>
      <c r="AM485" s="47"/>
      <c r="AN485" s="47"/>
      <c r="AP485" s="47"/>
      <c r="AQ485" s="47"/>
      <c r="AS485" s="250"/>
      <c r="AT485" s="67"/>
      <c r="AU485" s="67"/>
    </row>
    <row r="486" spans="2:47" s="25" customFormat="1" ht="12.75" customHeight="1" x14ac:dyDescent="0.3">
      <c r="B486" s="47"/>
      <c r="C486" s="47"/>
      <c r="D486" s="47"/>
      <c r="E486" s="47"/>
      <c r="F486" s="47"/>
      <c r="G486" s="47"/>
      <c r="H486" s="47"/>
      <c r="I486" s="107"/>
      <c r="K486" s="245"/>
      <c r="M486" s="246"/>
      <c r="N486" s="247"/>
      <c r="O486" s="248"/>
      <c r="Q486" s="249"/>
      <c r="R486" s="47"/>
      <c r="S486" s="47"/>
      <c r="T486" s="47"/>
      <c r="U486" s="47"/>
      <c r="V486" s="47"/>
      <c r="X486" s="180"/>
      <c r="Y486" s="47"/>
      <c r="Z486" s="47"/>
      <c r="AA486" s="47"/>
      <c r="AB486" s="52"/>
      <c r="AC486" s="52"/>
      <c r="AD486" s="52"/>
      <c r="AE486" s="52"/>
      <c r="AG486" s="103"/>
      <c r="AH486" s="111"/>
      <c r="AI486" s="111"/>
      <c r="AJ486" s="47"/>
      <c r="AL486" s="47"/>
      <c r="AM486" s="47"/>
      <c r="AN486" s="47"/>
      <c r="AP486" s="47"/>
      <c r="AQ486" s="47"/>
      <c r="AS486" s="250"/>
      <c r="AT486" s="67"/>
      <c r="AU486" s="67"/>
    </row>
    <row r="487" spans="2:47" s="25" customFormat="1" ht="12.75" customHeight="1" x14ac:dyDescent="0.3">
      <c r="B487" s="47"/>
      <c r="C487" s="47"/>
      <c r="D487" s="47"/>
      <c r="E487" s="47"/>
      <c r="F487" s="47"/>
      <c r="G487" s="47"/>
      <c r="H487" s="47"/>
      <c r="I487" s="107"/>
      <c r="K487" s="245"/>
      <c r="M487" s="246"/>
      <c r="N487" s="247"/>
      <c r="O487" s="248"/>
      <c r="Q487" s="249"/>
      <c r="R487" s="47"/>
      <c r="S487" s="47"/>
      <c r="T487" s="47"/>
      <c r="U487" s="47"/>
      <c r="V487" s="47"/>
      <c r="X487" s="180"/>
      <c r="Y487" s="47"/>
      <c r="Z487" s="47"/>
      <c r="AA487" s="47"/>
      <c r="AB487" s="52"/>
      <c r="AC487" s="52"/>
      <c r="AD487" s="52"/>
      <c r="AE487" s="52"/>
      <c r="AG487" s="103"/>
      <c r="AH487" s="111"/>
      <c r="AI487" s="111"/>
      <c r="AJ487" s="47"/>
      <c r="AL487" s="47"/>
      <c r="AM487" s="47"/>
      <c r="AN487" s="47"/>
      <c r="AP487" s="47"/>
      <c r="AQ487" s="47"/>
      <c r="AS487" s="250"/>
      <c r="AT487" s="67"/>
      <c r="AU487" s="67"/>
    </row>
    <row r="488" spans="2:47" s="25" customFormat="1" ht="12.75" customHeight="1" x14ac:dyDescent="0.3">
      <c r="B488" s="47"/>
      <c r="C488" s="47"/>
      <c r="D488" s="47"/>
      <c r="E488" s="47"/>
      <c r="F488" s="47"/>
      <c r="G488" s="47"/>
      <c r="H488" s="47"/>
      <c r="I488" s="107"/>
      <c r="K488" s="245"/>
      <c r="M488" s="246"/>
      <c r="N488" s="247"/>
      <c r="O488" s="248"/>
      <c r="Q488" s="249"/>
      <c r="R488" s="47"/>
      <c r="S488" s="47"/>
      <c r="T488" s="47"/>
      <c r="U488" s="47"/>
      <c r="V488" s="47"/>
      <c r="X488" s="180"/>
      <c r="Y488" s="47"/>
      <c r="Z488" s="47"/>
      <c r="AA488" s="47"/>
      <c r="AB488" s="52"/>
      <c r="AC488" s="52"/>
      <c r="AD488" s="52"/>
      <c r="AE488" s="52"/>
      <c r="AG488" s="103"/>
      <c r="AH488" s="111"/>
      <c r="AI488" s="111"/>
      <c r="AJ488" s="47"/>
      <c r="AL488" s="47"/>
      <c r="AM488" s="47"/>
      <c r="AN488" s="47"/>
      <c r="AP488" s="47"/>
      <c r="AQ488" s="47"/>
      <c r="AS488" s="250"/>
      <c r="AT488" s="67"/>
      <c r="AU488" s="67"/>
    </row>
    <row r="489" spans="2:47" s="25" customFormat="1" ht="12.75" customHeight="1" x14ac:dyDescent="0.3">
      <c r="B489" s="47"/>
      <c r="C489" s="47"/>
      <c r="D489" s="47"/>
      <c r="E489" s="47"/>
      <c r="F489" s="47"/>
      <c r="G489" s="47"/>
      <c r="H489" s="47"/>
      <c r="I489" s="107"/>
      <c r="K489" s="245"/>
      <c r="M489" s="246"/>
      <c r="N489" s="247"/>
      <c r="O489" s="248"/>
      <c r="Q489" s="249"/>
      <c r="R489" s="47"/>
      <c r="S489" s="47"/>
      <c r="T489" s="47"/>
      <c r="U489" s="47"/>
      <c r="V489" s="47"/>
      <c r="X489" s="180"/>
      <c r="Y489" s="47"/>
      <c r="Z489" s="47"/>
      <c r="AA489" s="47"/>
      <c r="AB489" s="52"/>
      <c r="AC489" s="52"/>
      <c r="AD489" s="52"/>
      <c r="AE489" s="52"/>
      <c r="AG489" s="103"/>
      <c r="AH489" s="111"/>
      <c r="AI489" s="111"/>
      <c r="AJ489" s="47"/>
      <c r="AL489" s="47"/>
      <c r="AM489" s="47"/>
      <c r="AN489" s="47"/>
      <c r="AP489" s="47"/>
      <c r="AQ489" s="47"/>
      <c r="AS489" s="250"/>
      <c r="AT489" s="67"/>
      <c r="AU489" s="67"/>
    </row>
    <row r="490" spans="2:47" s="25" customFormat="1" ht="12.75" customHeight="1" x14ac:dyDescent="0.3">
      <c r="B490" s="47"/>
      <c r="C490" s="47"/>
      <c r="D490" s="47"/>
      <c r="E490" s="47"/>
      <c r="F490" s="47"/>
      <c r="G490" s="47"/>
      <c r="H490" s="47"/>
      <c r="I490" s="107"/>
      <c r="K490" s="245"/>
      <c r="M490" s="246"/>
      <c r="N490" s="247"/>
      <c r="O490" s="248"/>
      <c r="Q490" s="249"/>
      <c r="R490" s="47"/>
      <c r="S490" s="47"/>
      <c r="T490" s="47"/>
      <c r="U490" s="47"/>
      <c r="V490" s="47"/>
      <c r="X490" s="180"/>
      <c r="Y490" s="47"/>
      <c r="Z490" s="47"/>
      <c r="AA490" s="47"/>
      <c r="AB490" s="52"/>
      <c r="AC490" s="52"/>
      <c r="AD490" s="52"/>
      <c r="AE490" s="52"/>
      <c r="AG490" s="103"/>
      <c r="AH490" s="111"/>
      <c r="AI490" s="111"/>
      <c r="AJ490" s="47"/>
      <c r="AL490" s="47"/>
      <c r="AM490" s="47"/>
      <c r="AN490" s="47"/>
      <c r="AP490" s="47"/>
      <c r="AQ490" s="47"/>
      <c r="AS490" s="250"/>
      <c r="AT490" s="67"/>
      <c r="AU490" s="67"/>
    </row>
    <row r="491" spans="2:47" s="25" customFormat="1" ht="12.75" customHeight="1" x14ac:dyDescent="0.3">
      <c r="B491" s="47"/>
      <c r="C491" s="47"/>
      <c r="D491" s="47"/>
      <c r="E491" s="47"/>
      <c r="F491" s="47"/>
      <c r="G491" s="47"/>
      <c r="H491" s="47"/>
      <c r="I491" s="107"/>
      <c r="K491" s="245"/>
      <c r="M491" s="246"/>
      <c r="N491" s="247"/>
      <c r="O491" s="248"/>
      <c r="Q491" s="249"/>
      <c r="R491" s="47"/>
      <c r="S491" s="47"/>
      <c r="T491" s="47"/>
      <c r="U491" s="47"/>
      <c r="V491" s="47"/>
      <c r="X491" s="180"/>
      <c r="Y491" s="47"/>
      <c r="Z491" s="47"/>
      <c r="AA491" s="47"/>
      <c r="AB491" s="52"/>
      <c r="AC491" s="52"/>
      <c r="AD491" s="52"/>
      <c r="AE491" s="52"/>
      <c r="AG491" s="103"/>
      <c r="AH491" s="111"/>
      <c r="AI491" s="111"/>
      <c r="AJ491" s="47"/>
      <c r="AL491" s="47"/>
      <c r="AM491" s="47"/>
      <c r="AN491" s="47"/>
      <c r="AP491" s="47"/>
      <c r="AQ491" s="47"/>
      <c r="AS491" s="250"/>
      <c r="AT491" s="67"/>
      <c r="AU491" s="67"/>
    </row>
    <row r="492" spans="2:47" s="25" customFormat="1" ht="12.75" customHeight="1" x14ac:dyDescent="0.3">
      <c r="B492" s="47"/>
      <c r="C492" s="47"/>
      <c r="D492" s="47"/>
      <c r="E492" s="47"/>
      <c r="F492" s="47"/>
      <c r="G492" s="47"/>
      <c r="H492" s="47"/>
      <c r="I492" s="107"/>
      <c r="K492" s="245"/>
      <c r="M492" s="246"/>
      <c r="N492" s="247"/>
      <c r="O492" s="248"/>
      <c r="Q492" s="249"/>
      <c r="R492" s="47"/>
      <c r="S492" s="47"/>
      <c r="T492" s="47"/>
      <c r="U492" s="47"/>
      <c r="V492" s="47"/>
      <c r="X492" s="180"/>
      <c r="Y492" s="47"/>
      <c r="Z492" s="47"/>
      <c r="AA492" s="47"/>
      <c r="AB492" s="52"/>
      <c r="AC492" s="52"/>
      <c r="AD492" s="52"/>
      <c r="AE492" s="52"/>
      <c r="AG492" s="103"/>
      <c r="AH492" s="111"/>
      <c r="AI492" s="111"/>
      <c r="AJ492" s="47"/>
      <c r="AL492" s="47"/>
      <c r="AM492" s="47"/>
      <c r="AN492" s="47"/>
      <c r="AP492" s="47"/>
      <c r="AQ492" s="47"/>
      <c r="AS492" s="250"/>
      <c r="AT492" s="67"/>
      <c r="AU492" s="67"/>
    </row>
    <row r="493" spans="2:47" s="25" customFormat="1" ht="12.75" customHeight="1" x14ac:dyDescent="0.3">
      <c r="B493" s="47"/>
      <c r="C493" s="47"/>
      <c r="D493" s="47"/>
      <c r="E493" s="47"/>
      <c r="F493" s="47"/>
      <c r="G493" s="47"/>
      <c r="H493" s="47"/>
      <c r="I493" s="107"/>
      <c r="K493" s="245"/>
      <c r="M493" s="246"/>
      <c r="N493" s="247"/>
      <c r="O493" s="248"/>
      <c r="Q493" s="249"/>
      <c r="R493" s="47"/>
      <c r="S493" s="47"/>
      <c r="T493" s="47"/>
      <c r="U493" s="47"/>
      <c r="V493" s="47"/>
      <c r="X493" s="180"/>
      <c r="Y493" s="47"/>
      <c r="Z493" s="47"/>
      <c r="AA493" s="47"/>
      <c r="AB493" s="52"/>
      <c r="AC493" s="52"/>
      <c r="AD493" s="52"/>
      <c r="AE493" s="52"/>
      <c r="AG493" s="103"/>
      <c r="AH493" s="111"/>
      <c r="AI493" s="111"/>
      <c r="AJ493" s="47"/>
      <c r="AL493" s="47"/>
      <c r="AM493" s="47"/>
      <c r="AN493" s="47"/>
      <c r="AP493" s="47"/>
      <c r="AQ493" s="47"/>
      <c r="AS493" s="250"/>
      <c r="AT493" s="67"/>
      <c r="AU493" s="67"/>
    </row>
    <row r="494" spans="2:47" s="25" customFormat="1" ht="12.75" customHeight="1" x14ac:dyDescent="0.3">
      <c r="B494" s="47"/>
      <c r="C494" s="47"/>
      <c r="D494" s="47"/>
      <c r="E494" s="47"/>
      <c r="F494" s="47"/>
      <c r="G494" s="47"/>
      <c r="H494" s="47"/>
      <c r="I494" s="107"/>
      <c r="K494" s="245"/>
      <c r="M494" s="246"/>
      <c r="N494" s="247"/>
      <c r="O494" s="248"/>
      <c r="Q494" s="249"/>
      <c r="R494" s="47"/>
      <c r="S494" s="47"/>
      <c r="T494" s="47"/>
      <c r="U494" s="47"/>
      <c r="V494" s="47"/>
      <c r="X494" s="180"/>
      <c r="Y494" s="47"/>
      <c r="Z494" s="47"/>
      <c r="AA494" s="47"/>
      <c r="AB494" s="52"/>
      <c r="AC494" s="52"/>
      <c r="AD494" s="52"/>
      <c r="AE494" s="52"/>
      <c r="AG494" s="103"/>
      <c r="AH494" s="111"/>
      <c r="AI494" s="111"/>
      <c r="AJ494" s="47"/>
      <c r="AL494" s="47"/>
      <c r="AM494" s="47"/>
      <c r="AN494" s="47"/>
      <c r="AP494" s="47"/>
      <c r="AQ494" s="47"/>
      <c r="AS494" s="250"/>
      <c r="AT494" s="67"/>
      <c r="AU494" s="67"/>
    </row>
    <row r="495" spans="2:47" s="25" customFormat="1" ht="12.75" customHeight="1" x14ac:dyDescent="0.3">
      <c r="B495" s="47"/>
      <c r="C495" s="47"/>
      <c r="D495" s="47"/>
      <c r="E495" s="47"/>
      <c r="F495" s="47"/>
      <c r="G495" s="47"/>
      <c r="H495" s="47"/>
      <c r="I495" s="107"/>
      <c r="K495" s="245"/>
      <c r="M495" s="246"/>
      <c r="N495" s="247"/>
      <c r="O495" s="248"/>
      <c r="Q495" s="249"/>
      <c r="R495" s="47"/>
      <c r="S495" s="47"/>
      <c r="T495" s="47"/>
      <c r="U495" s="47"/>
      <c r="V495" s="47"/>
      <c r="X495" s="180"/>
      <c r="Y495" s="47"/>
      <c r="Z495" s="47"/>
      <c r="AA495" s="47"/>
      <c r="AB495" s="52"/>
      <c r="AC495" s="52"/>
      <c r="AD495" s="52"/>
      <c r="AE495" s="52"/>
      <c r="AG495" s="103"/>
      <c r="AH495" s="111"/>
      <c r="AI495" s="111"/>
      <c r="AJ495" s="47"/>
      <c r="AL495" s="47"/>
      <c r="AM495" s="47"/>
      <c r="AN495" s="47"/>
      <c r="AP495" s="47"/>
      <c r="AQ495" s="47"/>
      <c r="AS495" s="250"/>
      <c r="AT495" s="67"/>
      <c r="AU495" s="67"/>
    </row>
    <row r="496" spans="2:47" ht="12.75" customHeight="1" x14ac:dyDescent="0.3">
      <c r="I496" s="5"/>
      <c r="AG496" s="68"/>
      <c r="AT496" s="65"/>
      <c r="AU496" s="65"/>
    </row>
    <row r="497" spans="9:33" ht="12.75" customHeight="1" x14ac:dyDescent="0.3">
      <c r="I497" s="5"/>
      <c r="AG497" s="68"/>
    </row>
    <row r="498" spans="9:33" ht="12.75" customHeight="1" x14ac:dyDescent="0.3">
      <c r="I498" s="5"/>
      <c r="AG498" s="68"/>
    </row>
    <row r="499" spans="9:33" ht="12.75" customHeight="1" x14ac:dyDescent="0.3">
      <c r="I499" s="5"/>
      <c r="AG499" s="68"/>
    </row>
    <row r="500" spans="9:33" ht="12.75" customHeight="1" x14ac:dyDescent="0.3">
      <c r="I500" s="5"/>
      <c r="AG500" s="68"/>
    </row>
    <row r="501" spans="9:33" ht="12.75" customHeight="1" x14ac:dyDescent="0.3">
      <c r="I501" s="5"/>
      <c r="AG501" s="68"/>
    </row>
    <row r="502" spans="9:33" ht="12.75" customHeight="1" x14ac:dyDescent="0.3">
      <c r="I502" s="5"/>
      <c r="AG502" s="68"/>
    </row>
    <row r="503" spans="9:33" ht="12.75" customHeight="1" x14ac:dyDescent="0.3">
      <c r="I503" s="5"/>
      <c r="AG503" s="68"/>
    </row>
    <row r="504" spans="9:33" ht="12.75" customHeight="1" x14ac:dyDescent="0.3">
      <c r="I504" s="5"/>
      <c r="AG504" s="68"/>
    </row>
    <row r="505" spans="9:33" ht="12.75" customHeight="1" x14ac:dyDescent="0.3">
      <c r="I505" s="5"/>
      <c r="AG505" s="68"/>
    </row>
    <row r="506" spans="9:33" ht="12.75" customHeight="1" x14ac:dyDescent="0.3">
      <c r="I506" s="5"/>
      <c r="AG506" s="68"/>
    </row>
    <row r="507" spans="9:33" ht="12.75" customHeight="1" x14ac:dyDescent="0.3">
      <c r="I507" s="5"/>
      <c r="AG507" s="68"/>
    </row>
    <row r="508" spans="9:33" ht="12.75" customHeight="1" x14ac:dyDescent="0.3">
      <c r="I508" s="5"/>
      <c r="AG508" s="68"/>
    </row>
    <row r="509" spans="9:33" ht="12.75" customHeight="1" x14ac:dyDescent="0.3">
      <c r="I509" s="5"/>
      <c r="AG509" s="68"/>
    </row>
    <row r="510" spans="9:33" ht="12.75" customHeight="1" x14ac:dyDescent="0.3">
      <c r="I510" s="5"/>
      <c r="AG510" s="68"/>
    </row>
    <row r="511" spans="9:33" ht="12.75" customHeight="1" x14ac:dyDescent="0.3">
      <c r="I511" s="5"/>
      <c r="AG511" s="68"/>
    </row>
    <row r="512" spans="9:33" ht="12.75" customHeight="1" x14ac:dyDescent="0.3">
      <c r="I512" s="5"/>
      <c r="AG512" s="68"/>
    </row>
    <row r="513" spans="9:33" ht="12.75" customHeight="1" x14ac:dyDescent="0.3">
      <c r="I513" s="5"/>
      <c r="AG513" s="68"/>
    </row>
    <row r="514" spans="9:33" ht="12.75" customHeight="1" x14ac:dyDescent="0.3">
      <c r="I514" s="5"/>
      <c r="AG514" s="68"/>
    </row>
    <row r="515" spans="9:33" ht="12.75" customHeight="1" x14ac:dyDescent="0.3">
      <c r="I515" s="5"/>
      <c r="AG515" s="68"/>
    </row>
    <row r="516" spans="9:33" ht="12.75" customHeight="1" x14ac:dyDescent="0.3">
      <c r="I516" s="5"/>
      <c r="AG516" s="68"/>
    </row>
    <row r="517" spans="9:33" ht="12.75" customHeight="1" x14ac:dyDescent="0.3">
      <c r="I517" s="5"/>
      <c r="AG517" s="68"/>
    </row>
    <row r="518" spans="9:33" ht="12.75" customHeight="1" x14ac:dyDescent="0.3">
      <c r="I518" s="5"/>
      <c r="AG518" s="68"/>
    </row>
    <row r="519" spans="9:33" ht="12.75" customHeight="1" x14ac:dyDescent="0.3">
      <c r="I519" s="5"/>
      <c r="AG519" s="68"/>
    </row>
    <row r="520" spans="9:33" ht="12.75" customHeight="1" x14ac:dyDescent="0.3">
      <c r="I520" s="5"/>
      <c r="AG520" s="68"/>
    </row>
    <row r="521" spans="9:33" ht="12.75" customHeight="1" x14ac:dyDescent="0.3">
      <c r="I521" s="5"/>
      <c r="AG521" s="68"/>
    </row>
    <row r="522" spans="9:33" ht="12.75" customHeight="1" x14ac:dyDescent="0.3">
      <c r="I522" s="5"/>
      <c r="AG522" s="68"/>
    </row>
    <row r="523" spans="9:33" ht="12.75" customHeight="1" x14ac:dyDescent="0.3">
      <c r="I523" s="5"/>
      <c r="AG523" s="68"/>
    </row>
    <row r="524" spans="9:33" ht="12.75" customHeight="1" x14ac:dyDescent="0.3">
      <c r="I524" s="5"/>
      <c r="AG524" s="68"/>
    </row>
    <row r="525" spans="9:33" ht="12.75" customHeight="1" x14ac:dyDescent="0.3">
      <c r="I525" s="5"/>
      <c r="AG525" s="68"/>
    </row>
    <row r="526" spans="9:33" ht="12.75" customHeight="1" x14ac:dyDescent="0.3">
      <c r="I526" s="5"/>
      <c r="AG526" s="68"/>
    </row>
    <row r="527" spans="9:33" ht="12.75" customHeight="1" x14ac:dyDescent="0.3">
      <c r="I527" s="5"/>
      <c r="AG527" s="68"/>
    </row>
    <row r="528" spans="9:33" ht="12.75" customHeight="1" x14ac:dyDescent="0.3">
      <c r="I528" s="5"/>
      <c r="AG528" s="68"/>
    </row>
    <row r="529" spans="9:33" ht="12.75" customHeight="1" x14ac:dyDescent="0.3">
      <c r="I529" s="5"/>
      <c r="AG529" s="68"/>
    </row>
    <row r="530" spans="9:33" ht="12.75" customHeight="1" x14ac:dyDescent="0.3">
      <c r="I530" s="5"/>
      <c r="AG530" s="68"/>
    </row>
    <row r="531" spans="9:33" ht="12.75" customHeight="1" x14ac:dyDescent="0.3">
      <c r="I531" s="5"/>
      <c r="AG531" s="68"/>
    </row>
    <row r="532" spans="9:33" ht="12.75" customHeight="1" x14ac:dyDescent="0.3">
      <c r="I532" s="5"/>
      <c r="AG532" s="68"/>
    </row>
    <row r="533" spans="9:33" ht="12.75" customHeight="1" x14ac:dyDescent="0.3">
      <c r="I533" s="5"/>
      <c r="AG533" s="68"/>
    </row>
    <row r="534" spans="9:33" ht="12.75" customHeight="1" x14ac:dyDescent="0.3">
      <c r="I534" s="5"/>
      <c r="AG534" s="68"/>
    </row>
    <row r="535" spans="9:33" ht="12.75" customHeight="1" x14ac:dyDescent="0.3">
      <c r="I535" s="5"/>
      <c r="AG535" s="68"/>
    </row>
    <row r="536" spans="9:33" ht="12.75" customHeight="1" x14ac:dyDescent="0.3">
      <c r="I536" s="5"/>
      <c r="AG536" s="68"/>
    </row>
    <row r="537" spans="9:33" ht="12.75" customHeight="1" x14ac:dyDescent="0.3">
      <c r="I537" s="5"/>
      <c r="AG537" s="68"/>
    </row>
    <row r="538" spans="9:33" ht="12.75" customHeight="1" x14ac:dyDescent="0.3">
      <c r="I538" s="5"/>
      <c r="AG538" s="68"/>
    </row>
    <row r="539" spans="9:33" ht="12.75" customHeight="1" x14ac:dyDescent="0.3">
      <c r="I539" s="5"/>
      <c r="AG539" s="68"/>
    </row>
    <row r="540" spans="9:33" ht="12.75" customHeight="1" x14ac:dyDescent="0.3">
      <c r="I540" s="5"/>
      <c r="AG540" s="68"/>
    </row>
    <row r="541" spans="9:33" ht="12.75" customHeight="1" x14ac:dyDescent="0.3">
      <c r="I541" s="5"/>
      <c r="AG541" s="68"/>
    </row>
    <row r="542" spans="9:33" ht="12.75" customHeight="1" x14ac:dyDescent="0.3">
      <c r="I542" s="5"/>
      <c r="AG542" s="68"/>
    </row>
    <row r="543" spans="9:33" ht="12.75" customHeight="1" x14ac:dyDescent="0.3">
      <c r="I543" s="5"/>
      <c r="AG543" s="68"/>
    </row>
    <row r="544" spans="9:33" ht="12.75" customHeight="1" x14ac:dyDescent="0.3">
      <c r="I544" s="5"/>
      <c r="AG544" s="68"/>
    </row>
    <row r="545" spans="9:33" ht="12.75" customHeight="1" x14ac:dyDescent="0.3">
      <c r="I545" s="5"/>
      <c r="AG545" s="68"/>
    </row>
    <row r="546" spans="9:33" ht="12.75" customHeight="1" x14ac:dyDescent="0.3">
      <c r="I546" s="5"/>
      <c r="AG546" s="68"/>
    </row>
    <row r="547" spans="9:33" ht="12.75" customHeight="1" x14ac:dyDescent="0.3">
      <c r="I547" s="5"/>
      <c r="AG547" s="68"/>
    </row>
    <row r="548" spans="9:33" ht="12.75" customHeight="1" x14ac:dyDescent="0.3">
      <c r="I548" s="5"/>
      <c r="AG548" s="68"/>
    </row>
    <row r="549" spans="9:33" ht="12.75" customHeight="1" x14ac:dyDescent="0.3">
      <c r="I549" s="5"/>
      <c r="AG549" s="68"/>
    </row>
    <row r="550" spans="9:33" ht="12.75" customHeight="1" x14ac:dyDescent="0.3">
      <c r="I550" s="5"/>
      <c r="AG550" s="68"/>
    </row>
    <row r="551" spans="9:33" ht="12.75" customHeight="1" x14ac:dyDescent="0.3">
      <c r="I551" s="5"/>
      <c r="AG551" s="68"/>
    </row>
    <row r="552" spans="9:33" ht="12.75" customHeight="1" x14ac:dyDescent="0.3">
      <c r="I552" s="5"/>
      <c r="AG552" s="68"/>
    </row>
    <row r="553" spans="9:33" ht="12.75" customHeight="1" x14ac:dyDescent="0.3">
      <c r="I553" s="5"/>
      <c r="AG553" s="68"/>
    </row>
    <row r="554" spans="9:33" ht="12.75" customHeight="1" x14ac:dyDescent="0.3">
      <c r="I554" s="5"/>
      <c r="AG554" s="68"/>
    </row>
    <row r="555" spans="9:33" ht="12.75" customHeight="1" x14ac:dyDescent="0.3">
      <c r="I555" s="5"/>
      <c r="AG555" s="68"/>
    </row>
    <row r="556" spans="9:33" ht="12.75" customHeight="1" x14ac:dyDescent="0.3">
      <c r="I556" s="5"/>
      <c r="AG556" s="68"/>
    </row>
    <row r="557" spans="9:33" ht="12.75" customHeight="1" x14ac:dyDescent="0.3">
      <c r="I557" s="5"/>
      <c r="AG557" s="68"/>
    </row>
    <row r="558" spans="9:33" ht="12.75" customHeight="1" x14ac:dyDescent="0.3">
      <c r="I558" s="5"/>
      <c r="AG558" s="68"/>
    </row>
    <row r="559" spans="9:33" ht="12.75" customHeight="1" x14ac:dyDescent="0.3">
      <c r="I559" s="5"/>
      <c r="AG559" s="68"/>
    </row>
    <row r="560" spans="9:33" ht="12.75" customHeight="1" x14ac:dyDescent="0.3">
      <c r="I560" s="5"/>
      <c r="AG560" s="68"/>
    </row>
    <row r="561" spans="9:33" ht="12.75" customHeight="1" x14ac:dyDescent="0.3">
      <c r="I561" s="5"/>
      <c r="AG561" s="68"/>
    </row>
    <row r="562" spans="9:33" ht="12.75" customHeight="1" x14ac:dyDescent="0.3">
      <c r="I562" s="5"/>
      <c r="AG562" s="68"/>
    </row>
    <row r="563" spans="9:33" ht="12.75" customHeight="1" x14ac:dyDescent="0.3">
      <c r="I563" s="5"/>
      <c r="AG563" s="68"/>
    </row>
    <row r="564" spans="9:33" ht="12.75" customHeight="1" x14ac:dyDescent="0.3">
      <c r="I564" s="5"/>
      <c r="AG564" s="68"/>
    </row>
    <row r="565" spans="9:33" ht="12.75" customHeight="1" x14ac:dyDescent="0.3">
      <c r="I565" s="5"/>
      <c r="AG565" s="68"/>
    </row>
    <row r="566" spans="9:33" ht="12.75" customHeight="1" x14ac:dyDescent="0.3">
      <c r="I566" s="5"/>
      <c r="AG566" s="68"/>
    </row>
    <row r="567" spans="9:33" ht="12.75" customHeight="1" x14ac:dyDescent="0.3">
      <c r="I567" s="5"/>
      <c r="AG567" s="68"/>
    </row>
    <row r="568" spans="9:33" ht="12.75" customHeight="1" x14ac:dyDescent="0.3">
      <c r="I568" s="5"/>
      <c r="AG568" s="68"/>
    </row>
    <row r="569" spans="9:33" ht="12.75" customHeight="1" x14ac:dyDescent="0.3">
      <c r="I569" s="5"/>
      <c r="AG569" s="68"/>
    </row>
    <row r="570" spans="9:33" ht="12.75" customHeight="1" x14ac:dyDescent="0.3">
      <c r="I570" s="5"/>
      <c r="AG570" s="68"/>
    </row>
    <row r="571" spans="9:33" ht="12.75" customHeight="1" x14ac:dyDescent="0.3">
      <c r="I571" s="5"/>
      <c r="AG571" s="68"/>
    </row>
    <row r="572" spans="9:33" ht="12.75" customHeight="1" x14ac:dyDescent="0.3">
      <c r="I572" s="5"/>
      <c r="AG572" s="68"/>
    </row>
    <row r="573" spans="9:33" ht="12.75" customHeight="1" x14ac:dyDescent="0.3">
      <c r="I573" s="5"/>
      <c r="AG573" s="68"/>
    </row>
    <row r="574" spans="9:33" ht="12.75" customHeight="1" x14ac:dyDescent="0.3">
      <c r="I574" s="5"/>
      <c r="AG574" s="68"/>
    </row>
    <row r="575" spans="9:33" ht="12.75" customHeight="1" x14ac:dyDescent="0.3">
      <c r="I575" s="5"/>
      <c r="AG575" s="68"/>
    </row>
    <row r="576" spans="9:33" ht="12.75" customHeight="1" x14ac:dyDescent="0.3">
      <c r="I576" s="5"/>
      <c r="AG576" s="68"/>
    </row>
    <row r="577" spans="9:33" ht="12.75" customHeight="1" x14ac:dyDescent="0.3">
      <c r="I577" s="5"/>
      <c r="AG577" s="68"/>
    </row>
    <row r="578" spans="9:33" ht="12.75" customHeight="1" x14ac:dyDescent="0.3">
      <c r="I578" s="5"/>
      <c r="AG578" s="68"/>
    </row>
    <row r="579" spans="9:33" ht="12.75" customHeight="1" x14ac:dyDescent="0.3">
      <c r="I579" s="5"/>
      <c r="AG579" s="68"/>
    </row>
    <row r="580" spans="9:33" ht="12.75" customHeight="1" x14ac:dyDescent="0.3">
      <c r="I580" s="5"/>
      <c r="AG580" s="68"/>
    </row>
    <row r="581" spans="9:33" ht="12.75" customHeight="1" x14ac:dyDescent="0.3">
      <c r="I581" s="5"/>
      <c r="AG581" s="68"/>
    </row>
    <row r="582" spans="9:33" ht="12.75" customHeight="1" x14ac:dyDescent="0.3">
      <c r="I582" s="5"/>
      <c r="AG582" s="68"/>
    </row>
    <row r="583" spans="9:33" ht="12.75" customHeight="1" x14ac:dyDescent="0.3">
      <c r="I583" s="5"/>
      <c r="AG583" s="68"/>
    </row>
    <row r="584" spans="9:33" ht="12.75" customHeight="1" x14ac:dyDescent="0.3">
      <c r="I584" s="5"/>
      <c r="AG584" s="68"/>
    </row>
    <row r="585" spans="9:33" ht="12.75" customHeight="1" x14ac:dyDescent="0.3">
      <c r="I585" s="5"/>
      <c r="AG585" s="68"/>
    </row>
    <row r="586" spans="9:33" ht="12.75" customHeight="1" x14ac:dyDescent="0.3">
      <c r="I586" s="5"/>
      <c r="AG586" s="68"/>
    </row>
    <row r="587" spans="9:33" ht="12.75" customHeight="1" x14ac:dyDescent="0.3">
      <c r="I587" s="5"/>
      <c r="AG587" s="68"/>
    </row>
    <row r="588" spans="9:33" ht="12.75" customHeight="1" x14ac:dyDescent="0.3">
      <c r="I588" s="5"/>
      <c r="AG588" s="68"/>
    </row>
    <row r="589" spans="9:33" ht="12.75" customHeight="1" x14ac:dyDescent="0.3">
      <c r="I589" s="5"/>
      <c r="AG589" s="68"/>
    </row>
    <row r="590" spans="9:33" ht="12.75" customHeight="1" x14ac:dyDescent="0.3">
      <c r="I590" s="5"/>
      <c r="AG590" s="68"/>
    </row>
    <row r="591" spans="9:33" ht="12.75" customHeight="1" x14ac:dyDescent="0.3">
      <c r="I591" s="5"/>
      <c r="AG591" s="68"/>
    </row>
    <row r="592" spans="9:33" ht="12.75" customHeight="1" x14ac:dyDescent="0.3">
      <c r="I592" s="5"/>
      <c r="AG592" s="68"/>
    </row>
    <row r="593" spans="9:33" ht="12.75" customHeight="1" x14ac:dyDescent="0.3">
      <c r="I593" s="5"/>
      <c r="AG593" s="68"/>
    </row>
    <row r="594" spans="9:33" ht="12.75" customHeight="1" x14ac:dyDescent="0.3">
      <c r="I594" s="5"/>
      <c r="AG594" s="68"/>
    </row>
    <row r="595" spans="9:33" ht="12.75" customHeight="1" x14ac:dyDescent="0.3">
      <c r="I595" s="5"/>
      <c r="AG595" s="68"/>
    </row>
    <row r="596" spans="9:33" ht="12.75" customHeight="1" x14ac:dyDescent="0.3">
      <c r="I596" s="5"/>
      <c r="AG596" s="68"/>
    </row>
    <row r="597" spans="9:33" ht="12.75" customHeight="1" x14ac:dyDescent="0.3">
      <c r="I597" s="5"/>
      <c r="AG597" s="68"/>
    </row>
    <row r="598" spans="9:33" ht="12.75" customHeight="1" x14ac:dyDescent="0.3">
      <c r="I598" s="5"/>
      <c r="AG598" s="68"/>
    </row>
    <row r="599" spans="9:33" ht="12.75" customHeight="1" x14ac:dyDescent="0.3">
      <c r="I599" s="5"/>
      <c r="AG599" s="68"/>
    </row>
    <row r="600" spans="9:33" ht="12.75" customHeight="1" x14ac:dyDescent="0.3">
      <c r="I600" s="5"/>
      <c r="AG600" s="68"/>
    </row>
    <row r="601" spans="9:33" ht="12.75" customHeight="1" x14ac:dyDescent="0.3">
      <c r="I601" s="5"/>
      <c r="AG601" s="68"/>
    </row>
    <row r="602" spans="9:33" ht="12.75" customHeight="1" x14ac:dyDescent="0.3">
      <c r="I602" s="5"/>
      <c r="AG602" s="68"/>
    </row>
    <row r="603" spans="9:33" ht="12.75" customHeight="1" x14ac:dyDescent="0.3">
      <c r="I603" s="5"/>
      <c r="AG603" s="68"/>
    </row>
    <row r="604" spans="9:33" ht="12.75" customHeight="1" x14ac:dyDescent="0.3">
      <c r="I604" s="5"/>
      <c r="AG604" s="68"/>
    </row>
    <row r="605" spans="9:33" ht="12.75" customHeight="1" x14ac:dyDescent="0.3">
      <c r="I605" s="5"/>
      <c r="AG605" s="68"/>
    </row>
    <row r="606" spans="9:33" ht="12.75" customHeight="1" x14ac:dyDescent="0.3">
      <c r="I606" s="5"/>
      <c r="AG606" s="68"/>
    </row>
    <row r="607" spans="9:33" ht="12.75" customHeight="1" x14ac:dyDescent="0.3">
      <c r="I607" s="5"/>
      <c r="AG607" s="68"/>
    </row>
    <row r="608" spans="9:33" ht="12.75" customHeight="1" x14ac:dyDescent="0.3">
      <c r="I608" s="5"/>
      <c r="AG608" s="68"/>
    </row>
    <row r="609" spans="9:33" ht="12.75" customHeight="1" x14ac:dyDescent="0.3">
      <c r="I609" s="5"/>
      <c r="AG609" s="68"/>
    </row>
    <row r="610" spans="9:33" ht="12.75" customHeight="1" x14ac:dyDescent="0.3">
      <c r="I610" s="5"/>
      <c r="AG610" s="68"/>
    </row>
    <row r="611" spans="9:33" ht="12.75" customHeight="1" x14ac:dyDescent="0.3">
      <c r="I611" s="5"/>
      <c r="AG611" s="68"/>
    </row>
    <row r="612" spans="9:33" ht="12.75" customHeight="1" x14ac:dyDescent="0.3">
      <c r="I612" s="5"/>
      <c r="AG612" s="68"/>
    </row>
    <row r="613" spans="9:33" ht="12.75" customHeight="1" x14ac:dyDescent="0.3">
      <c r="I613" s="5"/>
      <c r="AG613" s="68"/>
    </row>
    <row r="614" spans="9:33" ht="12.75" customHeight="1" x14ac:dyDescent="0.3">
      <c r="I614" s="5"/>
      <c r="AG614" s="68"/>
    </row>
    <row r="615" spans="9:33" ht="12.75" customHeight="1" x14ac:dyDescent="0.3">
      <c r="I615" s="5"/>
      <c r="AG615" s="68"/>
    </row>
    <row r="616" spans="9:33" ht="12.75" customHeight="1" x14ac:dyDescent="0.3">
      <c r="I616" s="5"/>
      <c r="AG616" s="68"/>
    </row>
    <row r="617" spans="9:33" ht="12.75" customHeight="1" x14ac:dyDescent="0.3">
      <c r="I617" s="5"/>
      <c r="AG617" s="68"/>
    </row>
    <row r="618" spans="9:33" ht="12.75" customHeight="1" x14ac:dyDescent="0.3">
      <c r="I618" s="5"/>
      <c r="AG618" s="68"/>
    </row>
    <row r="619" spans="9:33" ht="12.75" customHeight="1" x14ac:dyDescent="0.3">
      <c r="I619" s="5"/>
      <c r="AG619" s="68"/>
    </row>
    <row r="620" spans="9:33" ht="12.75" customHeight="1" x14ac:dyDescent="0.3">
      <c r="I620" s="5"/>
      <c r="AG620" s="68"/>
    </row>
    <row r="621" spans="9:33" ht="12.75" customHeight="1" x14ac:dyDescent="0.3">
      <c r="I621" s="5"/>
      <c r="AG621" s="68"/>
    </row>
    <row r="622" spans="9:33" ht="12.75" customHeight="1" x14ac:dyDescent="0.3">
      <c r="I622" s="5"/>
      <c r="AG622" s="68"/>
    </row>
    <row r="623" spans="9:33" ht="12.75" customHeight="1" x14ac:dyDescent="0.3">
      <c r="I623" s="5"/>
      <c r="AG623" s="68"/>
    </row>
    <row r="624" spans="9:33" ht="12.75" customHeight="1" x14ac:dyDescent="0.3">
      <c r="I624" s="5"/>
      <c r="AG624" s="68"/>
    </row>
    <row r="625" spans="9:33" ht="12.75" customHeight="1" x14ac:dyDescent="0.3">
      <c r="I625" s="5"/>
      <c r="AG625" s="68"/>
    </row>
    <row r="626" spans="9:33" ht="12.75" customHeight="1" x14ac:dyDescent="0.3">
      <c r="I626" s="5"/>
      <c r="AG626" s="68"/>
    </row>
    <row r="627" spans="9:33" ht="12.75" customHeight="1" x14ac:dyDescent="0.3">
      <c r="I627" s="5"/>
      <c r="AG627" s="68"/>
    </row>
    <row r="628" spans="9:33" ht="12.75" customHeight="1" x14ac:dyDescent="0.3">
      <c r="I628" s="5"/>
      <c r="AG628" s="68"/>
    </row>
    <row r="629" spans="9:33" ht="12.75" customHeight="1" x14ac:dyDescent="0.3">
      <c r="I629" s="5"/>
      <c r="AG629" s="68"/>
    </row>
    <row r="630" spans="9:33" ht="12.75" customHeight="1" x14ac:dyDescent="0.3">
      <c r="I630" s="5"/>
      <c r="AG630" s="68"/>
    </row>
    <row r="631" spans="9:33" ht="12.75" customHeight="1" x14ac:dyDescent="0.3">
      <c r="I631" s="5"/>
      <c r="AG631" s="68"/>
    </row>
    <row r="632" spans="9:33" ht="12.75" customHeight="1" x14ac:dyDescent="0.3">
      <c r="I632" s="5"/>
      <c r="AG632" s="68"/>
    </row>
    <row r="633" spans="9:33" ht="12.75" customHeight="1" x14ac:dyDescent="0.3">
      <c r="I633" s="5"/>
      <c r="AG633" s="68"/>
    </row>
    <row r="634" spans="9:33" ht="12.75" customHeight="1" x14ac:dyDescent="0.3">
      <c r="I634" s="5"/>
      <c r="AG634" s="68"/>
    </row>
    <row r="635" spans="9:33" ht="12.75" customHeight="1" x14ac:dyDescent="0.3">
      <c r="I635" s="5"/>
      <c r="AG635" s="68"/>
    </row>
    <row r="636" spans="9:33" ht="12.75" customHeight="1" x14ac:dyDescent="0.3">
      <c r="I636" s="5"/>
      <c r="AG636" s="68"/>
    </row>
    <row r="637" spans="9:33" ht="12.75" customHeight="1" x14ac:dyDescent="0.3">
      <c r="I637" s="5"/>
      <c r="AG637" s="68"/>
    </row>
    <row r="638" spans="9:33" ht="12.75" customHeight="1" x14ac:dyDescent="0.3">
      <c r="I638" s="5"/>
      <c r="AG638" s="68"/>
    </row>
    <row r="639" spans="9:33" ht="12.75" customHeight="1" x14ac:dyDescent="0.3">
      <c r="I639" s="5"/>
      <c r="AG639" s="68"/>
    </row>
    <row r="640" spans="9:33" ht="12.75" customHeight="1" x14ac:dyDescent="0.3">
      <c r="I640" s="5"/>
      <c r="AG640" s="68"/>
    </row>
    <row r="641" spans="9:33" ht="12.75" customHeight="1" x14ac:dyDescent="0.3">
      <c r="I641" s="5"/>
      <c r="AG641" s="68"/>
    </row>
    <row r="642" spans="9:33" ht="12.75" customHeight="1" x14ac:dyDescent="0.3">
      <c r="I642" s="5"/>
      <c r="AG642" s="68"/>
    </row>
    <row r="643" spans="9:33" ht="12.75" customHeight="1" x14ac:dyDescent="0.3">
      <c r="I643" s="5"/>
      <c r="AG643" s="68"/>
    </row>
    <row r="644" spans="9:33" ht="12.75" customHeight="1" x14ac:dyDescent="0.3">
      <c r="I644" s="5"/>
      <c r="AG644" s="68"/>
    </row>
    <row r="645" spans="9:33" ht="12.75" customHeight="1" x14ac:dyDescent="0.3">
      <c r="I645" s="5"/>
      <c r="AG645" s="68"/>
    </row>
    <row r="646" spans="9:33" ht="12.75" customHeight="1" x14ac:dyDescent="0.3">
      <c r="I646" s="5"/>
      <c r="AG646" s="68"/>
    </row>
    <row r="647" spans="9:33" ht="12.75" customHeight="1" x14ac:dyDescent="0.3">
      <c r="I647" s="5"/>
      <c r="AG647" s="68"/>
    </row>
    <row r="648" spans="9:33" ht="12.75" customHeight="1" x14ac:dyDescent="0.3">
      <c r="I648" s="5"/>
      <c r="AG648" s="68"/>
    </row>
    <row r="649" spans="9:33" ht="12.75" customHeight="1" x14ac:dyDescent="0.3">
      <c r="I649" s="5"/>
      <c r="AG649" s="68"/>
    </row>
    <row r="650" spans="9:33" ht="12.75" customHeight="1" x14ac:dyDescent="0.3">
      <c r="I650" s="5"/>
      <c r="AG650" s="68"/>
    </row>
    <row r="651" spans="9:33" ht="12.75" customHeight="1" x14ac:dyDescent="0.3">
      <c r="I651" s="5"/>
      <c r="AG651" s="68"/>
    </row>
    <row r="652" spans="9:33" ht="12.75" customHeight="1" x14ac:dyDescent="0.3">
      <c r="I652" s="5"/>
      <c r="AG652" s="68"/>
    </row>
    <row r="653" spans="9:33" ht="12.75" customHeight="1" x14ac:dyDescent="0.3">
      <c r="I653" s="5"/>
      <c r="AG653" s="68"/>
    </row>
    <row r="654" spans="9:33" ht="12.75" customHeight="1" x14ac:dyDescent="0.3">
      <c r="I654" s="5"/>
      <c r="AG654" s="68"/>
    </row>
    <row r="655" spans="9:33" ht="12.75" customHeight="1" x14ac:dyDescent="0.3">
      <c r="I655" s="5"/>
      <c r="AG655" s="68"/>
    </row>
    <row r="656" spans="9:33" ht="12.75" customHeight="1" x14ac:dyDescent="0.3">
      <c r="I656" s="5"/>
      <c r="AG656" s="68"/>
    </row>
    <row r="657" spans="9:33" ht="12.75" customHeight="1" x14ac:dyDescent="0.3">
      <c r="I657" s="5"/>
      <c r="AG657" s="68"/>
    </row>
    <row r="658" spans="9:33" ht="12.75" customHeight="1" x14ac:dyDescent="0.3">
      <c r="I658" s="5"/>
      <c r="AG658" s="68"/>
    </row>
    <row r="659" spans="9:33" ht="12.75" customHeight="1" x14ac:dyDescent="0.3">
      <c r="I659" s="5"/>
      <c r="AG659" s="68"/>
    </row>
    <row r="660" spans="9:33" ht="12.75" customHeight="1" x14ac:dyDescent="0.3">
      <c r="I660" s="5"/>
      <c r="AG660" s="68"/>
    </row>
    <row r="661" spans="9:33" ht="12.75" customHeight="1" x14ac:dyDescent="0.3">
      <c r="I661" s="5"/>
      <c r="AG661" s="68"/>
    </row>
    <row r="662" spans="9:33" ht="12.75" customHeight="1" x14ac:dyDescent="0.3">
      <c r="I662" s="5"/>
      <c r="AG662" s="68"/>
    </row>
    <row r="663" spans="9:33" ht="12.75" customHeight="1" x14ac:dyDescent="0.3">
      <c r="I663" s="5"/>
      <c r="AG663" s="68"/>
    </row>
    <row r="664" spans="9:33" ht="12.75" customHeight="1" x14ac:dyDescent="0.3">
      <c r="I664" s="5"/>
      <c r="AG664" s="68"/>
    </row>
    <row r="665" spans="9:33" ht="12.75" customHeight="1" x14ac:dyDescent="0.3">
      <c r="I665" s="5"/>
      <c r="AG665" s="68"/>
    </row>
    <row r="666" spans="9:33" ht="12.75" customHeight="1" x14ac:dyDescent="0.3">
      <c r="I666" s="5"/>
      <c r="AG666" s="68"/>
    </row>
    <row r="667" spans="9:33" ht="12.75" customHeight="1" x14ac:dyDescent="0.3">
      <c r="I667" s="5"/>
      <c r="AG667" s="68"/>
    </row>
    <row r="668" spans="9:33" ht="12.75" customHeight="1" x14ac:dyDescent="0.3">
      <c r="I668" s="5"/>
      <c r="AG668" s="68"/>
    </row>
    <row r="669" spans="9:33" ht="12.75" customHeight="1" x14ac:dyDescent="0.3">
      <c r="I669" s="5"/>
      <c r="AG669" s="68"/>
    </row>
    <row r="670" spans="9:33" ht="12.75" customHeight="1" x14ac:dyDescent="0.3">
      <c r="I670" s="5"/>
      <c r="AG670" s="68"/>
    </row>
    <row r="671" spans="9:33" ht="12.75" customHeight="1" x14ac:dyDescent="0.3">
      <c r="I671" s="5"/>
      <c r="AG671" s="68"/>
    </row>
    <row r="672" spans="9:33" ht="12.75" customHeight="1" x14ac:dyDescent="0.3">
      <c r="I672" s="5"/>
      <c r="AG672" s="68"/>
    </row>
    <row r="673" spans="9:33" ht="12.75" customHeight="1" x14ac:dyDescent="0.3">
      <c r="I673" s="5"/>
      <c r="AG673" s="68"/>
    </row>
    <row r="674" spans="9:33" ht="12.75" customHeight="1" x14ac:dyDescent="0.3">
      <c r="I674" s="5"/>
      <c r="AG674" s="68"/>
    </row>
    <row r="675" spans="9:33" ht="12.75" customHeight="1" x14ac:dyDescent="0.3">
      <c r="I675" s="5"/>
      <c r="AG675" s="68"/>
    </row>
    <row r="676" spans="9:33" ht="12.75" customHeight="1" x14ac:dyDescent="0.3">
      <c r="I676" s="5"/>
      <c r="AG676" s="68"/>
    </row>
    <row r="677" spans="9:33" ht="12.75" customHeight="1" x14ac:dyDescent="0.3">
      <c r="I677" s="5"/>
      <c r="AG677" s="68"/>
    </row>
    <row r="678" spans="9:33" ht="12.75" customHeight="1" x14ac:dyDescent="0.3">
      <c r="I678" s="5"/>
      <c r="AG678" s="68"/>
    </row>
    <row r="679" spans="9:33" ht="12.75" customHeight="1" x14ac:dyDescent="0.3">
      <c r="I679" s="5"/>
      <c r="AG679" s="68"/>
    </row>
    <row r="680" spans="9:33" ht="12.75" customHeight="1" x14ac:dyDescent="0.3">
      <c r="I680" s="5"/>
      <c r="AG680" s="68"/>
    </row>
    <row r="681" spans="9:33" ht="12.75" customHeight="1" x14ac:dyDescent="0.3">
      <c r="I681" s="5"/>
      <c r="AG681" s="68"/>
    </row>
    <row r="682" spans="9:33" ht="12.75" customHeight="1" x14ac:dyDescent="0.3">
      <c r="I682" s="5"/>
      <c r="AG682" s="68"/>
    </row>
    <row r="683" spans="9:33" ht="12.75" customHeight="1" x14ac:dyDescent="0.3">
      <c r="I683" s="5"/>
      <c r="AG683" s="68"/>
    </row>
    <row r="684" spans="9:33" ht="12.75" customHeight="1" x14ac:dyDescent="0.3">
      <c r="I684" s="5"/>
      <c r="AG684" s="68"/>
    </row>
    <row r="685" spans="9:33" ht="12.75" customHeight="1" x14ac:dyDescent="0.3">
      <c r="I685" s="5"/>
      <c r="AG685" s="68"/>
    </row>
    <row r="686" spans="9:33" ht="12.75" customHeight="1" x14ac:dyDescent="0.3">
      <c r="I686" s="5"/>
      <c r="AG686" s="68"/>
    </row>
    <row r="687" spans="9:33" ht="12.75" customHeight="1" x14ac:dyDescent="0.3">
      <c r="I687" s="5"/>
      <c r="AG687" s="68"/>
    </row>
    <row r="688" spans="9:33" ht="12.75" customHeight="1" x14ac:dyDescent="0.3">
      <c r="I688" s="5"/>
      <c r="AG688" s="68"/>
    </row>
    <row r="689" spans="9:33" ht="12.75" customHeight="1" x14ac:dyDescent="0.3">
      <c r="I689" s="5"/>
      <c r="AG689" s="68"/>
    </row>
    <row r="690" spans="9:33" ht="12.75" customHeight="1" x14ac:dyDescent="0.3">
      <c r="I690" s="5"/>
      <c r="AG690" s="68"/>
    </row>
    <row r="691" spans="9:33" ht="12.75" customHeight="1" x14ac:dyDescent="0.3">
      <c r="I691" s="5"/>
      <c r="AG691" s="68"/>
    </row>
    <row r="692" spans="9:33" ht="12.75" customHeight="1" x14ac:dyDescent="0.3">
      <c r="I692" s="5"/>
      <c r="AG692" s="68"/>
    </row>
    <row r="693" spans="9:33" ht="12.75" customHeight="1" x14ac:dyDescent="0.3">
      <c r="I693" s="5"/>
      <c r="AG693" s="68"/>
    </row>
    <row r="694" spans="9:33" ht="12.75" customHeight="1" x14ac:dyDescent="0.3">
      <c r="I694" s="5"/>
      <c r="AG694" s="68"/>
    </row>
    <row r="695" spans="9:33" ht="12.75" customHeight="1" x14ac:dyDescent="0.3">
      <c r="I695" s="5"/>
      <c r="AG695" s="68"/>
    </row>
    <row r="696" spans="9:33" ht="12.75" customHeight="1" x14ac:dyDescent="0.3">
      <c r="I696" s="5"/>
      <c r="AG696" s="68"/>
    </row>
    <row r="697" spans="9:33" ht="12.75" customHeight="1" x14ac:dyDescent="0.3">
      <c r="I697" s="5"/>
      <c r="AG697" s="68"/>
    </row>
    <row r="698" spans="9:33" ht="12.75" customHeight="1" x14ac:dyDescent="0.3">
      <c r="I698" s="5"/>
      <c r="AG698" s="68"/>
    </row>
    <row r="699" spans="9:33" ht="12.75" customHeight="1" x14ac:dyDescent="0.3">
      <c r="I699" s="5"/>
      <c r="AG699" s="68"/>
    </row>
    <row r="700" spans="9:33" ht="12.75" customHeight="1" x14ac:dyDescent="0.3">
      <c r="I700" s="5"/>
      <c r="AG700" s="68"/>
    </row>
    <row r="701" spans="9:33" ht="12.75" customHeight="1" x14ac:dyDescent="0.3">
      <c r="I701" s="5"/>
      <c r="AG701" s="68"/>
    </row>
    <row r="702" spans="9:33" ht="12.75" customHeight="1" x14ac:dyDescent="0.3">
      <c r="I702" s="5"/>
      <c r="AG702" s="68"/>
    </row>
    <row r="703" spans="9:33" ht="12.75" customHeight="1" x14ac:dyDescent="0.3">
      <c r="I703" s="5"/>
      <c r="AG703" s="68"/>
    </row>
    <row r="704" spans="9:33" ht="12.75" customHeight="1" x14ac:dyDescent="0.3">
      <c r="I704" s="5"/>
      <c r="AG704" s="68"/>
    </row>
    <row r="705" spans="9:33" ht="12.75" customHeight="1" x14ac:dyDescent="0.3">
      <c r="I705" s="5"/>
      <c r="AG705" s="68"/>
    </row>
    <row r="706" spans="9:33" ht="12.75" customHeight="1" x14ac:dyDescent="0.3">
      <c r="I706" s="5"/>
      <c r="AG706" s="68"/>
    </row>
    <row r="707" spans="9:33" ht="12.75" customHeight="1" x14ac:dyDescent="0.3">
      <c r="I707" s="5"/>
      <c r="AG707" s="68"/>
    </row>
    <row r="708" spans="9:33" ht="12.75" customHeight="1" x14ac:dyDescent="0.3">
      <c r="I708" s="5"/>
      <c r="AG708" s="68"/>
    </row>
    <row r="709" spans="9:33" ht="12.75" customHeight="1" x14ac:dyDescent="0.3">
      <c r="I709" s="5"/>
      <c r="AG709" s="68"/>
    </row>
    <row r="710" spans="9:33" ht="12.75" customHeight="1" x14ac:dyDescent="0.3">
      <c r="I710" s="5"/>
      <c r="AG710" s="68"/>
    </row>
    <row r="711" spans="9:33" ht="12.75" customHeight="1" x14ac:dyDescent="0.3">
      <c r="I711" s="5"/>
      <c r="AG711" s="68"/>
    </row>
    <row r="712" spans="9:33" ht="12.75" customHeight="1" x14ac:dyDescent="0.3">
      <c r="I712" s="5"/>
      <c r="AG712" s="68"/>
    </row>
    <row r="713" spans="9:33" ht="12.75" customHeight="1" x14ac:dyDescent="0.3">
      <c r="I713" s="5"/>
      <c r="AG713" s="68"/>
    </row>
    <row r="714" spans="9:33" ht="12.75" customHeight="1" x14ac:dyDescent="0.3">
      <c r="I714" s="5"/>
      <c r="AG714" s="68"/>
    </row>
    <row r="715" spans="9:33" ht="12.75" customHeight="1" x14ac:dyDescent="0.3">
      <c r="I715" s="5"/>
      <c r="AG715" s="68"/>
    </row>
    <row r="716" spans="9:33" ht="12.75" customHeight="1" x14ac:dyDescent="0.3">
      <c r="I716" s="5"/>
      <c r="AG716" s="68"/>
    </row>
    <row r="717" spans="9:33" ht="12.75" customHeight="1" x14ac:dyDescent="0.3">
      <c r="I717" s="5"/>
      <c r="AG717" s="68"/>
    </row>
    <row r="718" spans="9:33" ht="12.75" customHeight="1" x14ac:dyDescent="0.3">
      <c r="I718" s="5"/>
      <c r="AG718" s="68"/>
    </row>
    <row r="719" spans="9:33" ht="12.75" customHeight="1" x14ac:dyDescent="0.3">
      <c r="I719" s="5"/>
      <c r="AG719" s="68"/>
    </row>
    <row r="720" spans="9:33" ht="12.75" customHeight="1" x14ac:dyDescent="0.3">
      <c r="I720" s="5"/>
      <c r="AG720" s="68"/>
    </row>
    <row r="721" spans="9:33" ht="12.75" customHeight="1" x14ac:dyDescent="0.3">
      <c r="I721" s="5"/>
      <c r="AG721" s="68"/>
    </row>
    <row r="722" spans="9:33" ht="12.75" customHeight="1" x14ac:dyDescent="0.3">
      <c r="I722" s="5"/>
      <c r="AG722" s="68"/>
    </row>
    <row r="723" spans="9:33" ht="12.75" customHeight="1" x14ac:dyDescent="0.3">
      <c r="I723" s="5"/>
      <c r="AG723" s="68"/>
    </row>
    <row r="724" spans="9:33" ht="12.75" customHeight="1" x14ac:dyDescent="0.3">
      <c r="I724" s="5"/>
      <c r="AG724" s="68"/>
    </row>
    <row r="725" spans="9:33" ht="12.75" customHeight="1" x14ac:dyDescent="0.3">
      <c r="I725" s="5"/>
      <c r="AG725" s="68"/>
    </row>
    <row r="726" spans="9:33" ht="12.75" customHeight="1" x14ac:dyDescent="0.3">
      <c r="I726" s="5"/>
      <c r="AG726" s="68"/>
    </row>
    <row r="727" spans="9:33" ht="12.75" customHeight="1" x14ac:dyDescent="0.3">
      <c r="I727" s="5"/>
      <c r="AG727" s="68"/>
    </row>
    <row r="728" spans="9:33" ht="12.75" customHeight="1" x14ac:dyDescent="0.3">
      <c r="I728" s="5"/>
      <c r="AG728" s="68"/>
    </row>
    <row r="729" spans="9:33" ht="12.75" customHeight="1" x14ac:dyDescent="0.3">
      <c r="I729" s="5"/>
      <c r="AG729" s="68"/>
    </row>
    <row r="730" spans="9:33" ht="12.75" customHeight="1" x14ac:dyDescent="0.3">
      <c r="I730" s="5"/>
      <c r="AG730" s="68"/>
    </row>
    <row r="731" spans="9:33" ht="12.75" customHeight="1" x14ac:dyDescent="0.3">
      <c r="I731" s="5"/>
      <c r="AG731" s="68"/>
    </row>
    <row r="732" spans="9:33" ht="12.75" customHeight="1" x14ac:dyDescent="0.3">
      <c r="I732" s="5"/>
      <c r="AG732" s="68"/>
    </row>
    <row r="733" spans="9:33" ht="12.75" customHeight="1" x14ac:dyDescent="0.3">
      <c r="I733" s="5"/>
      <c r="AG733" s="68"/>
    </row>
    <row r="734" spans="9:33" ht="12.75" customHeight="1" x14ac:dyDescent="0.3">
      <c r="I734" s="5"/>
      <c r="AG734" s="68"/>
    </row>
    <row r="735" spans="9:33" ht="12.75" customHeight="1" x14ac:dyDescent="0.3">
      <c r="I735" s="5"/>
      <c r="AG735" s="68"/>
    </row>
    <row r="736" spans="9:33" ht="12.75" customHeight="1" x14ac:dyDescent="0.3">
      <c r="I736" s="5"/>
      <c r="AG736" s="68"/>
    </row>
    <row r="737" spans="9:33" ht="12.75" customHeight="1" x14ac:dyDescent="0.3">
      <c r="I737" s="5"/>
      <c r="AG737" s="68"/>
    </row>
    <row r="738" spans="9:33" ht="12.75" customHeight="1" x14ac:dyDescent="0.3">
      <c r="I738" s="5"/>
      <c r="AG738" s="68"/>
    </row>
    <row r="739" spans="9:33" ht="12.75" customHeight="1" x14ac:dyDescent="0.3">
      <c r="I739" s="5"/>
      <c r="AG739" s="68"/>
    </row>
    <row r="740" spans="9:33" ht="12.75" customHeight="1" x14ac:dyDescent="0.3">
      <c r="I740" s="5"/>
      <c r="AG740" s="68"/>
    </row>
    <row r="741" spans="9:33" ht="12.75" customHeight="1" x14ac:dyDescent="0.3">
      <c r="I741" s="5"/>
      <c r="AG741" s="68"/>
    </row>
    <row r="742" spans="9:33" ht="12.75" customHeight="1" x14ac:dyDescent="0.3">
      <c r="I742" s="5"/>
      <c r="AG742" s="68"/>
    </row>
    <row r="743" spans="9:33" ht="12.75" customHeight="1" x14ac:dyDescent="0.3">
      <c r="I743" s="5"/>
      <c r="AG743" s="68"/>
    </row>
    <row r="744" spans="9:33" ht="12.75" customHeight="1" x14ac:dyDescent="0.3">
      <c r="I744" s="5"/>
      <c r="AG744" s="68"/>
    </row>
    <row r="745" spans="9:33" ht="12.75" customHeight="1" x14ac:dyDescent="0.3">
      <c r="I745" s="5"/>
      <c r="AG745" s="68"/>
    </row>
    <row r="746" spans="9:33" ht="12.75" customHeight="1" x14ac:dyDescent="0.3">
      <c r="I746" s="5"/>
      <c r="AG746" s="68"/>
    </row>
    <row r="747" spans="9:33" ht="12.75" customHeight="1" x14ac:dyDescent="0.3">
      <c r="I747" s="5"/>
      <c r="AG747" s="68"/>
    </row>
    <row r="748" spans="9:33" ht="12.75" customHeight="1" x14ac:dyDescent="0.3">
      <c r="I748" s="5"/>
      <c r="AG748" s="68"/>
    </row>
    <row r="749" spans="9:33" ht="12.75" customHeight="1" x14ac:dyDescent="0.3">
      <c r="I749" s="5"/>
      <c r="AG749" s="68"/>
    </row>
    <row r="750" spans="9:33" ht="12.75" customHeight="1" x14ac:dyDescent="0.3">
      <c r="I750" s="5"/>
      <c r="AG750" s="68"/>
    </row>
    <row r="751" spans="9:33" ht="12.75" customHeight="1" x14ac:dyDescent="0.3">
      <c r="I751" s="5"/>
      <c r="AG751" s="68"/>
    </row>
    <row r="752" spans="9:33" ht="12.75" customHeight="1" x14ac:dyDescent="0.3">
      <c r="I752" s="5"/>
      <c r="AG752" s="68"/>
    </row>
    <row r="753" spans="9:33" ht="12.75" customHeight="1" x14ac:dyDescent="0.3">
      <c r="I753" s="5"/>
      <c r="AG753" s="68"/>
    </row>
    <row r="754" spans="9:33" ht="12.75" customHeight="1" x14ac:dyDescent="0.3">
      <c r="I754" s="5"/>
      <c r="AG754" s="68"/>
    </row>
    <row r="755" spans="9:33" ht="12.75" customHeight="1" x14ac:dyDescent="0.3">
      <c r="I755" s="5"/>
      <c r="AG755" s="68"/>
    </row>
    <row r="756" spans="9:33" ht="12.75" customHeight="1" x14ac:dyDescent="0.3">
      <c r="I756" s="5"/>
      <c r="AG756" s="68"/>
    </row>
    <row r="757" spans="9:33" ht="12.75" customHeight="1" x14ac:dyDescent="0.3">
      <c r="I757" s="5"/>
      <c r="AG757" s="68"/>
    </row>
    <row r="758" spans="9:33" ht="12.75" customHeight="1" x14ac:dyDescent="0.3">
      <c r="I758" s="5"/>
      <c r="AG758" s="68"/>
    </row>
    <row r="759" spans="9:33" ht="12.75" customHeight="1" x14ac:dyDescent="0.3">
      <c r="I759" s="5"/>
      <c r="AG759" s="68"/>
    </row>
    <row r="760" spans="9:33" ht="12.75" customHeight="1" x14ac:dyDescent="0.3">
      <c r="I760" s="5"/>
      <c r="AG760" s="68"/>
    </row>
    <row r="761" spans="9:33" ht="12.75" customHeight="1" x14ac:dyDescent="0.3">
      <c r="I761" s="5"/>
      <c r="AG761" s="68"/>
    </row>
    <row r="762" spans="9:33" ht="12.75" customHeight="1" x14ac:dyDescent="0.3">
      <c r="I762" s="5"/>
      <c r="AG762" s="68"/>
    </row>
    <row r="763" spans="9:33" ht="12.75" customHeight="1" x14ac:dyDescent="0.3">
      <c r="I763" s="5"/>
      <c r="AG763" s="68"/>
    </row>
    <row r="764" spans="9:33" ht="12.75" customHeight="1" x14ac:dyDescent="0.3">
      <c r="I764" s="5"/>
      <c r="AG764" s="68"/>
    </row>
    <row r="765" spans="9:33" ht="12.75" customHeight="1" x14ac:dyDescent="0.3">
      <c r="I765" s="5"/>
      <c r="AG765" s="68"/>
    </row>
    <row r="766" spans="9:33" ht="12.75" customHeight="1" x14ac:dyDescent="0.3">
      <c r="I766" s="5"/>
      <c r="AG766" s="68"/>
    </row>
    <row r="767" spans="9:33" ht="12.75" customHeight="1" x14ac:dyDescent="0.3">
      <c r="I767" s="5"/>
      <c r="AG767" s="68"/>
    </row>
    <row r="768" spans="9:33" ht="12.75" customHeight="1" x14ac:dyDescent="0.3">
      <c r="I768" s="5"/>
      <c r="AG768" s="68"/>
    </row>
    <row r="769" spans="9:33" ht="12.75" customHeight="1" x14ac:dyDescent="0.3">
      <c r="I769" s="5"/>
      <c r="AG769" s="68"/>
    </row>
    <row r="770" spans="9:33" ht="12.75" customHeight="1" x14ac:dyDescent="0.3">
      <c r="I770" s="5"/>
      <c r="AG770" s="68"/>
    </row>
    <row r="771" spans="9:33" ht="12.75" customHeight="1" x14ac:dyDescent="0.3">
      <c r="I771" s="5"/>
      <c r="AG771" s="68"/>
    </row>
    <row r="772" spans="9:33" ht="12.75" customHeight="1" x14ac:dyDescent="0.3">
      <c r="I772" s="5"/>
      <c r="AG772" s="68"/>
    </row>
    <row r="773" spans="9:33" ht="12.75" customHeight="1" x14ac:dyDescent="0.3">
      <c r="I773" s="5"/>
      <c r="AG773" s="68"/>
    </row>
    <row r="774" spans="9:33" ht="12.75" customHeight="1" x14ac:dyDescent="0.3">
      <c r="I774" s="5"/>
      <c r="AG774" s="68"/>
    </row>
    <row r="775" spans="9:33" ht="12.75" customHeight="1" x14ac:dyDescent="0.3">
      <c r="I775" s="5"/>
      <c r="AG775" s="68"/>
    </row>
    <row r="776" spans="9:33" ht="12.75" customHeight="1" x14ac:dyDescent="0.3">
      <c r="I776" s="5"/>
      <c r="AG776" s="68"/>
    </row>
    <row r="777" spans="9:33" ht="12.75" customHeight="1" x14ac:dyDescent="0.3">
      <c r="I777" s="5"/>
      <c r="AG777" s="68"/>
    </row>
    <row r="778" spans="9:33" ht="12.75" customHeight="1" x14ac:dyDescent="0.3">
      <c r="I778" s="5"/>
      <c r="AG778" s="68"/>
    </row>
    <row r="779" spans="9:33" ht="12.75" customHeight="1" x14ac:dyDescent="0.3">
      <c r="I779" s="5"/>
      <c r="AG779" s="68"/>
    </row>
    <row r="780" spans="9:33" ht="12.75" customHeight="1" x14ac:dyDescent="0.3">
      <c r="I780" s="5"/>
      <c r="AG780" s="68"/>
    </row>
    <row r="781" spans="9:33" ht="12.75" customHeight="1" x14ac:dyDescent="0.3">
      <c r="I781" s="5"/>
      <c r="AG781" s="68"/>
    </row>
    <row r="782" spans="9:33" ht="12.75" customHeight="1" x14ac:dyDescent="0.3">
      <c r="I782" s="5"/>
      <c r="AG782" s="68"/>
    </row>
    <row r="783" spans="9:33" ht="12.75" customHeight="1" x14ac:dyDescent="0.3">
      <c r="I783" s="5"/>
      <c r="AG783" s="68"/>
    </row>
    <row r="784" spans="9:33" ht="12.75" customHeight="1" x14ac:dyDescent="0.3">
      <c r="I784" s="5"/>
      <c r="AG784" s="68"/>
    </row>
    <row r="785" spans="9:33" ht="12.75" customHeight="1" x14ac:dyDescent="0.3">
      <c r="I785" s="5"/>
      <c r="AG785" s="68"/>
    </row>
    <row r="786" spans="9:33" ht="12.75" customHeight="1" x14ac:dyDescent="0.3">
      <c r="I786" s="5"/>
      <c r="AG786" s="68"/>
    </row>
    <row r="787" spans="9:33" ht="12.75" customHeight="1" x14ac:dyDescent="0.3">
      <c r="I787" s="5"/>
      <c r="AG787" s="68"/>
    </row>
    <row r="788" spans="9:33" ht="12.75" customHeight="1" x14ac:dyDescent="0.3">
      <c r="I788" s="5"/>
      <c r="AG788" s="68"/>
    </row>
    <row r="789" spans="9:33" ht="12.75" customHeight="1" x14ac:dyDescent="0.3">
      <c r="I789" s="5"/>
      <c r="AG789" s="68"/>
    </row>
    <row r="790" spans="9:33" ht="12.75" customHeight="1" x14ac:dyDescent="0.3">
      <c r="I790" s="5"/>
      <c r="AG790" s="68"/>
    </row>
    <row r="791" spans="9:33" ht="12.75" customHeight="1" x14ac:dyDescent="0.3">
      <c r="I791" s="5"/>
      <c r="AG791" s="68"/>
    </row>
    <row r="792" spans="9:33" ht="12.75" customHeight="1" x14ac:dyDescent="0.3">
      <c r="I792" s="5"/>
      <c r="AG792" s="68"/>
    </row>
    <row r="793" spans="9:33" ht="12.75" customHeight="1" x14ac:dyDescent="0.3">
      <c r="I793" s="5"/>
      <c r="AG793" s="68"/>
    </row>
    <row r="794" spans="9:33" ht="12.75" customHeight="1" x14ac:dyDescent="0.3">
      <c r="I794" s="5"/>
      <c r="AG794" s="68"/>
    </row>
    <row r="795" spans="9:33" ht="12.75" customHeight="1" x14ac:dyDescent="0.3">
      <c r="I795" s="5"/>
      <c r="AG795" s="68"/>
    </row>
    <row r="796" spans="9:33" ht="12.75" customHeight="1" x14ac:dyDescent="0.3">
      <c r="I796" s="5"/>
      <c r="AG796" s="68"/>
    </row>
    <row r="797" spans="9:33" ht="12.75" customHeight="1" x14ac:dyDescent="0.3">
      <c r="I797" s="5"/>
      <c r="AG797" s="68"/>
    </row>
    <row r="798" spans="9:33" ht="12.75" customHeight="1" x14ac:dyDescent="0.3">
      <c r="I798" s="5"/>
      <c r="AG798" s="68"/>
    </row>
    <row r="799" spans="9:33" ht="12.75" customHeight="1" x14ac:dyDescent="0.3">
      <c r="I799" s="5"/>
      <c r="AG799" s="68"/>
    </row>
    <row r="800" spans="9:33" ht="12.75" customHeight="1" x14ac:dyDescent="0.3">
      <c r="I800" s="5"/>
      <c r="AG800" s="68"/>
    </row>
    <row r="801" spans="9:33" ht="12.75" customHeight="1" x14ac:dyDescent="0.3">
      <c r="I801" s="5"/>
      <c r="AG801" s="68"/>
    </row>
    <row r="802" spans="9:33" ht="12.75" customHeight="1" x14ac:dyDescent="0.3">
      <c r="I802" s="5"/>
      <c r="AG802" s="68"/>
    </row>
    <row r="803" spans="9:33" ht="12.75" customHeight="1" x14ac:dyDescent="0.3">
      <c r="I803" s="5"/>
      <c r="AG803" s="68"/>
    </row>
    <row r="804" spans="9:33" ht="12.75" customHeight="1" x14ac:dyDescent="0.3">
      <c r="I804" s="5"/>
      <c r="AG804" s="68"/>
    </row>
    <row r="805" spans="9:33" ht="12.75" customHeight="1" x14ac:dyDescent="0.3">
      <c r="I805" s="5"/>
      <c r="AG805" s="68"/>
    </row>
    <row r="806" spans="9:33" ht="12.75" customHeight="1" x14ac:dyDescent="0.3">
      <c r="I806" s="5"/>
      <c r="AG806" s="68"/>
    </row>
    <row r="807" spans="9:33" ht="12.75" customHeight="1" x14ac:dyDescent="0.3">
      <c r="I807" s="5"/>
      <c r="AG807" s="68"/>
    </row>
    <row r="808" spans="9:33" ht="12.75" customHeight="1" x14ac:dyDescent="0.3">
      <c r="I808" s="5"/>
      <c r="AG808" s="68"/>
    </row>
    <row r="809" spans="9:33" ht="12.75" customHeight="1" x14ac:dyDescent="0.3">
      <c r="I809" s="5"/>
      <c r="AG809" s="68"/>
    </row>
    <row r="810" spans="9:33" ht="12.75" customHeight="1" x14ac:dyDescent="0.3">
      <c r="I810" s="5"/>
      <c r="AG810" s="68"/>
    </row>
    <row r="811" spans="9:33" ht="12.75" customHeight="1" x14ac:dyDescent="0.3">
      <c r="I811" s="5"/>
      <c r="AG811" s="68"/>
    </row>
    <row r="812" spans="9:33" ht="12.75" customHeight="1" x14ac:dyDescent="0.3">
      <c r="I812" s="5"/>
      <c r="AG812" s="68"/>
    </row>
    <row r="813" spans="9:33" ht="12.75" customHeight="1" x14ac:dyDescent="0.3">
      <c r="I813" s="5"/>
      <c r="AG813" s="68"/>
    </row>
    <row r="814" spans="9:33" ht="12.75" customHeight="1" x14ac:dyDescent="0.3">
      <c r="I814" s="5"/>
      <c r="AG814" s="68"/>
    </row>
    <row r="815" spans="9:33" ht="12.75" customHeight="1" x14ac:dyDescent="0.3">
      <c r="I815" s="5"/>
      <c r="AG815" s="68"/>
    </row>
    <row r="816" spans="9:33" ht="12.75" customHeight="1" x14ac:dyDescent="0.3">
      <c r="I816" s="5"/>
      <c r="AG816" s="68"/>
    </row>
    <row r="817" spans="9:33" ht="12.75" customHeight="1" x14ac:dyDescent="0.3">
      <c r="I817" s="5"/>
      <c r="AG817" s="68"/>
    </row>
    <row r="818" spans="9:33" ht="12.75" customHeight="1" x14ac:dyDescent="0.3">
      <c r="I818" s="5"/>
      <c r="AG818" s="68"/>
    </row>
    <row r="819" spans="9:33" ht="12.75" customHeight="1" x14ac:dyDescent="0.3">
      <c r="I819" s="5"/>
      <c r="AG819" s="68"/>
    </row>
    <row r="820" spans="9:33" ht="12.75" customHeight="1" x14ac:dyDescent="0.3">
      <c r="I820" s="5"/>
      <c r="AG820" s="68"/>
    </row>
    <row r="821" spans="9:33" ht="12.75" customHeight="1" x14ac:dyDescent="0.3">
      <c r="I821" s="5"/>
      <c r="AG821" s="68"/>
    </row>
    <row r="822" spans="9:33" ht="12.75" customHeight="1" x14ac:dyDescent="0.3">
      <c r="I822" s="5"/>
      <c r="AG822" s="68"/>
    </row>
    <row r="823" spans="9:33" ht="12.75" customHeight="1" x14ac:dyDescent="0.3">
      <c r="I823" s="5"/>
      <c r="AG823" s="68"/>
    </row>
    <row r="824" spans="9:33" ht="12.75" customHeight="1" x14ac:dyDescent="0.3">
      <c r="I824" s="5"/>
      <c r="AG824" s="68"/>
    </row>
    <row r="825" spans="9:33" ht="12.75" customHeight="1" x14ac:dyDescent="0.3">
      <c r="I825" s="5"/>
      <c r="AG825" s="68"/>
    </row>
    <row r="826" spans="9:33" ht="12.75" customHeight="1" x14ac:dyDescent="0.3">
      <c r="I826" s="5"/>
      <c r="AG826" s="68"/>
    </row>
    <row r="827" spans="9:33" ht="12.75" customHeight="1" x14ac:dyDescent="0.3">
      <c r="I827" s="5"/>
      <c r="AG827" s="68"/>
    </row>
    <row r="828" spans="9:33" ht="12.75" customHeight="1" x14ac:dyDescent="0.3">
      <c r="I828" s="5"/>
      <c r="AG828" s="68"/>
    </row>
    <row r="829" spans="9:33" ht="12.75" customHeight="1" x14ac:dyDescent="0.3">
      <c r="I829" s="5"/>
      <c r="AG829" s="68"/>
    </row>
    <row r="830" spans="9:33" ht="12.75" customHeight="1" x14ac:dyDescent="0.3">
      <c r="I830" s="5"/>
      <c r="AG830" s="68"/>
    </row>
    <row r="831" spans="9:33" ht="12.75" customHeight="1" x14ac:dyDescent="0.3">
      <c r="I831" s="5"/>
      <c r="AG831" s="68"/>
    </row>
    <row r="832" spans="9:33" ht="12.75" customHeight="1" x14ac:dyDescent="0.3">
      <c r="I832" s="5"/>
      <c r="AG832" s="68"/>
    </row>
    <row r="833" spans="9:33" ht="12.75" customHeight="1" x14ac:dyDescent="0.3">
      <c r="I833" s="5"/>
      <c r="AG833" s="68"/>
    </row>
    <row r="834" spans="9:33" ht="12.75" customHeight="1" x14ac:dyDescent="0.3">
      <c r="I834" s="5"/>
      <c r="AG834" s="68"/>
    </row>
    <row r="835" spans="9:33" ht="12.75" customHeight="1" x14ac:dyDescent="0.3">
      <c r="I835" s="5"/>
      <c r="AG835" s="68"/>
    </row>
    <row r="836" spans="9:33" ht="12.75" customHeight="1" x14ac:dyDescent="0.3">
      <c r="I836" s="5"/>
      <c r="AG836" s="68"/>
    </row>
    <row r="837" spans="9:33" ht="12.75" customHeight="1" x14ac:dyDescent="0.3">
      <c r="I837" s="5"/>
      <c r="AG837" s="68"/>
    </row>
    <row r="838" spans="9:33" ht="12.75" customHeight="1" x14ac:dyDescent="0.3">
      <c r="I838" s="5"/>
      <c r="AG838" s="68"/>
    </row>
    <row r="839" spans="9:33" ht="12.75" customHeight="1" x14ac:dyDescent="0.3">
      <c r="I839" s="5"/>
      <c r="AG839" s="68"/>
    </row>
    <row r="840" spans="9:33" ht="12.75" customHeight="1" x14ac:dyDescent="0.3">
      <c r="I840" s="5"/>
      <c r="AG840" s="68"/>
    </row>
    <row r="841" spans="9:33" ht="12.75" customHeight="1" x14ac:dyDescent="0.3">
      <c r="I841" s="5"/>
      <c r="AG841" s="68"/>
    </row>
    <row r="842" spans="9:33" ht="12.75" customHeight="1" x14ac:dyDescent="0.3">
      <c r="I842" s="5"/>
      <c r="AG842" s="68"/>
    </row>
    <row r="843" spans="9:33" ht="12.75" customHeight="1" x14ac:dyDescent="0.3">
      <c r="I843" s="5"/>
      <c r="AG843" s="68"/>
    </row>
    <row r="844" spans="9:33" ht="12.75" customHeight="1" x14ac:dyDescent="0.3">
      <c r="I844" s="5"/>
      <c r="AG844" s="68"/>
    </row>
    <row r="845" spans="9:33" ht="12.75" customHeight="1" x14ac:dyDescent="0.3">
      <c r="I845" s="5"/>
      <c r="AG845" s="68"/>
    </row>
    <row r="846" spans="9:33" ht="12.75" customHeight="1" x14ac:dyDescent="0.3">
      <c r="I846" s="5"/>
      <c r="AG846" s="68"/>
    </row>
    <row r="847" spans="9:33" ht="12.75" customHeight="1" x14ac:dyDescent="0.3">
      <c r="I847" s="5"/>
      <c r="AG847" s="68"/>
    </row>
    <row r="848" spans="9:33" ht="12.75" customHeight="1" x14ac:dyDescent="0.3">
      <c r="I848" s="5"/>
      <c r="AG848" s="68"/>
    </row>
    <row r="849" spans="9:33" ht="12.75" customHeight="1" x14ac:dyDescent="0.3">
      <c r="I849" s="5"/>
      <c r="AG849" s="68"/>
    </row>
    <row r="850" spans="9:33" ht="12.75" customHeight="1" x14ac:dyDescent="0.3">
      <c r="I850" s="5"/>
      <c r="AG850" s="68"/>
    </row>
    <row r="851" spans="9:33" ht="12.75" customHeight="1" x14ac:dyDescent="0.3">
      <c r="I851" s="5"/>
      <c r="AG851" s="68"/>
    </row>
    <row r="852" spans="9:33" ht="12.75" customHeight="1" x14ac:dyDescent="0.3">
      <c r="I852" s="5"/>
      <c r="AG852" s="68"/>
    </row>
    <row r="853" spans="9:33" ht="12.75" customHeight="1" x14ac:dyDescent="0.3">
      <c r="I853" s="5"/>
      <c r="AG853" s="68"/>
    </row>
    <row r="854" spans="9:33" ht="12.75" customHeight="1" x14ac:dyDescent="0.3">
      <c r="I854" s="5"/>
      <c r="AG854" s="68"/>
    </row>
    <row r="855" spans="9:33" ht="12.75" customHeight="1" x14ac:dyDescent="0.3">
      <c r="I855" s="5"/>
      <c r="AG855" s="68"/>
    </row>
    <row r="856" spans="9:33" ht="12.75" customHeight="1" x14ac:dyDescent="0.3">
      <c r="I856" s="5"/>
      <c r="AG856" s="68"/>
    </row>
    <row r="857" spans="9:33" ht="12.75" customHeight="1" x14ac:dyDescent="0.3">
      <c r="I857" s="5"/>
      <c r="AG857" s="68"/>
    </row>
    <row r="858" spans="9:33" ht="12.75" customHeight="1" x14ac:dyDescent="0.3">
      <c r="I858" s="5"/>
      <c r="AG858" s="68"/>
    </row>
    <row r="859" spans="9:33" ht="12.75" customHeight="1" x14ac:dyDescent="0.3">
      <c r="I859" s="5"/>
      <c r="AG859" s="68"/>
    </row>
    <row r="860" spans="9:33" ht="12.75" customHeight="1" x14ac:dyDescent="0.3">
      <c r="I860" s="5"/>
      <c r="AG860" s="68"/>
    </row>
    <row r="861" spans="9:33" ht="12.75" customHeight="1" x14ac:dyDescent="0.3">
      <c r="I861" s="5"/>
      <c r="AG861" s="68"/>
    </row>
    <row r="862" spans="9:33" ht="12.75" customHeight="1" x14ac:dyDescent="0.3">
      <c r="I862" s="5"/>
      <c r="AG862" s="68"/>
    </row>
    <row r="863" spans="9:33" ht="12.75" customHeight="1" x14ac:dyDescent="0.3">
      <c r="I863" s="5"/>
      <c r="AG863" s="68"/>
    </row>
    <row r="864" spans="9:33" ht="12.75" customHeight="1" x14ac:dyDescent="0.3">
      <c r="I864" s="5"/>
      <c r="AG864" s="68"/>
    </row>
    <row r="865" spans="9:33" ht="12.75" customHeight="1" x14ac:dyDescent="0.3">
      <c r="I865" s="5"/>
      <c r="AG865" s="68"/>
    </row>
    <row r="866" spans="9:33" ht="12.75" customHeight="1" x14ac:dyDescent="0.3">
      <c r="I866" s="5"/>
      <c r="AG866" s="68"/>
    </row>
    <row r="867" spans="9:33" ht="12.75" customHeight="1" x14ac:dyDescent="0.3">
      <c r="I867" s="5"/>
      <c r="AG867" s="68"/>
    </row>
    <row r="868" spans="9:33" ht="12.75" customHeight="1" x14ac:dyDescent="0.3">
      <c r="I868" s="5"/>
      <c r="AG868" s="68"/>
    </row>
    <row r="869" spans="9:33" ht="12.75" customHeight="1" x14ac:dyDescent="0.3">
      <c r="I869" s="5"/>
      <c r="AG869" s="68"/>
    </row>
    <row r="870" spans="9:33" ht="12.75" customHeight="1" x14ac:dyDescent="0.3">
      <c r="I870" s="5"/>
      <c r="AG870" s="68"/>
    </row>
    <row r="871" spans="9:33" ht="12.75" customHeight="1" x14ac:dyDescent="0.3">
      <c r="I871" s="5"/>
      <c r="AG871" s="68"/>
    </row>
    <row r="872" spans="9:33" ht="12.75" customHeight="1" x14ac:dyDescent="0.3">
      <c r="I872" s="5"/>
      <c r="AG872" s="68"/>
    </row>
    <row r="873" spans="9:33" ht="12.75" customHeight="1" x14ac:dyDescent="0.3">
      <c r="I873" s="5"/>
      <c r="AG873" s="68"/>
    </row>
    <row r="874" spans="9:33" ht="12.75" customHeight="1" x14ac:dyDescent="0.3">
      <c r="I874" s="5"/>
      <c r="AG874" s="68"/>
    </row>
    <row r="875" spans="9:33" ht="12.75" customHeight="1" x14ac:dyDescent="0.3">
      <c r="I875" s="5"/>
      <c r="AG875" s="68"/>
    </row>
    <row r="876" spans="9:33" ht="12.75" customHeight="1" x14ac:dyDescent="0.3">
      <c r="I876" s="5"/>
      <c r="AG876" s="68"/>
    </row>
    <row r="877" spans="9:33" ht="12.75" customHeight="1" x14ac:dyDescent="0.3">
      <c r="I877" s="5"/>
      <c r="AG877" s="68"/>
    </row>
    <row r="878" spans="9:33" ht="12.75" customHeight="1" x14ac:dyDescent="0.3">
      <c r="I878" s="5"/>
      <c r="AG878" s="68"/>
    </row>
    <row r="879" spans="9:33" ht="12.75" customHeight="1" x14ac:dyDescent="0.3">
      <c r="I879" s="5"/>
      <c r="AG879" s="68"/>
    </row>
    <row r="880" spans="9:33" ht="12.75" customHeight="1" x14ac:dyDescent="0.3">
      <c r="I880" s="5"/>
      <c r="AG880" s="68"/>
    </row>
    <row r="881" spans="9:33" ht="12.75" customHeight="1" x14ac:dyDescent="0.3">
      <c r="I881" s="5"/>
      <c r="AG881" s="68"/>
    </row>
    <row r="882" spans="9:33" ht="12.75" customHeight="1" x14ac:dyDescent="0.3">
      <c r="I882" s="5"/>
      <c r="AG882" s="68"/>
    </row>
    <row r="883" spans="9:33" ht="12.75" customHeight="1" x14ac:dyDescent="0.3">
      <c r="I883" s="5"/>
      <c r="AG883" s="68"/>
    </row>
    <row r="884" spans="9:33" ht="12.75" customHeight="1" x14ac:dyDescent="0.3">
      <c r="I884" s="5"/>
      <c r="AG884" s="68"/>
    </row>
    <row r="885" spans="9:33" ht="12.75" customHeight="1" x14ac:dyDescent="0.3">
      <c r="I885" s="5"/>
      <c r="AG885" s="68"/>
    </row>
    <row r="886" spans="9:33" ht="12.75" customHeight="1" x14ac:dyDescent="0.3">
      <c r="I886" s="5"/>
      <c r="AG886" s="68"/>
    </row>
    <row r="887" spans="9:33" ht="12.75" customHeight="1" x14ac:dyDescent="0.3">
      <c r="I887" s="5"/>
      <c r="AG887" s="68"/>
    </row>
    <row r="888" spans="9:33" ht="12.75" customHeight="1" x14ac:dyDescent="0.3">
      <c r="I888" s="5"/>
      <c r="AG888" s="68"/>
    </row>
    <row r="889" spans="9:33" ht="12.75" customHeight="1" x14ac:dyDescent="0.3">
      <c r="I889" s="5"/>
      <c r="AG889" s="68"/>
    </row>
    <row r="890" spans="9:33" ht="12.75" customHeight="1" x14ac:dyDescent="0.3">
      <c r="I890" s="5"/>
      <c r="AG890" s="68"/>
    </row>
    <row r="891" spans="9:33" ht="12.75" customHeight="1" x14ac:dyDescent="0.3">
      <c r="I891" s="5"/>
      <c r="AG891" s="68"/>
    </row>
    <row r="892" spans="9:33" ht="12.75" customHeight="1" x14ac:dyDescent="0.3">
      <c r="I892" s="5"/>
      <c r="AG892" s="68"/>
    </row>
    <row r="893" spans="9:33" ht="12.75" customHeight="1" x14ac:dyDescent="0.3">
      <c r="I893" s="5"/>
      <c r="AG893" s="68"/>
    </row>
    <row r="894" spans="9:33" ht="12.75" customHeight="1" x14ac:dyDescent="0.3">
      <c r="I894" s="5"/>
      <c r="AG894" s="68"/>
    </row>
    <row r="895" spans="9:33" ht="12.75" customHeight="1" x14ac:dyDescent="0.3">
      <c r="I895" s="5"/>
      <c r="AG895" s="68"/>
    </row>
    <row r="896" spans="9:33" ht="12.75" customHeight="1" x14ac:dyDescent="0.3">
      <c r="I896" s="5"/>
      <c r="AG896" s="68"/>
    </row>
    <row r="897" spans="9:33" ht="12.75" customHeight="1" x14ac:dyDescent="0.3">
      <c r="I897" s="5"/>
      <c r="AG897" s="68"/>
    </row>
    <row r="898" spans="9:33" ht="12.75" customHeight="1" x14ac:dyDescent="0.3">
      <c r="I898" s="5"/>
      <c r="AG898" s="68"/>
    </row>
    <row r="899" spans="9:33" ht="12.75" customHeight="1" x14ac:dyDescent="0.3">
      <c r="I899" s="5"/>
      <c r="AG899" s="68"/>
    </row>
    <row r="900" spans="9:33" ht="12.75" customHeight="1" x14ac:dyDescent="0.3">
      <c r="I900" s="5"/>
      <c r="AG900" s="68"/>
    </row>
    <row r="901" spans="9:33" ht="12.75" customHeight="1" x14ac:dyDescent="0.3">
      <c r="I901" s="5"/>
      <c r="AG901" s="68"/>
    </row>
    <row r="902" spans="9:33" ht="12.75" customHeight="1" x14ac:dyDescent="0.3">
      <c r="I902" s="5"/>
      <c r="AG902" s="68"/>
    </row>
    <row r="903" spans="9:33" ht="12.75" customHeight="1" x14ac:dyDescent="0.3">
      <c r="I903" s="5"/>
      <c r="AG903" s="68"/>
    </row>
    <row r="904" spans="9:33" ht="12.75" customHeight="1" x14ac:dyDescent="0.3">
      <c r="I904" s="5"/>
      <c r="AG904" s="68"/>
    </row>
    <row r="905" spans="9:33" ht="12.75" customHeight="1" x14ac:dyDescent="0.3">
      <c r="I905" s="5"/>
      <c r="AG905" s="68"/>
    </row>
    <row r="906" spans="9:33" ht="12.75" customHeight="1" x14ac:dyDescent="0.3">
      <c r="I906" s="5"/>
      <c r="AG906" s="68"/>
    </row>
    <row r="907" spans="9:33" ht="12.75" customHeight="1" x14ac:dyDescent="0.3">
      <c r="I907" s="5"/>
      <c r="AG907" s="68"/>
    </row>
    <row r="908" spans="9:33" ht="12.75" customHeight="1" x14ac:dyDescent="0.3">
      <c r="I908" s="5"/>
      <c r="AG908" s="68"/>
    </row>
    <row r="909" spans="9:33" ht="12.75" customHeight="1" x14ac:dyDescent="0.3">
      <c r="I909" s="5"/>
      <c r="AG909" s="68"/>
    </row>
    <row r="910" spans="9:33" ht="12.75" customHeight="1" x14ac:dyDescent="0.3">
      <c r="I910" s="5"/>
      <c r="AG910" s="68"/>
    </row>
    <row r="911" spans="9:33" ht="12.75" customHeight="1" x14ac:dyDescent="0.3">
      <c r="I911" s="5"/>
      <c r="AG911" s="68"/>
    </row>
    <row r="912" spans="9:33" ht="12.75" customHeight="1" x14ac:dyDescent="0.3">
      <c r="I912" s="5"/>
      <c r="AG912" s="68"/>
    </row>
    <row r="913" spans="9:33" ht="12.75" customHeight="1" x14ac:dyDescent="0.3">
      <c r="I913" s="5"/>
      <c r="AG913" s="68"/>
    </row>
    <row r="914" spans="9:33" ht="12.75" customHeight="1" x14ac:dyDescent="0.3">
      <c r="I914" s="5"/>
      <c r="AG914" s="68"/>
    </row>
    <row r="915" spans="9:33" ht="12.75" customHeight="1" x14ac:dyDescent="0.3">
      <c r="I915" s="5"/>
      <c r="AG915" s="68"/>
    </row>
    <row r="916" spans="9:33" ht="12.75" customHeight="1" x14ac:dyDescent="0.3">
      <c r="I916" s="5"/>
      <c r="AG916" s="68"/>
    </row>
    <row r="917" spans="9:33" ht="12.75" customHeight="1" x14ac:dyDescent="0.3">
      <c r="I917" s="5"/>
      <c r="AG917" s="68"/>
    </row>
    <row r="918" spans="9:33" ht="12.75" customHeight="1" x14ac:dyDescent="0.3">
      <c r="I918" s="5"/>
      <c r="AG918" s="68"/>
    </row>
    <row r="919" spans="9:33" ht="12.75" customHeight="1" x14ac:dyDescent="0.3">
      <c r="I919" s="5"/>
      <c r="AG919" s="68"/>
    </row>
    <row r="920" spans="9:33" ht="12.75" customHeight="1" x14ac:dyDescent="0.3">
      <c r="I920" s="5"/>
      <c r="AG920" s="68"/>
    </row>
    <row r="921" spans="9:33" ht="12.75" customHeight="1" x14ac:dyDescent="0.3">
      <c r="I921" s="5"/>
      <c r="AG921" s="68"/>
    </row>
    <row r="922" spans="9:33" ht="12.75" customHeight="1" x14ac:dyDescent="0.3">
      <c r="I922" s="5"/>
      <c r="AG922" s="68"/>
    </row>
    <row r="923" spans="9:33" ht="12.75" customHeight="1" x14ac:dyDescent="0.3">
      <c r="I923" s="5"/>
      <c r="AG923" s="68"/>
    </row>
    <row r="924" spans="9:33" ht="12.75" customHeight="1" x14ac:dyDescent="0.3">
      <c r="I924" s="5"/>
      <c r="AG924" s="68"/>
    </row>
    <row r="925" spans="9:33" ht="12.75" customHeight="1" x14ac:dyDescent="0.3">
      <c r="I925" s="5"/>
      <c r="AG925" s="68"/>
    </row>
    <row r="926" spans="9:33" ht="12.75" customHeight="1" x14ac:dyDescent="0.3">
      <c r="I926" s="5"/>
      <c r="AG926" s="68"/>
    </row>
    <row r="927" spans="9:33" ht="12.75" customHeight="1" x14ac:dyDescent="0.3">
      <c r="I927" s="5"/>
      <c r="AG927" s="68"/>
    </row>
    <row r="928" spans="9:33" ht="12.75" customHeight="1" x14ac:dyDescent="0.3">
      <c r="I928" s="5"/>
      <c r="AG928" s="68"/>
    </row>
    <row r="929" spans="9:33" ht="12.75" customHeight="1" x14ac:dyDescent="0.3">
      <c r="I929" s="5"/>
      <c r="AG929" s="68"/>
    </row>
    <row r="930" spans="9:33" ht="12.75" customHeight="1" x14ac:dyDescent="0.3">
      <c r="I930" s="5"/>
      <c r="AG930" s="68"/>
    </row>
    <row r="931" spans="9:33" ht="12.75" customHeight="1" x14ac:dyDescent="0.3">
      <c r="I931" s="5"/>
      <c r="AG931" s="68"/>
    </row>
    <row r="932" spans="9:33" ht="12.75" customHeight="1" x14ac:dyDescent="0.3">
      <c r="I932" s="5"/>
      <c r="AG932" s="68"/>
    </row>
    <row r="933" spans="9:33" ht="12.75" customHeight="1" x14ac:dyDescent="0.3">
      <c r="I933" s="5"/>
      <c r="AG933" s="68"/>
    </row>
    <row r="934" spans="9:33" ht="12.75" customHeight="1" x14ac:dyDescent="0.3">
      <c r="I934" s="5"/>
      <c r="AG934" s="68"/>
    </row>
    <row r="935" spans="9:33" ht="12.75" customHeight="1" x14ac:dyDescent="0.3">
      <c r="I935" s="5"/>
      <c r="AG935" s="68"/>
    </row>
    <row r="936" spans="9:33" ht="12.75" customHeight="1" x14ac:dyDescent="0.3">
      <c r="I936" s="5"/>
      <c r="AG936" s="68"/>
    </row>
    <row r="937" spans="9:33" ht="12.75" customHeight="1" x14ac:dyDescent="0.3">
      <c r="I937" s="5"/>
      <c r="AG937" s="68"/>
    </row>
    <row r="938" spans="9:33" ht="12.75" customHeight="1" x14ac:dyDescent="0.3">
      <c r="I938" s="5"/>
      <c r="AG938" s="68"/>
    </row>
    <row r="939" spans="9:33" ht="12.75" customHeight="1" x14ac:dyDescent="0.3">
      <c r="AG939" s="68"/>
    </row>
    <row r="940" spans="9:33" ht="12.75" customHeight="1" x14ac:dyDescent="0.3">
      <c r="AG940" s="68"/>
    </row>
    <row r="941" spans="9:33" ht="12.75" customHeight="1" x14ac:dyDescent="0.3">
      <c r="AG941" s="68"/>
    </row>
    <row r="942" spans="9:33" ht="12.75" customHeight="1" x14ac:dyDescent="0.3">
      <c r="AG942" s="68"/>
    </row>
    <row r="943" spans="9:33" ht="12.75" customHeight="1" x14ac:dyDescent="0.3">
      <c r="AG943" s="68"/>
    </row>
    <row r="944" spans="9:33" ht="12.75" customHeight="1" x14ac:dyDescent="0.3">
      <c r="AG944" s="68"/>
    </row>
    <row r="945" spans="33:33" ht="12.75" customHeight="1" x14ac:dyDescent="0.3">
      <c r="AG945" s="68"/>
    </row>
    <row r="946" spans="33:33" ht="12.75" customHeight="1" x14ac:dyDescent="0.3">
      <c r="AG946" s="68"/>
    </row>
    <row r="947" spans="33:33" ht="12.75" customHeight="1" x14ac:dyDescent="0.3">
      <c r="AG947" s="68"/>
    </row>
    <row r="948" spans="33:33" ht="12.75" customHeight="1" x14ac:dyDescent="0.3">
      <c r="AG948" s="68"/>
    </row>
    <row r="949" spans="33:33" ht="12.75" customHeight="1" x14ac:dyDescent="0.3">
      <c r="AG949" s="68"/>
    </row>
    <row r="950" spans="33:33" ht="12.75" customHeight="1" x14ac:dyDescent="0.3">
      <c r="AG950" s="68"/>
    </row>
    <row r="951" spans="33:33" ht="12.75" customHeight="1" x14ac:dyDescent="0.3">
      <c r="AG951" s="68"/>
    </row>
    <row r="952" spans="33:33" ht="12.75" customHeight="1" x14ac:dyDescent="0.3">
      <c r="AG952" s="68"/>
    </row>
    <row r="953" spans="33:33" ht="12.75" customHeight="1" x14ac:dyDescent="0.3">
      <c r="AG953" s="68"/>
    </row>
    <row r="954" spans="33:33" ht="12.75" customHeight="1" x14ac:dyDescent="0.3">
      <c r="AG954" s="68"/>
    </row>
    <row r="955" spans="33:33" ht="12.75" customHeight="1" x14ac:dyDescent="0.3">
      <c r="AG955" s="68"/>
    </row>
    <row r="956" spans="33:33" ht="12.75" customHeight="1" x14ac:dyDescent="0.3">
      <c r="AG956" s="68"/>
    </row>
    <row r="957" spans="33:33" ht="12.75" customHeight="1" x14ac:dyDescent="0.3">
      <c r="AG957" s="68"/>
    </row>
    <row r="958" spans="33:33" ht="12.75" customHeight="1" x14ac:dyDescent="0.3">
      <c r="AG958" s="68"/>
    </row>
    <row r="959" spans="33:33" ht="12.75" customHeight="1" x14ac:dyDescent="0.3">
      <c r="AG959" s="68"/>
    </row>
    <row r="960" spans="33:33" x14ac:dyDescent="0.3">
      <c r="AG960" s="68"/>
    </row>
    <row r="961" spans="33:33" x14ac:dyDescent="0.3">
      <c r="AG961" s="68"/>
    </row>
    <row r="962" spans="33:33" x14ac:dyDescent="0.3">
      <c r="AG962" s="68"/>
    </row>
    <row r="963" spans="33:33" x14ac:dyDescent="0.3">
      <c r="AG963" s="68"/>
    </row>
    <row r="964" spans="33:33" x14ac:dyDescent="0.3">
      <c r="AG964" s="68"/>
    </row>
    <row r="965" spans="33:33" x14ac:dyDescent="0.3">
      <c r="AG965" s="68"/>
    </row>
    <row r="966" spans="33:33" x14ac:dyDescent="0.3">
      <c r="AG966" s="68"/>
    </row>
    <row r="967" spans="33:33" x14ac:dyDescent="0.3">
      <c r="AG967" s="68"/>
    </row>
    <row r="968" spans="33:33" x14ac:dyDescent="0.3">
      <c r="AG968" s="68"/>
    </row>
    <row r="969" spans="33:33" x14ac:dyDescent="0.3">
      <c r="AG969" s="68"/>
    </row>
    <row r="970" spans="33:33" x14ac:dyDescent="0.3">
      <c r="AG970" s="68"/>
    </row>
    <row r="971" spans="33:33" x14ac:dyDescent="0.3">
      <c r="AG971" s="68"/>
    </row>
    <row r="972" spans="33:33" x14ac:dyDescent="0.3">
      <c r="AG972" s="68"/>
    </row>
    <row r="973" spans="33:33" x14ac:dyDescent="0.3">
      <c r="AG973" s="68"/>
    </row>
    <row r="974" spans="33:33" x14ac:dyDescent="0.3">
      <c r="AG974" s="68"/>
    </row>
    <row r="975" spans="33:33" x14ac:dyDescent="0.3">
      <c r="AG975" s="68"/>
    </row>
    <row r="976" spans="33:33" x14ac:dyDescent="0.3">
      <c r="AG976" s="68"/>
    </row>
    <row r="977" spans="33:33" x14ac:dyDescent="0.3">
      <c r="AG977" s="68"/>
    </row>
    <row r="978" spans="33:33" x14ac:dyDescent="0.3">
      <c r="AG978" s="68"/>
    </row>
    <row r="979" spans="33:33" x14ac:dyDescent="0.3">
      <c r="AG979" s="68"/>
    </row>
    <row r="980" spans="33:33" x14ac:dyDescent="0.3">
      <c r="AG980" s="68"/>
    </row>
    <row r="981" spans="33:33" x14ac:dyDescent="0.3">
      <c r="AG981" s="68"/>
    </row>
    <row r="982" spans="33:33" x14ac:dyDescent="0.3">
      <c r="AG982" s="68"/>
    </row>
    <row r="983" spans="33:33" x14ac:dyDescent="0.3">
      <c r="AG983" s="68"/>
    </row>
    <row r="984" spans="33:33" x14ac:dyDescent="0.3">
      <c r="AG984" s="68"/>
    </row>
    <row r="985" spans="33:33" x14ac:dyDescent="0.3">
      <c r="AG985" s="68"/>
    </row>
    <row r="986" spans="33:33" x14ac:dyDescent="0.3">
      <c r="AG986" s="68"/>
    </row>
    <row r="987" spans="33:33" x14ac:dyDescent="0.3">
      <c r="AG987" s="68"/>
    </row>
    <row r="988" spans="33:33" x14ac:dyDescent="0.3">
      <c r="AG988" s="68"/>
    </row>
    <row r="989" spans="33:33" x14ac:dyDescent="0.3">
      <c r="AG989" s="68"/>
    </row>
    <row r="990" spans="33:33" x14ac:dyDescent="0.3">
      <c r="AG990" s="68"/>
    </row>
    <row r="991" spans="33:33" x14ac:dyDescent="0.3">
      <c r="AG991" s="68"/>
    </row>
    <row r="992" spans="33:33" x14ac:dyDescent="0.3">
      <c r="AG992" s="68"/>
    </row>
    <row r="993" spans="33:33" x14ac:dyDescent="0.3">
      <c r="AG993" s="68"/>
    </row>
    <row r="994" spans="33:33" x14ac:dyDescent="0.3">
      <c r="AG994" s="68"/>
    </row>
    <row r="995" spans="33:33" x14ac:dyDescent="0.3">
      <c r="AG995" s="68"/>
    </row>
    <row r="996" spans="33:33" x14ac:dyDescent="0.3">
      <c r="AG996" s="68"/>
    </row>
    <row r="997" spans="33:33" x14ac:dyDescent="0.3">
      <c r="AG997" s="68"/>
    </row>
    <row r="998" spans="33:33" x14ac:dyDescent="0.3">
      <c r="AG998" s="68"/>
    </row>
    <row r="999" spans="33:33" x14ac:dyDescent="0.3">
      <c r="AG999" s="68"/>
    </row>
    <row r="1000" spans="33:33" x14ac:dyDescent="0.3">
      <c r="AG1000" s="68"/>
    </row>
    <row r="1001" spans="33:33" x14ac:dyDescent="0.3">
      <c r="AG1001" s="68"/>
    </row>
    <row r="1002" spans="33:33" x14ac:dyDescent="0.3">
      <c r="AG1002" s="68"/>
    </row>
    <row r="1003" spans="33:33" x14ac:dyDescent="0.3">
      <c r="AG1003" s="68"/>
    </row>
    <row r="1004" spans="33:33" x14ac:dyDescent="0.3">
      <c r="AG1004" s="68"/>
    </row>
    <row r="1005" spans="33:33" x14ac:dyDescent="0.3">
      <c r="AG1005" s="68"/>
    </row>
    <row r="1006" spans="33:33" x14ac:dyDescent="0.3">
      <c r="AG1006" s="68"/>
    </row>
    <row r="1007" spans="33:33" x14ac:dyDescent="0.3">
      <c r="AG1007" s="68"/>
    </row>
    <row r="1008" spans="33:33" x14ac:dyDescent="0.3">
      <c r="AG1008" s="68"/>
    </row>
    <row r="1009" spans="33:33" x14ac:dyDescent="0.3">
      <c r="AG1009" s="68"/>
    </row>
    <row r="1010" spans="33:33" x14ac:dyDescent="0.3">
      <c r="AG1010" s="68"/>
    </row>
    <row r="1011" spans="33:33" x14ac:dyDescent="0.3">
      <c r="AG1011" s="68"/>
    </row>
    <row r="1012" spans="33:33" x14ac:dyDescent="0.3">
      <c r="AG1012" s="68"/>
    </row>
    <row r="1013" spans="33:33" x14ac:dyDescent="0.3">
      <c r="AG1013" s="68"/>
    </row>
    <row r="1014" spans="33:33" x14ac:dyDescent="0.3">
      <c r="AG1014" s="68"/>
    </row>
    <row r="1015" spans="33:33" x14ac:dyDescent="0.3">
      <c r="AG1015" s="68"/>
    </row>
    <row r="1016" spans="33:33" x14ac:dyDescent="0.3">
      <c r="AG1016" s="68"/>
    </row>
    <row r="1017" spans="33:33" x14ac:dyDescent="0.3">
      <c r="AG1017" s="68"/>
    </row>
    <row r="1018" spans="33:33" x14ac:dyDescent="0.3">
      <c r="AG1018" s="68"/>
    </row>
    <row r="1019" spans="33:33" x14ac:dyDescent="0.3">
      <c r="AG1019" s="68"/>
    </row>
    <row r="1020" spans="33:33" x14ac:dyDescent="0.3">
      <c r="AG1020" s="68"/>
    </row>
    <row r="1021" spans="33:33" x14ac:dyDescent="0.3">
      <c r="AG1021" s="68"/>
    </row>
  </sheetData>
  <autoFilter ref="A5:AQ200" xr:uid="{B961674D-A4A5-4625-B781-E09B60424BEF}">
    <filterColumn colId="1" showButton="0"/>
    <filterColumn colId="9" showButton="0"/>
    <filterColumn colId="11" showButton="0"/>
    <filterColumn colId="13" showButton="0"/>
    <filterColumn colId="15" showButton="0"/>
    <filterColumn colId="32" showButton="0"/>
    <filterColumn colId="33" showButton="0"/>
    <filterColumn colId="34" showButton="0"/>
    <sortState xmlns:xlrd2="http://schemas.microsoft.com/office/spreadsheetml/2017/richdata2" ref="A6:AQ200">
      <sortCondition ref="J5:J200"/>
    </sortState>
  </autoFilter>
  <dataConsolidate/>
  <mergeCells count="13">
    <mergeCell ref="AG4:AJ4"/>
    <mergeCell ref="AG5:AJ5"/>
    <mergeCell ref="J4:K4"/>
    <mergeCell ref="P4:Q4"/>
    <mergeCell ref="J5:K5"/>
    <mergeCell ref="P5:Q5"/>
    <mergeCell ref="N4:O4"/>
    <mergeCell ref="N5:O5"/>
    <mergeCell ref="Y3:AE3"/>
    <mergeCell ref="B4:C4"/>
    <mergeCell ref="B5:C5"/>
    <mergeCell ref="L4:M4"/>
    <mergeCell ref="L5:M5"/>
  </mergeCells>
  <phoneticPr fontId="21" type="noConversion"/>
  <conditionalFormatting sqref="A6:A799">
    <cfRule type="expression" dxfId="868" priority="49">
      <formula>ISTEXT(A6)</formula>
    </cfRule>
  </conditionalFormatting>
  <conditionalFormatting sqref="A187:G199">
    <cfRule type="containsText" dxfId="867" priority="48" operator="containsText" text="N/A">
      <formula>NOT(ISERROR(SEARCH("N/A",A187)))</formula>
    </cfRule>
  </conditionalFormatting>
  <conditionalFormatting sqref="B6:B799">
    <cfRule type="expression" dxfId="866" priority="46">
      <formula>ISTEXT(A6)</formula>
    </cfRule>
  </conditionalFormatting>
  <conditionalFormatting sqref="B200">
    <cfRule type="expression" dxfId="865" priority="3">
      <formula>ISTEXT(XFD200)</formula>
    </cfRule>
  </conditionalFormatting>
  <conditionalFormatting sqref="C6:C799">
    <cfRule type="expression" dxfId="864" priority="47">
      <formula>ISTEXT(A6)</formula>
    </cfRule>
  </conditionalFormatting>
  <conditionalFormatting sqref="D6:D799">
    <cfRule type="expression" dxfId="863" priority="45">
      <formula>ISTEXT(A6)</formula>
    </cfRule>
  </conditionalFormatting>
  <conditionalFormatting sqref="E6:E799">
    <cfRule type="expression" dxfId="862" priority="44">
      <formula>ISTEXT(A6)</formula>
    </cfRule>
  </conditionalFormatting>
  <conditionalFormatting sqref="F6:F799">
    <cfRule type="expression" dxfId="861" priority="43">
      <formula>ISTEXT(A6)</formula>
    </cfRule>
  </conditionalFormatting>
  <conditionalFormatting sqref="G6:G799">
    <cfRule type="expression" dxfId="860" priority="42">
      <formula>ISTEXT(A6)</formula>
    </cfRule>
  </conditionalFormatting>
  <conditionalFormatting sqref="I6:I799">
    <cfRule type="expression" dxfId="859" priority="257">
      <formula>ISTEXT(A6)</formula>
    </cfRule>
  </conditionalFormatting>
  <conditionalFormatting sqref="J1:J1048576">
    <cfRule type="cellIs" dxfId="858" priority="295" operator="lessThan">
      <formula>0</formula>
    </cfRule>
  </conditionalFormatting>
  <conditionalFormatting sqref="J4:J5">
    <cfRule type="dataBar" priority="336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{3B8EF9B8-A009-41AD-86CA-D324FB8F9E46}</x14:id>
        </ext>
      </extLst>
    </cfRule>
  </conditionalFormatting>
  <conditionalFormatting sqref="J6:J799">
    <cfRule type="expression" dxfId="857" priority="285">
      <formula>ISTEXT(A6)</formula>
    </cfRule>
  </conditionalFormatting>
  <conditionalFormatting sqref="K1:K1048576">
    <cfRule type="dataBar" priority="409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{E5E47F47-C842-49E9-BF1E-76C4420A1089}</x14:id>
        </ext>
      </extLst>
    </cfRule>
  </conditionalFormatting>
  <conditionalFormatting sqref="K6:K799">
    <cfRule type="expression" dxfId="856" priority="284">
      <formula>ISTEXT(A6)</formula>
    </cfRule>
  </conditionalFormatting>
  <conditionalFormatting sqref="L6:L799">
    <cfRule type="expression" dxfId="855" priority="283">
      <formula>ISTEXT(A6)</formula>
    </cfRule>
  </conditionalFormatting>
  <conditionalFormatting sqref="M1:M1048576 O1:O1048576">
    <cfRule type="dataBar" priority="297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{9824600B-5EBC-4585-A141-839049878AAE}</x14:id>
        </ext>
      </extLst>
    </cfRule>
  </conditionalFormatting>
  <conditionalFormatting sqref="M6:M799">
    <cfRule type="expression" dxfId="854" priority="282">
      <formula>ISTEXT(A6)</formula>
    </cfRule>
  </conditionalFormatting>
  <conditionalFormatting sqref="N6:N799">
    <cfRule type="expression" dxfId="853" priority="281">
      <formula>ISTEXT(A6)</formula>
    </cfRule>
  </conditionalFormatting>
  <conditionalFormatting sqref="N4:O5">
    <cfRule type="containsText" dxfId="852" priority="298" operator="containsText" text="N/A">
      <formula>NOT(ISERROR(SEARCH("N/A",N4)))</formula>
    </cfRule>
  </conditionalFormatting>
  <conditionalFormatting sqref="O6:O799">
    <cfRule type="expression" dxfId="851" priority="280">
      <formula>ISTEXT(A6)</formula>
    </cfRule>
  </conditionalFormatting>
  <conditionalFormatting sqref="P4:P5">
    <cfRule type="containsText" dxfId="850" priority="335" operator="containsText" text="N/A">
      <formula>NOT(ISERROR(SEARCH("N/A",P4)))</formula>
    </cfRule>
  </conditionalFormatting>
  <conditionalFormatting sqref="P6:P799">
    <cfRule type="expression" dxfId="849" priority="279">
      <formula>ISTEXT(A6)</formula>
    </cfRule>
  </conditionalFormatting>
  <conditionalFormatting sqref="Q1:Q1048576">
    <cfRule type="dataBar" priority="433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{ADC1E09A-6F41-4209-80FF-74B7E2341A31}</x14:id>
        </ext>
      </extLst>
    </cfRule>
  </conditionalFormatting>
  <conditionalFormatting sqref="Q6:Q799">
    <cfRule type="expression" dxfId="848" priority="278">
      <formula>ISTEXT(A6)</formula>
    </cfRule>
  </conditionalFormatting>
  <conditionalFormatting sqref="R6:S799">
    <cfRule type="expression" dxfId="847" priority="39">
      <formula>ISTEXT(A6)</formula>
    </cfRule>
  </conditionalFormatting>
  <conditionalFormatting sqref="R163:U163 R169:V169">
    <cfRule type="expression" dxfId="846" priority="274">
      <formula>ISTEXT(XFA163)</formula>
    </cfRule>
  </conditionalFormatting>
  <conditionalFormatting sqref="R187:AK199">
    <cfRule type="containsText" dxfId="845" priority="28" operator="containsText" text="N/A">
      <formula>NOT(ISERROR(SEARCH("N/A",R187)))</formula>
    </cfRule>
  </conditionalFormatting>
  <conditionalFormatting sqref="S6:S799">
    <cfRule type="expression" dxfId="844" priority="36">
      <formula>ISTEXT(A6)</formula>
    </cfRule>
  </conditionalFormatting>
  <conditionalFormatting sqref="T6:U799">
    <cfRule type="expression" dxfId="843" priority="38">
      <formula>ISTEXT(A6)</formula>
    </cfRule>
  </conditionalFormatting>
  <conditionalFormatting sqref="U6:U799">
    <cfRule type="expression" dxfId="842" priority="40">
      <formula>ISTEXT(A6)</formula>
    </cfRule>
  </conditionalFormatting>
  <conditionalFormatting sqref="V6:V799">
    <cfRule type="expression" dxfId="841" priority="37">
      <formula>ISTEXT(A6)</formula>
    </cfRule>
  </conditionalFormatting>
  <conditionalFormatting sqref="V185:V186">
    <cfRule type="expression" dxfId="840" priority="238">
      <formula>ISTEXT(XEV185)</formula>
    </cfRule>
  </conditionalFormatting>
  <conditionalFormatting sqref="X4">
    <cfRule type="containsText" dxfId="839" priority="245" operator="containsText" text="N/A">
      <formula>NOT(ISERROR(SEARCH("N/A",X4)))</formula>
    </cfRule>
  </conditionalFormatting>
  <conditionalFormatting sqref="X6:X799">
    <cfRule type="expression" dxfId="838" priority="10">
      <formula>ISTEXT(A6)</formula>
    </cfRule>
  </conditionalFormatting>
  <conditionalFormatting sqref="X6:Y799">
    <cfRule type="expression" dxfId="837" priority="11">
      <formula>ISTEXT(XFD6)</formula>
    </cfRule>
  </conditionalFormatting>
  <conditionalFormatting sqref="X4:XFD4">
    <cfRule type="containsText" dxfId="836" priority="246" operator="containsText" text="N/A">
      <formula>NOT(ISERROR(SEARCH("N/A",X4)))</formula>
    </cfRule>
  </conditionalFormatting>
  <conditionalFormatting sqref="Y163:Z163 X169:Z169">
    <cfRule type="expression" dxfId="835" priority="247">
      <formula>ISTEXT(XFD163)</formula>
    </cfRule>
    <cfRule type="expression" dxfId="834" priority="244">
      <formula>ISTEXT(A163)</formula>
    </cfRule>
  </conditionalFormatting>
  <conditionalFormatting sqref="Y6:AR106 J107:AR112 A113:AR118 A119:XFD186 J1:X3 J4:W4 J5:X106 H187:Q199 A200:XFD1048576 Y1:XFD2 A1:H89 I1:I112 Y3 AF3:XFD3 AU6:XFD118 A90:A91 B90:H92 A93:H112 AP106:AQ108">
    <cfRule type="containsText" dxfId="833" priority="323" operator="containsText" text="N/A">
      <formula>NOT(ISERROR(SEARCH("N/A",A1)))</formula>
    </cfRule>
  </conditionalFormatting>
  <conditionalFormatting sqref="Y5:XFD5">
    <cfRule type="containsText" dxfId="832" priority="249" operator="containsText" text="N/A">
      <formula>NOT(ISERROR(SEARCH("N/A",Y5)))</formula>
    </cfRule>
  </conditionalFormatting>
  <conditionalFormatting sqref="Z6:Z799">
    <cfRule type="expression" dxfId="831" priority="19">
      <formula>ISTEXT(A6)</formula>
    </cfRule>
  </conditionalFormatting>
  <conditionalFormatting sqref="Z121:Z161">
    <cfRule type="expression" dxfId="830" priority="241">
      <formula>ISTEXT(XER121)</formula>
    </cfRule>
  </conditionalFormatting>
  <conditionalFormatting sqref="Z185:Z186">
    <cfRule type="expression" dxfId="829" priority="239">
      <formula>ISTEXT(XER185)</formula>
    </cfRule>
  </conditionalFormatting>
  <conditionalFormatting sqref="Z200">
    <cfRule type="expression" dxfId="828" priority="1">
      <formula>ISTEXT(XER200)</formula>
    </cfRule>
  </conditionalFormatting>
  <conditionalFormatting sqref="AA6:AA799">
    <cfRule type="expression" dxfId="827" priority="18">
      <formula>ISTEXT(A6)</formula>
    </cfRule>
  </conditionalFormatting>
  <conditionalFormatting sqref="AB6:AB799">
    <cfRule type="expression" dxfId="826" priority="17">
      <formula>ISTEXT(A6)</formula>
    </cfRule>
  </conditionalFormatting>
  <conditionalFormatting sqref="AB163:AD163 AB169:AE169">
    <cfRule type="expression" dxfId="825" priority="267">
      <formula>ISTEXT(XFB163)</formula>
    </cfRule>
  </conditionalFormatting>
  <conditionalFormatting sqref="AC6:AC799">
    <cfRule type="expression" dxfId="824" priority="16">
      <formula>ISTEXT(A6)</formula>
    </cfRule>
  </conditionalFormatting>
  <conditionalFormatting sqref="AC97:AE97 AC99:AE101 AB102:AE104 AC105:AE105 AB106:AE106">
    <cfRule type="expression" dxfId="823" priority="270">
      <formula>ISTEXT(A97)</formula>
    </cfRule>
  </conditionalFormatting>
  <conditionalFormatting sqref="AD6:AD799">
    <cfRule type="expression" dxfId="822" priority="15">
      <formula>ISTEXT(A6)</formula>
    </cfRule>
  </conditionalFormatting>
  <conditionalFormatting sqref="AE6:AE799">
    <cfRule type="expression" dxfId="821" priority="14">
      <formula>ISTEXT(A6)</formula>
    </cfRule>
  </conditionalFormatting>
  <conditionalFormatting sqref="AG6:AG799">
    <cfRule type="expression" dxfId="820" priority="13">
      <formula>ISTEXT(A6)</formula>
    </cfRule>
  </conditionalFormatting>
  <conditionalFormatting sqref="AH6:AH72 AH75:AH186">
    <cfRule type="containsText" dxfId="819" priority="317" operator="containsText" text="E">
      <formula>NOT(ISERROR(SEARCH("E",AH6)))</formula>
    </cfRule>
    <cfRule type="containsText" dxfId="818" priority="318" operator="containsText" text="D">
      <formula>NOT(ISERROR(SEARCH("D",AH6)))</formula>
    </cfRule>
    <cfRule type="containsText" dxfId="817" priority="320" operator="containsText" text="B">
      <formula>NOT(ISERROR(SEARCH("B",AH6)))</formula>
    </cfRule>
    <cfRule type="containsText" dxfId="816" priority="321" operator="containsText" text="A2">
      <formula>NOT(ISERROR(SEARCH("A2",AH6)))</formula>
    </cfRule>
    <cfRule type="containsText" dxfId="815" priority="322" operator="containsText" text="A1">
      <formula>NOT(ISERROR(SEARCH("A1",AH6)))</formula>
    </cfRule>
    <cfRule type="containsText" dxfId="814" priority="319" operator="containsText" text="C">
      <formula>NOT(ISERROR(SEARCH("C",AH6)))</formula>
    </cfRule>
  </conditionalFormatting>
  <conditionalFormatting sqref="AH6:AH186">
    <cfRule type="containsText" dxfId="813" priority="309" operator="containsText" text="F">
      <formula>NOT(ISERROR(SEARCH("F",AH6)))</formula>
    </cfRule>
  </conditionalFormatting>
  <conditionalFormatting sqref="AH73:AH74">
    <cfRule type="containsText" dxfId="812" priority="305" operator="containsText" text="A2">
      <formula>NOT(ISERROR(SEARCH("A2",AH73)))</formula>
    </cfRule>
    <cfRule type="containsText" dxfId="811" priority="304" operator="containsText" text="A1">
      <formula>NOT(ISERROR(SEARCH("A1",AH73)))</formula>
    </cfRule>
    <cfRule type="containsText" dxfId="810" priority="310" operator="containsText" text="D">
      <formula>NOT(ISERROR(SEARCH("D",AH73)))</formula>
    </cfRule>
    <cfRule type="containsText" dxfId="809" priority="308" operator="containsText" text="E">
      <formula>NOT(ISERROR(SEARCH("E",AH73)))</formula>
    </cfRule>
    <cfRule type="containsText" dxfId="808" priority="307" operator="containsText" text="C">
      <formula>NOT(ISERROR(SEARCH("C",AH73)))</formula>
    </cfRule>
    <cfRule type="containsText" dxfId="807" priority="306" operator="containsText" text="B">
      <formula>NOT(ISERROR(SEARCH("B",AH73)))</formula>
    </cfRule>
  </conditionalFormatting>
  <conditionalFormatting sqref="AH187:AH408">
    <cfRule type="containsText" dxfId="806" priority="25" operator="containsText" text="B">
      <formula>NOT(ISERROR(SEARCH("B",AH187)))</formula>
    </cfRule>
    <cfRule type="containsText" dxfId="805" priority="24" operator="containsText" text="C">
      <formula>NOT(ISERROR(SEARCH("C",AH187)))</formula>
    </cfRule>
    <cfRule type="containsText" dxfId="804" priority="23" operator="containsText" text="D">
      <formula>NOT(ISERROR(SEARCH("D",AH187)))</formula>
    </cfRule>
    <cfRule type="containsText" dxfId="803" priority="22" operator="containsText" text="E">
      <formula>NOT(ISERROR(SEARCH("E",AH187)))</formula>
    </cfRule>
    <cfRule type="containsText" dxfId="802" priority="21" operator="containsText" text="F">
      <formula>NOT(ISERROR(SEARCH("F",AH187)))</formula>
    </cfRule>
    <cfRule type="containsText" dxfId="801" priority="27" operator="containsText" text="A1">
      <formula>NOT(ISERROR(SEARCH("A1",AH187)))</formula>
    </cfRule>
    <cfRule type="containsText" dxfId="800" priority="26" operator="containsText" text="A2">
      <formula>NOT(ISERROR(SEARCH("A2",AH187)))</formula>
    </cfRule>
  </conditionalFormatting>
  <conditionalFormatting sqref="AI6:AI186 AI200:AI408">
    <cfRule type="expression" dxfId="799" priority="330">
      <formula>AH6="A2"</formula>
    </cfRule>
    <cfRule type="expression" dxfId="798" priority="329">
      <formula>AH6="B"</formula>
    </cfRule>
    <cfRule type="expression" dxfId="797" priority="328">
      <formula>AH6="C"</formula>
    </cfRule>
    <cfRule type="expression" dxfId="796" priority="327">
      <formula>AH6="D"</formula>
    </cfRule>
    <cfRule type="expression" dxfId="795" priority="325">
      <formula>AH6="F"</formula>
    </cfRule>
    <cfRule type="expression" dxfId="794" priority="326">
      <formula>AH6="E"</formula>
    </cfRule>
    <cfRule type="expression" dxfId="793" priority="331">
      <formula>AH6="A1"</formula>
    </cfRule>
  </conditionalFormatting>
  <conditionalFormatting sqref="AI187:AI199">
    <cfRule type="expression" dxfId="792" priority="34">
      <formula>AH187="A2"</formula>
    </cfRule>
    <cfRule type="expression" dxfId="791" priority="32">
      <formula>AH187="C"</formula>
    </cfRule>
    <cfRule type="expression" dxfId="790" priority="31">
      <formula>AH187="D"</formula>
    </cfRule>
    <cfRule type="expression" dxfId="789" priority="30">
      <formula>AH187="E"</formula>
    </cfRule>
    <cfRule type="expression" dxfId="788" priority="29">
      <formula>AH187="F"</formula>
    </cfRule>
    <cfRule type="expression" dxfId="787" priority="33">
      <formula>AH187="B"</formula>
    </cfRule>
    <cfRule type="expression" dxfId="786" priority="35">
      <formula>AH187="A1"</formula>
    </cfRule>
  </conditionalFormatting>
  <conditionalFormatting sqref="AJ6:AJ799">
    <cfRule type="expression" dxfId="785" priority="12">
      <formula>ISTEXT(A6)</formula>
    </cfRule>
  </conditionalFormatting>
  <conditionalFormatting sqref="AL6:AL186 AM88:AN94 AL200:AL799">
    <cfRule type="expression" dxfId="784" priority="264">
      <formula>ISTEXT(A6)</formula>
    </cfRule>
  </conditionalFormatting>
  <conditionalFormatting sqref="AL187:AL199">
    <cfRule type="expression" dxfId="783" priority="8">
      <formula>ISTEXT(B187)</formula>
    </cfRule>
  </conditionalFormatting>
  <conditionalFormatting sqref="AL187:XFD199">
    <cfRule type="containsText" dxfId="782" priority="9" operator="containsText" text="N/A">
      <formula>NOT(ISERROR(SEARCH("N/A",AL187)))</formula>
    </cfRule>
  </conditionalFormatting>
  <conditionalFormatting sqref="AM6:AM186 AM200:AM799">
    <cfRule type="expression" dxfId="781" priority="263">
      <formula>ISTEXT(A6)</formula>
    </cfRule>
  </conditionalFormatting>
  <conditionalFormatting sqref="AM168:AM169">
    <cfRule type="expression" dxfId="780" priority="240">
      <formula>ISTEXT(N168)</formula>
    </cfRule>
  </conditionalFormatting>
  <conditionalFormatting sqref="AM187:AM199">
    <cfRule type="expression" dxfId="779" priority="7">
      <formula>ISTEXT(B187)</formula>
    </cfRule>
  </conditionalFormatting>
  <conditionalFormatting sqref="AN6:AN186 AN200:AN799">
    <cfRule type="expression" dxfId="778" priority="262">
      <formula>ISTEXT(A6)</formula>
    </cfRule>
  </conditionalFormatting>
  <conditionalFormatting sqref="AN187:AN199">
    <cfRule type="expression" dxfId="777" priority="6">
      <formula>ISTEXT(B187)</formula>
    </cfRule>
  </conditionalFormatting>
  <conditionalFormatting sqref="AP6:AP58">
    <cfRule type="expression" dxfId="776" priority="52">
      <formula>ISTEXT(D6)</formula>
    </cfRule>
  </conditionalFormatting>
  <conditionalFormatting sqref="AP6:AP186 AP200:AP799">
    <cfRule type="expression" dxfId="775" priority="261">
      <formula>ISTEXT(A6)</formula>
    </cfRule>
  </conditionalFormatting>
  <conditionalFormatting sqref="AP20:AP21">
    <cfRule type="expression" dxfId="774" priority="234">
      <formula>ISTEXT(#REF!)</formula>
    </cfRule>
  </conditionalFormatting>
  <conditionalFormatting sqref="AP57">
    <cfRule type="expression" dxfId="773" priority="213">
      <formula>ISTEXT(#REF!)</formula>
    </cfRule>
  </conditionalFormatting>
  <conditionalFormatting sqref="AP60:AP65">
    <cfRule type="expression" dxfId="772" priority="56">
      <formula>ISTEXT(D60)</formula>
    </cfRule>
  </conditionalFormatting>
  <conditionalFormatting sqref="AP68:AP72">
    <cfRule type="expression" dxfId="771" priority="114">
      <formula>ISTEXT(D68)</formula>
    </cfRule>
  </conditionalFormatting>
  <conditionalFormatting sqref="AP74:AP80">
    <cfRule type="expression" dxfId="770" priority="98">
      <formula>ISTEXT(D74)</formula>
    </cfRule>
  </conditionalFormatting>
  <conditionalFormatting sqref="AP82:AP118">
    <cfRule type="expression" dxfId="769" priority="68">
      <formula>ISTEXT(D82)</formula>
    </cfRule>
  </conditionalFormatting>
  <conditionalFormatting sqref="AP113:AP116">
    <cfRule type="expression" dxfId="768" priority="171">
      <formula>ISTEXT(#REF!)</formula>
    </cfRule>
  </conditionalFormatting>
  <conditionalFormatting sqref="AP187:AP199">
    <cfRule type="expression" dxfId="767" priority="5">
      <formula>ISTEXT(B187)</formula>
    </cfRule>
  </conditionalFormatting>
  <conditionalFormatting sqref="AQ6:AQ15">
    <cfRule type="expression" dxfId="766" priority="79">
      <formula>ISTEXT(D6)</formula>
    </cfRule>
  </conditionalFormatting>
  <conditionalFormatting sqref="AQ6:AQ186 AQ200:AQ799">
    <cfRule type="expression" dxfId="765" priority="260">
      <formula>ISTEXT(A6)</formula>
    </cfRule>
  </conditionalFormatting>
  <conditionalFormatting sqref="AQ17:AQ19">
    <cfRule type="expression" dxfId="764" priority="51">
      <formula>ISTEXT(D17)</formula>
    </cfRule>
  </conditionalFormatting>
  <conditionalFormatting sqref="AQ23:AQ36">
    <cfRule type="expression" dxfId="763" priority="59">
      <formula>ISTEXT(D23)</formula>
    </cfRule>
  </conditionalFormatting>
  <conditionalFormatting sqref="AQ38">
    <cfRule type="expression" dxfId="762" priority="147">
      <formula>ISTEXT(D38)</formula>
    </cfRule>
  </conditionalFormatting>
  <conditionalFormatting sqref="AQ40:AQ43">
    <cfRule type="expression" dxfId="761" priority="77">
      <formula>ISTEXT(D40)</formula>
    </cfRule>
  </conditionalFormatting>
  <conditionalFormatting sqref="AQ48:AQ49">
    <cfRule type="expression" dxfId="760" priority="73">
      <formula>ISTEXT(D48)</formula>
    </cfRule>
  </conditionalFormatting>
  <conditionalFormatting sqref="AQ54:AQ56">
    <cfRule type="expression" dxfId="759" priority="71">
      <formula>ISTEXT(D54)</formula>
    </cfRule>
  </conditionalFormatting>
  <conditionalFormatting sqref="AQ58">
    <cfRule type="expression" dxfId="758" priority="206">
      <formula>ISTEXT(D58)</formula>
    </cfRule>
  </conditionalFormatting>
  <conditionalFormatting sqref="AQ60:AQ62">
    <cfRule type="expression" dxfId="757" priority="93">
      <formula>ISTEXT(D60)</formula>
    </cfRule>
  </conditionalFormatting>
  <conditionalFormatting sqref="AQ64:AQ65">
    <cfRule type="expression" dxfId="756" priority="55">
      <formula>ISTEXT(D64)</formula>
    </cfRule>
  </conditionalFormatting>
  <conditionalFormatting sqref="AQ68:AQ72">
    <cfRule type="expression" dxfId="755" priority="113">
      <formula>ISTEXT(D68)</formula>
    </cfRule>
  </conditionalFormatting>
  <conditionalFormatting sqref="AQ74:AQ80">
    <cfRule type="expression" dxfId="754" priority="97">
      <formula>ISTEXT(D74)</formula>
    </cfRule>
  </conditionalFormatting>
  <conditionalFormatting sqref="AQ82:AQ89">
    <cfRule type="expression" dxfId="753" priority="105">
      <formula>ISTEXT(D82)</formula>
    </cfRule>
  </conditionalFormatting>
  <conditionalFormatting sqref="AQ93:AQ99">
    <cfRule type="expression" dxfId="752" priority="67">
      <formula>ISTEXT(D93)</formula>
    </cfRule>
  </conditionalFormatting>
  <conditionalFormatting sqref="AQ113:AQ118">
    <cfRule type="expression" dxfId="751" priority="107">
      <formula>ISTEXT(D113)</formula>
    </cfRule>
  </conditionalFormatting>
  <conditionalFormatting sqref="AQ187:AQ199">
    <cfRule type="expression" dxfId="750" priority="4">
      <formula>ISTEXT(B187)</formula>
    </cfRule>
  </conditionalFormatting>
  <hyperlinks>
    <hyperlink ref="R37" r:id="rId1" display="Produktspecifik" xr:uid="{BC8D952C-C474-4383-B45A-A8E6E31095EE}"/>
    <hyperlink ref="R112" r:id="rId2" display="Produktspecifik" xr:uid="{AF48D499-29DC-4EAF-B023-937C741A4FD8}"/>
    <hyperlink ref="R105" r:id="rId3" display="Produktspecifik" xr:uid="{C6673FD5-5E04-467B-8CB7-5E573E2C4998}"/>
    <hyperlink ref="R57" r:id="rId4" display="Produktspecifik" xr:uid="{9123E8CB-7030-4BFE-BF51-EFDDA86302BD}"/>
    <hyperlink ref="R50" r:id="rId5" display="Produktspecifik" xr:uid="{A10FDDE2-B5AA-43EA-99FC-CEDBA22A06A5}"/>
    <hyperlink ref="R51" r:id="rId6" display="Produktspecifik" xr:uid="{18741834-2D38-4504-8442-2DB1BA4A6C4E}"/>
    <hyperlink ref="R96" r:id="rId7" display="Produktspecifik" xr:uid="{3A52FB82-1237-48EB-AE13-1DE0EB0B9437}"/>
    <hyperlink ref="R114" r:id="rId8" display="Produktspecifik" xr:uid="{9617C389-755A-4E17-A7C3-C4517923AD73}"/>
    <hyperlink ref="E86" r:id="rId9" xr:uid="{78CAAEC6-D15B-4DC7-9511-2802057C7095}"/>
    <hyperlink ref="E83" r:id="rId10" xr:uid="{05D40D1C-2F77-4FCF-AD44-7E7523266685}"/>
    <hyperlink ref="E16" r:id="rId11" xr:uid="{A3BC8ECF-8B61-4D1C-B030-FC7F435BECBB}"/>
    <hyperlink ref="E47" r:id="rId12" xr:uid="{20E63C34-C9DA-4104-99B3-77EF8B752737}"/>
    <hyperlink ref="E35:E37" r:id="rId13" display="USA" xr:uid="{46BDB758-B69D-4B2A-83B8-0C7308449906}"/>
    <hyperlink ref="E51" r:id="rId14" xr:uid="{D90F8E44-3EA4-4338-AC94-C4AC9F7C97A7}"/>
    <hyperlink ref="E50" r:id="rId15" xr:uid="{AF947C39-03CE-494B-A704-048B955529FA}"/>
    <hyperlink ref="E96" r:id="rId16" xr:uid="{F1F307A7-9A56-4E6C-8009-108164C63EE2}"/>
    <hyperlink ref="E114" r:id="rId17" xr:uid="{92CE1C3B-3A21-4C77-9950-09C380BA706D}"/>
    <hyperlink ref="E37" r:id="rId18" xr:uid="{FD2DAB82-365F-4759-9FFD-58386667FEEB}"/>
    <hyperlink ref="E159" r:id="rId19" xr:uid="{7974A4C9-4D9C-4D30-8303-21A7F5E100A7}"/>
    <hyperlink ref="E112" r:id="rId20" xr:uid="{817868BF-F296-4131-A9AD-455F52F7A79D}"/>
    <hyperlink ref="E105" r:id="rId21" xr:uid="{62EA9DC2-6AAF-41BD-AF36-24266A0B3D4A}"/>
    <hyperlink ref="E57" r:id="rId22" xr:uid="{2385E975-B2CF-4ADF-8626-A50261DA8F96}"/>
    <hyperlink ref="R56" r:id="rId23" xr:uid="{0346B7A6-55B7-476B-8EAD-A8B1AF6C595F}"/>
    <hyperlink ref="E56" r:id="rId24" xr:uid="{5B03E62A-AFD1-4D4A-84F2-FF207D0423B1}"/>
    <hyperlink ref="R16" r:id="rId25" display="Produktspecifik" xr:uid="{6817DB85-B2DE-461D-A4E4-24AFA4AB7070}"/>
    <hyperlink ref="R159" r:id="rId26" display="Produktspecifik" xr:uid="{CEC392F6-7313-4A81-BF8C-CEB0F07A3861}"/>
    <hyperlink ref="R162" r:id="rId27" display="Produktspecifik" xr:uid="{4FC0EB83-6FE3-486E-B416-DDB3CC52CA99}"/>
    <hyperlink ref="E41" r:id="rId28" xr:uid="{69FC96BD-EB62-451A-926B-27DF3C42615D}"/>
    <hyperlink ref="E40" r:id="rId29" xr:uid="{3E794F76-AC8D-4312-8B33-72E50D2B38F7}"/>
    <hyperlink ref="E9" r:id="rId30" xr:uid="{ACBC90EE-8E7E-404F-BA25-B5D36A18CE0A}"/>
    <hyperlink ref="E75" r:id="rId31" xr:uid="{09990AC6-DC61-4A0D-AF59-478ABCF5DF22}"/>
    <hyperlink ref="E6" r:id="rId32" xr:uid="{5BB883AB-F2CF-48AE-8421-14FED73E5B57}"/>
    <hyperlink ref="E7" r:id="rId33" xr:uid="{A4A1C050-B39D-4D05-AE68-5B97EF137CE6}"/>
    <hyperlink ref="E10" r:id="rId34" xr:uid="{376D5A79-BE19-402D-9CE4-5D99F9839D99}"/>
    <hyperlink ref="E68" r:id="rId35" xr:uid="{FBDEBC50-0023-4362-8173-EDFA3252A477}"/>
    <hyperlink ref="R9" r:id="rId36" xr:uid="{F9C9B2B0-4130-44C3-B8B2-D64AFD154889}"/>
    <hyperlink ref="R50:R54" r:id="rId37" display="EPD" xr:uid="{2B5BFA78-9372-402A-B68E-C1A39C14EFDB}"/>
    <hyperlink ref="R7" r:id="rId38" xr:uid="{E9D109DB-C747-41E0-BF68-DCF6F1EDEAE8}"/>
    <hyperlink ref="R10" r:id="rId39" xr:uid="{CEE67439-B0F4-49AB-88F4-88EEA0B5AF20}"/>
    <hyperlink ref="E11" r:id="rId40" xr:uid="{B8F5FF3D-4791-42F4-9B1E-D18D3047216B}"/>
    <hyperlink ref="R11" r:id="rId41" xr:uid="{95946BDD-2E02-40EB-822E-4B3731B0D1BA}"/>
    <hyperlink ref="R13" r:id="rId42" xr:uid="{4B4F01BC-A7B2-406E-8CC3-93E3A10CFBC6}"/>
    <hyperlink ref="E13" r:id="rId43" xr:uid="{28D168B0-3A54-45B1-815E-86EC07CC0CC2}"/>
    <hyperlink ref="R91" r:id="rId44" xr:uid="{D55D9A36-4FE3-4937-83BA-DE0399040017}"/>
    <hyperlink ref="E91" r:id="rId45" xr:uid="{45BB59F1-62FB-4672-AEFC-C0C58F362DB3}"/>
    <hyperlink ref="E12" r:id="rId46" xr:uid="{4562942A-73B0-46B8-80A2-ED2E1D52F626}"/>
    <hyperlink ref="R30" r:id="rId47" xr:uid="{D2A98AEA-C940-40B5-BC9E-0497E8F5A126}"/>
    <hyperlink ref="R63" r:id="rId48" xr:uid="{5AFBD64E-5A95-4498-9291-4C6C0B4B6AA3}"/>
    <hyperlink ref="R26" r:id="rId49" xr:uid="{18D77278-9166-4AA2-B756-B15ECBBCEEEE}"/>
    <hyperlink ref="R27" r:id="rId50" xr:uid="{E4B7BE03-A304-4277-BF63-F7C3A4EA3812}"/>
    <hyperlink ref="R12" r:id="rId51" xr:uid="{3BB5FB2F-DDE0-4E79-8E19-63F2418AB2C5}"/>
    <hyperlink ref="E26" r:id="rId52" xr:uid="{E9D2E235-3F55-430A-A74A-D4AEAF2D6260}"/>
    <hyperlink ref="E27" r:id="rId53" xr:uid="{7DD03D77-A0C6-4D59-BB51-C66CD95F85DE}"/>
    <hyperlink ref="E63" r:id="rId54" xr:uid="{DACE5DDA-859D-439F-A7BB-9BEAFBB51E2F}"/>
    <hyperlink ref="E30" r:id="rId55" xr:uid="{3A937600-8033-4058-9D1D-4B37A401BFA0}"/>
    <hyperlink ref="E52" r:id="rId56" xr:uid="{0ABFF18D-4F50-41F5-B9CC-73709E3E62B4}"/>
    <hyperlink ref="R52" r:id="rId57" xr:uid="{AA667E08-DB1F-4D4A-8E06-0E27FBD9CEF7}"/>
    <hyperlink ref="R28" r:id="rId58" xr:uid="{FC77B767-2279-462E-A4A2-9ACE360F99B2}"/>
    <hyperlink ref="E28" r:id="rId59" xr:uid="{235EC958-4524-41F2-BC42-444D9A2EC4C6}"/>
    <hyperlink ref="E151" r:id="rId60" xr:uid="{9C115973-C2E6-4EA0-991B-5E6B1A60EA8C}"/>
    <hyperlink ref="R151" r:id="rId61" xr:uid="{778438CA-9BD4-4335-B92E-2E8928A121A3}"/>
    <hyperlink ref="E149" r:id="rId62" xr:uid="{87D45840-845E-48CB-A190-79B9EBDCD1F2}"/>
    <hyperlink ref="R81" r:id="rId63" xr:uid="{5C7E7F39-0DB5-4CEC-B3A0-21651656CE7B}"/>
    <hyperlink ref="R149" r:id="rId64" xr:uid="{9BE43E78-BD24-4AE6-8260-42F8A614B1DF}"/>
    <hyperlink ref="E81" r:id="rId65" xr:uid="{0BE2389D-5BEA-403D-BE2E-AA8A437F4EA5}"/>
    <hyperlink ref="R86" r:id="rId66" xr:uid="{2631655F-9AF0-447A-978A-1263B3C4CDEB}"/>
    <hyperlink ref="R148" r:id="rId67" xr:uid="{FC875E9C-68C7-4220-9126-3F5DE76DA03E}"/>
    <hyperlink ref="E148" r:id="rId68" xr:uid="{DE41FBC2-3FCF-4CC5-A776-AAB95C10B827}"/>
    <hyperlink ref="E154" r:id="rId69" xr:uid="{8BB3273A-A027-4118-8B30-E12BF1D14353}"/>
    <hyperlink ref="E153" r:id="rId70" xr:uid="{D01C5756-83D6-4815-926F-8A8D6E97643A}"/>
    <hyperlink ref="R154" r:id="rId71" display="Produktspecifik" xr:uid="{9071C46F-7A2D-459B-9BA7-7214AA018F06}"/>
    <hyperlink ref="R153" r:id="rId72" display="Produktspecifik" xr:uid="{47779B2D-8170-43D5-8BED-88C25E5234EF}"/>
    <hyperlink ref="E62" r:id="rId73" xr:uid="{2073C892-2917-4F7E-A25A-81A9B1B57F42}"/>
    <hyperlink ref="R62" r:id="rId74" xr:uid="{9EC11A71-67EA-40A2-AA05-D4C5E2846A7C}"/>
    <hyperlink ref="R172" r:id="rId75" xr:uid="{52B035C6-0589-4928-8DA4-80A723FCDA89}"/>
    <hyperlink ref="E172" r:id="rId76" xr:uid="{DF3AFF13-9B37-41B6-8E4B-C571CD4A30EE}"/>
    <hyperlink ref="E29" r:id="rId77" xr:uid="{79530CB4-F04C-4EF8-81BE-B7D857F8E44C}"/>
    <hyperlink ref="R29" r:id="rId78" xr:uid="{6DFED7AF-D520-42F0-BE99-5CDF2D1522A1}"/>
    <hyperlink ref="R64" r:id="rId79" xr:uid="{6E2E573A-D835-4BAC-9B39-6B8B6AD40DD9}"/>
    <hyperlink ref="E64" r:id="rId80" xr:uid="{F348F01A-B25D-496A-8457-63F6B28EC3B9}"/>
    <hyperlink ref="R124" r:id="rId81" xr:uid="{B4D3FAC6-9A4B-4979-A008-66DF1F59F96B}"/>
    <hyperlink ref="R125" r:id="rId82" xr:uid="{CBB8E3E1-A71B-4736-916C-EEA2045D6994}"/>
    <hyperlink ref="E131" r:id="rId83" xr:uid="{2B83D670-388D-4BBC-AD17-E79C4AB50E56}"/>
    <hyperlink ref="R131" r:id="rId84" xr:uid="{BD7F3BE1-DC64-4F0A-A708-DC8BFF03A580}"/>
    <hyperlink ref="E84" r:id="rId85" xr:uid="{B2ADBE16-38E4-4A59-9281-6C13E7510E61}"/>
    <hyperlink ref="R84" r:id="rId86" xr:uid="{58C853E0-4A84-46A9-A262-E94FD9F2920E}"/>
    <hyperlink ref="E107" r:id="rId87" xr:uid="{2D590F26-E32A-421B-8788-CEAC8B89E45E}"/>
    <hyperlink ref="R107" r:id="rId88" xr:uid="{DE8766B5-0A4D-4494-A08D-C32C96B0295B}"/>
    <hyperlink ref="R59" r:id="rId89" xr:uid="{EEE3BA4A-B53F-4BFF-B748-8A700B417896}"/>
    <hyperlink ref="E59" r:id="rId90" xr:uid="{219C8291-46F2-471D-AB30-595E4863C2CA}"/>
    <hyperlink ref="R130" r:id="rId91" xr:uid="{C52DD962-8F5A-45F9-947C-D30EEBE530E1}"/>
    <hyperlink ref="E130" r:id="rId92" xr:uid="{EBA893B1-FAAA-483D-91B2-FA5AB96D3C74}"/>
    <hyperlink ref="E84:E85" r:id="rId93" display="Tyskland" xr:uid="{D4513E02-B98A-47FD-89F1-C34416C4474D}"/>
    <hyperlink ref="E174" r:id="rId94" xr:uid="{27536660-681D-442E-A143-4135BF95D4E1}"/>
    <hyperlink ref="E176" r:id="rId95" xr:uid="{7A69A50E-E197-4FC4-B2B3-EB1F177321B8}"/>
    <hyperlink ref="R15" r:id="rId96" xr:uid="{E922E394-23AB-4670-B086-1FF2DF20FB7B}"/>
    <hyperlink ref="E15" r:id="rId97" xr:uid="{847C7403-B299-4BE9-A443-0FC1DD71F9FF}"/>
    <hyperlink ref="E97" r:id="rId98" xr:uid="{734E6D31-B2BA-44BA-8108-CA1A877FC6D8}"/>
    <hyperlink ref="E18" r:id="rId99" xr:uid="{66F15289-23B6-4DC8-A1B5-3A38368E9794}"/>
    <hyperlink ref="R18" r:id="rId100" xr:uid="{00A29C38-E26F-453D-A771-764603C9E99A}"/>
    <hyperlink ref="E34" r:id="rId101" xr:uid="{200B9E51-0355-451A-A67C-3DF2CDDAC72C}"/>
    <hyperlink ref="R34" r:id="rId102" xr:uid="{80094DA8-5E7A-41FD-B7CB-B682767E6FD5}"/>
    <hyperlink ref="E31" r:id="rId103" xr:uid="{61EB3F4E-698F-4E71-ABF5-A46C48E2D18E}"/>
    <hyperlink ref="R31" r:id="rId104" xr:uid="{82CDCC13-AB9D-45A2-922F-492615E35A9D}"/>
    <hyperlink ref="E35" r:id="rId105" xr:uid="{F967474F-0F6C-46A1-9AC6-9F388ADB1647}"/>
    <hyperlink ref="R35" r:id="rId106" xr:uid="{E7D41230-DF72-49D5-A6C9-45544238377C}"/>
    <hyperlink ref="E53" r:id="rId107" xr:uid="{40F33F72-28F9-488A-AE8E-1FB584E43AA0}"/>
    <hyperlink ref="R53" r:id="rId108" xr:uid="{1204C99C-DC7E-4E70-903E-5C5D3F9D5B8C}"/>
    <hyperlink ref="E36" r:id="rId109" xr:uid="{6F0F8700-1F35-42EC-82A7-E78D4CE78714}"/>
    <hyperlink ref="R36" r:id="rId110" xr:uid="{53986C92-9477-46BA-9F71-49B23132DD3D}"/>
    <hyperlink ref="E65" r:id="rId111" xr:uid="{98CE0E2D-6C26-486E-8FD3-2155760EFAB2}"/>
    <hyperlink ref="R65" r:id="rId112" xr:uid="{E3B38E1B-31C4-4F88-BCF5-B54113F09CAE}"/>
    <hyperlink ref="E54" r:id="rId113" xr:uid="{7FD4971D-9817-4432-8BFA-5E357BCA9920}"/>
    <hyperlink ref="R54" r:id="rId114" xr:uid="{127ECC76-FACB-4552-A8FF-FA107B555F4C}"/>
    <hyperlink ref="E17" r:id="rId115" xr:uid="{0BA58CDE-F848-4146-AA93-BCF9775045DE}"/>
    <hyperlink ref="R17" r:id="rId116" xr:uid="{4476EEED-2E9B-464B-A56E-D10F9D9D5292}"/>
    <hyperlink ref="E66" r:id="rId117" xr:uid="{8B86C223-170A-45F5-8B63-721FB8A07F98}"/>
    <hyperlink ref="R66" r:id="rId118" xr:uid="{AEF7F9E7-A4CA-4790-A28C-D7C05D766210}"/>
    <hyperlink ref="E38" r:id="rId119" xr:uid="{9A6C7F1D-E5AE-40C1-B0AC-222BFBE3F555}"/>
    <hyperlink ref="R38" r:id="rId120" xr:uid="{1F56B796-1ACA-47DD-8256-3280107CB6C7}"/>
    <hyperlink ref="E82" r:id="rId121" xr:uid="{F577CC8A-2A18-45A8-90D6-B3C3DFBF31C2}"/>
    <hyperlink ref="E85" r:id="rId122" xr:uid="{CCDC6C34-6CBD-424A-B59B-A583568ED14D}"/>
    <hyperlink ref="R85" r:id="rId123" xr:uid="{8526D21D-D1AE-4428-8FF4-779FBDF646BB}"/>
    <hyperlink ref="R55" r:id="rId124" xr:uid="{D708D3E8-1535-44CF-A1D0-1CACDCC023AA}"/>
    <hyperlink ref="E55" r:id="rId125" xr:uid="{D55BF241-7403-4AA7-AD87-BE4E825DD5A3}"/>
    <hyperlink ref="R95" r:id="rId126" display="Produktspecifik" xr:uid="{53E8B5C9-6F4B-4719-8F8F-658D7B7415DA}"/>
    <hyperlink ref="E95" r:id="rId127" xr:uid="{3FB643F3-B9D0-423B-8E80-6860963DDF49}"/>
    <hyperlink ref="R113" r:id="rId128" display="Produktspecifik" xr:uid="{95B47DB6-CD9A-4922-912E-DEE4531E4941}"/>
    <hyperlink ref="E113" r:id="rId129" xr:uid="{A5FEBE4B-4D88-4BD6-8913-BBD4817F544D}"/>
    <hyperlink ref="E173" r:id="rId130" xr:uid="{B6A8C8F2-67B9-4A5E-BFF5-4A37CEF1DAF7}"/>
    <hyperlink ref="E175" r:id="rId131" xr:uid="{9F6245BB-4623-453D-97C7-03261B812CF2}"/>
    <hyperlink ref="AP110" r:id="rId132" xr:uid="{796899CA-28EE-45A9-8B5B-DFEE4926B9D6}"/>
    <hyperlink ref="R110" r:id="rId133" xr:uid="{9F8F4524-6EC4-414D-99DD-AE77AF16F102}"/>
    <hyperlink ref="E110" r:id="rId134" xr:uid="{F077D96D-F194-402E-B3B3-D4403682185D}"/>
    <hyperlink ref="R163" r:id="rId135" xr:uid="{7C19E678-3A1D-45F9-B8ED-5947C5DC0A8F}"/>
    <hyperlink ref="AP163" r:id="rId136" xr:uid="{3C958214-15CD-44F2-82ED-69F453E08907}"/>
    <hyperlink ref="E163" r:id="rId137" xr:uid="{2163CE96-A88D-450B-867E-2BC134C3291F}"/>
    <hyperlink ref="E140" r:id="rId138" xr:uid="{C55A676B-1D49-4E61-8587-F523C925B85C}"/>
    <hyperlink ref="E122:E128" r:id="rId139" display="Danmark" xr:uid="{1671CA7C-E770-449B-B100-E0BD0605AE0E}"/>
    <hyperlink ref="E119" r:id="rId140" xr:uid="{2A44A66D-C49C-4338-9117-9BCD8F3965A5}"/>
    <hyperlink ref="E133" r:id="rId141" xr:uid="{9F4436D9-D062-453B-ADFB-79C7291E83FA}"/>
    <hyperlink ref="E73" r:id="rId142" xr:uid="{D34D65DE-112C-43E3-B9D3-52D2C987071B}"/>
    <hyperlink ref="E138:E144" r:id="rId143" display="Danmark" xr:uid="{C186E249-7101-456A-9771-7E748655DB3A}"/>
    <hyperlink ref="E146:E151" r:id="rId144" display="Danmark" xr:uid="{3BB54BF9-A438-4446-B808-732920F7DE2D}"/>
    <hyperlink ref="E127" r:id="rId145" xr:uid="{854B7510-C6A4-4C82-92C2-8C2C8EC04164}"/>
    <hyperlink ref="E153:E160" r:id="rId146" display="Danmark" xr:uid="{5412B6C1-A3C5-45D0-91F6-579F266FD0D8}"/>
    <hyperlink ref="R140" r:id="rId147" xr:uid="{CD54A87E-FF49-474A-9B0F-BE7B7EBC9EB6}"/>
    <hyperlink ref="R145" r:id="rId148" xr:uid="{86B067AB-07D4-4526-9C32-B6C7440D461B}"/>
    <hyperlink ref="R127" r:id="rId149" xr:uid="{8AEAC619-593A-4CDB-8E74-9366E13F24EF}"/>
    <hyperlink ref="AP133" r:id="rId150" xr:uid="{138D8B4C-7B9B-498A-9C06-E8FD579D0D5F}"/>
    <hyperlink ref="AP138:AP139" r:id="rId151" display="Link" xr:uid="{E235408E-9EB4-4BF2-BCBA-9F7BAD85F03B}"/>
    <hyperlink ref="AP88" r:id="rId152" xr:uid="{BCF76816-BD53-4706-B592-E7CFF7232372}"/>
    <hyperlink ref="AP136" r:id="rId153" location="Tekniskeegenskaber&amp;sortiment" xr:uid="{984D9DE7-1DED-4BB0-BF6A-5BF4A1419C3C}"/>
    <hyperlink ref="AP127:AP131" r:id="rId154" location="Tekniskeegenskaber&amp;sortiment" display="Link" xr:uid="{A65983C2-5B77-4B76-8834-CB16D95587C9}"/>
    <hyperlink ref="AP135" r:id="rId155" location="Tekniskeegenskaber&amp;sortiment" xr:uid="{37736237-E3CB-44E0-BBDE-531F276F1B10}"/>
    <hyperlink ref="AP134" r:id="rId156" location="Tekniskeegenskaber&amp;sortiment" xr:uid="{65A72D74-E358-415D-9D60-FA7703ED591D}"/>
    <hyperlink ref="AP152" r:id="rId157" xr:uid="{1E2868C5-748F-4A6B-BFE2-DC3B899A3A0E}"/>
    <hyperlink ref="AP74" r:id="rId158" xr:uid="{95F8ACE6-F354-4AFF-8B4D-675DD20A4422}"/>
    <hyperlink ref="AP161" r:id="rId159" xr:uid="{BD0131C0-B5F8-4501-B29C-0D16B0C1C069}"/>
    <hyperlink ref="AP144" r:id="rId160" xr:uid="{3EA831BE-7371-46F0-BAD6-5E5668F75568}"/>
    <hyperlink ref="AP169" r:id="rId161" location="Tekniskeegenskaber&amp;sortiment" xr:uid="{4A303937-522B-4263-AF1C-232D359E3114}"/>
    <hyperlink ref="AP145" r:id="rId162" location="Tekniskeegenskaber&amp;sortiment" xr:uid="{1FF089E9-BAF1-4A90-A729-F81C2538A3A9}"/>
    <hyperlink ref="AP128" r:id="rId163" xr:uid="{469685CC-81DD-4DE6-A2DB-F744F2ED63AF}"/>
    <hyperlink ref="AP154:AP160" r:id="rId164" display="Link" xr:uid="{E498612F-2860-4FD7-BD4B-4B6B5B865697}"/>
    <hyperlink ref="E61" r:id="rId165" xr:uid="{0FB08082-F88E-4D92-9DDE-9A4C89E7BF41}"/>
    <hyperlink ref="R61" r:id="rId166" xr:uid="{7A8626F6-136E-4659-9318-B6880BA1CB92}"/>
    <hyperlink ref="AP61" r:id="rId167" xr:uid="{4A6A15D4-D81C-4650-B55C-8630F79715C7}"/>
    <hyperlink ref="AP23" r:id="rId168" xr:uid="{8CC3984D-F0B5-48F0-9A44-D865BADA2016}"/>
    <hyperlink ref="R23" r:id="rId169" xr:uid="{3CFF9414-DA90-494D-A36A-FBEC878DCFAC}"/>
    <hyperlink ref="E23" r:id="rId170" xr:uid="{3348BFFD-6A93-4DCA-A246-1E18729EFE73}"/>
    <hyperlink ref="E183" r:id="rId171" xr:uid="{ADBE11F9-52C8-4703-9B8A-0CF92934064F}"/>
    <hyperlink ref="R80" r:id="rId172" xr:uid="{FFA4BE53-A71C-475B-8CE1-4A5DF0FEC67D}"/>
    <hyperlink ref="E80" r:id="rId173" xr:uid="{D9FBFBCD-F545-4316-91AC-1F7E1D15CF31}"/>
    <hyperlink ref="AP80" r:id="rId174" xr:uid="{5521555A-FCF6-4AB8-A84B-5EF02F1A8124}"/>
    <hyperlink ref="E78" r:id="rId175" xr:uid="{7EF2B27F-9154-474D-BDD8-40C4219144FD}"/>
    <hyperlink ref="R78" r:id="rId176" xr:uid="{8846D978-AD34-44B6-AE5A-3C4669822C5F}"/>
    <hyperlink ref="AP78" r:id="rId177" xr:uid="{72E93005-C4DB-4AE7-A7D6-19C04FBA2333}"/>
    <hyperlink ref="E108" r:id="rId178" xr:uid="{950EDA2C-A875-4220-8033-E1E026AF7FCF}"/>
    <hyperlink ref="R108" r:id="rId179" xr:uid="{F2515B28-4AA7-4AEC-98F0-EB327BDE5DDB}"/>
    <hyperlink ref="AP108" r:id="rId180" location="funktioner-og-fordele" xr:uid="{7D3492D1-6189-4B2E-84BA-B340B9A0770F}"/>
    <hyperlink ref="E147" r:id="rId181" xr:uid="{B186978B-E315-456C-978A-0C1141833F07}"/>
    <hyperlink ref="R147" r:id="rId182" xr:uid="{1CC3A510-6D9B-49C3-AC7F-5376AEDA9BA7}"/>
    <hyperlink ref="AP147" r:id="rId183" location="technical-information" xr:uid="{CB2871DB-6694-4F74-9E3B-76C450016750}"/>
    <hyperlink ref="R42" r:id="rId184" xr:uid="{D17583BB-B43D-482D-BF4E-C158B314A3B9}"/>
    <hyperlink ref="E42" r:id="rId185" xr:uid="{562051C6-7415-459A-A43F-510CDB3711A0}"/>
    <hyperlink ref="E200" r:id="rId186" xr:uid="{9FF930B9-3F55-4496-8432-F11B054D23C2}"/>
    <hyperlink ref="AP42" r:id="rId187" xr:uid="{1C06C410-DDA4-447F-9CCA-9FD03560AFA1}"/>
    <hyperlink ref="AP200" r:id="rId188" xr:uid="{95511D32-33DE-4D33-922A-3F40CBD298F7}"/>
    <hyperlink ref="AP183" r:id="rId189" xr:uid="{17B09FC1-92C2-412E-9F07-4028C5D01656}"/>
    <hyperlink ref="E168" r:id="rId190" xr:uid="{C2ACAA25-A846-4612-9AD3-3C4E778E50C7}"/>
    <hyperlink ref="R168" r:id="rId191" xr:uid="{67B510C1-9C1C-4C9B-B66A-3780A3E06A2C}"/>
    <hyperlink ref="AP168" r:id="rId192" xr:uid="{DBF44614-022F-412E-B6DF-BA0F46769A78}"/>
    <hyperlink ref="R89" r:id="rId193" xr:uid="{A9255132-F096-48CB-9159-93BEBDECCC73}"/>
    <hyperlink ref="E89" r:id="rId194" xr:uid="{67197CF5-A7A2-4443-BE9C-A9B1B47C40C3}"/>
    <hyperlink ref="AP89" r:id="rId195" xr:uid="{7B329D3D-B37B-4DF6-B208-2098A8125451}"/>
    <hyperlink ref="E14" r:id="rId196" xr:uid="{E9FB9A1D-DC08-4A60-99CC-CBEA96C55DCC}"/>
    <hyperlink ref="R14" r:id="rId197" xr:uid="{895CD6FE-2A3A-44F7-9906-F370A159E49E}"/>
    <hyperlink ref="AP14" r:id="rId198" xr:uid="{66B86C85-60B6-4A0D-8136-957F82CDD599}"/>
    <hyperlink ref="E70" r:id="rId199" xr:uid="{ACA9D02B-1F5B-4B6C-B376-34567FB4337D}"/>
    <hyperlink ref="R70" r:id="rId200" xr:uid="{3978726F-BD80-489D-B667-26E96A39FC31}"/>
    <hyperlink ref="AP70" r:id="rId201" xr:uid="{9D3B540D-EFC5-4E97-8396-B4B3B5A7E645}"/>
    <hyperlink ref="E32" r:id="rId202" xr:uid="{7C838992-BF4A-482F-95C0-6883F94B216C}"/>
    <hyperlink ref="R32" r:id="rId203" xr:uid="{E0221139-461A-46D9-874C-EA286123B463}"/>
    <hyperlink ref="AP32" r:id="rId204" xr:uid="{57B27EC3-D9EE-4D75-BF5F-84E18086BF03}"/>
    <hyperlink ref="E19" r:id="rId205" xr:uid="{100E26DC-87DE-464D-86C4-A07641DCE915}"/>
    <hyperlink ref="R19" r:id="rId206" xr:uid="{7F735B6F-5334-4D71-8814-46DAA18A6773}"/>
    <hyperlink ref="AP19" r:id="rId207" xr:uid="{058BB80F-0332-40F3-9A6B-51CF092E4148}"/>
    <hyperlink ref="AP69" r:id="rId208" xr:uid="{769CE5C5-C742-4905-B91F-2FCD037E5C14}"/>
    <hyperlink ref="AP33" r:id="rId209" xr:uid="{7D151B2B-84D6-4B84-BB20-4C890165BE22}"/>
    <hyperlink ref="AP22" r:id="rId210" xr:uid="{FB3D6A3A-7313-4466-8F0F-ED18196E4B62}"/>
    <hyperlink ref="E69" r:id="rId211" xr:uid="{56253A4A-541C-4B9E-B2F9-44A178026411}"/>
    <hyperlink ref="R69" r:id="rId212" xr:uid="{90576F00-4404-4AD3-9BC5-67D4B189D98F}"/>
    <hyperlink ref="E33" r:id="rId213" xr:uid="{69369EE4-989E-4D31-AB9E-23617474186C}"/>
    <hyperlink ref="R33" r:id="rId214" xr:uid="{0363DAC8-7D1B-48D0-9253-4998A3161698}"/>
    <hyperlink ref="E22" r:id="rId215" xr:uid="{CE004EFB-8C0C-43A2-9E5C-27AF0E6F4160}"/>
    <hyperlink ref="R22" r:id="rId216" xr:uid="{B9BEEF3D-FBDD-40B9-8067-7AF3BF7DD307}"/>
    <hyperlink ref="AP104" r:id="rId217" xr:uid="{FD15DED8-0C65-4FF7-B121-B97CB976F8D0}"/>
    <hyperlink ref="R8" r:id="rId218" xr:uid="{D9D0248C-2811-43E8-9120-AFF01A4244E6}"/>
    <hyperlink ref="E8" r:id="rId219" xr:uid="{308D04F4-F43B-49E8-A2AD-3C889BA50523}"/>
    <hyperlink ref="AP8" r:id="rId220" xr:uid="{91E19CD1-198A-45C4-8661-7747556120A1}"/>
    <hyperlink ref="R104" r:id="rId221" xr:uid="{6A66D18D-FFDC-4C06-81F0-F58415493A1E}"/>
    <hyperlink ref="E104" r:id="rId222" xr:uid="{4616688B-C90B-40AE-819E-41A1F5ABC4ED}"/>
    <hyperlink ref="R72" r:id="rId223" xr:uid="{0921785D-87AB-4825-9208-847938B25F8A}"/>
    <hyperlink ref="E72" r:id="rId224" xr:uid="{1FEBF452-6622-4CAA-9429-1849E3A8B1B4}"/>
    <hyperlink ref="AP72" r:id="rId225" xr:uid="{772531A1-6039-4223-8B85-D468DEDAA0CE}"/>
    <hyperlink ref="AP71" r:id="rId226" xr:uid="{38761BB3-C4DD-4512-A66C-3316FCC4E18F}"/>
    <hyperlink ref="R71" r:id="rId227" xr:uid="{491A3BF1-0EBC-4600-8B0C-86E822704E08}"/>
    <hyperlink ref="E71" r:id="rId228" xr:uid="{3C563A4C-EAB1-4C11-A84B-AFF139846B8F}"/>
    <hyperlink ref="AP67" r:id="rId229" xr:uid="{0F9C2C05-EFC8-45A7-BB51-411402C7D553}"/>
    <hyperlink ref="R67" r:id="rId230" xr:uid="{094628A0-06FD-487B-AF9C-C25F350DFBE5}"/>
    <hyperlink ref="E67" r:id="rId231" xr:uid="{26FDBD0F-6B3A-4EB3-9A7D-91A372EA5067}"/>
    <hyperlink ref="E106" r:id="rId232" xr:uid="{1DEF069C-225D-46DE-8C97-D42CB1FF41C4}"/>
    <hyperlink ref="R106" r:id="rId233" xr:uid="{234CF397-8ADA-4222-B5C8-89DF0482EFEC}"/>
    <hyperlink ref="AP106" r:id="rId234" xr:uid="{3F3CB8F6-34F4-4158-A90E-EE9DA0A62BFD}"/>
    <hyperlink ref="R121" r:id="rId235" xr:uid="{D32ADD68-4E6C-4B5C-A368-0F6B47F1E349}"/>
    <hyperlink ref="R77" r:id="rId236" xr:uid="{246B26B0-7D8F-47CA-B057-CBDE0712D5E2}"/>
    <hyperlink ref="E121" r:id="rId237" xr:uid="{D9D400EA-FD86-4DD8-88F8-4662B0DB9905}"/>
    <hyperlink ref="E77" r:id="rId238" xr:uid="{C610649E-A53E-4DB3-9C25-9C2EC0C4A6BC}"/>
    <hyperlink ref="AP77" r:id="rId239" xr:uid="{13707D13-9910-4D11-AAC5-DAB261DCDA32}"/>
    <hyperlink ref="AP121" r:id="rId240" xr:uid="{1EF069C0-7300-4CE8-96F4-7A5B8B80F03E}"/>
    <hyperlink ref="AP159" r:id="rId241" xr:uid="{E4583909-D716-4654-A70C-F934AF0E9905}"/>
    <hyperlink ref="AP20" r:id="rId242" xr:uid="{B347EBF5-E5EC-494E-A245-710925826291}"/>
    <hyperlink ref="AP21" r:id="rId243" xr:uid="{6063D690-2A16-4C41-8280-F267163D29DD}"/>
    <hyperlink ref="AP165" r:id="rId244" xr:uid="{939F4458-33B4-4AED-91E9-BB3AFC9E4D71}"/>
    <hyperlink ref="AP16" r:id="rId245" xr:uid="{789CE77D-D6D0-4AB1-BBBF-D870B875D10D}"/>
    <hyperlink ref="AP37" r:id="rId246" xr:uid="{556177E6-97DD-4009-8B35-F095D1876803}"/>
    <hyperlink ref="AP39" r:id="rId247" xr:uid="{E9543518-4FCE-4085-B455-44CB28E19F12}"/>
    <hyperlink ref="AP44" r:id="rId248" xr:uid="{2782D4A5-CDA5-48AD-B267-B9103E78674B}"/>
    <hyperlink ref="AP45" r:id="rId249" xr:uid="{032ADF1F-9CA2-41F3-BFCD-D49E7164DBD7}"/>
    <hyperlink ref="AP47" r:id="rId250" xr:uid="{A43185B6-3C8A-40F2-B23F-EA7C4C497434}"/>
    <hyperlink ref="AP50" r:id="rId251" xr:uid="{B6DF9633-1805-4A55-8AB6-13BA83C23A31}"/>
    <hyperlink ref="AP51" r:id="rId252" xr:uid="{810BB510-9507-43DB-B01E-A34D595E7E09}"/>
    <hyperlink ref="AP153" r:id="rId253" xr:uid="{16EDB2D1-02FB-474C-89ED-433791330EEB}"/>
    <hyperlink ref="AP154" r:id="rId254" xr:uid="{674B903F-FBFF-4001-8060-1320C4BE3C94}"/>
    <hyperlink ref="AP82" r:id="rId255" xr:uid="{0286C531-990A-4E93-B6B7-12CEEEADB738}"/>
    <hyperlink ref="AQ82" r:id="rId256" xr:uid="{C4216009-4823-43D6-8055-2F8566917A22}"/>
    <hyperlink ref="AP83" r:id="rId257" xr:uid="{322C50C6-E35C-4232-A67F-9329BEAD110C}"/>
    <hyperlink ref="AQ83" r:id="rId258" xr:uid="{940EF367-EF54-420D-A57C-6A5943AA34F7}"/>
    <hyperlink ref="AP85" r:id="rId259" xr:uid="{D5D62BC6-BAA1-451E-A416-19B7375EEA1B}"/>
    <hyperlink ref="AQ85" r:id="rId260" xr:uid="{8467A03A-DADD-4883-9CC1-4F51619FF4B7}"/>
    <hyperlink ref="AP86" r:id="rId261" xr:uid="{FB2B0CDF-FB73-4E1B-AEE7-5749CCB1BCBA}"/>
    <hyperlink ref="AQ86" r:id="rId262" xr:uid="{2BFED100-511B-4EFF-8D28-E96779D02401}"/>
    <hyperlink ref="AP57" r:id="rId263" xr:uid="{6EC4E13D-2F70-4107-A09F-746E04704105}"/>
    <hyperlink ref="AP55" r:id="rId264" xr:uid="{D1B37DF0-4C5A-4ABE-AF4F-00F493138799}"/>
    <hyperlink ref="AQ55" r:id="rId265" xr:uid="{BBEA9680-799D-44D4-88AA-DFC8013C79AF}"/>
    <hyperlink ref="AP56" r:id="rId266" xr:uid="{2BD467DD-211E-4D45-8001-0AEF73E4A72A}"/>
    <hyperlink ref="AQ56" r:id="rId267" xr:uid="{4F7F0B7F-50D1-4158-B18D-37A212D50377}"/>
    <hyperlink ref="AP58" r:id="rId268" xr:uid="{E69E312E-0DBA-402A-8623-1D1693A73FF8}"/>
    <hyperlink ref="AQ58" r:id="rId269" xr:uid="{0F114CD6-B0B0-4024-9F4E-6492A2853A4B}"/>
    <hyperlink ref="AP24" r:id="rId270" xr:uid="{0547254B-09D5-48C5-885F-6B3521FA7378}"/>
    <hyperlink ref="AP25" r:id="rId271" xr:uid="{3B18BED7-4146-4141-806D-E3252963CB9A}"/>
    <hyperlink ref="AP93" r:id="rId272" xr:uid="{5D6A79B4-420F-4E50-A286-CB6A4F30D911}"/>
    <hyperlink ref="AP94" r:id="rId273" xr:uid="{68C4274F-919B-476D-9337-8967EC28A624}"/>
    <hyperlink ref="AP95" r:id="rId274" xr:uid="{7E9FB542-D94F-4E40-847E-0D61061B92BE}"/>
    <hyperlink ref="AQ95" r:id="rId275" xr:uid="{C05D2368-EA0B-4F09-977B-5714DE4BEB33}"/>
    <hyperlink ref="AP96" r:id="rId276" xr:uid="{12FF524C-DC17-4AF8-BF13-F4E0A023F60C}"/>
    <hyperlink ref="AQ96" r:id="rId277" xr:uid="{17FE7E75-03D5-49EA-93E0-93E4D286B69A}"/>
    <hyperlink ref="AP90" r:id="rId278" xr:uid="{CA962D35-BFC6-4C61-A038-7D5D1DCFB0E3}"/>
    <hyperlink ref="AP166" r:id="rId279" xr:uid="{67244882-6975-4014-A5FC-144B8F1232C2}"/>
    <hyperlink ref="AP167" r:id="rId280" xr:uid="{AD6C5C3D-8C77-4311-ABCC-10014F2C7C53}"/>
    <hyperlink ref="AP100" r:id="rId281" xr:uid="{084746D9-9503-41F0-A32C-F25261DA8549}"/>
    <hyperlink ref="AP101" r:id="rId282" xr:uid="{ABFA72FB-4123-4CDE-BE99-1ED46135A52D}"/>
    <hyperlink ref="AP102" r:id="rId283" xr:uid="{3D6D24FE-3F42-4CB4-A4EA-8313AC1443BF}"/>
    <hyperlink ref="AP103" r:id="rId284" xr:uid="{A0AC079A-9239-47D2-83FA-CA092A8991CD}"/>
    <hyperlink ref="AP171" r:id="rId285" xr:uid="{5C2F9D82-A254-46FA-B121-5C35C7A8D6A8}"/>
    <hyperlink ref="AP105" r:id="rId286" xr:uid="{856891AB-C1C9-4924-B9C5-A41F1DCFDE83}"/>
    <hyperlink ref="AP180" r:id="rId287" xr:uid="{55F2CE44-773C-49D6-B147-D5DC0B1DFC4E}"/>
    <hyperlink ref="AP181" r:id="rId288" xr:uid="{C6FFCF6D-BD13-43D6-A77B-2CA20851B521}"/>
    <hyperlink ref="AP182" r:id="rId289" xr:uid="{DA35A8F2-6CBA-4F69-BD07-6E082A882D6A}"/>
    <hyperlink ref="AP184" r:id="rId290" xr:uid="{E974CA54-7168-4F5C-B5B0-BE23D82115B2}"/>
    <hyperlink ref="AP185" r:id="rId291" xr:uid="{D92B145F-4038-4024-84D4-CB2298C019B6}"/>
    <hyperlink ref="AP111" r:id="rId292" xr:uid="{91F8A3BD-6A73-4471-997E-B652FE5525BF}"/>
    <hyperlink ref="AP112" r:id="rId293" xr:uid="{DB15D4F2-2211-408D-AB2D-98EC6187FCA8}"/>
    <hyperlink ref="AP46" r:id="rId294" xr:uid="{37401396-590A-4517-A530-AE8022CB4DD6}"/>
    <hyperlink ref="AP113" r:id="rId295" xr:uid="{E98418CD-604A-411E-8376-6C373C5A9334}"/>
    <hyperlink ref="AQ113" r:id="rId296" xr:uid="{B1F5B48F-F902-4936-A217-852458D25D21}"/>
    <hyperlink ref="AP114" r:id="rId297" xr:uid="{DD0CADC5-7B84-49BE-978A-793444F0F516}"/>
    <hyperlink ref="AQ114" r:id="rId298" xr:uid="{1EE37661-2B4B-47D8-87D3-BED3FCCE8FEE}"/>
    <hyperlink ref="AP115" r:id="rId299" xr:uid="{A07131A6-BF11-46EC-9F1E-7DE00132331D}"/>
    <hyperlink ref="AP186" r:id="rId300" xr:uid="{D36FFB43-4978-44D5-9E82-05C091D69625}"/>
    <hyperlink ref="AP15" r:id="rId301" xr:uid="{71389409-407C-4C05-9566-6BDEBE232268}"/>
    <hyperlink ref="AP43" r:id="rId302" xr:uid="{719C6BBE-A6A6-482A-A70A-7659A324D20E}"/>
    <hyperlink ref="AP60" r:id="rId303" xr:uid="{942B0C10-0CA0-4826-B4BD-ADB81332EA34}"/>
    <hyperlink ref="AP162" r:id="rId304" xr:uid="{9332CF68-8598-4B5D-8FAA-B70C7C5D33DD}"/>
    <hyperlink ref="AQ162" r:id="rId305" xr:uid="{FCD2C867-7445-4ACB-AFE1-9C5ECBD3DB59}"/>
    <hyperlink ref="AP40" r:id="rId306" xr:uid="{5AD2CE8A-B7F2-4BE7-9ADE-0D4EAAB7C5A3}"/>
    <hyperlink ref="AP41" r:id="rId307" xr:uid="{778BB18C-FDE2-4CA7-AAE7-41D3CA418CE4}"/>
    <hyperlink ref="AP34" r:id="rId308" location="Tekniskeegenskaber&amp;sortiment" xr:uid="{8102E660-7761-4E5C-9126-AD7B3D16E3EF}"/>
    <hyperlink ref="AP9" r:id="rId309" location="Tekniskeegenskaber&amp;sortiment" xr:uid="{F832E5DB-A8EE-4863-B00D-E4BCEDEBABDF}"/>
    <hyperlink ref="AP75" r:id="rId310" location="Tekniskeegenskaber&amp;sortiment" xr:uid="{CB2E6310-7217-40C2-B642-728FCF77627F}"/>
    <hyperlink ref="AP31" r:id="rId311" location="Beregningsv%C3%A6rkt%C3%B8jer,Guides&amp;Downloads" xr:uid="{57046F4A-425E-492A-B92E-77B1B1FE464C}"/>
    <hyperlink ref="AP6" r:id="rId312" location="Beregningsv%C3%A6rkt%C3%B8jer,Guides&amp;Downloads" xr:uid="{B0A0E5C3-0609-4F7C-BCDD-B269DAC3A234}"/>
    <hyperlink ref="AP7" r:id="rId313" xr:uid="{211DA22E-1438-4C59-8180-6F795630E669}"/>
    <hyperlink ref="AP35" r:id="rId314" location="Tekniskeegenskaber&amp;sortiment" xr:uid="{9CC7F386-4298-42AB-8275-387C1EEAB6D3}"/>
    <hyperlink ref="AP10" r:id="rId315" location="Tekniskeegenskaber&amp;sortiment" xr:uid="{79E33D34-4AF1-47F3-984D-4D2BA7B40872}"/>
    <hyperlink ref="AP68" r:id="rId316" location="Tekniskeegenskaber&amp;sortiment" xr:uid="{521CBED3-B648-41AE-BE42-628196100214}"/>
    <hyperlink ref="AP11" r:id="rId317" xr:uid="{708E670B-E710-4698-817D-6FB0324C5B32}"/>
    <hyperlink ref="AP13" r:id="rId318" location="anvendelse" xr:uid="{3071EAFC-7141-4767-A981-AE3E6F3819FB}"/>
    <hyperlink ref="AP91" r:id="rId319" location="funktioner-og-fordele" xr:uid="{0ADF7681-29EF-49F8-917D-202B45BCBEEE}"/>
    <hyperlink ref="AP12" r:id="rId320" location="tekniske-produktegenskaber" xr:uid="{4956C485-4926-4EBF-8CF9-3B41FA6B4519}"/>
    <hyperlink ref="AP26" r:id="rId321" xr:uid="{6906FDB2-6F9A-4AC8-8A18-7E6C8EF68C71}"/>
    <hyperlink ref="AP27" r:id="rId322" xr:uid="{4F250662-CFFD-43AA-90FF-4842FE755114}"/>
    <hyperlink ref="AP28" r:id="rId323" xr:uid="{44B5F8C0-1EB1-41F3-B12F-CA1B1B976D44}"/>
    <hyperlink ref="AP63" r:id="rId324" xr:uid="{0002E124-4E7C-4466-BF29-CB960E7DE064}"/>
    <hyperlink ref="AP52" r:id="rId325" xr:uid="{EE8530C7-ED44-4280-A00F-2F36229B58B8}"/>
    <hyperlink ref="AP30" r:id="rId326" xr:uid="{742B720F-14C7-4E30-BDC0-62521C2B1BA1}"/>
    <hyperlink ref="AP130" r:id="rId327" xr:uid="{DC099EDD-7CC7-471F-BEE1-3B9E216527DE}"/>
    <hyperlink ref="AP131" r:id="rId328" xr:uid="{859770A9-DBC2-4601-8660-EC2F34884174}"/>
    <hyperlink ref="AP107" r:id="rId329" xr:uid="{F43075A3-60CF-4797-8D52-7EA09B672CE7}"/>
    <hyperlink ref="AP84" r:id="rId330" xr:uid="{7385B47F-4EAC-44B0-BF8A-AEB79A63D300}"/>
    <hyperlink ref="AP59" r:id="rId331" xr:uid="{84D53044-0183-4FE0-B387-63C4B9F9C8B4}"/>
    <hyperlink ref="AP151" r:id="rId332" xr:uid="{C440A03A-91D3-4AB1-B426-92CFDDB8A9B9}"/>
    <hyperlink ref="AP149" r:id="rId333" xr:uid="{423E5104-3154-4EB6-9E74-6A35DCE4A326}"/>
    <hyperlink ref="AP81" r:id="rId334" xr:uid="{1AAE2363-A4F2-487D-A9D7-91CDC47B7F03}"/>
    <hyperlink ref="AP148" r:id="rId335" xr:uid="{13A9A6D3-AA73-45AD-8545-6707A0BA3E37}"/>
    <hyperlink ref="AP62" r:id="rId336" xr:uid="{A80AE79D-1CBB-4253-B50C-127CC4A5C9B2}"/>
    <hyperlink ref="AP172" r:id="rId337" xr:uid="{BFAA9014-A3EF-4F36-BDFD-51E134E45ACD}"/>
    <hyperlink ref="AP29" r:id="rId338" xr:uid="{596DDCC0-2314-4D7C-A1D6-D837C1CF88E2}"/>
    <hyperlink ref="AP64" r:id="rId339" xr:uid="{6554360A-AF75-45A9-86FE-01326135A3EC}"/>
    <hyperlink ref="AP124" r:id="rId340" xr:uid="{81C075D2-C71F-4CB3-9591-C35C0B92807D}"/>
    <hyperlink ref="AP125" r:id="rId341" xr:uid="{83E98F88-6F72-48AF-A853-A91DEA1FA7BC}"/>
    <hyperlink ref="AP178" r:id="rId342" xr:uid="{177C89ED-23EE-4BD3-B711-F4226030E4A8}"/>
    <hyperlink ref="AQ178" r:id="rId343" xr:uid="{DF33D108-731A-4623-AD2F-427566BBB993}"/>
    <hyperlink ref="AP141" r:id="rId344" xr:uid="{63CDFB75-22F7-456D-BD17-398AECE03F67}"/>
    <hyperlink ref="AQ141" r:id="rId345" xr:uid="{5448708E-C357-4DEE-B2A0-C1884A4A9A6F}"/>
    <hyperlink ref="AP179" r:id="rId346" xr:uid="{01090F2C-44A9-4004-A3B8-3E0C93390AE5}"/>
    <hyperlink ref="AQ179" r:id="rId347" xr:uid="{465FD172-8E11-45FC-8DC1-4FF6A78F94BE}"/>
    <hyperlink ref="AP173" r:id="rId348" xr:uid="{C1CCE47D-61E8-49EB-BFC9-2E2E3E87D3CC}"/>
    <hyperlink ref="AQ173" r:id="rId349" xr:uid="{30CBE6DC-2464-4E26-8235-39BA1FF5C397}"/>
    <hyperlink ref="AP174" r:id="rId350" xr:uid="{6E1BF928-16D3-47CD-81A1-ED4C60DD68A7}"/>
    <hyperlink ref="AQ174" r:id="rId351" xr:uid="{534AAE8C-5BB2-417D-86DD-2C5F3446A3B3}"/>
    <hyperlink ref="AP175" r:id="rId352" xr:uid="{1AD4B08D-0FCB-4B79-8100-88520396AF01}"/>
    <hyperlink ref="AQ175" r:id="rId353" xr:uid="{4F9821E8-2582-4E6B-8E6A-BBFE83F5457A}"/>
    <hyperlink ref="AP176" r:id="rId354" xr:uid="{AC10F497-700E-481B-B22F-CA25B53C8B46}"/>
    <hyperlink ref="AQ176" r:id="rId355" xr:uid="{8530D0D6-142F-4752-BE40-F25BE57D1487}"/>
    <hyperlink ref="AP160" r:id="rId356" xr:uid="{D59C8BF0-F5C8-4221-8907-AF3A260ABF61}"/>
    <hyperlink ref="AQ160" r:id="rId357" xr:uid="{52378F91-9C65-4A6E-A895-9D21E5E63F55}"/>
    <hyperlink ref="AP48" r:id="rId358" xr:uid="{1FD825B4-D7CE-437A-ADFB-F0971FA4C31B}"/>
    <hyperlink ref="AQ48" r:id="rId359" xr:uid="{145924B7-6F65-4E62-80D8-AD266EB51BD4}"/>
    <hyperlink ref="AP49" r:id="rId360" xr:uid="{186423D3-BD97-4C46-98B4-37619DAF41CF}"/>
    <hyperlink ref="AQ49" r:id="rId361" xr:uid="{75424DF9-08F3-474D-8B88-91BE0EE46C45}"/>
    <hyperlink ref="AP164" r:id="rId362" xr:uid="{E65EB4D8-C5AE-495E-938D-491A8FBC6BE8}"/>
    <hyperlink ref="AQ164" r:id="rId363" xr:uid="{8053D939-EA25-4ECD-B7AE-B59505C74FD9}"/>
    <hyperlink ref="AP170" r:id="rId364" xr:uid="{B1221406-4E80-49E3-89EC-6DD320FFEA98}"/>
    <hyperlink ref="AQ170" r:id="rId365" xr:uid="{6A21E814-A710-4EE3-AF67-070DF21FEFC1}"/>
    <hyperlink ref="AP97" r:id="rId366" xr:uid="{52BFAD1D-64A9-49EE-BB0D-7B66A15013B5}"/>
    <hyperlink ref="AP53" r:id="rId367" xr:uid="{F808E056-2E2F-4A13-86C5-E65E77F62C1A}"/>
    <hyperlink ref="AP18" r:id="rId368" xr:uid="{CED48B1B-1B5F-41FD-ACC0-7B962AB78F59}"/>
    <hyperlink ref="AP65" r:id="rId369" xr:uid="{4944C3A3-6886-46F9-B2E8-A2966F8D9009}"/>
    <hyperlink ref="AP36" r:id="rId370" xr:uid="{EBE3E9A1-AD6B-4C3D-B708-694EBB569658}"/>
    <hyperlink ref="AP66" r:id="rId371" location="Tekniskeegenskaber&amp;sortiment" xr:uid="{50674E58-1474-446A-8B9A-D8E3CD131E6E}"/>
    <hyperlink ref="AP38" r:id="rId372" location="Tekniskeegenskaber&amp;sortiment" xr:uid="{BD92C4A4-1165-4ADA-B1FB-532ADD5C1F0E}"/>
    <hyperlink ref="AP157" r:id="rId373" xr:uid="{7D8959EB-B828-48CF-8FF7-7752E00E5D8B}"/>
    <hyperlink ref="AQ157" r:id="rId374" xr:uid="{7D5C078C-899B-4071-86A6-5F27F9B9B935}"/>
    <hyperlink ref="AP158" r:id="rId375" xr:uid="{81D5F926-7D7A-4B16-9B63-3F1AF56D3854}"/>
    <hyperlink ref="AQ158" r:id="rId376" xr:uid="{A5EF46EC-0AB4-470E-B386-C1B27E8965D6}"/>
    <hyperlink ref="AP54" r:id="rId377" xr:uid="{1A806395-B6B8-43D3-BED2-43641C4626D5}"/>
    <hyperlink ref="AP17" r:id="rId378" xr:uid="{8E164E7D-B4C7-4B03-846F-01D61355F49B}"/>
    <hyperlink ref="AP140" r:id="rId379" location="funktioner-og-fordele" xr:uid="{99437A8C-92FB-46B3-9D18-3D48B9B912DA}"/>
    <hyperlink ref="AP146" r:id="rId380" xr:uid="{A6C2DC52-EA8F-4AD8-981C-92B0E8CEE318}"/>
    <hyperlink ref="AP155" r:id="rId381" xr:uid="{026D62FE-7EAB-43EC-8713-932498FA5CFC}"/>
    <hyperlink ref="AP123" r:id="rId382" xr:uid="{9FA71A81-B031-495F-B69F-C4DAA55515BD}"/>
    <hyperlink ref="AP122" r:id="rId383" xr:uid="{D37409AE-F612-4ACE-B488-4E0B3A8CE047}"/>
    <hyperlink ref="AP143" r:id="rId384" xr:uid="{24FC68F7-87D2-481E-A2E7-F67E1A643A16}"/>
    <hyperlink ref="AP156" r:id="rId385" xr:uid="{2DA4110C-C419-4895-A0C3-9A4FAF5EAD93}"/>
    <hyperlink ref="AP73" r:id="rId386" xr:uid="{C4CAFE1B-4C6E-4862-8020-077899FDB186}"/>
    <hyperlink ref="AP92" r:id="rId387" xr:uid="{AEA739E4-2B98-4EED-B0A8-3E433B5A70BD}"/>
    <hyperlink ref="AP177" r:id="rId388" xr:uid="{7876E135-9FAA-4F47-9ED4-92037BE6A0E4}"/>
    <hyperlink ref="E187" r:id="rId389" xr:uid="{E54310F4-8842-435A-A742-CC582473F2BD}"/>
    <hyperlink ref="E188" r:id="rId390" xr:uid="{9CAF1D37-99BF-4029-88AB-9640779A6D05}"/>
    <hyperlink ref="E189" r:id="rId391" xr:uid="{5AB37F3B-0E3D-49F2-931C-83F6FF284734}"/>
    <hyperlink ref="E190" r:id="rId392" xr:uid="{295EF5BE-297C-4BC7-A7CA-AD9A5620ACA5}"/>
    <hyperlink ref="E191" r:id="rId393" xr:uid="{E7F1F04D-EFA9-4413-8A47-079DD859E8EB}"/>
    <hyperlink ref="E192" r:id="rId394" xr:uid="{B71C3B7E-96BD-43A1-BA18-6C678A95CF79}"/>
    <hyperlink ref="E193" r:id="rId395" xr:uid="{645BA82C-AD53-451D-A374-E655051B1141}"/>
    <hyperlink ref="E194" r:id="rId396" xr:uid="{F8A2F24C-6ACA-465A-9D78-96D16FEFA85B}"/>
    <hyperlink ref="E195" r:id="rId397" xr:uid="{55964412-3169-44FF-8044-E4CB33EB30B3}"/>
    <hyperlink ref="E196" r:id="rId398" xr:uid="{82E2FD1B-4B18-4C06-B9F5-4A97000E0813}"/>
    <hyperlink ref="E197" r:id="rId399" xr:uid="{362121D0-00D0-450F-9D4D-E1AB1590B824}"/>
    <hyperlink ref="E198" r:id="rId400" xr:uid="{F3184583-DC6E-4436-AEDF-30005E666862}"/>
    <hyperlink ref="E199" r:id="rId401" xr:uid="{CD04DC3F-67CB-4ADA-AF9C-F5B318AE04D8}"/>
    <hyperlink ref="R187" r:id="rId402" xr:uid="{E869F43A-CAA3-4735-A207-8AE972D4E7AB}"/>
    <hyperlink ref="R188" r:id="rId403" xr:uid="{FB8211C1-5DC3-470A-B124-9DC6CB62FE3D}"/>
    <hyperlink ref="R189" r:id="rId404" xr:uid="{0DD671B7-0B4B-4662-84FA-C9688D1E461B}"/>
    <hyperlink ref="R190" r:id="rId405" xr:uid="{AFA0AE73-1570-45E6-87CA-814714063AA5}"/>
    <hyperlink ref="R191" r:id="rId406" xr:uid="{AA13884F-657D-413B-9837-669D88B61318}"/>
    <hyperlink ref="R192" r:id="rId407" xr:uid="{45E9235C-2B55-4504-87A3-7023DDCE73DC}"/>
    <hyperlink ref="R193" r:id="rId408" xr:uid="{5E7297F5-FA51-46CE-A17D-7084D45C0137}"/>
    <hyperlink ref="R194" r:id="rId409" xr:uid="{2CACBF2E-5B6E-46A6-BF6D-33DF038D5B62}"/>
    <hyperlink ref="R195" r:id="rId410" xr:uid="{39D5CFE1-3FEB-4CEE-BD18-2564C606224C}"/>
    <hyperlink ref="R196" r:id="rId411" xr:uid="{E03795AF-0BC2-468C-B8E5-0891725FA6DA}"/>
    <hyperlink ref="R197" r:id="rId412" xr:uid="{05500934-E597-45F7-8D1E-91150256B6DA}"/>
    <hyperlink ref="R198" r:id="rId413" xr:uid="{0E460EB6-0389-40EE-9B50-7D8A7ECD8DD9}"/>
    <hyperlink ref="R199" r:id="rId414" xr:uid="{1C4705D3-D419-4317-BF3E-34F53776D387}"/>
    <hyperlink ref="AP187" r:id="rId415" xr:uid="{0002E34C-F8C0-4DE4-9B12-FC4D98E78D5F}"/>
    <hyperlink ref="AP188" r:id="rId416" xr:uid="{F4D3E8E7-2B61-48F2-A270-A592205FDFC5}"/>
    <hyperlink ref="AP190" r:id="rId417" xr:uid="{145990D9-2578-49A0-B54E-6EDAAC2AE016}"/>
    <hyperlink ref="AP189" r:id="rId418" xr:uid="{214AABA7-0892-4074-9460-E62EB75ECDAB}"/>
    <hyperlink ref="AP191" r:id="rId419" xr:uid="{FF871588-AA7B-4149-9CBC-CA920A0DB1F5}"/>
    <hyperlink ref="AQ187" r:id="rId420" xr:uid="{FDCBF79C-D51B-459C-8A64-CF6AFA28254D}"/>
    <hyperlink ref="AP192" r:id="rId421" xr:uid="{4C8D3DC5-AD69-49CC-8EFB-E09D2C556A78}"/>
    <hyperlink ref="AP193" r:id="rId422" xr:uid="{83083295-5B19-447A-AE32-2003602B9AF0}"/>
    <hyperlink ref="AP194" r:id="rId423" xr:uid="{13C6C6A5-D84D-4420-839C-C6B3AE2DDBD6}"/>
    <hyperlink ref="AP195" r:id="rId424" xr:uid="{6D27F041-72C2-4A07-A8DE-3B2AEC2E0637}"/>
    <hyperlink ref="AP196" r:id="rId425" xr:uid="{EA7A61CA-56BB-4A79-AD90-8B9F2BFAECF2}"/>
    <hyperlink ref="AP197" r:id="rId426" xr:uid="{ABB2DBF3-B6DC-4C11-8BE0-3035576567AC}"/>
    <hyperlink ref="AP198" r:id="rId427" xr:uid="{F93410D5-B19A-4768-AA9F-174FE3BC25B4}"/>
    <hyperlink ref="AP199" r:id="rId428" xr:uid="{CB3EA9C3-E316-497F-B509-0955018198C5}"/>
    <hyperlink ref="R141" r:id="rId429" xr:uid="{C2F37C36-E533-4E45-A73D-B28FC938809E}"/>
    <hyperlink ref="AP139" r:id="rId430" xr:uid="{BCF10C8D-5386-4E58-9CA2-BD441E2C5C0D}"/>
    <hyperlink ref="AQ139" r:id="rId431" xr:uid="{7B17FAFD-BC98-4A08-91BA-FD2DC2A38668}"/>
    <hyperlink ref="R139" r:id="rId432" xr:uid="{92D1076F-1748-43DB-9011-AEE93AD0D62F}"/>
    <hyperlink ref="E141" r:id="rId433" xr:uid="{A49B9A74-D090-4ADC-816F-2A877933AEA6}"/>
    <hyperlink ref="E139" r:id="rId434" xr:uid="{5878FAB9-B347-40C1-B37C-B7547816BE33}"/>
  </hyperlinks>
  <pageMargins left="0.7" right="0.7" top="0.75" bottom="0.75" header="0.3" footer="0.3"/>
  <pageSetup paperSize="9" orientation="portrait" horizontalDpi="4294967293" r:id="rId435"/>
  <drawing r:id="rId436"/>
  <legacyDrawing r:id="rId437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B8EF9B8-A009-41AD-86CA-D324FB8F9E46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J4:J5</xm:sqref>
        </x14:conditionalFormatting>
        <x14:conditionalFormatting xmlns:xm="http://schemas.microsoft.com/office/excel/2006/main">
          <x14:cfRule type="dataBar" id="{E5E47F47-C842-49E9-BF1E-76C4420A1089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9824600B-5EBC-4585-A141-839049878AAE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M1:M1048576 O1:O1048576</xm:sqref>
        </x14:conditionalFormatting>
        <x14:conditionalFormatting xmlns:xm="http://schemas.microsoft.com/office/excel/2006/main">
          <x14:cfRule type="dataBar" id="{ADC1E09A-6F41-4209-80FF-74B7E2341A31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Q1:Q1048576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342BA-FF31-4CF4-9C16-3D5A2090796F}">
  <sheetPr>
    <tabColor rgb="FF6A9495"/>
  </sheetPr>
  <dimension ref="A1:AR938"/>
  <sheetViews>
    <sheetView showGridLines="0" zoomScale="60" zoomScaleNormal="60" workbookViewId="0">
      <pane xSplit="1" ySplit="5" topLeftCell="C6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14.44140625" defaultRowHeight="13.8" outlineLevelCol="1" x14ac:dyDescent="0.15"/>
  <cols>
    <col min="1" max="1" width="46.6640625" style="16" customWidth="1"/>
    <col min="2" max="2" width="5.44140625" style="16" hidden="1" customWidth="1"/>
    <col min="3" max="3" width="9.88671875" style="16" customWidth="1"/>
    <col min="4" max="4" width="20.44140625" style="16" customWidth="1"/>
    <col min="5" max="5" width="18.109375" style="16" customWidth="1"/>
    <col min="6" max="6" width="13.6640625" style="16" customWidth="1"/>
    <col min="7" max="7" width="18.33203125" style="16" customWidth="1"/>
    <col min="8" max="8" width="3.6640625" style="16" customWidth="1"/>
    <col min="9" max="9" width="8.44140625" style="4" customWidth="1"/>
    <col min="10" max="10" width="10.6640625" style="19" customWidth="1"/>
    <col min="11" max="11" width="15.6640625" style="151" customWidth="1"/>
    <col min="12" max="12" width="10.6640625" style="19" customWidth="1"/>
    <col min="13" max="13" width="15.6640625" style="151" customWidth="1"/>
    <col min="14" max="14" width="10.6640625" style="19" customWidth="1"/>
    <col min="15" max="15" width="15.6640625" style="151" customWidth="1"/>
    <col min="16" max="16" width="10.6640625" style="19" customWidth="1"/>
    <col min="17" max="17" width="15.6640625" style="162" customWidth="1"/>
    <col min="18" max="18" width="7" style="16" customWidth="1"/>
    <col min="19" max="19" width="14.33203125" style="16" customWidth="1"/>
    <col min="20" max="20" width="11.109375" style="16" customWidth="1"/>
    <col min="21" max="21" width="17.44140625" style="16" customWidth="1"/>
    <col min="22" max="22" width="9.44140625" style="16" customWidth="1"/>
    <col min="23" max="23" width="3.6640625" style="16" hidden="1" customWidth="1" outlineLevel="1"/>
    <col min="24" max="24" width="30" style="16" hidden="1" customWidth="1" outlineLevel="1"/>
    <col min="25" max="25" width="11.6640625" style="16" hidden="1" customWidth="1" outlineLevel="1"/>
    <col min="26" max="26" width="12.109375" style="16" hidden="1" customWidth="1" outlineLevel="1"/>
    <col min="27" max="28" width="22.33203125" style="16" hidden="1" customWidth="1" outlineLevel="1"/>
    <col min="29" max="29" width="22.6640625" style="19" hidden="1" customWidth="1" outlineLevel="1"/>
    <col min="30" max="30" width="22.44140625" style="19" hidden="1" customWidth="1" outlineLevel="1"/>
    <col min="31" max="31" width="22.44140625" style="16" hidden="1" customWidth="1" outlineLevel="1"/>
    <col min="32" max="32" width="3.6640625" style="16" customWidth="1" collapsed="1"/>
    <col min="33" max="33" width="2.33203125" style="9" customWidth="1"/>
    <col min="34" max="34" width="4.33203125" style="16" customWidth="1"/>
    <col min="35" max="35" width="4.33203125" style="9" customWidth="1"/>
    <col min="36" max="36" width="2.33203125" style="16" customWidth="1"/>
    <col min="37" max="37" width="3.6640625" style="16" customWidth="1"/>
    <col min="38" max="38" width="12.6640625" style="16" customWidth="1"/>
    <col min="39" max="39" width="10.109375" style="16" customWidth="1"/>
    <col min="40" max="40" width="3.6640625" style="16" customWidth="1"/>
    <col min="41" max="43" width="7.6640625" style="16" customWidth="1"/>
    <col min="44" max="44" width="3.6640625" style="17" customWidth="1"/>
    <col min="45" max="16384" width="14.44140625" style="16"/>
  </cols>
  <sheetData>
    <row r="1" spans="1:44" ht="19.2" hidden="1" customHeight="1" x14ac:dyDescent="0.15">
      <c r="I1" s="16"/>
      <c r="J1" s="44" t="s">
        <v>297</v>
      </c>
      <c r="K1" s="161">
        <f>SUBTOTAL(4,J6:Q799)</f>
        <v>105.2200611</v>
      </c>
      <c r="L1" s="16"/>
      <c r="N1" s="16"/>
    </row>
    <row r="2" spans="1:44" ht="18" hidden="1" customHeight="1" x14ac:dyDescent="0.15">
      <c r="I2" s="16"/>
      <c r="J2" s="44" t="s">
        <v>298</v>
      </c>
      <c r="K2" s="161">
        <f>SUBTOTAL(5,J6:Q799)</f>
        <v>-37.4</v>
      </c>
      <c r="L2" s="16"/>
      <c r="N2" s="16"/>
    </row>
    <row r="3" spans="1:44" ht="49.95" customHeight="1" x14ac:dyDescent="0.15">
      <c r="Y3" s="284" t="s">
        <v>372</v>
      </c>
      <c r="Z3" s="284"/>
      <c r="AA3" s="284"/>
      <c r="AB3" s="284"/>
      <c r="AC3" s="284"/>
      <c r="AD3" s="284"/>
      <c r="AE3" s="284"/>
    </row>
    <row r="4" spans="1:44" s="9" customFormat="1" ht="30" customHeight="1" x14ac:dyDescent="0.3">
      <c r="A4" s="56" t="s">
        <v>0</v>
      </c>
      <c r="B4" s="288" t="s">
        <v>207</v>
      </c>
      <c r="C4" s="288"/>
      <c r="D4" s="56" t="s">
        <v>1</v>
      </c>
      <c r="E4" s="56" t="s">
        <v>134</v>
      </c>
      <c r="F4" s="56" t="s">
        <v>2</v>
      </c>
      <c r="G4" s="20" t="s">
        <v>816</v>
      </c>
      <c r="H4" s="126"/>
      <c r="I4" s="56" t="s">
        <v>245</v>
      </c>
      <c r="J4" s="291" t="s">
        <v>197</v>
      </c>
      <c r="K4" s="291"/>
      <c r="L4" s="287" t="s">
        <v>198</v>
      </c>
      <c r="M4" s="288"/>
      <c r="N4" s="287" t="s">
        <v>303</v>
      </c>
      <c r="O4" s="288"/>
      <c r="P4" s="291" t="s">
        <v>202</v>
      </c>
      <c r="Q4" s="291"/>
      <c r="R4" s="56" t="s">
        <v>5</v>
      </c>
      <c r="S4" s="20" t="s">
        <v>371</v>
      </c>
      <c r="T4" s="20" t="s">
        <v>242</v>
      </c>
      <c r="U4" s="56" t="s">
        <v>4</v>
      </c>
      <c r="V4" s="20" t="s">
        <v>243</v>
      </c>
      <c r="W4" s="51"/>
      <c r="X4" s="20" t="s">
        <v>532</v>
      </c>
      <c r="Y4" s="20" t="s">
        <v>193</v>
      </c>
      <c r="Z4" s="20" t="s">
        <v>246</v>
      </c>
      <c r="AA4" s="20" t="s">
        <v>203</v>
      </c>
      <c r="AB4" s="56" t="s">
        <v>6</v>
      </c>
      <c r="AC4" s="58" t="s">
        <v>7</v>
      </c>
      <c r="AD4" s="58" t="s">
        <v>8</v>
      </c>
      <c r="AE4" s="20" t="s">
        <v>202</v>
      </c>
      <c r="AF4" s="126"/>
      <c r="AG4" s="287" t="s">
        <v>199</v>
      </c>
      <c r="AH4" s="288"/>
      <c r="AI4" s="288"/>
      <c r="AJ4" s="288"/>
      <c r="AK4" s="130"/>
      <c r="AL4" s="20" t="s">
        <v>166</v>
      </c>
      <c r="AM4" s="56" t="s">
        <v>3</v>
      </c>
      <c r="AN4" s="130"/>
      <c r="AO4" s="56" t="s">
        <v>186</v>
      </c>
      <c r="AP4" s="56"/>
      <c r="AQ4" s="59"/>
      <c r="AR4" s="21"/>
    </row>
    <row r="5" spans="1:44" s="43" customFormat="1" ht="20.399999999999999" customHeight="1" x14ac:dyDescent="0.3">
      <c r="A5" s="22"/>
      <c r="B5" s="290"/>
      <c r="C5" s="290"/>
      <c r="D5" s="22"/>
      <c r="E5" s="22"/>
      <c r="F5" s="22"/>
      <c r="G5" s="59"/>
      <c r="H5" s="127"/>
      <c r="I5" s="22" t="s">
        <v>288</v>
      </c>
      <c r="J5" s="292" t="s">
        <v>275</v>
      </c>
      <c r="K5" s="292"/>
      <c r="L5" s="290" t="s">
        <v>275</v>
      </c>
      <c r="M5" s="290"/>
      <c r="N5" s="290" t="s">
        <v>275</v>
      </c>
      <c r="O5" s="290"/>
      <c r="P5" s="292" t="s">
        <v>275</v>
      </c>
      <c r="Q5" s="292"/>
      <c r="R5" s="22"/>
      <c r="S5" s="163"/>
      <c r="T5" s="22"/>
      <c r="U5" s="22" t="s">
        <v>194</v>
      </c>
      <c r="V5" s="22" t="s">
        <v>10</v>
      </c>
      <c r="X5" s="22"/>
      <c r="Y5" s="22"/>
      <c r="Z5" s="22" t="s">
        <v>206</v>
      </c>
      <c r="AA5" s="22" t="s">
        <v>373</v>
      </c>
      <c r="AB5" s="22" t="s">
        <v>373</v>
      </c>
      <c r="AC5" s="22" t="s">
        <v>373</v>
      </c>
      <c r="AD5" s="22" t="s">
        <v>373</v>
      </c>
      <c r="AE5" s="22" t="s">
        <v>373</v>
      </c>
      <c r="AF5" s="127"/>
      <c r="AG5" s="290" t="s">
        <v>11</v>
      </c>
      <c r="AH5" s="290"/>
      <c r="AI5" s="290"/>
      <c r="AJ5" s="290"/>
      <c r="AK5" s="127"/>
      <c r="AL5" s="22" t="s">
        <v>206</v>
      </c>
      <c r="AM5" s="22" t="s">
        <v>229</v>
      </c>
      <c r="AN5" s="127"/>
      <c r="AO5" s="22"/>
      <c r="AP5" s="22"/>
      <c r="AQ5" s="22"/>
      <c r="AR5" s="23"/>
    </row>
    <row r="6" spans="1:44" ht="25.2" customHeight="1" x14ac:dyDescent="0.15">
      <c r="A6" s="47" t="s">
        <v>21</v>
      </c>
      <c r="B6" s="47" t="s">
        <v>208</v>
      </c>
      <c r="C6" s="47"/>
      <c r="D6" s="47" t="s">
        <v>18</v>
      </c>
      <c r="E6" s="47" t="s">
        <v>141</v>
      </c>
      <c r="F6" s="47" t="s">
        <v>19</v>
      </c>
      <c r="G6" s="47"/>
      <c r="H6" s="47"/>
      <c r="I6" s="111">
        <v>1</v>
      </c>
      <c r="J6" s="52" t="str">
        <f t="shared" ref="J6:J51" si="0">IF(AC6="N/A","N/A",IF(K6="","N/A",K6))</f>
        <v>N/A</v>
      </c>
      <c r="K6" s="148" t="str" cm="1">
        <f t="array" ref="K6">IF(AC6="N/A","",_xlfn.IFS(Y6="m2",((AA6/(Z6/AL6))*I6),Y6="m3",((AA6/(Z6/AL6))*I6),Y6="kg",(((AA6*AM6)/(1/AL6))*I6),Y6="ton",(((AA6/1000*AM6)/(1/AL6))*I6),Y6="N/A",""))</f>
        <v/>
      </c>
      <c r="L6" s="52" t="str">
        <f t="shared" ref="L6:L51" si="1">IF(M6="","N/A",M6)</f>
        <v>N/A</v>
      </c>
      <c r="M6" s="148" t="str" cm="1">
        <f t="array" ref="M6">(_xlfn.IFS(Y6="m2",((AB6/(Z6/AL6))*I6),Y6="m3",((AB6/(Z6/AL6))*I6),Y6="kg",(((AB6*AM6)/(1/AL6))*I6),Y6="ton",(((AB6/1000*AM6)/(1/AL6))*I6),Y6="N/A",""))</f>
        <v/>
      </c>
      <c r="N6" s="52" t="str">
        <f t="shared" ref="N6:N27" si="2">IF(O6="","N/A",O6)</f>
        <v>N/A</v>
      </c>
      <c r="O6" s="148" t="str" cm="1">
        <f t="array" ref="O6">IF(AC6="N/A","",(_xlfn.IFS(Y6="m2",((AC6/(Z6/AL6))*I6),Y6="m3",((AC6/(Z6/AL6))*I6),Y6="kg",(((AC6*AM6)/(1/AL6))*I6),Y6="ton",(((AC6/1000*AM6)/(1/AL6))*I6),Y6="N/A","")))</f>
        <v/>
      </c>
      <c r="P6" s="52" t="str">
        <f t="shared" ref="P6:P27" si="3">IF(Q6="","N/A",Q6)</f>
        <v>N/A</v>
      </c>
      <c r="Q6" s="155" t="str" cm="1">
        <f t="array" ref="Q6">IF(AE6="N/A","",_xlfn.IFS(Y6="m2",((AE6/(Z6/AL6))*I6),Y6="m3",((AE6/(Z6/AL6))*I6),Y6="kg",(((AE6*AM6)/(1/AL6))*I6),Y6="ton",(((AE6/1000*AM6)/(1/AL6))*I6),Y6="N/A",""))</f>
        <v/>
      </c>
      <c r="R6" s="47" t="s">
        <v>191</v>
      </c>
      <c r="S6" s="47"/>
      <c r="T6" s="47" t="s">
        <v>191</v>
      </c>
      <c r="U6" s="47" t="s">
        <v>191</v>
      </c>
      <c r="V6" s="47" t="s">
        <v>191</v>
      </c>
      <c r="W6" s="47"/>
      <c r="X6" s="47" t="s">
        <v>191</v>
      </c>
      <c r="Y6" s="47" t="s">
        <v>191</v>
      </c>
      <c r="Z6" s="47" t="s">
        <v>191</v>
      </c>
      <c r="AA6" s="52" t="str">
        <f t="shared" ref="AA6:AA51" si="4">IF(AC6="N/A","N/A",SUM(AB6:AC6))</f>
        <v>N/A</v>
      </c>
      <c r="AB6" s="47" t="s">
        <v>191</v>
      </c>
      <c r="AC6" s="52" t="s">
        <v>191</v>
      </c>
      <c r="AD6" s="52" t="s">
        <v>191</v>
      </c>
      <c r="AE6" s="47" t="s">
        <v>191</v>
      </c>
      <c r="AF6" s="69"/>
      <c r="AG6" s="103" t="str">
        <f t="shared" ref="AG6:AG68" si="5">AH6&amp;" "&amp;AI6</f>
        <v xml:space="preserve">E </v>
      </c>
      <c r="AH6" s="75" t="s">
        <v>16</v>
      </c>
      <c r="AI6" s="76"/>
      <c r="AJ6" s="103"/>
      <c r="AK6" s="73"/>
      <c r="AL6" s="47"/>
      <c r="AM6" s="47">
        <v>140</v>
      </c>
      <c r="AN6" s="47"/>
      <c r="AO6" s="80" t="s">
        <v>17</v>
      </c>
      <c r="AP6" s="265"/>
      <c r="AQ6" s="73"/>
      <c r="AR6" s="25"/>
    </row>
    <row r="7" spans="1:44" ht="25.2" customHeight="1" x14ac:dyDescent="0.15">
      <c r="A7" s="47" t="s">
        <v>63</v>
      </c>
      <c r="B7" s="47" t="s">
        <v>208</v>
      </c>
      <c r="C7" s="47"/>
      <c r="D7" s="47" t="s">
        <v>64</v>
      </c>
      <c r="E7" s="82" t="s">
        <v>146</v>
      </c>
      <c r="F7" s="85" t="s">
        <v>168</v>
      </c>
      <c r="G7" s="85"/>
      <c r="H7" s="85"/>
      <c r="I7" s="112">
        <v>1</v>
      </c>
      <c r="J7" s="52" t="str">
        <f t="shared" si="0"/>
        <v>N/A</v>
      </c>
      <c r="K7" s="148" t="str" cm="1">
        <f t="array" ref="K7">IF(AC7="N/A","",_xlfn.IFS(Y7="m2",((AA7/(Z7/AL7))*I7),Y7="m3",((AA7/(Z7/AL7))*I7),Y7="kg",(((AA7*AM7)/(1/AL7))*I7),Y7="ton",(((AA7/1000*AM7)/(1/AL7))*I7),Y7="N/A",""))</f>
        <v/>
      </c>
      <c r="L7" s="52" t="str">
        <f t="shared" si="1"/>
        <v>N/A</v>
      </c>
      <c r="M7" s="148" t="str" cm="1">
        <f t="array" ref="M7">(_xlfn.IFS(Y7="m2",((AB7/(Z7/AL7))*I7),Y7="m3",((AB7/(Z7/AL7))*I7),Y7="kg",(((AB7*AM7)/(1/AL7))*I7),Y7="ton",(((AB7/1000*AM7)/(1/AL7))*I7),Y7="N/A",""))</f>
        <v/>
      </c>
      <c r="N7" s="52" t="str">
        <f t="shared" si="2"/>
        <v>N/A</v>
      </c>
      <c r="O7" s="148" t="str" cm="1">
        <f t="array" ref="O7">IF(AC7="N/A","",(_xlfn.IFS(Y7="m2",((AC7/(Z7/AL7))*I7),Y7="m3",((AC7/(Z7/AL7))*I7),Y7="kg",(((AC7*AM7)/(1/AL7))*I7),Y7="ton",(((AC7/1000*AM7)/(1/AL7))*I7),Y7="N/A","")))</f>
        <v/>
      </c>
      <c r="P7" s="52" t="str">
        <f t="shared" si="3"/>
        <v>N/A</v>
      </c>
      <c r="Q7" s="155" t="str" cm="1">
        <f t="array" ref="Q7">IF(AE7="N/A","",_xlfn.IFS(Y7="m2",((AE7/(Z7/AL7))*I7),Y7="m3",((AE7/(Z7/AL7))*I7),Y7="kg",(((AE7*AM7)/(1/AL7))*I7),Y7="ton",(((AE7/1000*AM7)/(1/AL7))*I7),Y7="N/A",""))</f>
        <v/>
      </c>
      <c r="R7" s="47" t="s">
        <v>191</v>
      </c>
      <c r="S7" s="47"/>
      <c r="T7" s="47" t="s">
        <v>191</v>
      </c>
      <c r="U7" s="47" t="s">
        <v>191</v>
      </c>
      <c r="V7" s="47" t="s">
        <v>191</v>
      </c>
      <c r="W7" s="47"/>
      <c r="X7" s="47" t="s">
        <v>191</v>
      </c>
      <c r="Y7" s="47" t="s">
        <v>191</v>
      </c>
      <c r="Z7" s="47" t="s">
        <v>191</v>
      </c>
      <c r="AA7" s="52" t="str">
        <f t="shared" si="4"/>
        <v>N/A</v>
      </c>
      <c r="AB7" s="47" t="s">
        <v>191</v>
      </c>
      <c r="AC7" s="52" t="s">
        <v>191</v>
      </c>
      <c r="AD7" s="52" t="s">
        <v>191</v>
      </c>
      <c r="AE7" s="47" t="s">
        <v>191</v>
      </c>
      <c r="AF7" s="69"/>
      <c r="AG7" s="103" t="str">
        <f t="shared" si="5"/>
        <v xml:space="preserve">F </v>
      </c>
      <c r="AH7" s="75" t="s">
        <v>82</v>
      </c>
      <c r="AI7" s="76"/>
      <c r="AJ7" s="103"/>
      <c r="AK7" s="73"/>
      <c r="AL7" s="47"/>
      <c r="AM7" s="47" t="s">
        <v>191</v>
      </c>
      <c r="AN7" s="47"/>
      <c r="AO7" s="265" t="s">
        <v>17</v>
      </c>
      <c r="AP7" s="265"/>
      <c r="AQ7" s="73"/>
      <c r="AR7" s="25"/>
    </row>
    <row r="8" spans="1:44" ht="25.2" customHeight="1" x14ac:dyDescent="0.15">
      <c r="A8" s="47" t="s">
        <v>105</v>
      </c>
      <c r="B8" s="47" t="s">
        <v>208</v>
      </c>
      <c r="C8" s="47"/>
      <c r="D8" s="47" t="s">
        <v>104</v>
      </c>
      <c r="E8" s="82" t="s">
        <v>146</v>
      </c>
      <c r="F8" s="47" t="s">
        <v>55</v>
      </c>
      <c r="G8" s="85" t="s">
        <v>835</v>
      </c>
      <c r="H8" s="47"/>
      <c r="I8" s="111">
        <v>1</v>
      </c>
      <c r="J8" s="52">
        <f t="shared" si="0"/>
        <v>2.1799999999999997</v>
      </c>
      <c r="K8" s="148" cm="1">
        <f t="array" ref="K8">IF(AC8="N/A","",_xlfn.IFS(Y8="m2",((AA8/(Z8/AL8))*I8),Y8="m3",((AA8/(Z8/AL8))*I8),Y8="kg",(((AA8*AM8)/(1/AL8))*I8),Y8="ton",(((AA8/1000*AM8)/(1/AL8))*I8),Y8="N/A",""))</f>
        <v>2.1799999999999997</v>
      </c>
      <c r="L8" s="52">
        <f t="shared" si="1"/>
        <v>-0.22</v>
      </c>
      <c r="M8" s="148" cm="1">
        <f t="array" ref="M8">(_xlfn.IFS(Y8="m2",((AB8/(Z8/AL8))*I8),Y8="m3",((AB8/(Z8/AL8))*I8),Y8="kg",(((AB8*AM8)/(1/AL8))*I8),Y8="ton",(((AB8/1000*AM8)/(1/AL8))*I8),Y8="N/A",""))</f>
        <v>-0.22</v>
      </c>
      <c r="N8" s="52">
        <f t="shared" si="2"/>
        <v>2.4</v>
      </c>
      <c r="O8" s="148" cm="1">
        <f t="array" ref="O8">IF(AC8="N/A","",(_xlfn.IFS(Y8="m2",((AC8/(Z8/AL8))*I8),Y8="m3",((AC8/(Z8/AL8))*I8),Y8="kg",(((AC8*AM8)/(1/AL8))*I8),Y8="ton",(((AC8/1000*AM8)/(1/AL8))*I8),Y8="N/A","")))</f>
        <v>2.4</v>
      </c>
      <c r="P8" s="52">
        <f t="shared" si="3"/>
        <v>-2.4500000000000002</v>
      </c>
      <c r="Q8" s="155" cm="1">
        <f t="array" ref="Q8">IF(AE8="N/A","",_xlfn.IFS(Y8="m2",((AE8/(Z8/AL8))*I8),Y8="m3",((AE8/(Z8/AL8))*I8),Y8="kg",(((AE8*AM8)/(1/AL8))*I8),Y8="ton",(((AE8/1000*AM8)/(1/AL8))*I8),Y8="N/A",""))</f>
        <v>-2.4500000000000002</v>
      </c>
      <c r="R8" s="82" t="s">
        <v>5</v>
      </c>
      <c r="S8" s="164"/>
      <c r="T8" s="47">
        <v>2028</v>
      </c>
      <c r="U8" s="47" t="s">
        <v>28</v>
      </c>
      <c r="V8" s="47" t="s">
        <v>191</v>
      </c>
      <c r="W8" s="47"/>
      <c r="X8" s="47" t="s">
        <v>568</v>
      </c>
      <c r="Y8" s="47" t="s">
        <v>15</v>
      </c>
      <c r="Z8" s="47">
        <v>2.1000000000000001E-2</v>
      </c>
      <c r="AA8" s="52">
        <f t="shared" si="4"/>
        <v>2.1799999999999997</v>
      </c>
      <c r="AB8" s="52">
        <v>-0.22</v>
      </c>
      <c r="AC8" s="52">
        <f>2.4+0</f>
        <v>2.4</v>
      </c>
      <c r="AD8" s="52">
        <v>0.20200000000000001</v>
      </c>
      <c r="AE8" s="52">
        <v>-2.4500000000000002</v>
      </c>
      <c r="AF8" s="69"/>
      <c r="AG8" s="103" t="str">
        <f t="shared" si="5"/>
        <v>D s2
d0</v>
      </c>
      <c r="AH8" s="75" t="s">
        <v>8</v>
      </c>
      <c r="AI8" s="83" t="s">
        <v>177</v>
      </c>
      <c r="AJ8" s="103"/>
      <c r="AK8" s="73"/>
      <c r="AL8" s="47">
        <v>2.1000000000000001E-2</v>
      </c>
      <c r="AM8" s="47">
        <v>450</v>
      </c>
      <c r="AN8" s="47"/>
      <c r="AO8" s="80" t="s">
        <v>17</v>
      </c>
      <c r="AP8" s="110"/>
      <c r="AQ8" s="73"/>
      <c r="AR8" s="25"/>
    </row>
    <row r="9" spans="1:44" ht="25.2" customHeight="1" x14ac:dyDescent="0.15">
      <c r="A9" s="47" t="s">
        <v>103</v>
      </c>
      <c r="B9" s="47" t="s">
        <v>208</v>
      </c>
      <c r="C9" s="47"/>
      <c r="D9" s="47" t="s">
        <v>104</v>
      </c>
      <c r="E9" s="82" t="s">
        <v>146</v>
      </c>
      <c r="F9" s="47" t="s">
        <v>55</v>
      </c>
      <c r="G9" s="85" t="s">
        <v>835</v>
      </c>
      <c r="H9" s="47"/>
      <c r="I9" s="111">
        <v>1</v>
      </c>
      <c r="J9" s="52">
        <f t="shared" si="0"/>
        <v>2.1799999999999997</v>
      </c>
      <c r="K9" s="148" cm="1">
        <f t="array" ref="K9">IF(AC9="N/A","",_xlfn.IFS(Y9="m2",((AA9/(Z9/AL9))*I9),Y9="m3",((AA9/(Z9/AL9))*I9),Y9="kg",(((AA9*AM9)/(1/AL9))*I9),Y9="ton",(((AA9/1000*AM9)/(1/AL9))*I9),Y9="N/A",""))</f>
        <v>2.1799999999999997</v>
      </c>
      <c r="L9" s="52">
        <f t="shared" si="1"/>
        <v>-0.22</v>
      </c>
      <c r="M9" s="148" cm="1">
        <f t="array" ref="M9">(_xlfn.IFS(Y9="m2",((AB9/(Z9/AL9))*I9),Y9="m3",((AB9/(Z9/AL9))*I9),Y9="kg",(((AB9*AM9)/(1/AL9))*I9),Y9="ton",(((AB9/1000*AM9)/(1/AL9))*I9),Y9="N/A",""))</f>
        <v>-0.22</v>
      </c>
      <c r="N9" s="52">
        <f t="shared" si="2"/>
        <v>2.4</v>
      </c>
      <c r="O9" s="148" cm="1">
        <f t="array" ref="O9">IF(AC9="N/A","",(_xlfn.IFS(Y9="m2",((AC9/(Z9/AL9))*I9),Y9="m3",((AC9/(Z9/AL9))*I9),Y9="kg",(((AC9*AM9)/(1/AL9))*I9),Y9="ton",(((AC9/1000*AM9)/(1/AL9))*I9),Y9="N/A","")))</f>
        <v>2.4</v>
      </c>
      <c r="P9" s="52">
        <f t="shared" si="3"/>
        <v>-2.4500000000000002</v>
      </c>
      <c r="Q9" s="155" cm="1">
        <f t="array" ref="Q9">IF(AE9="N/A","",_xlfn.IFS(Y9="m2",((AE9/(Z9/AL9))*I9),Y9="m3",((AE9/(Z9/AL9))*I9),Y9="kg",(((AE9*AM9)/(1/AL9))*I9),Y9="ton",(((AE9/1000*AM9)/(1/AL9))*I9),Y9="N/A",""))</f>
        <v>-2.4500000000000002</v>
      </c>
      <c r="R9" s="82" t="s">
        <v>5</v>
      </c>
      <c r="S9" s="164"/>
      <c r="T9" s="47">
        <v>2028</v>
      </c>
      <c r="U9" s="47" t="s">
        <v>28</v>
      </c>
      <c r="V9" s="47" t="s">
        <v>191</v>
      </c>
      <c r="W9" s="47"/>
      <c r="X9" s="47" t="s">
        <v>568</v>
      </c>
      <c r="Y9" s="47" t="s">
        <v>15</v>
      </c>
      <c r="Z9" s="47">
        <v>2.1000000000000001E-2</v>
      </c>
      <c r="AA9" s="52">
        <f t="shared" si="4"/>
        <v>2.1799999999999997</v>
      </c>
      <c r="AB9" s="52">
        <v>-0.22</v>
      </c>
      <c r="AC9" s="52">
        <f>2.4+0</f>
        <v>2.4</v>
      </c>
      <c r="AD9" s="52">
        <v>0.20200000000000001</v>
      </c>
      <c r="AE9" s="52">
        <v>-2.4500000000000002</v>
      </c>
      <c r="AF9" s="69"/>
      <c r="AG9" s="103" t="str">
        <f t="shared" si="5"/>
        <v>D s2
d0</v>
      </c>
      <c r="AH9" s="75" t="s">
        <v>8</v>
      </c>
      <c r="AI9" s="83" t="s">
        <v>177</v>
      </c>
      <c r="AJ9" s="103"/>
      <c r="AK9" s="73"/>
      <c r="AL9" s="47">
        <v>2.1000000000000001E-2</v>
      </c>
      <c r="AM9" s="47">
        <v>400</v>
      </c>
      <c r="AN9" s="47"/>
      <c r="AO9" s="80" t="s">
        <v>17</v>
      </c>
      <c r="AP9" s="110"/>
      <c r="AQ9" s="73"/>
      <c r="AR9" s="25"/>
    </row>
    <row r="10" spans="1:44" ht="25.2" customHeight="1" x14ac:dyDescent="0.15">
      <c r="A10" s="47" t="s">
        <v>127</v>
      </c>
      <c r="B10" s="47" t="s">
        <v>210</v>
      </c>
      <c r="C10" s="47"/>
      <c r="D10" s="47" t="s">
        <v>57</v>
      </c>
      <c r="E10" s="47" t="s">
        <v>143</v>
      </c>
      <c r="F10" s="47" t="s">
        <v>43</v>
      </c>
      <c r="G10" s="47"/>
      <c r="H10" s="47"/>
      <c r="I10" s="111">
        <v>1</v>
      </c>
      <c r="J10" s="52" t="str">
        <f t="shared" si="0"/>
        <v>N/A</v>
      </c>
      <c r="K10" s="148" t="str" cm="1">
        <f t="array" ref="K10">IF(AC10="N/A","",_xlfn.IFS(Y10="m2",((AA10/(Z10/AL10))*I10),Y10="m3",((AA10/(Z10/AL10))*I10),Y10="kg",(((AA10*AM10)/(1/AL10))*I10),Y10="ton",(((AA10/1000*AM10)/(1/AL10))*I10),Y10="N/A",""))</f>
        <v/>
      </c>
      <c r="L10" s="52" t="str">
        <f t="shared" si="1"/>
        <v>N/A</v>
      </c>
      <c r="M10" s="148" t="str" cm="1">
        <f t="array" ref="M10">(_xlfn.IFS(Y10="m2",((AB10/(Z10/AL10))*I10),Y10="m3",((AB10/(Z10/AL10))*I10),Y10="kg",(((AB10*AM10)/(1/AL10))*I10),Y10="ton",(((AB10/1000*AM10)/(1/AL10))*I10),Y10="N/A",""))</f>
        <v/>
      </c>
      <c r="N10" s="52" t="str">
        <f t="shared" si="2"/>
        <v>N/A</v>
      </c>
      <c r="O10" s="148" t="str" cm="1">
        <f t="array" ref="O10">IF(AC10="N/A","",(_xlfn.IFS(Y10="m2",((AC10/(Z10/AL10))*I10),Y10="m3",((AC10/(Z10/AL10))*I10),Y10="kg",(((AC10*AM10)/(1/AL10))*I10),Y10="ton",(((AC10/1000*AM10)/(1/AL10))*I10),Y10="N/A","")))</f>
        <v/>
      </c>
      <c r="P10" s="52" t="str">
        <f t="shared" si="3"/>
        <v>N/A</v>
      </c>
      <c r="Q10" s="155" t="str" cm="1">
        <f t="array" ref="Q10">IF(AE10="N/A","",_xlfn.IFS(Y10="m2",((AE10/(Z10/AL10))*I10),Y10="m3",((AE10/(Z10/AL10))*I10),Y10="kg",(((AE10*AM10)/(1/AL10))*I10),Y10="ton",(((AE10/1000*AM10)/(1/AL10))*I10),Y10="N/A",""))</f>
        <v/>
      </c>
      <c r="R10" s="47" t="s">
        <v>191</v>
      </c>
      <c r="S10" s="47"/>
      <c r="T10" s="47" t="s">
        <v>191</v>
      </c>
      <c r="U10" s="47" t="s">
        <v>191</v>
      </c>
      <c r="V10" s="47" t="s">
        <v>191</v>
      </c>
      <c r="W10" s="47"/>
      <c r="X10" s="47" t="s">
        <v>191</v>
      </c>
      <c r="Y10" s="47" t="s">
        <v>191</v>
      </c>
      <c r="Z10" s="47" t="s">
        <v>191</v>
      </c>
      <c r="AA10" s="52" t="str">
        <f t="shared" si="4"/>
        <v>N/A</v>
      </c>
      <c r="AB10" s="47" t="s">
        <v>191</v>
      </c>
      <c r="AC10" s="52" t="s">
        <v>191</v>
      </c>
      <c r="AD10" s="52" t="s">
        <v>191</v>
      </c>
      <c r="AE10" s="47" t="s">
        <v>191</v>
      </c>
      <c r="AF10" s="69"/>
      <c r="AG10" s="103" t="str">
        <f t="shared" si="5"/>
        <v xml:space="preserve">A1 </v>
      </c>
      <c r="AH10" s="75" t="s">
        <v>58</v>
      </c>
      <c r="AI10" s="76"/>
      <c r="AJ10" s="103"/>
      <c r="AK10" s="73"/>
      <c r="AL10" s="47"/>
      <c r="AM10" s="47" t="s">
        <v>191</v>
      </c>
      <c r="AN10" s="47"/>
      <c r="AO10" s="80" t="s">
        <v>17</v>
      </c>
      <c r="AP10" s="265"/>
      <c r="AQ10" s="73"/>
      <c r="AR10" s="25"/>
    </row>
    <row r="11" spans="1:44" ht="25.2" customHeight="1" x14ac:dyDescent="0.15">
      <c r="A11" s="47" t="s">
        <v>129</v>
      </c>
      <c r="B11" s="47" t="s">
        <v>210</v>
      </c>
      <c r="C11" s="47"/>
      <c r="D11" s="47" t="s">
        <v>57</v>
      </c>
      <c r="E11" s="47" t="s">
        <v>143</v>
      </c>
      <c r="F11" s="47" t="s">
        <v>43</v>
      </c>
      <c r="G11" s="47"/>
      <c r="H11" s="47"/>
      <c r="I11" s="111">
        <v>1</v>
      </c>
      <c r="J11" s="52" t="str">
        <f t="shared" si="0"/>
        <v>N/A</v>
      </c>
      <c r="K11" s="148" t="str" cm="1">
        <f t="array" ref="K11">IF(AC11="N/A","",_xlfn.IFS(Y11="m2",((AA11/(Z11/AL11))*I11),Y11="m3",((AA11/(Z11/AL11))*I11),Y11="kg",(((AA11*AM11)/(1/AL11))*I11),Y11="ton",(((AA11/1000*AM11)/(1/AL11))*I11),Y11="N/A",""))</f>
        <v/>
      </c>
      <c r="L11" s="52" t="str">
        <f t="shared" si="1"/>
        <v>N/A</v>
      </c>
      <c r="M11" s="148" t="str" cm="1">
        <f t="array" ref="M11">(_xlfn.IFS(Y11="m2",((AB11/(Z11/AL11))*I11),Y11="m3",((AB11/(Z11/AL11))*I11),Y11="kg",(((AB11*AM11)/(1/AL11))*I11),Y11="ton",(((AB11/1000*AM11)/(1/AL11))*I11),Y11="N/A",""))</f>
        <v/>
      </c>
      <c r="N11" s="52" t="str">
        <f t="shared" si="2"/>
        <v>N/A</v>
      </c>
      <c r="O11" s="148" t="str" cm="1">
        <f t="array" ref="O11">IF(AC11="N/A","",(_xlfn.IFS(Y11="m2",((AC11/(Z11/AL11))*I11),Y11="m3",((AC11/(Z11/AL11))*I11),Y11="kg",(((AC11*AM11)/(1/AL11))*I11),Y11="ton",(((AC11/1000*AM11)/(1/AL11))*I11),Y11="N/A","")))</f>
        <v/>
      </c>
      <c r="P11" s="52" t="str">
        <f t="shared" si="3"/>
        <v>N/A</v>
      </c>
      <c r="Q11" s="155" t="str" cm="1">
        <f t="array" ref="Q11">IF(AE11="N/A","",_xlfn.IFS(Y11="m2",((AE11/(Z11/AL11))*I11),Y11="m3",((AE11/(Z11/AL11))*I11),Y11="kg",(((AE11*AM11)/(1/AL11))*I11),Y11="ton",(((AE11/1000*AM11)/(1/AL11))*I11),Y11="N/A",""))</f>
        <v/>
      </c>
      <c r="R11" s="47" t="s">
        <v>191</v>
      </c>
      <c r="S11" s="47"/>
      <c r="T11" s="47" t="s">
        <v>191</v>
      </c>
      <c r="U11" s="47" t="s">
        <v>191</v>
      </c>
      <c r="V11" s="47" t="s">
        <v>191</v>
      </c>
      <c r="W11" s="47"/>
      <c r="X11" s="47" t="s">
        <v>191</v>
      </c>
      <c r="Y11" s="47" t="s">
        <v>191</v>
      </c>
      <c r="Z11" s="47" t="s">
        <v>191</v>
      </c>
      <c r="AA11" s="52" t="str">
        <f t="shared" si="4"/>
        <v>N/A</v>
      </c>
      <c r="AB11" s="47" t="s">
        <v>191</v>
      </c>
      <c r="AC11" s="52" t="s">
        <v>191</v>
      </c>
      <c r="AD11" s="52" t="s">
        <v>191</v>
      </c>
      <c r="AE11" s="47" t="s">
        <v>191</v>
      </c>
      <c r="AF11" s="69"/>
      <c r="AG11" s="103" t="str">
        <f t="shared" si="5"/>
        <v xml:space="preserve">F </v>
      </c>
      <c r="AH11" s="75" t="s">
        <v>82</v>
      </c>
      <c r="AI11" s="76"/>
      <c r="AJ11" s="103"/>
      <c r="AK11" s="73"/>
      <c r="AL11" s="47"/>
      <c r="AM11" s="47" t="s">
        <v>191</v>
      </c>
      <c r="AN11" s="47"/>
      <c r="AO11" s="80" t="s">
        <v>17</v>
      </c>
      <c r="AP11" s="265"/>
      <c r="AQ11" s="73"/>
      <c r="AR11" s="25"/>
    </row>
    <row r="12" spans="1:44" ht="25.2" customHeight="1" x14ac:dyDescent="0.15">
      <c r="A12" s="47" t="s">
        <v>138</v>
      </c>
      <c r="B12" s="47" t="s">
        <v>208</v>
      </c>
      <c r="C12" s="47"/>
      <c r="D12" s="47" t="s">
        <v>135</v>
      </c>
      <c r="E12" s="88" t="s">
        <v>137</v>
      </c>
      <c r="F12" s="47" t="s">
        <v>136</v>
      </c>
      <c r="G12" s="85" t="s">
        <v>842</v>
      </c>
      <c r="H12" s="47"/>
      <c r="I12" s="111">
        <v>1</v>
      </c>
      <c r="J12" s="52">
        <f t="shared" si="0"/>
        <v>22.997250000000005</v>
      </c>
      <c r="K12" s="148" cm="1">
        <f t="array" ref="K12">IF(AC12="N/A","",_xlfn.IFS(Y12="m2",((AA12/(Z12/AL12))*I12),Y12="m3",((AA12/(Z12/AL12))*I12),Y12="kg",(((AA12*AM12)/(1/AL12))*I12),Y12="ton",(((AA12/1000*AM12)/(1/AL12))*I12),Y12="N/A",""))</f>
        <v>22.997250000000005</v>
      </c>
      <c r="L12" s="52">
        <f t="shared" si="1"/>
        <v>22.927500000000002</v>
      </c>
      <c r="M12" s="148" cm="1">
        <f t="array" ref="M12">(_xlfn.IFS(Y12="m2",((AB12/(Z12/AL12))*I12),Y12="m3",((AB12/(Z12/AL12))*I12),Y12="kg",(((AB12*AM12)/(1/AL12))*I12),Y12="ton",(((AB12/1000*AM12)/(1/AL12))*I12),Y12="N/A",""))</f>
        <v>22.927500000000002</v>
      </c>
      <c r="N12" s="52">
        <f t="shared" si="2"/>
        <v>6.9749999999999993E-2</v>
      </c>
      <c r="O12" s="148" cm="1">
        <f t="array" ref="O12">IF(AC12="N/A","",(_xlfn.IFS(Y12="m2",((AC12/(Z12/AL12))*I12),Y12="m3",((AC12/(Z12/AL12))*I12),Y12="kg",(((AC12*AM12)/(1/AL12))*I12),Y12="ton",(((AC12/1000*AM12)/(1/AL12))*I12),Y12="N/A","")))</f>
        <v>6.9749999999999993E-2</v>
      </c>
      <c r="P12" s="52" t="str">
        <f t="shared" si="3"/>
        <v>N/A</v>
      </c>
      <c r="Q12" s="155" t="str" cm="1">
        <f t="array" ref="Q12">IF(AE12="N/A","",_xlfn.IFS(Y12="m2",((AE12/(Z12/AL12))*I12),Y12="m3",((AE12/(Z12/AL12))*I12),Y12="kg",(((AE12*AM12)/(1/AL12))*I12),Y12="ton",(((AE12/1000*AM12)/(1/AL12))*I12),Y12="N/A",""))</f>
        <v/>
      </c>
      <c r="R12" s="88" t="s">
        <v>5</v>
      </c>
      <c r="S12" s="164"/>
      <c r="T12" s="47">
        <v>2025</v>
      </c>
      <c r="U12" s="47" t="s">
        <v>14</v>
      </c>
      <c r="V12" s="47" t="s">
        <v>191</v>
      </c>
      <c r="W12" s="47"/>
      <c r="X12" s="47" t="s">
        <v>569</v>
      </c>
      <c r="Y12" s="47" t="s">
        <v>61</v>
      </c>
      <c r="Z12" s="47" t="s">
        <v>191</v>
      </c>
      <c r="AA12" s="52">
        <f t="shared" si="4"/>
        <v>1.0221000000000002</v>
      </c>
      <c r="AB12" s="52">
        <f>0.78+0.049+0.19</f>
        <v>1.0190000000000001</v>
      </c>
      <c r="AC12" s="52">
        <v>3.0999999999999999E-3</v>
      </c>
      <c r="AD12" s="52">
        <v>-0.74399999999999999</v>
      </c>
      <c r="AE12" s="47" t="s">
        <v>191</v>
      </c>
      <c r="AF12" s="69"/>
      <c r="AG12" s="103" t="str">
        <f t="shared" si="5"/>
        <v>B s1
d0</v>
      </c>
      <c r="AH12" s="75" t="s">
        <v>178</v>
      </c>
      <c r="AI12" s="83" t="s">
        <v>176</v>
      </c>
      <c r="AJ12" s="103"/>
      <c r="AK12" s="73"/>
      <c r="AL12" s="47">
        <v>1.7999999999999999E-2</v>
      </c>
      <c r="AM12" s="47">
        <v>1250</v>
      </c>
      <c r="AN12" s="47"/>
      <c r="AO12" s="80" t="s">
        <v>17</v>
      </c>
      <c r="AP12" s="110"/>
      <c r="AQ12" s="73"/>
      <c r="AR12" s="25"/>
    </row>
    <row r="13" spans="1:44" ht="25.2" customHeight="1" x14ac:dyDescent="0.15">
      <c r="A13" s="47" t="s">
        <v>139</v>
      </c>
      <c r="B13" s="47" t="s">
        <v>208</v>
      </c>
      <c r="C13" s="47"/>
      <c r="D13" s="47" t="s">
        <v>135</v>
      </c>
      <c r="E13" s="88" t="s">
        <v>137</v>
      </c>
      <c r="F13" s="47" t="s">
        <v>136</v>
      </c>
      <c r="G13" s="85" t="s">
        <v>841</v>
      </c>
      <c r="H13" s="47"/>
      <c r="I13" s="111">
        <v>1</v>
      </c>
      <c r="J13" s="52">
        <f t="shared" si="0"/>
        <v>21.778470000000002</v>
      </c>
      <c r="K13" s="148" cm="1">
        <f t="array" ref="K13">IF(AC13="N/A","",_xlfn.IFS(Y13="m2",((AA13/(Z13/AL13))*I13),Y13="m3",((AA13/(Z13/AL13))*I13),Y13="kg",(((AA13*AM13)/(1/AL13))*I13),Y13="ton",(((AA13/1000*AM13)/(1/AL13))*I13),Y13="N/A",""))</f>
        <v>21.778470000000002</v>
      </c>
      <c r="L13" s="52">
        <f t="shared" si="1"/>
        <v>21.714300000000001</v>
      </c>
      <c r="M13" s="148" cm="1">
        <f t="array" ref="M13">(_xlfn.IFS(Y13="m2",((AB13/(Z13/AL13))*I13),Y13="m3",((AB13/(Z13/AL13))*I13),Y13="kg",(((AB13*AM13)/(1/AL13))*I13),Y13="ton",(((AB13/1000*AM13)/(1/AL13))*I13),Y13="N/A",""))</f>
        <v>21.714300000000001</v>
      </c>
      <c r="N13" s="52">
        <f t="shared" si="2"/>
        <v>6.4169999999999991E-2</v>
      </c>
      <c r="O13" s="148" cm="1">
        <f t="array" ref="O13">IF(AC13="N/A","",(_xlfn.IFS(Y13="m2",((AC13/(Z13/AL13))*I13),Y13="m3",((AC13/(Z13/AL13))*I13),Y13="kg",(((AC13*AM13)/(1/AL13))*I13),Y13="ton",(((AC13/1000*AM13)/(1/AL13))*I13),Y13="N/A","")))</f>
        <v>6.4169999999999991E-2</v>
      </c>
      <c r="P13" s="52" t="str">
        <f t="shared" si="3"/>
        <v>N/A</v>
      </c>
      <c r="Q13" s="155" t="str" cm="1">
        <f t="array" ref="Q13">IF(AE13="N/A","",_xlfn.IFS(Y13="m2",((AE13/(Z13/AL13))*I13),Y13="m3",((AE13/(Z13/AL13))*I13),Y13="kg",(((AE13*AM13)/(1/AL13))*I13),Y13="ton",(((AE13/1000*AM13)/(1/AL13))*I13),Y13="N/A",""))</f>
        <v/>
      </c>
      <c r="R13" s="88" t="s">
        <v>5</v>
      </c>
      <c r="S13" s="164"/>
      <c r="T13" s="47">
        <v>2025</v>
      </c>
      <c r="U13" s="47" t="s">
        <v>14</v>
      </c>
      <c r="V13" s="47" t="s">
        <v>191</v>
      </c>
      <c r="W13" s="47"/>
      <c r="X13" s="47" t="s">
        <v>569</v>
      </c>
      <c r="Y13" s="47" t="s">
        <v>61</v>
      </c>
      <c r="Z13" s="47" t="s">
        <v>191</v>
      </c>
      <c r="AA13" s="52">
        <f t="shared" si="4"/>
        <v>1.0521000000000003</v>
      </c>
      <c r="AB13" s="52">
        <f>0.81+0.049+0.19</f>
        <v>1.0490000000000002</v>
      </c>
      <c r="AC13" s="52">
        <v>3.0999999999999999E-3</v>
      </c>
      <c r="AD13" s="52">
        <v>-0.74399999999999999</v>
      </c>
      <c r="AE13" s="47" t="s">
        <v>191</v>
      </c>
      <c r="AF13" s="69"/>
      <c r="AG13" s="103" t="str">
        <f t="shared" si="5"/>
        <v>B s1
d0</v>
      </c>
      <c r="AH13" s="75" t="s">
        <v>178</v>
      </c>
      <c r="AI13" s="83" t="s">
        <v>176</v>
      </c>
      <c r="AJ13" s="103"/>
      <c r="AK13" s="73"/>
      <c r="AL13" s="47">
        <v>1.7999999999999999E-2</v>
      </c>
      <c r="AM13" s="47">
        <v>1150</v>
      </c>
      <c r="AN13" s="47"/>
      <c r="AO13" s="80" t="s">
        <v>17</v>
      </c>
      <c r="AP13" s="110"/>
      <c r="AQ13" s="73"/>
      <c r="AR13" s="25"/>
    </row>
    <row r="14" spans="1:44" ht="25.2" customHeight="1" x14ac:dyDescent="0.15">
      <c r="A14" s="47" t="s">
        <v>100</v>
      </c>
      <c r="B14" s="47" t="s">
        <v>208</v>
      </c>
      <c r="C14" s="47"/>
      <c r="D14" s="47" t="s">
        <v>99</v>
      </c>
      <c r="E14" s="82" t="s">
        <v>146</v>
      </c>
      <c r="F14" s="47" t="s">
        <v>55</v>
      </c>
      <c r="G14" s="47" t="s">
        <v>817</v>
      </c>
      <c r="H14" s="47"/>
      <c r="I14" s="111">
        <v>1</v>
      </c>
      <c r="J14" s="52">
        <f t="shared" si="0"/>
        <v>5.7533399999999997</v>
      </c>
      <c r="K14" s="148" cm="1">
        <f t="array" ref="K14">IF(AC14="N/A","",_xlfn.IFS(Y14="m2",((AA14/(Z14/AL14))*I14),Y14="m3",((AA14/(Z14/AL14))*I14),Y14="kg",(((AA14*AM14)/(1/AL14))*I14),Y14="ton",(((AA14/1000*AM14)/(1/AL14))*I14),Y14="N/A",""))</f>
        <v>5.7533399999999997</v>
      </c>
      <c r="L14" s="52">
        <f t="shared" si="1"/>
        <v>5.7059999999999995</v>
      </c>
      <c r="M14" s="148" cm="1">
        <f t="array" ref="M14">(_xlfn.IFS(Y14="m2",((AB14/(Z14/AL14))*I14),Y14="m3",((AB14/(Z14/AL14))*I14),Y14="kg",(((AB14*AM14)/(1/AL14))*I14),Y14="ton",(((AB14/1000*AM14)/(1/AL14))*I14),Y14="N/A",""))</f>
        <v>5.7059999999999995</v>
      </c>
      <c r="N14" s="52">
        <f t="shared" si="2"/>
        <v>4.734E-2</v>
      </c>
      <c r="O14" s="148" cm="1">
        <f t="array" ref="O14">IF(AC14="N/A","",(_xlfn.IFS(Y14="m2",((AC14/(Z14/AL14))*I14),Y14="m3",((AC14/(Z14/AL14))*I14),Y14="kg",(((AC14*AM14)/(1/AL14))*I14),Y14="ton",(((AC14/1000*AM14)/(1/AL14))*I14),Y14="N/A","")))</f>
        <v>4.734E-2</v>
      </c>
      <c r="P14" s="52" t="str">
        <f t="shared" si="3"/>
        <v>N/A</v>
      </c>
      <c r="Q14" s="155" t="str" cm="1">
        <f t="array" ref="Q14">IF(AE14="N/A","",_xlfn.IFS(Y14="m2",((AE14/(Z14/AL14))*I14),Y14="m3",((AE14/(Z14/AL14))*I14),Y14="kg",(((AE14*AM14)/(1/AL14))*I14),Y14="ton",(((AE14/1000*AM14)/(1/AL14))*I14),Y14="N/A",""))</f>
        <v/>
      </c>
      <c r="R14" s="82" t="s">
        <v>5</v>
      </c>
      <c r="S14" s="164"/>
      <c r="T14" s="47">
        <v>2025</v>
      </c>
      <c r="U14" s="47" t="s">
        <v>14</v>
      </c>
      <c r="V14" s="47" t="s">
        <v>191</v>
      </c>
      <c r="W14" s="47"/>
      <c r="X14" s="47" t="s">
        <v>570</v>
      </c>
      <c r="Y14" s="47" t="s">
        <v>20</v>
      </c>
      <c r="Z14" s="47">
        <v>1</v>
      </c>
      <c r="AA14" s="52">
        <f t="shared" si="4"/>
        <v>319.63</v>
      </c>
      <c r="AB14" s="52">
        <v>317</v>
      </c>
      <c r="AC14" s="52">
        <f>2.63+0</f>
        <v>2.63</v>
      </c>
      <c r="AD14" s="52">
        <v>-48.8</v>
      </c>
      <c r="AE14" s="47" t="s">
        <v>191</v>
      </c>
      <c r="AF14" s="69"/>
      <c r="AG14" s="103" t="str">
        <f t="shared" si="5"/>
        <v>D s1
d0</v>
      </c>
      <c r="AH14" s="75" t="s">
        <v>8</v>
      </c>
      <c r="AI14" s="83" t="s">
        <v>176</v>
      </c>
      <c r="AJ14" s="103"/>
      <c r="AK14" s="73"/>
      <c r="AL14" s="47">
        <v>1.7999999999999999E-2</v>
      </c>
      <c r="AM14" s="47">
        <v>420</v>
      </c>
      <c r="AN14" s="47"/>
      <c r="AO14" s="80" t="s">
        <v>17</v>
      </c>
      <c r="AP14" s="110"/>
      <c r="AQ14" s="73"/>
      <c r="AR14" s="25"/>
    </row>
    <row r="15" spans="1:44" ht="25.2" customHeight="1" x14ac:dyDescent="0.15">
      <c r="A15" s="47" t="s">
        <v>98</v>
      </c>
      <c r="B15" s="47" t="s">
        <v>208</v>
      </c>
      <c r="C15" s="47"/>
      <c r="D15" s="47" t="s">
        <v>99</v>
      </c>
      <c r="E15" s="82" t="s">
        <v>146</v>
      </c>
      <c r="F15" s="47" t="s">
        <v>55</v>
      </c>
      <c r="G15" s="47" t="s">
        <v>817</v>
      </c>
      <c r="H15" s="47"/>
      <c r="I15" s="111">
        <v>1</v>
      </c>
      <c r="J15" s="52">
        <f t="shared" si="0"/>
        <v>6.8164199999999999</v>
      </c>
      <c r="K15" s="148" cm="1">
        <f t="array" ref="K15">IF(AC15="N/A","",_xlfn.IFS(Y15="m2",((AA15/(Z15/AL15))*I15),Y15="m3",((AA15/(Z15/AL15))*I15),Y15="kg",(((AA15*AM15)/(1/AL15))*I15),Y15="ton",(((AA15/1000*AM15)/(1/AL15))*I15),Y15="N/A",""))</f>
        <v>6.8164199999999999</v>
      </c>
      <c r="L15" s="52">
        <f t="shared" si="1"/>
        <v>6.7679999999999998</v>
      </c>
      <c r="M15" s="148" cm="1">
        <f t="array" ref="M15">(_xlfn.IFS(Y15="m2",((AB15/(Z15/AL15))*I15),Y15="m3",((AB15/(Z15/AL15))*I15),Y15="kg",(((AB15*AM15)/(1/AL15))*I15),Y15="ton",(((AB15/1000*AM15)/(1/AL15))*I15),Y15="N/A",""))</f>
        <v>6.7679999999999998</v>
      </c>
      <c r="N15" s="52">
        <f t="shared" si="2"/>
        <v>4.8419999999999998E-2</v>
      </c>
      <c r="O15" s="148" cm="1">
        <f t="array" ref="O15">IF(AC15="N/A","",(_xlfn.IFS(Y15="m2",((AC15/(Z15/AL15))*I15),Y15="m3",((AC15/(Z15/AL15))*I15),Y15="kg",(((AC15*AM15)/(1/AL15))*I15),Y15="ton",(((AC15/1000*AM15)/(1/AL15))*I15),Y15="N/A","")))</f>
        <v>4.8419999999999998E-2</v>
      </c>
      <c r="P15" s="52" t="str">
        <f t="shared" si="3"/>
        <v>N/A</v>
      </c>
      <c r="Q15" s="155" t="str" cm="1">
        <f t="array" ref="Q15">IF(AE15="N/A","",_xlfn.IFS(Y15="m2",((AE15/(Z15/AL15))*I15),Y15="m3",((AE15/(Z15/AL15))*I15),Y15="kg",(((AE15*AM15)/(1/AL15))*I15),Y15="ton",(((AE15/1000*AM15)/(1/AL15))*I15),Y15="N/A",""))</f>
        <v/>
      </c>
      <c r="R15" s="82" t="s">
        <v>5</v>
      </c>
      <c r="S15" s="164"/>
      <c r="T15" s="47">
        <v>2025</v>
      </c>
      <c r="U15" s="47" t="s">
        <v>14</v>
      </c>
      <c r="V15" s="47" t="s">
        <v>191</v>
      </c>
      <c r="W15" s="47"/>
      <c r="X15" s="47" t="s">
        <v>571</v>
      </c>
      <c r="Y15" s="47" t="s">
        <v>20</v>
      </c>
      <c r="Z15" s="47">
        <v>1</v>
      </c>
      <c r="AA15" s="52">
        <f t="shared" si="4"/>
        <v>378.69</v>
      </c>
      <c r="AB15" s="52">
        <v>376</v>
      </c>
      <c r="AC15" s="52">
        <f>2.69+0</f>
        <v>2.69</v>
      </c>
      <c r="AD15" s="52">
        <v>-50</v>
      </c>
      <c r="AE15" s="47" t="s">
        <v>191</v>
      </c>
      <c r="AF15" s="69"/>
      <c r="AG15" s="103" t="str">
        <f t="shared" si="5"/>
        <v>D s1
d0</v>
      </c>
      <c r="AH15" s="75" t="s">
        <v>8</v>
      </c>
      <c r="AI15" s="83" t="s">
        <v>176</v>
      </c>
      <c r="AJ15" s="103"/>
      <c r="AK15" s="73"/>
      <c r="AL15" s="47">
        <v>1.7999999999999999E-2</v>
      </c>
      <c r="AM15" s="47">
        <v>430</v>
      </c>
      <c r="AN15" s="47"/>
      <c r="AO15" s="80" t="s">
        <v>17</v>
      </c>
      <c r="AP15" s="110"/>
      <c r="AQ15" s="73"/>
      <c r="AR15" s="25"/>
    </row>
    <row r="16" spans="1:44" ht="25.2" customHeight="1" x14ac:dyDescent="0.15">
      <c r="A16" s="47" t="s">
        <v>119</v>
      </c>
      <c r="B16" s="47" t="s">
        <v>208</v>
      </c>
      <c r="C16" s="47"/>
      <c r="D16" s="92" t="s">
        <v>120</v>
      </c>
      <c r="E16" s="82" t="s">
        <v>151</v>
      </c>
      <c r="F16" s="92" t="s">
        <v>55</v>
      </c>
      <c r="G16" s="47" t="s">
        <v>817</v>
      </c>
      <c r="H16" s="92"/>
      <c r="I16" s="113">
        <v>1</v>
      </c>
      <c r="J16" s="52">
        <f t="shared" si="0"/>
        <v>5.4364013999999994</v>
      </c>
      <c r="K16" s="148" cm="1">
        <f t="array" ref="K16">IF(AC16="N/A","",_xlfn.IFS(Y16="m2",((AA16/(Z16/AL16))*I16),Y16="m3",((AA16/(Z16/AL16))*I16),Y16="kg",(((AA16*AM16)/(1/AL16))*I16),Y16="ton",(((AA16/1000*AM16)/(1/AL16))*I16),Y16="N/A",""))</f>
        <v>5.4364013999999994</v>
      </c>
      <c r="L16" s="52">
        <f t="shared" si="1"/>
        <v>-9.0179999999999989</v>
      </c>
      <c r="M16" s="148" cm="1">
        <f t="array" ref="M16">(_xlfn.IFS(Y16="m2",((AB16/(Z16/AL16))*I16),Y16="m3",((AB16/(Z16/AL16))*I16),Y16="kg",(((AB16*AM16)/(1/AL16))*I16),Y16="ton",(((AB16/1000*AM16)/(1/AL16))*I16),Y16="N/A",""))</f>
        <v>-9.0179999999999989</v>
      </c>
      <c r="N16" s="52">
        <f t="shared" si="2"/>
        <v>14.454401399999998</v>
      </c>
      <c r="O16" s="148" cm="1">
        <f t="array" ref="O16">IF(AC16="N/A","",(_xlfn.IFS(Y16="m2",((AC16/(Z16/AL16))*I16),Y16="m3",((AC16/(Z16/AL16))*I16),Y16="kg",(((AC16*AM16)/(1/AL16))*I16),Y16="ton",(((AC16/1000*AM16)/(1/AL16))*I16),Y16="N/A","")))</f>
        <v>14.454401399999998</v>
      </c>
      <c r="P16" s="52" t="str">
        <f t="shared" si="3"/>
        <v>N/A</v>
      </c>
      <c r="Q16" s="155" t="str" cm="1">
        <f t="array" ref="Q16">IF(AE16="N/A","",_xlfn.IFS(Y16="m2",((AE16/(Z16/AL16))*I16),Y16="m3",((AE16/(Z16/AL16))*I16),Y16="kg",(((AE16*AM16)/(1/AL16))*I16),Y16="ton",(((AE16/1000*AM16)/(1/AL16))*I16),Y16="N/A",""))</f>
        <v/>
      </c>
      <c r="R16" s="82" t="s">
        <v>5</v>
      </c>
      <c r="S16" s="164"/>
      <c r="T16" s="86">
        <v>2024</v>
      </c>
      <c r="U16" s="47" t="s">
        <v>14</v>
      </c>
      <c r="V16" s="47" t="s">
        <v>191</v>
      </c>
      <c r="W16" s="47"/>
      <c r="X16" s="47" t="s">
        <v>572</v>
      </c>
      <c r="Y16" s="86" t="s">
        <v>20</v>
      </c>
      <c r="Z16" s="86">
        <v>1</v>
      </c>
      <c r="AA16" s="52">
        <f t="shared" si="4"/>
        <v>302.02229999999997</v>
      </c>
      <c r="AB16" s="91">
        <v>-501</v>
      </c>
      <c r="AC16" s="91">
        <f>803+0.0223</f>
        <v>803.02229999999997</v>
      </c>
      <c r="AD16" s="91">
        <v>-39.299999999999997</v>
      </c>
      <c r="AE16" s="47" t="s">
        <v>191</v>
      </c>
      <c r="AF16" s="69"/>
      <c r="AG16" s="103" t="str">
        <f t="shared" si="5"/>
        <v>D s2
d0</v>
      </c>
      <c r="AH16" s="75" t="s">
        <v>8</v>
      </c>
      <c r="AI16" s="83" t="s">
        <v>177</v>
      </c>
      <c r="AJ16" s="103"/>
      <c r="AK16" s="73"/>
      <c r="AL16" s="47">
        <v>1.7999999999999999E-2</v>
      </c>
      <c r="AM16" s="47">
        <v>450</v>
      </c>
      <c r="AN16" s="47"/>
      <c r="AO16" s="80" t="s">
        <v>17</v>
      </c>
      <c r="AP16" s="110"/>
      <c r="AQ16" s="73"/>
      <c r="AR16" s="25"/>
    </row>
    <row r="17" spans="1:44" ht="25.2" customHeight="1" x14ac:dyDescent="0.15">
      <c r="A17" s="47" t="s">
        <v>121</v>
      </c>
      <c r="B17" s="47" t="s">
        <v>208</v>
      </c>
      <c r="C17" s="47"/>
      <c r="D17" s="92" t="s">
        <v>120</v>
      </c>
      <c r="E17" s="82" t="s">
        <v>151</v>
      </c>
      <c r="F17" s="92" t="s">
        <v>55</v>
      </c>
      <c r="G17" s="85" t="s">
        <v>829</v>
      </c>
      <c r="H17" s="92"/>
      <c r="I17" s="113">
        <v>1</v>
      </c>
      <c r="J17" s="52" t="str">
        <f t="shared" si="0"/>
        <v>N/A</v>
      </c>
      <c r="K17" s="148" t="str" cm="1">
        <f t="array" ref="K17">IF(AC17="N/A","",_xlfn.IFS(Y17="m2",((AA17/(Z17/AL17))*I17),Y17="m3",((AA17/(Z17/AL17))*I17),Y17="kg",(((AA17*AM17)/(1/AL17))*I17),Y17="ton",(((AA17/1000*AM17)/(1/AL17))*I17),Y17="N/A",""))</f>
        <v/>
      </c>
      <c r="L17" s="52" t="str">
        <f t="shared" si="1"/>
        <v>N/A</v>
      </c>
      <c r="M17" s="148" t="str" cm="1">
        <f t="array" ref="M17">(_xlfn.IFS(Y17="m2",((AB17/(Z17/AL17))*I17),Y17="m3",((AB17/(Z17/AL17))*I17),Y17="kg",(((AB17*AM17)/(1/AL17))*I17),Y17="ton",(((AB17/1000*AM17)/(1/AL17))*I17),Y17="N/A",""))</f>
        <v/>
      </c>
      <c r="N17" s="52" t="str">
        <f t="shared" si="2"/>
        <v>N/A</v>
      </c>
      <c r="O17" s="148" t="str" cm="1">
        <f t="array" ref="O17">IF(AC17="N/A","",(_xlfn.IFS(Y17="m2",((AC17/(Z17/AL17))*I17),Y17="m3",((AC17/(Z17/AL17))*I17),Y17="kg",(((AC17*AM17)/(1/AL17))*I17),Y17="ton",(((AC17/1000*AM17)/(1/AL17))*I17),Y17="N/A","")))</f>
        <v/>
      </c>
      <c r="P17" s="52" t="str">
        <f t="shared" si="3"/>
        <v>N/A</v>
      </c>
      <c r="Q17" s="155" t="str" cm="1">
        <f t="array" ref="Q17">IF(AE17="N/A","",_xlfn.IFS(Y17="m2",((AE17/(Z17/AL17))*I17),Y17="m3",((AE17/(Z17/AL17))*I17),Y17="kg",(((AE17*AM17)/(1/AL17))*I17),Y17="ton",(((AE17/1000*AM17)/(1/AL17))*I17),Y17="N/A",""))</f>
        <v/>
      </c>
      <c r="R17" s="47" t="s">
        <v>191</v>
      </c>
      <c r="S17" s="47"/>
      <c r="T17" s="47" t="s">
        <v>191</v>
      </c>
      <c r="U17" s="47" t="s">
        <v>191</v>
      </c>
      <c r="V17" s="47" t="s">
        <v>191</v>
      </c>
      <c r="W17" s="47"/>
      <c r="X17" s="47" t="s">
        <v>191</v>
      </c>
      <c r="Y17" s="47" t="s">
        <v>191</v>
      </c>
      <c r="Z17" s="47" t="s">
        <v>191</v>
      </c>
      <c r="AA17" s="52" t="str">
        <f t="shared" si="4"/>
        <v>N/A</v>
      </c>
      <c r="AB17" s="47" t="s">
        <v>191</v>
      </c>
      <c r="AC17" s="52" t="s">
        <v>191</v>
      </c>
      <c r="AD17" s="52" t="s">
        <v>191</v>
      </c>
      <c r="AE17" s="47" t="s">
        <v>191</v>
      </c>
      <c r="AF17" s="69"/>
      <c r="AG17" s="103" t="str">
        <f t="shared" si="5"/>
        <v>B s2
d0</v>
      </c>
      <c r="AH17" s="75" t="s">
        <v>178</v>
      </c>
      <c r="AI17" s="83" t="s">
        <v>177</v>
      </c>
      <c r="AJ17" s="103"/>
      <c r="AK17" s="73"/>
      <c r="AL17" s="47"/>
      <c r="AM17" s="47">
        <v>450</v>
      </c>
      <c r="AN17" s="47"/>
      <c r="AO17" s="80" t="s">
        <v>17</v>
      </c>
      <c r="AP17" s="110"/>
      <c r="AQ17" s="73"/>
      <c r="AR17" s="25"/>
    </row>
    <row r="18" spans="1:44" ht="25.2" customHeight="1" x14ac:dyDescent="0.15">
      <c r="A18" s="47" t="s">
        <v>160</v>
      </c>
      <c r="B18" s="47" t="s">
        <v>208</v>
      </c>
      <c r="C18" s="47"/>
      <c r="D18" s="47" t="s">
        <v>161</v>
      </c>
      <c r="E18" s="82" t="s">
        <v>162</v>
      </c>
      <c r="F18" s="47" t="s">
        <v>136</v>
      </c>
      <c r="G18" s="47"/>
      <c r="H18" s="47"/>
      <c r="I18" s="111">
        <v>1</v>
      </c>
      <c r="J18" s="52">
        <f t="shared" si="0"/>
        <v>30.868000000000006</v>
      </c>
      <c r="K18" s="148" cm="1">
        <f t="array" ref="K18">IF(AC18="N/A","",_xlfn.IFS(Y18="m2",((AA18/(Z18/AL18))*I18),Y18="m3",((AA18/(Z18/AL18))*I18),Y18="kg",(((AA18*AM18)/(1/AL18))*I18),Y18="ton",(((AA18/1000*AM18)/(1/AL18))*I18),Y18="N/A",""))</f>
        <v>30.868000000000006</v>
      </c>
      <c r="L18" s="52">
        <f t="shared" si="1"/>
        <v>-7.4319999999999986</v>
      </c>
      <c r="M18" s="148" cm="1">
        <f t="array" ref="M18">(_xlfn.IFS(Y18="m2",((AB18/(Z18/AL18))*I18),Y18="m3",((AB18/(Z18/AL18))*I18),Y18="kg",(((AB18*AM18)/(1/AL18))*I18),Y18="ton",(((AB18/1000*AM18)/(1/AL18))*I18),Y18="N/A",""))</f>
        <v>-7.4319999999999986</v>
      </c>
      <c r="N18" s="52">
        <f t="shared" si="2"/>
        <v>38.300000000000004</v>
      </c>
      <c r="O18" s="148" cm="1">
        <f t="array" ref="O18">IF(AC18="N/A","",(_xlfn.IFS(Y18="m2",((AC18/(Z18/AL18))*I18),Y18="m3",((AC18/(Z18/AL18))*I18),Y18="kg",(((AC18*AM18)/(1/AL18))*I18),Y18="ton",(((AC18/1000*AM18)/(1/AL18))*I18),Y18="N/A","")))</f>
        <v>38.300000000000004</v>
      </c>
      <c r="P18" s="52">
        <f t="shared" si="3"/>
        <v>-32.726737999999997</v>
      </c>
      <c r="Q18" s="155" cm="1">
        <f t="array" ref="Q18">IF(AE18="N/A","",_xlfn.IFS(Y18="m2",((AE18/(Z18/AL18))*I18),Y18="m3",((AE18/(Z18/AL18))*I18),Y18="kg",(((AE18*AM18)/(1/AL18))*I18),Y18="ton",(((AE18/1000*AM18)/(1/AL18))*I18),Y18="N/A",""))</f>
        <v>-32.726737999999997</v>
      </c>
      <c r="R18" s="82" t="s">
        <v>5</v>
      </c>
      <c r="S18" s="164"/>
      <c r="T18" s="47">
        <v>2027</v>
      </c>
      <c r="U18" s="47" t="s">
        <v>28</v>
      </c>
      <c r="V18" s="47">
        <v>25</v>
      </c>
      <c r="W18" s="47"/>
      <c r="X18" s="47" t="s">
        <v>574</v>
      </c>
      <c r="Y18" s="47" t="s">
        <v>15</v>
      </c>
      <c r="Z18" s="47">
        <v>0.02</v>
      </c>
      <c r="AA18" s="52">
        <f t="shared" si="4"/>
        <v>30.868000000000006</v>
      </c>
      <c r="AB18" s="52">
        <f>-22.8+0.568+14.8</f>
        <v>-7.4319999999999986</v>
      </c>
      <c r="AC18" s="52">
        <f>36.6+1.7</f>
        <v>38.300000000000004</v>
      </c>
      <c r="AD18" s="52">
        <f>-12.9</f>
        <v>-12.9</v>
      </c>
      <c r="AE18" s="52">
        <f>-32+(2.62*10^-4)-0.727</f>
        <v>-32.726737999999997</v>
      </c>
      <c r="AF18" s="72"/>
      <c r="AG18" s="103" t="str">
        <f t="shared" si="5"/>
        <v>B s1
d0</v>
      </c>
      <c r="AH18" s="75" t="s">
        <v>178</v>
      </c>
      <c r="AI18" s="83" t="s">
        <v>176</v>
      </c>
      <c r="AJ18" s="103"/>
      <c r="AK18" s="73"/>
      <c r="AL18" s="47">
        <v>0.02</v>
      </c>
      <c r="AM18" s="47">
        <v>1150</v>
      </c>
      <c r="AN18" s="47"/>
      <c r="AO18" s="80" t="s">
        <v>17</v>
      </c>
      <c r="AP18" s="110"/>
      <c r="AQ18" s="73"/>
      <c r="AR18" s="25"/>
    </row>
    <row r="19" spans="1:44" ht="25.2" customHeight="1" x14ac:dyDescent="0.15">
      <c r="A19" s="47" t="s">
        <v>165</v>
      </c>
      <c r="B19" s="47" t="s">
        <v>208</v>
      </c>
      <c r="C19" s="47"/>
      <c r="D19" s="47" t="s">
        <v>163</v>
      </c>
      <c r="E19" s="82" t="s">
        <v>153</v>
      </c>
      <c r="F19" s="47" t="s">
        <v>55</v>
      </c>
      <c r="G19" s="85" t="s">
        <v>839</v>
      </c>
      <c r="H19" s="47"/>
      <c r="I19" s="111">
        <v>1</v>
      </c>
      <c r="J19" s="52">
        <f t="shared" si="0"/>
        <v>6.2117586000000005</v>
      </c>
      <c r="K19" s="148" cm="1">
        <f t="array" ref="K19">IF(AC19="N/A","",_xlfn.IFS(Y19="m2",((AA19/(Z19/AL19))*I19),Y19="m3",((AA19/(Z19/AL19))*I19),Y19="kg",(((AA19*AM19)/(1/AL19))*I19),Y19="ton",(((AA19/1000*AM19)/(1/AL19))*I19),Y19="N/A",""))</f>
        <v>6.2117586000000005</v>
      </c>
      <c r="L19" s="52">
        <f t="shared" si="1"/>
        <v>-12.87</v>
      </c>
      <c r="M19" s="148" cm="1">
        <f t="array" ref="M19">(_xlfn.IFS(Y19="m2",((AB19/(Z19/AL19))*I19),Y19="m3",((AB19/(Z19/AL19))*I19),Y19="kg",(((AB19*AM19)/(1/AL19))*I19),Y19="ton",(((AB19/1000*AM19)/(1/AL19))*I19),Y19="N/A",""))</f>
        <v>-12.87</v>
      </c>
      <c r="N19" s="52">
        <f t="shared" si="2"/>
        <v>19.081758600000001</v>
      </c>
      <c r="O19" s="148" cm="1">
        <f t="array" ref="O19">IF(AC19="N/A","",(_xlfn.IFS(Y19="m2",((AC19/(Z19/AL19))*I19),Y19="m3",((AC19/(Z19/AL19))*I19),Y19="kg",(((AC19*AM19)/(1/AL19))*I19),Y19="ton",(((AC19/1000*AM19)/(1/AL19))*I19),Y19="N/A","")))</f>
        <v>19.081758600000001</v>
      </c>
      <c r="P19" s="52">
        <f t="shared" si="3"/>
        <v>-18.899999999999999</v>
      </c>
      <c r="Q19" s="155" cm="1">
        <f t="array" ref="Q19">IF(AE19="N/A","",_xlfn.IFS(Y19="m2",((AE19/(Z19/AL19))*I19),Y19="m3",((AE19/(Z19/AL19))*I19),Y19="kg",(((AE19*AM19)/(1/AL19))*I19),Y19="ton",(((AE19/1000*AM19)/(1/AL19))*I19),Y19="N/A",""))</f>
        <v>-18.899999999999999</v>
      </c>
      <c r="R19" s="82" t="s">
        <v>5</v>
      </c>
      <c r="S19" s="164"/>
      <c r="T19" s="47">
        <v>2027</v>
      </c>
      <c r="U19" s="47" t="s">
        <v>28</v>
      </c>
      <c r="V19" s="47">
        <v>60</v>
      </c>
      <c r="W19" s="47"/>
      <c r="X19" s="47" t="s">
        <v>575</v>
      </c>
      <c r="Y19" s="47" t="s">
        <v>20</v>
      </c>
      <c r="Z19" s="47">
        <v>1</v>
      </c>
      <c r="AA19" s="52">
        <f t="shared" si="4"/>
        <v>345.09770000000003</v>
      </c>
      <c r="AB19" s="52">
        <f>-7.15*10^2</f>
        <v>-715</v>
      </c>
      <c r="AC19" s="52">
        <f>1.06*10^3+9.77*10^-2</f>
        <v>1060.0977</v>
      </c>
      <c r="AD19" s="52">
        <f>-6.92*10^2</f>
        <v>-692</v>
      </c>
      <c r="AE19" s="52">
        <f>-1.05*10^3</f>
        <v>-1050</v>
      </c>
      <c r="AF19" s="72"/>
      <c r="AG19" s="103" t="str">
        <f t="shared" si="5"/>
        <v>D s2
d0</v>
      </c>
      <c r="AH19" s="75" t="s">
        <v>8</v>
      </c>
      <c r="AI19" s="83" t="s">
        <v>177</v>
      </c>
      <c r="AJ19" s="103"/>
      <c r="AK19" s="73"/>
      <c r="AL19" s="47">
        <v>1.7999999999999999E-2</v>
      </c>
      <c r="AM19" s="47">
        <v>570</v>
      </c>
      <c r="AN19" s="47"/>
      <c r="AO19" s="80" t="s">
        <v>17</v>
      </c>
      <c r="AP19" s="265" t="s">
        <v>17</v>
      </c>
      <c r="AQ19" s="73"/>
      <c r="AR19" s="25"/>
    </row>
    <row r="20" spans="1:44" ht="25.2" customHeight="1" x14ac:dyDescent="0.15">
      <c r="A20" s="47" t="s">
        <v>169</v>
      </c>
      <c r="B20" s="47" t="s">
        <v>208</v>
      </c>
      <c r="C20" s="47"/>
      <c r="D20" s="47" t="s">
        <v>171</v>
      </c>
      <c r="E20" s="47" t="s">
        <v>152</v>
      </c>
      <c r="F20" s="47" t="s">
        <v>168</v>
      </c>
      <c r="G20" s="47"/>
      <c r="H20" s="47"/>
      <c r="I20" s="111">
        <v>1</v>
      </c>
      <c r="J20" s="52" t="str">
        <f t="shared" si="0"/>
        <v>N/A</v>
      </c>
      <c r="K20" s="148" t="str" cm="1">
        <f t="array" ref="K20">IF(AC20="N/A","",_xlfn.IFS(Y20="m2",((AA20/(Z20/AL20))*I20),Y20="m3",((AA20/(Z20/AL20))*I20),Y20="kg",(((AA20*AM20)/(1/AL20))*I20),Y20="ton",(((AA20/1000*AM20)/(1/AL20))*I20),Y20="N/A",""))</f>
        <v/>
      </c>
      <c r="L20" s="52" t="str">
        <f t="shared" si="1"/>
        <v>N/A</v>
      </c>
      <c r="M20" s="148" t="str" cm="1">
        <f t="array" ref="M20">(_xlfn.IFS(Y20="m2",((AB20/(Z20/AL20))*I20),Y20="m3",((AB20/(Z20/AL20))*I20),Y20="kg",(((AB20*AM20)/(1/AL20))*I20),Y20="ton",(((AB20/1000*AM20)/(1/AL20))*I20),Y20="N/A",""))</f>
        <v/>
      </c>
      <c r="N20" s="52" t="str">
        <f t="shared" si="2"/>
        <v>N/A</v>
      </c>
      <c r="O20" s="148" t="str" cm="1">
        <f t="array" ref="O20">IF(AC20="N/A","",(_xlfn.IFS(Y20="m2",((AC20/(Z20/AL20))*I20),Y20="m3",((AC20/(Z20/AL20))*I20),Y20="kg",(((AC20*AM20)/(1/AL20))*I20),Y20="ton",(((AC20/1000*AM20)/(1/AL20))*I20),Y20="N/A","")))</f>
        <v/>
      </c>
      <c r="P20" s="52" t="str">
        <f t="shared" si="3"/>
        <v>N/A</v>
      </c>
      <c r="Q20" s="155" t="str" cm="1">
        <f t="array" ref="Q20">IF(AE20="N/A","",_xlfn.IFS(Y20="m2",((AE20/(Z20/AL20))*I20),Y20="m3",((AE20/(Z20/AL20))*I20),Y20="kg",(((AE20*AM20)/(1/AL20))*I20),Y20="ton",(((AE20/1000*AM20)/(1/AL20))*I20),Y20="N/A",""))</f>
        <v/>
      </c>
      <c r="R20" s="47" t="s">
        <v>191</v>
      </c>
      <c r="S20" s="47"/>
      <c r="T20" s="47" t="s">
        <v>191</v>
      </c>
      <c r="U20" s="47" t="s">
        <v>191</v>
      </c>
      <c r="V20" s="47" t="s">
        <v>191</v>
      </c>
      <c r="W20" s="47"/>
      <c r="X20" s="47" t="s">
        <v>191</v>
      </c>
      <c r="Y20" s="47" t="s">
        <v>191</v>
      </c>
      <c r="Z20" s="47" t="s">
        <v>191</v>
      </c>
      <c r="AA20" s="52" t="str">
        <f t="shared" si="4"/>
        <v>N/A</v>
      </c>
      <c r="AB20" s="47" t="s">
        <v>191</v>
      </c>
      <c r="AC20" s="52" t="s">
        <v>191</v>
      </c>
      <c r="AD20" s="52" t="s">
        <v>191</v>
      </c>
      <c r="AE20" s="47" t="s">
        <v>191</v>
      </c>
      <c r="AF20" s="69"/>
      <c r="AG20" s="103" t="str">
        <f t="shared" si="5"/>
        <v xml:space="preserve">F </v>
      </c>
      <c r="AH20" s="75" t="s">
        <v>82</v>
      </c>
      <c r="AI20" s="76"/>
      <c r="AJ20" s="103"/>
      <c r="AK20" s="73"/>
      <c r="AL20" s="47"/>
      <c r="AM20" s="47" t="s">
        <v>191</v>
      </c>
      <c r="AN20" s="47"/>
      <c r="AO20" s="80" t="s">
        <v>17</v>
      </c>
      <c r="AP20" s="265" t="s">
        <v>17</v>
      </c>
      <c r="AQ20" s="81" t="s">
        <v>17</v>
      </c>
      <c r="AR20" s="25"/>
    </row>
    <row r="21" spans="1:44" ht="25.2" customHeight="1" x14ac:dyDescent="0.15">
      <c r="A21" s="47" t="s">
        <v>170</v>
      </c>
      <c r="B21" s="47" t="s">
        <v>208</v>
      </c>
      <c r="C21" s="47"/>
      <c r="D21" s="47" t="s">
        <v>172</v>
      </c>
      <c r="E21" s="47" t="s">
        <v>153</v>
      </c>
      <c r="F21" s="47" t="s">
        <v>168</v>
      </c>
      <c r="G21" s="47"/>
      <c r="H21" s="47"/>
      <c r="I21" s="111">
        <v>1</v>
      </c>
      <c r="J21" s="52" t="str">
        <f t="shared" si="0"/>
        <v>N/A</v>
      </c>
      <c r="K21" s="148" t="str" cm="1">
        <f t="array" ref="K21">IF(AC21="N/A","",_xlfn.IFS(Y21="m2",((AA21/(Z21/AL21))*I21),Y21="m3",((AA21/(Z21/AL21))*I21),Y21="kg",(((AA21*AM21)/(1/AL21))*I21),Y21="ton",(((AA21/1000*AM21)/(1/AL21))*I21),Y21="N/A",""))</f>
        <v/>
      </c>
      <c r="L21" s="52" t="str">
        <f t="shared" si="1"/>
        <v>N/A</v>
      </c>
      <c r="M21" s="148" t="str" cm="1">
        <f t="array" ref="M21">(_xlfn.IFS(Y21="m2",((AB21/(Z21/AL21))*I21),Y21="m3",((AB21/(Z21/AL21))*I21),Y21="kg",(((AB21*AM21)/(1/AL21))*I21),Y21="ton",(((AB21/1000*AM21)/(1/AL21))*I21),Y21="N/A",""))</f>
        <v/>
      </c>
      <c r="N21" s="52" t="str">
        <f t="shared" si="2"/>
        <v>N/A</v>
      </c>
      <c r="O21" s="148" t="str" cm="1">
        <f t="array" ref="O21">IF(AC21="N/A","",(_xlfn.IFS(Y21="m2",((AC21/(Z21/AL21))*I21),Y21="m3",((AC21/(Z21/AL21))*I21),Y21="kg",(((AC21*AM21)/(1/AL21))*I21),Y21="ton",(((AC21/1000*AM21)/(1/AL21))*I21),Y21="N/A","")))</f>
        <v/>
      </c>
      <c r="P21" s="52" t="str">
        <f t="shared" si="3"/>
        <v>N/A</v>
      </c>
      <c r="Q21" s="155" t="str" cm="1">
        <f t="array" ref="Q21">IF(AE21="N/A","",_xlfn.IFS(Y21="m2",((AE21/(Z21/AL21))*I21),Y21="m3",((AE21/(Z21/AL21))*I21),Y21="kg",(((AE21*AM21)/(1/AL21))*I21),Y21="ton",(((AE21/1000*AM21)/(1/AL21))*I21),Y21="N/A",""))</f>
        <v/>
      </c>
      <c r="R21" s="47" t="s">
        <v>191</v>
      </c>
      <c r="S21" s="47"/>
      <c r="T21" s="47" t="s">
        <v>191</v>
      </c>
      <c r="U21" s="47" t="s">
        <v>191</v>
      </c>
      <c r="V21" s="47" t="s">
        <v>191</v>
      </c>
      <c r="W21" s="47"/>
      <c r="X21" s="47" t="s">
        <v>191</v>
      </c>
      <c r="Y21" s="47" t="s">
        <v>191</v>
      </c>
      <c r="Z21" s="47" t="s">
        <v>191</v>
      </c>
      <c r="AA21" s="52" t="str">
        <f t="shared" si="4"/>
        <v>N/A</v>
      </c>
      <c r="AB21" s="47" t="s">
        <v>191</v>
      </c>
      <c r="AC21" s="52" t="s">
        <v>191</v>
      </c>
      <c r="AD21" s="52" t="s">
        <v>191</v>
      </c>
      <c r="AE21" s="47" t="s">
        <v>191</v>
      </c>
      <c r="AF21" s="69"/>
      <c r="AG21" s="103" t="str">
        <f t="shared" si="5"/>
        <v xml:space="preserve">F </v>
      </c>
      <c r="AH21" s="75" t="s">
        <v>82</v>
      </c>
      <c r="AI21" s="76"/>
      <c r="AJ21" s="103"/>
      <c r="AK21" s="73"/>
      <c r="AL21" s="47"/>
      <c r="AM21" s="47" t="s">
        <v>191</v>
      </c>
      <c r="AN21" s="47"/>
      <c r="AO21" s="80" t="s">
        <v>17</v>
      </c>
      <c r="AP21" s="110"/>
      <c r="AQ21" s="73"/>
      <c r="AR21" s="25"/>
    </row>
    <row r="22" spans="1:44" ht="25.2" customHeight="1" x14ac:dyDescent="0.15">
      <c r="A22" s="47" t="s">
        <v>230</v>
      </c>
      <c r="B22" s="47" t="s">
        <v>210</v>
      </c>
      <c r="C22" s="47"/>
      <c r="D22" s="47" t="s">
        <v>231</v>
      </c>
      <c r="E22" s="82" t="s">
        <v>232</v>
      </c>
      <c r="F22" s="85" t="s">
        <v>300</v>
      </c>
      <c r="G22" s="85"/>
      <c r="H22" s="85"/>
      <c r="I22" s="112">
        <v>1</v>
      </c>
      <c r="J22" s="52">
        <f t="shared" si="0"/>
        <v>16.701000000000001</v>
      </c>
      <c r="K22" s="148" cm="1">
        <f t="array" ref="K22">IF(AC22="N/A","",_xlfn.IFS(Y22="m2",((AA22/(Z22/AL22))*I22),Y22="m3",((AA22/(Z22/AL22))*I22),Y22="kg",(((AA22*AM22)/(1/AL22))*I22),Y22="ton",(((AA22/1000*AM22)/(1/AL22))*I22),Y22="N/A",""))</f>
        <v>16.701000000000001</v>
      </c>
      <c r="L22" s="52">
        <f t="shared" si="1"/>
        <v>16.5</v>
      </c>
      <c r="M22" s="148" cm="1">
        <f t="array" ref="M22">(_xlfn.IFS(Y22="m2",((AB22/(Z22/AL22))*I22),Y22="m3",((AB22/(Z22/AL22))*I22),Y22="kg",(((AB22*AM22)/(1/AL22))*I22),Y22="ton",(((AB22/1000*AM22)/(1/AL22))*I22),Y22="N/A",""))</f>
        <v>16.5</v>
      </c>
      <c r="N22" s="52">
        <f t="shared" si="2"/>
        <v>0.20100000000000001</v>
      </c>
      <c r="O22" s="148" cm="1">
        <f t="array" ref="O22">IF(AC22="N/A","",(_xlfn.IFS(Y22="m2",((AC22/(Z22/AL22))*I22),Y22="m3",((AC22/(Z22/AL22))*I22),Y22="kg",(((AC22*AM22)/(1/AL22))*I22),Y22="ton",(((AC22/1000*AM22)/(1/AL22))*I22),Y22="N/A","")))</f>
        <v>0.20100000000000001</v>
      </c>
      <c r="P22" s="52">
        <f t="shared" si="3"/>
        <v>-0.33400000000000002</v>
      </c>
      <c r="Q22" s="155" cm="1">
        <f t="array" ref="Q22">IF(AE22="N/A","",_xlfn.IFS(Y22="m2",((AE22/(Z22/AL22))*I22),Y22="m3",((AE22/(Z22/AL22))*I22),Y22="kg",(((AE22*AM22)/(1/AL22))*I22),Y22="ton",(((AE22/1000*AM22)/(1/AL22))*I22),Y22="N/A",""))</f>
        <v>-0.33400000000000002</v>
      </c>
      <c r="R22" s="82" t="s">
        <v>5</v>
      </c>
      <c r="S22" s="164"/>
      <c r="T22" s="47">
        <v>2026</v>
      </c>
      <c r="U22" s="47" t="s">
        <v>28</v>
      </c>
      <c r="V22" s="47">
        <v>50</v>
      </c>
      <c r="W22" s="47"/>
      <c r="X22" s="47" t="s">
        <v>576</v>
      </c>
      <c r="Y22" s="47" t="s">
        <v>15</v>
      </c>
      <c r="Z22" s="47">
        <v>8.0000000000000002E-3</v>
      </c>
      <c r="AA22" s="52">
        <f t="shared" si="4"/>
        <v>16.701000000000001</v>
      </c>
      <c r="AB22" s="52">
        <v>16.5</v>
      </c>
      <c r="AC22" s="52">
        <f>0+0.201</f>
        <v>0.20100000000000001</v>
      </c>
      <c r="AD22" s="52">
        <v>-0.46200000000000002</v>
      </c>
      <c r="AE22" s="52">
        <v>-0.33400000000000002</v>
      </c>
      <c r="AF22" s="69"/>
      <c r="AG22" s="103" t="str">
        <f t="shared" si="5"/>
        <v>A2 s1
d0</v>
      </c>
      <c r="AH22" s="75" t="s">
        <v>214</v>
      </c>
      <c r="AI22" s="83" t="s">
        <v>176</v>
      </c>
      <c r="AJ22" s="103"/>
      <c r="AK22" s="73"/>
      <c r="AL22" s="47">
        <v>8.0000000000000002E-3</v>
      </c>
      <c r="AM22" s="47" t="s">
        <v>191</v>
      </c>
      <c r="AN22" s="47"/>
      <c r="AO22" s="80" t="s">
        <v>17</v>
      </c>
      <c r="AP22" s="265" t="s">
        <v>17</v>
      </c>
      <c r="AQ22" s="73"/>
      <c r="AR22" s="25"/>
    </row>
    <row r="23" spans="1:44" ht="25.2" customHeight="1" x14ac:dyDescent="0.15">
      <c r="A23" s="47" t="s">
        <v>233</v>
      </c>
      <c r="B23" s="47" t="s">
        <v>210</v>
      </c>
      <c r="C23" s="47"/>
      <c r="D23" s="47" t="s">
        <v>231</v>
      </c>
      <c r="E23" s="82" t="s">
        <v>145</v>
      </c>
      <c r="F23" s="85" t="s">
        <v>300</v>
      </c>
      <c r="G23" s="85"/>
      <c r="H23" s="47"/>
      <c r="I23" s="111">
        <v>1</v>
      </c>
      <c r="J23" s="52" t="str">
        <f t="shared" si="0"/>
        <v>N/A</v>
      </c>
      <c r="K23" s="148" t="str" cm="1">
        <f t="array" ref="K23">IF(AC23="N/A","",_xlfn.IFS(Y23="m2",((AA23/(Z23/AL23))*I23),Y23="m3",((AA23/(Z23/AL23))*I23),Y23="kg",(((AA23*AM23)/(1/AL23))*I23),Y23="ton",(((AA23/1000*AM23)/(1/AL23))*I23),Y23="N/A",""))</f>
        <v/>
      </c>
      <c r="L23" s="52">
        <f t="shared" si="1"/>
        <v>18.943999999999999</v>
      </c>
      <c r="M23" s="148" cm="1">
        <f t="array" ref="M23">(_xlfn.IFS(Y23="m2",((AB23/(Z23/AL23))*I23),Y23="m3",((AB23/(Z23/AL23))*I23),Y23="kg",(((AB23*AM23)/(1/AL23))*I23),Y23="ton",(((AB23/1000*AM23)/(1/AL23))*I23),Y23="N/A",""))</f>
        <v>18.943999999999999</v>
      </c>
      <c r="N23" s="52" t="str">
        <f t="shared" si="2"/>
        <v>N/A</v>
      </c>
      <c r="O23" s="148" t="str" cm="1">
        <f t="array" ref="O23">IF(AC23="N/A","",(_xlfn.IFS(Y23="m2",((AC23/(Z23/AL23))*I23),Y23="m3",((AC23/(Z23/AL23))*I23),Y23="kg",(((AC23*AM23)/(1/AL23))*I23),Y23="ton",(((AC23/1000*AM23)/(1/AL23))*I23),Y23="N/A","")))</f>
        <v/>
      </c>
      <c r="P23" s="52" t="str">
        <f t="shared" si="3"/>
        <v>N/A</v>
      </c>
      <c r="Q23" s="155" t="str" cm="1">
        <f t="array" ref="Q23">IF(AE23="N/A","",_xlfn.IFS(Y23="m2",((AE23/(Z23/AL23))*I23),Y23="m3",((AE23/(Z23/AL23))*I23),Y23="kg",(((AE23*AM23)/(1/AL23))*I23),Y23="ton",(((AE23/1000*AM23)/(1/AL23))*I23),Y23="N/A",""))</f>
        <v/>
      </c>
      <c r="R23" s="82" t="s">
        <v>5</v>
      </c>
      <c r="S23" s="164"/>
      <c r="T23" s="47">
        <v>2023</v>
      </c>
      <c r="U23" s="47" t="s">
        <v>14</v>
      </c>
      <c r="V23" s="47" t="s">
        <v>191</v>
      </c>
      <c r="W23" s="47"/>
      <c r="X23" s="47" t="s">
        <v>577</v>
      </c>
      <c r="Y23" s="47" t="s">
        <v>234</v>
      </c>
      <c r="Z23" s="47" t="s">
        <v>191</v>
      </c>
      <c r="AA23" s="52" t="str">
        <f t="shared" si="4"/>
        <v>N/A</v>
      </c>
      <c r="AB23" s="52">
        <v>1280</v>
      </c>
      <c r="AC23" s="52" t="s">
        <v>191</v>
      </c>
      <c r="AD23" s="52" t="s">
        <v>191</v>
      </c>
      <c r="AE23" s="47" t="s">
        <v>191</v>
      </c>
      <c r="AF23" s="69"/>
      <c r="AG23" s="103" t="str">
        <f t="shared" si="5"/>
        <v>A2 s1
d0</v>
      </c>
      <c r="AH23" s="75" t="s">
        <v>214</v>
      </c>
      <c r="AI23" s="83" t="s">
        <v>176</v>
      </c>
      <c r="AJ23" s="103"/>
      <c r="AK23" s="73"/>
      <c r="AL23" s="47">
        <v>8.0000000000000002E-3</v>
      </c>
      <c r="AM23" s="47">
        <v>1850</v>
      </c>
      <c r="AN23" s="47"/>
      <c r="AO23" s="80" t="s">
        <v>17</v>
      </c>
      <c r="AP23" s="110"/>
      <c r="AQ23" s="73"/>
      <c r="AR23" s="25"/>
    </row>
    <row r="24" spans="1:44" ht="25.2" customHeight="1" x14ac:dyDescent="0.15">
      <c r="A24" s="47" t="s">
        <v>235</v>
      </c>
      <c r="B24" s="47" t="s">
        <v>210</v>
      </c>
      <c r="C24" s="47"/>
      <c r="D24" s="47" t="s">
        <v>231</v>
      </c>
      <c r="E24" s="82" t="s">
        <v>142</v>
      </c>
      <c r="F24" s="85" t="s">
        <v>300</v>
      </c>
      <c r="G24" s="85"/>
      <c r="H24" s="47"/>
      <c r="I24" s="111">
        <v>1</v>
      </c>
      <c r="J24" s="52" t="str">
        <f t="shared" si="0"/>
        <v>N/A</v>
      </c>
      <c r="K24" s="148" t="str" cm="1">
        <f t="array" ref="K24">IF(AC24="N/A","",_xlfn.IFS(Y24="m2",((AA24/(Z24/AL24))*I24),Y24="m3",((AA24/(Z24/AL24))*I24),Y24="kg",(((AA24*AM24)/(1/AL24))*I24),Y24="ton",(((AA24/1000*AM24)/(1/AL24))*I24),Y24="N/A",""))</f>
        <v/>
      </c>
      <c r="L24" s="52">
        <f t="shared" si="1"/>
        <v>10.422895199999999</v>
      </c>
      <c r="M24" s="148" cm="1">
        <f t="array" ref="M24">(_xlfn.IFS(Y24="m2",((AB24/(Z24/AL24))*I24),Y24="m3",((AB24/(Z24/AL24))*I24),Y24="kg",(((AB24*AM24)/(1/AL24))*I24),Y24="ton",(((AB24/1000*AM24)/(1/AL24))*I24),Y24="N/A",""))</f>
        <v>10.422895199999999</v>
      </c>
      <c r="N24" s="52" t="str">
        <f t="shared" si="2"/>
        <v>N/A</v>
      </c>
      <c r="O24" s="148" t="str" cm="1">
        <f t="array" ref="O24">IF(AC24="N/A","",(_xlfn.IFS(Y24="m2",((AC24/(Z24/AL24))*I24),Y24="m3",((AC24/(Z24/AL24))*I24),Y24="kg",(((AC24*AM24)/(1/AL24))*I24),Y24="ton",(((AC24/1000*AM24)/(1/AL24))*I24),Y24="N/A","")))</f>
        <v/>
      </c>
      <c r="P24" s="52" t="str">
        <f t="shared" si="3"/>
        <v>N/A</v>
      </c>
      <c r="Q24" s="155" t="str" cm="1">
        <f t="array" ref="Q24">IF(AE24="N/A","",_xlfn.IFS(Y24="m2",((AE24/(Z24/AL24))*I24),Y24="m3",((AE24/(Z24/AL24))*I24),Y24="kg",(((AE24*AM24)/(1/AL24))*I24),Y24="ton",(((AE24/1000*AM24)/(1/AL24))*I24),Y24="N/A",""))</f>
        <v/>
      </c>
      <c r="R24" s="82" t="s">
        <v>5</v>
      </c>
      <c r="S24" s="164"/>
      <c r="T24" s="47">
        <v>2022</v>
      </c>
      <c r="U24" s="47" t="s">
        <v>14</v>
      </c>
      <c r="V24" s="47" t="s">
        <v>191</v>
      </c>
      <c r="W24" s="47"/>
      <c r="X24" s="47" t="s">
        <v>578</v>
      </c>
      <c r="Y24" s="47" t="s">
        <v>234</v>
      </c>
      <c r="Z24" s="47" t="s">
        <v>191</v>
      </c>
      <c r="AA24" s="52" t="str">
        <f t="shared" si="4"/>
        <v>N/A</v>
      </c>
      <c r="AB24" s="52">
        <f>804+13.8+1.61</f>
        <v>819.41</v>
      </c>
      <c r="AC24" s="52" t="s">
        <v>191</v>
      </c>
      <c r="AD24" s="52" t="s">
        <v>191</v>
      </c>
      <c r="AE24" s="47" t="s">
        <v>191</v>
      </c>
      <c r="AF24" s="69"/>
      <c r="AG24" s="103" t="str">
        <f t="shared" si="5"/>
        <v xml:space="preserve">A1 </v>
      </c>
      <c r="AH24" s="75" t="s">
        <v>58</v>
      </c>
      <c r="AI24" s="83"/>
      <c r="AJ24" s="103"/>
      <c r="AK24" s="73"/>
      <c r="AL24" s="47">
        <v>8.0000000000000002E-3</v>
      </c>
      <c r="AM24" s="47">
        <f>(1480+1700)/2</f>
        <v>1590</v>
      </c>
      <c r="AN24" s="47"/>
      <c r="AO24" s="80" t="s">
        <v>17</v>
      </c>
      <c r="AP24" s="110"/>
      <c r="AQ24" s="73"/>
      <c r="AR24" s="25"/>
    </row>
    <row r="25" spans="1:44" ht="25.2" customHeight="1" x14ac:dyDescent="0.15">
      <c r="A25" s="47" t="s">
        <v>843</v>
      </c>
      <c r="B25" s="47" t="s">
        <v>208</v>
      </c>
      <c r="C25" s="47"/>
      <c r="D25" s="47" t="s">
        <v>104</v>
      </c>
      <c r="E25" s="82" t="s">
        <v>146</v>
      </c>
      <c r="F25" s="47" t="s">
        <v>55</v>
      </c>
      <c r="G25" s="85" t="s">
        <v>840</v>
      </c>
      <c r="H25" s="47"/>
      <c r="I25" s="111">
        <v>1</v>
      </c>
      <c r="J25" s="52">
        <f t="shared" si="0"/>
        <v>2.7000000000000028</v>
      </c>
      <c r="K25" s="148" cm="1">
        <f t="array" ref="K25">IF(AC25="N/A","",_xlfn.IFS(Y25="m2",((AA25/(Z25/AL25))*I25),Y25="m3",((AA25/(Z25/AL25))*I25),Y25="kg",(((AA25*AM25)/(1/AL25))*I25),Y25="ton",(((AA25/1000*AM25)/(1/AL25))*I25),Y25="N/A",""))</f>
        <v>2.7000000000000028</v>
      </c>
      <c r="L25" s="52">
        <f t="shared" si="1"/>
        <v>-30.9</v>
      </c>
      <c r="M25" s="148" cm="1">
        <f t="array" ref="M25">(_xlfn.IFS(Y25="m2",((AB25/(Z25/AL25))*I25),Y25="m3",((AB25/(Z25/AL25))*I25),Y25="kg",(((AB25*AM25)/(1/AL25))*I25),Y25="ton",(((AB25/1000*AM25)/(1/AL25))*I25),Y25="N/A",""))</f>
        <v>-30.9</v>
      </c>
      <c r="N25" s="52">
        <f t="shared" si="2"/>
        <v>33.6</v>
      </c>
      <c r="O25" s="148" cm="1">
        <f t="array" ref="O25">IF(AC25="N/A","",(_xlfn.IFS(Y25="m2",((AC25/(Z25/AL25))*I25),Y25="m3",((AC25/(Z25/AL25))*I25),Y25="kg",(((AC25*AM25)/(1/AL25))*I25),Y25="ton",(((AC25/1000*AM25)/(1/AL25))*I25),Y25="N/A","")))</f>
        <v>33.6</v>
      </c>
      <c r="P25" s="52">
        <f t="shared" si="3"/>
        <v>-33.299999999999997</v>
      </c>
      <c r="Q25" s="155" cm="1">
        <f t="array" ref="Q25">IF(AE25="N/A","",_xlfn.IFS(Y25="m2",((AE25/(Z25/AL25))*I25),Y25="m3",((AE25/(Z25/AL25))*I25),Y25="kg",(((AE25*AM25)/(1/AL25))*I25),Y25="ton",(((AE25/1000*AM25)/(1/AL25))*I25),Y25="N/A",""))</f>
        <v>-33.299999999999997</v>
      </c>
      <c r="R25" s="82" t="s">
        <v>5</v>
      </c>
      <c r="S25" s="164"/>
      <c r="T25" s="47">
        <v>2028</v>
      </c>
      <c r="U25" s="47" t="s">
        <v>28</v>
      </c>
      <c r="V25" s="47" t="s">
        <v>191</v>
      </c>
      <c r="W25" s="47"/>
      <c r="X25" s="47" t="s">
        <v>568</v>
      </c>
      <c r="Y25" s="47" t="s">
        <v>15</v>
      </c>
      <c r="Z25" s="47">
        <v>2.1000000000000001E-2</v>
      </c>
      <c r="AA25" s="52">
        <f t="shared" si="4"/>
        <v>2.7000000000000028</v>
      </c>
      <c r="AB25" s="52">
        <v>-30.9</v>
      </c>
      <c r="AC25" s="52">
        <f>33.6+0</f>
        <v>33.6</v>
      </c>
      <c r="AD25" s="52">
        <v>-4.28</v>
      </c>
      <c r="AE25" s="52">
        <f>-3.33*10^1</f>
        <v>-33.299999999999997</v>
      </c>
      <c r="AF25" s="69"/>
      <c r="AG25" s="103" t="str">
        <f t="shared" si="5"/>
        <v>D s2
d0</v>
      </c>
      <c r="AH25" s="75" t="s">
        <v>8</v>
      </c>
      <c r="AI25" s="83" t="s">
        <v>177</v>
      </c>
      <c r="AJ25" s="103"/>
      <c r="AK25" s="73"/>
      <c r="AL25" s="47">
        <v>2.1000000000000001E-2</v>
      </c>
      <c r="AM25" s="47">
        <v>430</v>
      </c>
      <c r="AN25" s="47"/>
      <c r="AO25" s="80" t="s">
        <v>17</v>
      </c>
      <c r="AP25" s="110"/>
      <c r="AQ25" s="73"/>
      <c r="AR25" s="25"/>
    </row>
    <row r="26" spans="1:44" ht="25.2" customHeight="1" x14ac:dyDescent="0.15">
      <c r="A26" s="47" t="s">
        <v>844</v>
      </c>
      <c r="B26" s="47" t="s">
        <v>208</v>
      </c>
      <c r="C26" s="47"/>
      <c r="D26" s="47" t="s">
        <v>104</v>
      </c>
      <c r="E26" s="82" t="s">
        <v>146</v>
      </c>
      <c r="F26" s="47" t="s">
        <v>55</v>
      </c>
      <c r="G26" s="85" t="s">
        <v>845</v>
      </c>
      <c r="H26" s="47"/>
      <c r="I26" s="111">
        <v>1</v>
      </c>
      <c r="J26" s="52">
        <f t="shared" si="0"/>
        <v>6.2000000000000028</v>
      </c>
      <c r="K26" s="148" cm="1">
        <f t="array" ref="K26">IF(AC26="N/A","",_xlfn.IFS(Y26="m2",((AA26/(Z26/AL26))*I26),Y26="m3",((AA26/(Z26/AL26))*I26),Y26="kg",(((AA26*AM26)/(1/AL26))*I26),Y26="ton",(((AA26/1000*AM26)/(1/AL26))*I26),Y26="N/A",""))</f>
        <v>6.2000000000000028</v>
      </c>
      <c r="L26" s="52">
        <f t="shared" si="1"/>
        <v>-31.5</v>
      </c>
      <c r="M26" s="148" cm="1">
        <f t="array" ref="M26">(_xlfn.IFS(Y26="m2",((AB26/(Z26/AL26))*I26),Y26="m3",((AB26/(Z26/AL26))*I26),Y26="kg",(((AB26*AM26)/(1/AL26))*I26),Y26="ton",(((AB26/1000*AM26)/(1/AL26))*I26),Y26="N/A",""))</f>
        <v>-31.5</v>
      </c>
      <c r="N26" s="52">
        <f t="shared" si="2"/>
        <v>37.700000000000003</v>
      </c>
      <c r="O26" s="148" cm="1">
        <f t="array" ref="O26">IF(AC26="N/A","",(_xlfn.IFS(Y26="m2",((AC26/(Z26/AL26))*I26),Y26="m3",((AC26/(Z26/AL26))*I26),Y26="kg",(((AC26*AM26)/(1/AL26))*I26),Y26="ton",(((AC26/1000*AM26)/(1/AL26))*I26),Y26="N/A","")))</f>
        <v>37.700000000000003</v>
      </c>
      <c r="P26" s="52">
        <f t="shared" si="3"/>
        <v>-37.4</v>
      </c>
      <c r="Q26" s="155" cm="1">
        <f t="array" ref="Q26">IF(AE26="N/A","",_xlfn.IFS(Y26="m2",((AE26/(Z26/AL26))*I26),Y26="m3",((AE26/(Z26/AL26))*I26),Y26="kg",(((AE26*AM26)/(1/AL26))*I26),Y26="ton",(((AE26/1000*AM26)/(1/AL26))*I26),Y26="N/A",""))</f>
        <v>-37.4</v>
      </c>
      <c r="R26" s="82" t="s">
        <v>5</v>
      </c>
      <c r="S26" s="164"/>
      <c r="T26" s="47">
        <v>2028</v>
      </c>
      <c r="U26" s="47" t="s">
        <v>28</v>
      </c>
      <c r="V26" s="47" t="s">
        <v>191</v>
      </c>
      <c r="W26" s="47"/>
      <c r="X26" s="47" t="s">
        <v>568</v>
      </c>
      <c r="Y26" s="47" t="s">
        <v>15</v>
      </c>
      <c r="Z26" s="47">
        <v>2.1000000000000001E-2</v>
      </c>
      <c r="AA26" s="52">
        <f t="shared" si="4"/>
        <v>6.2000000000000028</v>
      </c>
      <c r="AB26" s="52">
        <v>-31.5</v>
      </c>
      <c r="AC26" s="52">
        <v>37.700000000000003</v>
      </c>
      <c r="AD26" s="52">
        <v>-4.63</v>
      </c>
      <c r="AE26" s="52">
        <v>-37.4</v>
      </c>
      <c r="AF26" s="69"/>
      <c r="AG26" s="103" t="str">
        <f t="shared" si="5"/>
        <v>D s2
d0</v>
      </c>
      <c r="AH26" s="75" t="s">
        <v>8</v>
      </c>
      <c r="AI26" s="83" t="s">
        <v>177</v>
      </c>
      <c r="AJ26" s="103"/>
      <c r="AK26" s="73"/>
      <c r="AL26" s="47">
        <v>2.1000000000000001E-2</v>
      </c>
      <c r="AM26" s="47">
        <v>430</v>
      </c>
      <c r="AN26" s="47"/>
      <c r="AO26" s="80" t="s">
        <v>17</v>
      </c>
      <c r="AP26" s="110"/>
      <c r="AQ26" s="73"/>
      <c r="AR26" s="25"/>
    </row>
    <row r="27" spans="1:44" ht="25.2" customHeight="1" x14ac:dyDescent="0.15">
      <c r="A27" s="47" t="s">
        <v>326</v>
      </c>
      <c r="B27" s="47" t="s">
        <v>210</v>
      </c>
      <c r="C27" s="47"/>
      <c r="D27" s="47" t="s">
        <v>287</v>
      </c>
      <c r="E27" s="47" t="s">
        <v>191</v>
      </c>
      <c r="F27" s="85" t="s">
        <v>300</v>
      </c>
      <c r="G27" s="85"/>
      <c r="H27" s="47"/>
      <c r="I27" s="111">
        <v>1</v>
      </c>
      <c r="J27" s="52" t="str">
        <f t="shared" si="0"/>
        <v>N/A</v>
      </c>
      <c r="K27" s="148" t="str" cm="1">
        <f t="array" ref="K27">IF(AC27="N/A","",_xlfn.IFS(Y27="m2",((AA27/(Z27/AL27))*I27),Y27="m3",((AA27/(Z27/AL27))*I27),Y27="kg",(((AA27*AM27)/(1/AL27))*I27),Y27="ton",(((AA27/1000*AM27)/(1/AL27))*I27),Y27="N/A",""))</f>
        <v/>
      </c>
      <c r="L27" s="52">
        <f t="shared" si="1"/>
        <v>8.94</v>
      </c>
      <c r="M27" s="148" cm="1">
        <f t="array" ref="M27">(_xlfn.IFS(Y27="m2",((AB27/(Z27/AL27))*I27),Y27="m3",((AB27/(Z27/AL27))*I27),Y27="kg",(((AB27*AM27)/(1/AL27))*I27),Y27="ton",(((AB27/1000*AM27)/(1/AL27))*I27),Y27="N/A",""))</f>
        <v>8.94</v>
      </c>
      <c r="N27" s="52" t="str">
        <f t="shared" si="2"/>
        <v>N/A</v>
      </c>
      <c r="O27" s="148" t="str" cm="1">
        <f t="array" ref="O27">IF(AC27="N/A","",(_xlfn.IFS(Y27="m2",((AC27/(Z27/AL27))*I27),Y27="m3",((AC27/(Z27/AL27))*I27),Y27="kg",(((AC27*AM27)/(1/AL27))*I27),Y27="ton",(((AC27/1000*AM27)/(1/AL27))*I27),Y27="N/A","")))</f>
        <v/>
      </c>
      <c r="P27" s="52" t="str">
        <f t="shared" si="3"/>
        <v>N/A</v>
      </c>
      <c r="Q27" s="155" t="str" cm="1">
        <f t="array" ref="Q27">IF(AE27="N/A","",_xlfn.IFS(Y27="m2",((AE27/(Z27/AL27))*I27),Y27="m3",((AE27/(Z27/AL27))*I27),Y27="kg",(((AE27*AM27)/(1/AL27))*I27),Y27="ton",(((AE27/1000*AM27)/(1/AL27))*I27),Y27="N/A",""))</f>
        <v/>
      </c>
      <c r="R27" s="82" t="s">
        <v>5</v>
      </c>
      <c r="S27" s="164"/>
      <c r="T27" s="47" t="s">
        <v>191</v>
      </c>
      <c r="U27" s="47" t="s">
        <v>14</v>
      </c>
      <c r="V27" s="47" t="s">
        <v>191</v>
      </c>
      <c r="W27" s="47"/>
      <c r="X27" s="47" t="s">
        <v>579</v>
      </c>
      <c r="Y27" s="47" t="s">
        <v>15</v>
      </c>
      <c r="Z27" s="47">
        <v>8.0000000000000002E-3</v>
      </c>
      <c r="AA27" s="52" t="str">
        <f t="shared" si="4"/>
        <v>N/A</v>
      </c>
      <c r="AB27" s="52">
        <v>8.94</v>
      </c>
      <c r="AC27" s="52" t="s">
        <v>191</v>
      </c>
      <c r="AD27" s="52" t="s">
        <v>191</v>
      </c>
      <c r="AE27" s="47" t="s">
        <v>191</v>
      </c>
      <c r="AF27" s="69"/>
      <c r="AG27" s="103" t="str">
        <f t="shared" si="5"/>
        <v>A2 s1
d0</v>
      </c>
      <c r="AH27" s="75" t="s">
        <v>214</v>
      </c>
      <c r="AI27" s="83" t="s">
        <v>176</v>
      </c>
      <c r="AJ27" s="103"/>
      <c r="AK27" s="73"/>
      <c r="AL27" s="47">
        <v>8.0000000000000002E-3</v>
      </c>
      <c r="AM27" s="47">
        <v>1300</v>
      </c>
      <c r="AN27" s="47"/>
      <c r="AO27" s="80" t="s">
        <v>17</v>
      </c>
      <c r="AP27" s="110"/>
      <c r="AQ27" s="73"/>
      <c r="AR27" s="25"/>
    </row>
    <row r="28" spans="1:44" s="17" customFormat="1" ht="25.2" customHeight="1" x14ac:dyDescent="0.15">
      <c r="A28" s="25" t="s">
        <v>164</v>
      </c>
      <c r="B28" s="47" t="s">
        <v>208</v>
      </c>
      <c r="C28" s="47"/>
      <c r="D28" s="47" t="s">
        <v>163</v>
      </c>
      <c r="E28" s="82" t="s">
        <v>153</v>
      </c>
      <c r="F28" s="47" t="s">
        <v>55</v>
      </c>
      <c r="G28" s="85" t="s">
        <v>839</v>
      </c>
      <c r="H28" s="47"/>
      <c r="I28" s="111">
        <v>1</v>
      </c>
      <c r="J28" s="114">
        <f t="shared" si="0"/>
        <v>7.5921493999999994</v>
      </c>
      <c r="K28" s="152" cm="1">
        <f t="array" ref="K28">IF(AC28="N/A","",_xlfn.IFS(Y28="m2",((AA28/(Z28/AL28))*I28),Y28="m3",((AA28/(Z28/AL28))*I28),Y28="kg",(((AA28*AM28)/(1/AL28))*I28),Y28="ton",(((AA28/1000*AM28)/(1/AL28))*I28),Y28="N/A",""))</f>
        <v>7.5921493999999994</v>
      </c>
      <c r="L28" s="114">
        <f t="shared" si="1"/>
        <v>-15.729999999999999</v>
      </c>
      <c r="M28" s="152" cm="1">
        <f t="array" ref="M28">(_xlfn.IFS(Y28="m2",((AB28/(Z28/AL28))*I28),Y28="m3",((AB28/(Z28/AL28))*I28),Y28="kg",(((AB28*AM28)/(1/AL28))*I28),Y28="ton",(((AB28/1000*AM28)/(1/AL28))*I28),Y28="N/A",""))</f>
        <v>-15.729999999999999</v>
      </c>
      <c r="N28" s="52">
        <f t="shared" ref="N28:N52" si="6">IF(O28="","N/A",O28)</f>
        <v>23.322149399999997</v>
      </c>
      <c r="O28" s="148" cm="1">
        <f t="array" ref="O28">IF(AC28="N/A","",(_xlfn.IFS(Y28="m2",((AC28/(Z28/AL28))*I28),Y28="m3",((AC28/(Z28/AL28))*I28),Y28="kg",(((AC28*AM28)/(1/AL28))*I28),Y28="ton",(((AC28/1000*AM28)/(1/AL28))*I28),Y28="N/A","")))</f>
        <v>23.322149399999997</v>
      </c>
      <c r="P28" s="52">
        <f t="shared" ref="P28:P52" si="7">IF(Q28="","N/A",Q28)</f>
        <v>-23.099999999999998</v>
      </c>
      <c r="Q28" s="155" cm="1">
        <f t="array" ref="Q28">IF(AE28="N/A","",_xlfn.IFS(Y28="m2",((AE28/(Z28/AL28))*I28),Y28="m3",((AE28/(Z28/AL28))*I28),Y28="kg",(((AE28*AM28)/(1/AL28))*I28),Y28="ton",(((AE28/1000*AM28)/(1/AL28))*I28),Y28="N/A",""))</f>
        <v>-23.099999999999998</v>
      </c>
      <c r="R28" s="82" t="s">
        <v>5</v>
      </c>
      <c r="S28" s="164"/>
      <c r="T28" s="47">
        <v>2027</v>
      </c>
      <c r="U28" s="47" t="s">
        <v>28</v>
      </c>
      <c r="V28" s="47">
        <v>60</v>
      </c>
      <c r="W28" s="25"/>
      <c r="X28" s="47" t="s">
        <v>580</v>
      </c>
      <c r="Y28" s="47" t="s">
        <v>20</v>
      </c>
      <c r="Z28" s="47">
        <v>1</v>
      </c>
      <c r="AA28" s="52">
        <f t="shared" si="4"/>
        <v>345.09770000000003</v>
      </c>
      <c r="AB28" s="52">
        <f>-7.15*10^2</f>
        <v>-715</v>
      </c>
      <c r="AC28" s="52">
        <f>1.06*10^3+9.77*10^-2</f>
        <v>1060.0977</v>
      </c>
      <c r="AD28" s="52">
        <f>-6.92*10^2</f>
        <v>-692</v>
      </c>
      <c r="AE28" s="52">
        <f>-1.05*10^3</f>
        <v>-1050</v>
      </c>
      <c r="AF28" s="72"/>
      <c r="AG28" s="103" t="str">
        <f t="shared" si="5"/>
        <v>D s2
d0</v>
      </c>
      <c r="AH28" s="75" t="s">
        <v>8</v>
      </c>
      <c r="AI28" s="83" t="s">
        <v>177</v>
      </c>
      <c r="AJ28" s="103"/>
      <c r="AK28" s="66"/>
      <c r="AL28" s="47">
        <v>2.1999999999999999E-2</v>
      </c>
      <c r="AM28" s="47">
        <v>570</v>
      </c>
      <c r="AN28" s="47"/>
      <c r="AO28" s="80" t="s">
        <v>17</v>
      </c>
      <c r="AP28" s="268" t="s">
        <v>17</v>
      </c>
      <c r="AQ28" s="66"/>
      <c r="AR28" s="25"/>
    </row>
    <row r="29" spans="1:44" ht="25.2" customHeight="1" x14ac:dyDescent="0.15">
      <c r="A29" s="47" t="s">
        <v>324</v>
      </c>
      <c r="B29" s="47" t="s">
        <v>208</v>
      </c>
      <c r="C29" s="47"/>
      <c r="D29" s="47" t="s">
        <v>325</v>
      </c>
      <c r="E29" s="47" t="s">
        <v>191</v>
      </c>
      <c r="F29" s="47" t="s">
        <v>55</v>
      </c>
      <c r="G29" s="47"/>
      <c r="H29" s="47"/>
      <c r="I29" s="111">
        <v>1</v>
      </c>
      <c r="J29" s="114" t="str">
        <f t="shared" si="0"/>
        <v>N/A</v>
      </c>
      <c r="K29" s="152" t="str" cm="1">
        <f t="array" ref="K29">IF(AC29="N/A","",_xlfn.IFS(Y29="m2",((AA29/(Z29/AL29))*I29),Y29="m3",((AA29/(Z29/AL29))*I29),Y29="kg",(((AA29*AM29)/(1/AL29))*I29),Y29="ton",(((AA29/1000*AM29)/(1/AL29))*I29),Y29="N/A",""))</f>
        <v/>
      </c>
      <c r="L29" s="114" t="str">
        <f t="shared" si="1"/>
        <v>N/A</v>
      </c>
      <c r="M29" s="152" t="str" cm="1">
        <f t="array" ref="M29">(_xlfn.IFS(Y29="m2",((AB29/(Z29/AL29))*I29),Y29="m3",((AB29/(Z29/AL29))*I29),Y29="kg",(((AB29*AM29)/(1/AL29))*I29),Y29="ton",(((AB29/1000*AM29)/(1/AL29))*I29),Y29="N/A",""))</f>
        <v/>
      </c>
      <c r="N29" s="52" t="str">
        <f t="shared" si="6"/>
        <v>N/A</v>
      </c>
      <c r="O29" s="148" t="str" cm="1">
        <f t="array" ref="O29">IF(AC29="N/A","",(_xlfn.IFS(Y29="m2",((AC29/(Z29/AL29))*I29),Y29="m3",((AC29/(Z29/AL29))*I29),Y29="kg",(((AC29*AM29)/(1/AL29))*I29),Y29="ton",(((AC29/1000*AM29)/(1/AL29))*I29),Y29="N/A","")))</f>
        <v/>
      </c>
      <c r="P29" s="52" t="str">
        <f t="shared" si="7"/>
        <v>N/A</v>
      </c>
      <c r="Q29" s="155" t="str" cm="1">
        <f t="array" ref="Q29">IF(AE29="N/A","",_xlfn.IFS(Y29="m2",((AE29/(Z29/AL29))*I29),Y29="m3",((AE29/(Z29/AL29))*I29),Y29="kg",(((AE29*AM29)/(1/AL29))*I29),Y29="ton",(((AE29/1000*AM29)/(1/AL29))*I29),Y29="N/A",""))</f>
        <v/>
      </c>
      <c r="R29" s="47" t="s">
        <v>191</v>
      </c>
      <c r="S29" s="47"/>
      <c r="T29" s="47" t="s">
        <v>191</v>
      </c>
      <c r="U29" s="47" t="s">
        <v>191</v>
      </c>
      <c r="V29" s="47" t="s">
        <v>191</v>
      </c>
      <c r="W29" s="47"/>
      <c r="X29" s="47" t="s">
        <v>191</v>
      </c>
      <c r="Y29" s="47" t="s">
        <v>191</v>
      </c>
      <c r="Z29" s="47" t="s">
        <v>191</v>
      </c>
      <c r="AA29" s="52" t="str">
        <f t="shared" si="4"/>
        <v>N/A</v>
      </c>
      <c r="AB29" s="47" t="s">
        <v>191</v>
      </c>
      <c r="AC29" s="52" t="s">
        <v>191</v>
      </c>
      <c r="AD29" s="52" t="s">
        <v>191</v>
      </c>
      <c r="AE29" s="47" t="s">
        <v>191</v>
      </c>
      <c r="AF29" s="69"/>
      <c r="AG29" s="103" t="str">
        <f t="shared" si="5"/>
        <v xml:space="preserve">F </v>
      </c>
      <c r="AH29" s="75" t="s">
        <v>82</v>
      </c>
      <c r="AI29" s="76"/>
      <c r="AJ29" s="103"/>
      <c r="AK29" s="73"/>
      <c r="AL29" s="47" t="s">
        <v>191</v>
      </c>
      <c r="AM29" s="47">
        <v>515</v>
      </c>
      <c r="AN29" s="47"/>
      <c r="AO29" s="80" t="s">
        <v>17</v>
      </c>
      <c r="AP29" s="110"/>
      <c r="AQ29" s="73"/>
      <c r="AR29" s="25"/>
    </row>
    <row r="30" spans="1:44" ht="25.2" customHeight="1" x14ac:dyDescent="0.15">
      <c r="A30" s="47" t="s">
        <v>327</v>
      </c>
      <c r="B30" s="47" t="s">
        <v>210</v>
      </c>
      <c r="C30" s="47"/>
      <c r="D30" s="47" t="s">
        <v>287</v>
      </c>
      <c r="E30" s="47" t="s">
        <v>191</v>
      </c>
      <c r="F30" s="85" t="s">
        <v>300</v>
      </c>
      <c r="G30" s="85"/>
      <c r="H30" s="47"/>
      <c r="I30" s="111">
        <v>1</v>
      </c>
      <c r="J30" s="52" t="str">
        <f t="shared" si="0"/>
        <v>N/A</v>
      </c>
      <c r="K30" s="148" t="str" cm="1">
        <f t="array" ref="K30">IF(AC30="N/A","",_xlfn.IFS(Y30="m2",((AA30/(Z30/AL30))*I30),Y30="m3",((AA30/(Z30/AL30))*I30),Y30="kg",(((AA30*AM30)/(1/AL30))*I30),Y30="ton",(((AA30/1000*AM30)/(1/AL30))*I30),Y30="N/A",""))</f>
        <v/>
      </c>
      <c r="L30" s="52">
        <f t="shared" si="1"/>
        <v>7.34</v>
      </c>
      <c r="M30" s="148" cm="1">
        <f t="array" ref="M30">(_xlfn.IFS(Y30="m2",((AB30/(Z30/AL30))*I30),Y30="m3",((AB30/(Z30/AL30))*I30),Y30="kg",(((AB30*AM30)/(1/AL30))*I30),Y30="ton",(((AB30/1000*AM30)/(1/AL30))*I30),Y30="N/A",""))</f>
        <v>7.34</v>
      </c>
      <c r="N30" s="52" t="str">
        <f t="shared" si="6"/>
        <v>N/A</v>
      </c>
      <c r="O30" s="148" t="str" cm="1">
        <f t="array" ref="O30">IF(AC30="N/A","",(_xlfn.IFS(Y30="m2",((AC30/(Z30/AL30))*I30),Y30="m3",((AC30/(Z30/AL30))*I30),Y30="kg",(((AC30*AM30)/(1/AL30))*I30),Y30="ton",(((AC30/1000*AM30)/(1/AL30))*I30),Y30="N/A","")))</f>
        <v/>
      </c>
      <c r="P30" s="52" t="str">
        <f t="shared" si="7"/>
        <v>N/A</v>
      </c>
      <c r="Q30" s="155" t="str" cm="1">
        <f t="array" ref="Q30">IF(AE30="N/A","",_xlfn.IFS(Y30="m2",((AE30/(Z30/AL30))*I30),Y30="m3",((AE30/(Z30/AL30))*I30),Y30="kg",(((AE30*AM30)/(1/AL30))*I30),Y30="ton",(((AE30/1000*AM30)/(1/AL30))*I30),Y30="N/A",""))</f>
        <v/>
      </c>
      <c r="R30" s="82" t="s">
        <v>5</v>
      </c>
      <c r="S30" s="164"/>
      <c r="T30" s="47">
        <v>2023</v>
      </c>
      <c r="U30" s="47" t="s">
        <v>14</v>
      </c>
      <c r="V30" s="47" t="s">
        <v>191</v>
      </c>
      <c r="W30" s="47"/>
      <c r="X30" s="47" t="s">
        <v>581</v>
      </c>
      <c r="Y30" s="47" t="s">
        <v>15</v>
      </c>
      <c r="Z30" s="47">
        <v>8.0000000000000002E-3</v>
      </c>
      <c r="AA30" s="52" t="str">
        <f t="shared" si="4"/>
        <v>N/A</v>
      </c>
      <c r="AB30" s="52">
        <v>7.34</v>
      </c>
      <c r="AC30" s="52" t="s">
        <v>191</v>
      </c>
      <c r="AD30" s="52" t="s">
        <v>191</v>
      </c>
      <c r="AE30" s="47" t="s">
        <v>191</v>
      </c>
      <c r="AF30" s="69"/>
      <c r="AG30" s="103" t="str">
        <f t="shared" si="5"/>
        <v>A2 s1
d0</v>
      </c>
      <c r="AH30" s="75" t="s">
        <v>214</v>
      </c>
      <c r="AI30" s="83" t="s">
        <v>176</v>
      </c>
      <c r="AJ30" s="103"/>
      <c r="AK30" s="73"/>
      <c r="AL30" s="47">
        <v>8.0000000000000002E-3</v>
      </c>
      <c r="AM30" s="47">
        <v>1300</v>
      </c>
      <c r="AN30" s="47"/>
      <c r="AO30" s="80" t="s">
        <v>17</v>
      </c>
      <c r="AP30" s="110"/>
      <c r="AQ30" s="73"/>
      <c r="AR30" s="25"/>
    </row>
    <row r="31" spans="1:44" ht="25.2" customHeight="1" x14ac:dyDescent="0.15">
      <c r="A31" s="47" t="s">
        <v>328</v>
      </c>
      <c r="B31" s="47" t="s">
        <v>210</v>
      </c>
      <c r="C31" s="47"/>
      <c r="D31" s="47" t="s">
        <v>287</v>
      </c>
      <c r="E31" s="47" t="s">
        <v>191</v>
      </c>
      <c r="F31" s="85" t="s">
        <v>300</v>
      </c>
      <c r="G31" s="85"/>
      <c r="H31" s="47"/>
      <c r="I31" s="111">
        <v>1</v>
      </c>
      <c r="J31" s="52" t="str">
        <f t="shared" si="0"/>
        <v>N/A</v>
      </c>
      <c r="K31" s="148" t="str" cm="1">
        <f t="array" ref="K31">IF(AC31="N/A","",_xlfn.IFS(Y31="m2",((AA31/(Z31/AL31))*I31),Y31="m3",((AA31/(Z31/AL31))*I31),Y31="kg",(((AA31*AM31)/(1/AL31))*I31),Y31="ton",(((AA31/1000*AM31)/(1/AL31))*I31),Y31="N/A",""))</f>
        <v/>
      </c>
      <c r="L31" s="52">
        <f t="shared" si="1"/>
        <v>16.100000000000001</v>
      </c>
      <c r="M31" s="148" cm="1">
        <f t="array" ref="M31">(_xlfn.IFS(Y31="m2",((AB31/(Z31/AL31))*I31),Y31="m3",((AB31/(Z31/AL31))*I31),Y31="kg",(((AB31*AM31)/(1/AL31))*I31),Y31="ton",(((AB31/1000*AM31)/(1/AL31))*I31),Y31="N/A",""))</f>
        <v>16.100000000000001</v>
      </c>
      <c r="N31" s="52" t="str">
        <f t="shared" si="6"/>
        <v>N/A</v>
      </c>
      <c r="O31" s="148" t="str" cm="1">
        <f t="array" ref="O31">IF(AC31="N/A","",(_xlfn.IFS(Y31="m2",((AC31/(Z31/AL31))*I31),Y31="m3",((AC31/(Z31/AL31))*I31),Y31="kg",(((AC31*AM31)/(1/AL31))*I31),Y31="ton",(((AC31/1000*AM31)/(1/AL31))*I31),Y31="N/A","")))</f>
        <v/>
      </c>
      <c r="P31" s="52" t="str">
        <f t="shared" si="7"/>
        <v>N/A</v>
      </c>
      <c r="Q31" s="155" t="str" cm="1">
        <f t="array" ref="Q31">IF(AE31="N/A","",_xlfn.IFS(Y31="m2",((AE31/(Z31/AL31))*I31),Y31="m3",((AE31/(Z31/AL31))*I31),Y31="kg",(((AE31*AM31)/(1/AL31))*I31),Y31="ton",(((AE31/1000*AM31)/(1/AL31))*I31),Y31="N/A",""))</f>
        <v/>
      </c>
      <c r="R31" s="82" t="s">
        <v>5</v>
      </c>
      <c r="S31" s="164"/>
      <c r="T31" s="47">
        <v>2023</v>
      </c>
      <c r="U31" s="47" t="s">
        <v>14</v>
      </c>
      <c r="V31" s="47" t="s">
        <v>191</v>
      </c>
      <c r="W31" s="47"/>
      <c r="X31" s="47" t="s">
        <v>581</v>
      </c>
      <c r="Y31" s="47" t="s">
        <v>15</v>
      </c>
      <c r="Z31" s="47">
        <v>1.6E-2</v>
      </c>
      <c r="AA31" s="52" t="str">
        <f t="shared" si="4"/>
        <v>N/A</v>
      </c>
      <c r="AB31" s="52">
        <v>16.100000000000001</v>
      </c>
      <c r="AC31" s="52" t="s">
        <v>191</v>
      </c>
      <c r="AD31" s="52" t="s">
        <v>191</v>
      </c>
      <c r="AE31" s="47" t="s">
        <v>191</v>
      </c>
      <c r="AF31" s="69"/>
      <c r="AG31" s="103" t="str">
        <f t="shared" si="5"/>
        <v>A2 s1
d0</v>
      </c>
      <c r="AH31" s="75" t="s">
        <v>214</v>
      </c>
      <c r="AI31" s="83" t="s">
        <v>176</v>
      </c>
      <c r="AJ31" s="103"/>
      <c r="AK31" s="73"/>
      <c r="AL31" s="47">
        <v>1.6E-2</v>
      </c>
      <c r="AM31" s="47">
        <v>1150</v>
      </c>
      <c r="AN31" s="47"/>
      <c r="AO31" s="80" t="s">
        <v>17</v>
      </c>
      <c r="AP31" s="110"/>
      <c r="AQ31" s="73"/>
      <c r="AR31" s="25"/>
    </row>
    <row r="32" spans="1:44" ht="25.2" customHeight="1" x14ac:dyDescent="0.15">
      <c r="A32" s="47" t="s">
        <v>329</v>
      </c>
      <c r="B32" s="47" t="s">
        <v>208</v>
      </c>
      <c r="C32" s="47"/>
      <c r="D32" s="47" t="s">
        <v>330</v>
      </c>
      <c r="E32" s="47" t="s">
        <v>149</v>
      </c>
      <c r="F32" s="47" t="s">
        <v>55</v>
      </c>
      <c r="G32" s="47"/>
      <c r="H32" s="47"/>
      <c r="I32" s="111">
        <v>1</v>
      </c>
      <c r="J32" s="52" t="str">
        <f t="shared" si="0"/>
        <v>N/A</v>
      </c>
      <c r="K32" s="148" t="str" cm="1">
        <f t="array" ref="K32">IF(AC32="N/A","",_xlfn.IFS(Y32="m2",((AA32/(Z32/AL32))*I32),Y32="m3",((AA32/(Z32/AL32))*I32),Y32="kg",(((AA32*AM32)/(1/AL32))*I32),Y32="ton",(((AA32/1000*AM32)/(1/AL32))*I32),Y32="N/A",""))</f>
        <v/>
      </c>
      <c r="L32" s="52" t="str">
        <f t="shared" si="1"/>
        <v>N/A</v>
      </c>
      <c r="M32" s="148" t="str" cm="1">
        <f t="array" ref="M32">(_xlfn.IFS(Y32="m2",((AB32/(Z32/AL32))*I32),Y32="m3",((AB32/(Z32/AL32))*I32),Y32="kg",(((AB32*AM32)/(1/AL32))*I32),Y32="ton",(((AB32/1000*AM32)/(1/AL32))*I32),Y32="N/A",""))</f>
        <v/>
      </c>
      <c r="N32" s="52" t="str">
        <f t="shared" si="6"/>
        <v>N/A</v>
      </c>
      <c r="O32" s="148" t="str" cm="1">
        <f t="array" ref="O32">IF(AC32="N/A","",(_xlfn.IFS(Y32="m2",((AC32/(Z32/AL32))*I32),Y32="m3",((AC32/(Z32/AL32))*I32),Y32="kg",(((AC32*AM32)/(1/AL32))*I32),Y32="ton",(((AC32/1000*AM32)/(1/AL32))*I32),Y32="N/A","")))</f>
        <v/>
      </c>
      <c r="P32" s="52" t="str">
        <f t="shared" si="7"/>
        <v>N/A</v>
      </c>
      <c r="Q32" s="155" t="str" cm="1">
        <f t="array" ref="Q32">IF(AE32="N/A","",_xlfn.IFS(Y32="m2",((AE32/(Z32/AL32))*I32),Y32="m3",((AE32/(Z32/AL32))*I32),Y32="kg",(((AE32*AM32)/(1/AL32))*I32),Y32="ton",(((AE32/1000*AM32)/(1/AL32))*I32),Y32="N/A",""))</f>
        <v/>
      </c>
      <c r="R32" s="47" t="s">
        <v>191</v>
      </c>
      <c r="S32" s="47"/>
      <c r="T32" s="47" t="s">
        <v>191</v>
      </c>
      <c r="U32" s="47" t="s">
        <v>191</v>
      </c>
      <c r="V32" s="47" t="s">
        <v>191</v>
      </c>
      <c r="W32" s="47"/>
      <c r="X32" s="47" t="s">
        <v>191</v>
      </c>
      <c r="Y32" s="47" t="s">
        <v>191</v>
      </c>
      <c r="Z32" s="47" t="s">
        <v>191</v>
      </c>
      <c r="AA32" s="52" t="str">
        <f t="shared" si="4"/>
        <v>N/A</v>
      </c>
      <c r="AB32" s="52" t="s">
        <v>191</v>
      </c>
      <c r="AC32" s="52" t="s">
        <v>191</v>
      </c>
      <c r="AD32" s="52" t="s">
        <v>191</v>
      </c>
      <c r="AE32" s="47" t="s">
        <v>191</v>
      </c>
      <c r="AF32" s="69"/>
      <c r="AG32" s="103" t="str">
        <f t="shared" si="5"/>
        <v xml:space="preserve">F </v>
      </c>
      <c r="AH32" s="75" t="s">
        <v>82</v>
      </c>
      <c r="AI32" s="76"/>
      <c r="AJ32" s="103"/>
      <c r="AK32" s="73"/>
      <c r="AL32" s="47" t="s">
        <v>191</v>
      </c>
      <c r="AM32" s="47" t="s">
        <v>191</v>
      </c>
      <c r="AN32" s="47"/>
      <c r="AO32" s="80" t="s">
        <v>17</v>
      </c>
      <c r="AP32" s="265" t="s">
        <v>17</v>
      </c>
      <c r="AQ32" s="73"/>
      <c r="AR32" s="25"/>
    </row>
    <row r="33" spans="1:44" ht="25.2" customHeight="1" x14ac:dyDescent="0.15">
      <c r="A33" s="47" t="s">
        <v>335</v>
      </c>
      <c r="B33" s="47" t="s">
        <v>208</v>
      </c>
      <c r="C33" s="47"/>
      <c r="D33" s="47" t="s">
        <v>163</v>
      </c>
      <c r="E33" s="222" t="s">
        <v>153</v>
      </c>
      <c r="F33" s="47" t="s">
        <v>55</v>
      </c>
      <c r="G33" s="85" t="s">
        <v>839</v>
      </c>
      <c r="H33" s="47"/>
      <c r="I33" s="111">
        <v>1</v>
      </c>
      <c r="J33" s="114">
        <f t="shared" si="0"/>
        <v>29.158349999999999</v>
      </c>
      <c r="K33" s="152" cm="1">
        <f t="array" ref="K33">IF(AC33="N/A","",_xlfn.IFS(Y33="m2",((AA33/(Z33/AL33))*I33),Y33="m3",((AA33/(Z33/AL33))*I33),Y33="kg",(((AA33*AM33)/(1/AL33))*I33),Y33="ton",(((AA33/1000*AM33)/(1/AL33))*I33),Y33="N/A",""))</f>
        <v>29.158349999999999</v>
      </c>
      <c r="L33" s="114">
        <f t="shared" si="1"/>
        <v>1.4291799999999999</v>
      </c>
      <c r="M33" s="152" cm="1">
        <f t="array" ref="M33">(_xlfn.IFS(Y33="m2",((AB33/(Z33/AL33))*I33),Y33="m3",((AB33/(Z33/AL33))*I33),Y33="kg",(((AB33*AM33)/(1/AL33))*I33),Y33="ton",(((AB33/1000*AM33)/(1/AL33))*I33),Y33="N/A",""))</f>
        <v>1.4291799999999999</v>
      </c>
      <c r="N33" s="52">
        <f t="shared" si="6"/>
        <v>27.72917</v>
      </c>
      <c r="O33" s="148" cm="1">
        <f t="array" ref="O33">IF(AC33="N/A","",(_xlfn.IFS(Y33="m2",((AC33/(Z33/AL33))*I33),Y33="m3",((AC33/(Z33/AL33))*I33),Y33="kg",(((AC33*AM33)/(1/AL33))*I33),Y33="ton",(((AC33/1000*AM33)/(1/AL33))*I33),Y33="N/A","")))</f>
        <v>27.72917</v>
      </c>
      <c r="P33" s="52" t="str">
        <f t="shared" si="7"/>
        <v>N/A</v>
      </c>
      <c r="Q33" s="155" t="str" cm="1">
        <f t="array" ref="Q33">IF(AE33="N/A","",_xlfn.IFS(Y33="m2",((AE33/(Z33/AL33))*I33),Y33="m3",((AE33/(Z33/AL33))*I33),Y33="kg",(((AE33*AM33)/(1/AL33))*I33),Y33="ton",(((AE33/1000*AM33)/(1/AL33))*I33),Y33="N/A",""))</f>
        <v/>
      </c>
      <c r="R33" s="221" t="s">
        <v>5</v>
      </c>
      <c r="S33" s="47"/>
      <c r="T33" s="47">
        <v>2022</v>
      </c>
      <c r="U33" s="47" t="s">
        <v>14</v>
      </c>
      <c r="V33" s="47">
        <v>30</v>
      </c>
      <c r="W33" s="47"/>
      <c r="X33" s="47" t="s">
        <v>838</v>
      </c>
      <c r="Y33" s="47" t="s">
        <v>20</v>
      </c>
      <c r="Z33" s="47">
        <v>1</v>
      </c>
      <c r="AA33" s="52">
        <f t="shared" si="4"/>
        <v>1534.65</v>
      </c>
      <c r="AB33" s="52">
        <f>75.22</f>
        <v>75.22</v>
      </c>
      <c r="AC33" s="52">
        <f>1459.43+0</f>
        <v>1459.43</v>
      </c>
      <c r="AD33" s="52">
        <f>-485.19</f>
        <v>-485.19</v>
      </c>
      <c r="AE33" s="47" t="s">
        <v>191</v>
      </c>
      <c r="AF33" s="69"/>
      <c r="AG33" s="103" t="str">
        <f t="shared" si="5"/>
        <v xml:space="preserve">F </v>
      </c>
      <c r="AH33" s="75" t="s">
        <v>82</v>
      </c>
      <c r="AI33" s="76"/>
      <c r="AJ33" s="103"/>
      <c r="AK33" s="73"/>
      <c r="AL33" s="47">
        <v>1.9E-2</v>
      </c>
      <c r="AM33" s="47">
        <v>680</v>
      </c>
      <c r="AN33" s="47"/>
      <c r="AO33" s="80" t="s">
        <v>17</v>
      </c>
      <c r="AP33" s="110"/>
      <c r="AQ33" s="73"/>
      <c r="AR33" s="25"/>
    </row>
    <row r="34" spans="1:44" ht="25.2" customHeight="1" x14ac:dyDescent="0.15">
      <c r="A34" s="47" t="s">
        <v>340</v>
      </c>
      <c r="B34" s="47" t="s">
        <v>210</v>
      </c>
      <c r="C34" s="47"/>
      <c r="D34" s="47" t="s">
        <v>338</v>
      </c>
      <c r="E34" s="82" t="s">
        <v>149</v>
      </c>
      <c r="F34" s="47" t="s">
        <v>339</v>
      </c>
      <c r="G34" s="47"/>
      <c r="H34" s="47"/>
      <c r="I34" s="111">
        <v>1</v>
      </c>
      <c r="J34" s="114">
        <f t="shared" si="0"/>
        <v>25.841047619999998</v>
      </c>
      <c r="K34" s="152" cm="1">
        <f t="array" ref="K34">IF(AC34="N/A","",_xlfn.IFS(Y34="m2",((AA34/(Z34/AL34))*I34),Y34="m3",((AA34/(Z34/AL34))*I34),Y34="kg",(((AA34*AM34)/(1/AL34))*I34),Y34="ton",(((AA34/1000*AM34)/(1/AL34))*I34),Y34="N/A",""))</f>
        <v>25.841047619999998</v>
      </c>
      <c r="L34" s="114">
        <f t="shared" si="1"/>
        <v>25.8108</v>
      </c>
      <c r="M34" s="152" cm="1">
        <f t="array" ref="M34">(_xlfn.IFS(Y34="m2",((AB34/(Z34/AL34))*I34),Y34="m3",((AB34/(Z34/AL34))*I34),Y34="kg",(((AB34*AM34)/(1/AL34))*I34),Y34="ton",(((AB34/1000*AM34)/(1/AL34))*I34),Y34="N/A",""))</f>
        <v>25.8108</v>
      </c>
      <c r="N34" s="52">
        <f t="shared" si="6"/>
        <v>3.0247619999999999E-2</v>
      </c>
      <c r="O34" s="148" cm="1">
        <f t="array" ref="O34">IF(AC34="N/A","",(_xlfn.IFS(Y34="m2",((AC34/(Z34/AL34))*I34),Y34="m3",((AC34/(Z34/AL34))*I34),Y34="kg",(((AC34*AM34)/(1/AL34))*I34),Y34="ton",(((AC34/1000*AM34)/(1/AL34))*I34),Y34="N/A","")))</f>
        <v>3.0247619999999999E-2</v>
      </c>
      <c r="P34" s="52" t="str">
        <f t="shared" si="7"/>
        <v>N/A</v>
      </c>
      <c r="Q34" s="155" t="str" cm="1">
        <f t="array" ref="Q34">IF(AE34="N/A","",_xlfn.IFS(Y34="m2",((AE34/(Z34/AL34))*I34),Y34="m3",((AE34/(Z34/AL34))*I34),Y34="kg",(((AE34*AM34)/(1/AL34))*I34),Y34="ton",(((AE34/1000*AM34)/(1/AL34))*I34),Y34="N/A",""))</f>
        <v/>
      </c>
      <c r="R34" s="82" t="s">
        <v>5</v>
      </c>
      <c r="S34" s="164"/>
      <c r="T34" s="47">
        <v>2025</v>
      </c>
      <c r="U34" s="47" t="s">
        <v>14</v>
      </c>
      <c r="V34" s="47" t="s">
        <v>191</v>
      </c>
      <c r="W34" s="47"/>
      <c r="X34" s="47" t="s">
        <v>582</v>
      </c>
      <c r="Y34" s="47" t="s">
        <v>61</v>
      </c>
      <c r="Z34" s="47" t="s">
        <v>191</v>
      </c>
      <c r="AA34" s="52">
        <f t="shared" si="4"/>
        <v>2.7432110000000001</v>
      </c>
      <c r="AB34" s="52">
        <v>2.74</v>
      </c>
      <c r="AC34" s="52">
        <f>0.00243+0.000781</f>
        <v>3.2109999999999999E-3</v>
      </c>
      <c r="AD34" s="52">
        <v>-1.41</v>
      </c>
      <c r="AE34" s="47" t="s">
        <v>191</v>
      </c>
      <c r="AF34" s="69"/>
      <c r="AG34" s="103" t="str">
        <f t="shared" si="5"/>
        <v xml:space="preserve">F </v>
      </c>
      <c r="AH34" s="75" t="s">
        <v>82</v>
      </c>
      <c r="AI34" s="76"/>
      <c r="AJ34" s="103"/>
      <c r="AK34" s="73"/>
      <c r="AL34" s="47">
        <v>1.1999999999999999E-3</v>
      </c>
      <c r="AM34" s="47">
        <v>7850</v>
      </c>
      <c r="AN34" s="47"/>
      <c r="AO34" s="80" t="s">
        <v>17</v>
      </c>
      <c r="AP34" s="110"/>
      <c r="AQ34" s="73"/>
      <c r="AR34" s="25"/>
    </row>
    <row r="35" spans="1:44" ht="25.2" customHeight="1" x14ac:dyDescent="0.15">
      <c r="A35" s="47" t="s">
        <v>341</v>
      </c>
      <c r="B35" s="47" t="s">
        <v>210</v>
      </c>
      <c r="C35" s="47"/>
      <c r="D35" s="47" t="s">
        <v>338</v>
      </c>
      <c r="E35" s="82" t="s">
        <v>149</v>
      </c>
      <c r="F35" s="47" t="s">
        <v>339</v>
      </c>
      <c r="G35" s="47"/>
      <c r="H35" s="47"/>
      <c r="I35" s="111">
        <v>1</v>
      </c>
      <c r="J35" s="114">
        <f t="shared" si="0"/>
        <v>25.841047619999998</v>
      </c>
      <c r="K35" s="152" cm="1">
        <f t="array" ref="K35">IF(AC35="N/A","",_xlfn.IFS(Y35="m2",((AA35/(Z35/AL35))*I35),Y35="m3",((AA35/(Z35/AL35))*I35),Y35="kg",(((AA35*AM35)/(1/AL35))*I35),Y35="ton",(((AA35/1000*AM35)/(1/AL35))*I35),Y35="N/A",""))</f>
        <v>25.841047619999998</v>
      </c>
      <c r="L35" s="114">
        <f t="shared" si="1"/>
        <v>25.8108</v>
      </c>
      <c r="M35" s="152" cm="1">
        <f t="array" ref="M35">(_xlfn.IFS(Y35="m2",((AB35/(Z35/AL35))*I35),Y35="m3",((AB35/(Z35/AL35))*I35),Y35="kg",(((AB35*AM35)/(1/AL35))*I35),Y35="ton",(((AB35/1000*AM35)/(1/AL35))*I35),Y35="N/A",""))</f>
        <v>25.8108</v>
      </c>
      <c r="N35" s="52">
        <f t="shared" si="6"/>
        <v>3.0247619999999999E-2</v>
      </c>
      <c r="O35" s="148" cm="1">
        <f t="array" ref="O35">IF(AC35="N/A","",(_xlfn.IFS(Y35="m2",((AC35/(Z35/AL35))*I35),Y35="m3",((AC35/(Z35/AL35))*I35),Y35="kg",(((AC35*AM35)/(1/AL35))*I35),Y35="ton",(((AC35/1000*AM35)/(1/AL35))*I35),Y35="N/A","")))</f>
        <v>3.0247619999999999E-2</v>
      </c>
      <c r="P35" s="52" t="str">
        <f t="shared" si="7"/>
        <v>N/A</v>
      </c>
      <c r="Q35" s="155" t="str" cm="1">
        <f t="array" ref="Q35">IF(AE35="N/A","",_xlfn.IFS(Y35="m2",((AE35/(Z35/AL35))*I35),Y35="m3",((AE35/(Z35/AL35))*I35),Y35="kg",(((AE35*AM35)/(1/AL35))*I35),Y35="ton",(((AE35/1000*AM35)/(1/AL35))*I35),Y35="N/A",""))</f>
        <v/>
      </c>
      <c r="R35" s="82" t="s">
        <v>5</v>
      </c>
      <c r="S35" s="164"/>
      <c r="T35" s="47">
        <v>2025</v>
      </c>
      <c r="U35" s="47" t="s">
        <v>14</v>
      </c>
      <c r="V35" s="47" t="s">
        <v>191</v>
      </c>
      <c r="W35" s="47"/>
      <c r="X35" s="47" t="s">
        <v>582</v>
      </c>
      <c r="Y35" s="47" t="s">
        <v>61</v>
      </c>
      <c r="Z35" s="47" t="s">
        <v>191</v>
      </c>
      <c r="AA35" s="52">
        <f t="shared" si="4"/>
        <v>2.7432110000000001</v>
      </c>
      <c r="AB35" s="52">
        <v>2.74</v>
      </c>
      <c r="AC35" s="52">
        <f>0.00243+0.000781</f>
        <v>3.2109999999999999E-3</v>
      </c>
      <c r="AD35" s="52">
        <v>-1.41</v>
      </c>
      <c r="AE35" s="47" t="s">
        <v>191</v>
      </c>
      <c r="AF35" s="69"/>
      <c r="AG35" s="103" t="str">
        <f t="shared" si="5"/>
        <v xml:space="preserve">F </v>
      </c>
      <c r="AH35" s="75" t="s">
        <v>82</v>
      </c>
      <c r="AI35" s="76"/>
      <c r="AJ35" s="103"/>
      <c r="AK35" s="73"/>
      <c r="AL35" s="47">
        <v>1.1999999999999999E-3</v>
      </c>
      <c r="AM35" s="47">
        <v>7850</v>
      </c>
      <c r="AN35" s="47"/>
      <c r="AO35" s="80" t="s">
        <v>17</v>
      </c>
      <c r="AP35" s="110"/>
      <c r="AQ35" s="73"/>
      <c r="AR35" s="25"/>
    </row>
    <row r="36" spans="1:44" ht="25.2" customHeight="1" x14ac:dyDescent="0.15">
      <c r="A36" s="47" t="s">
        <v>342</v>
      </c>
      <c r="B36" s="47" t="s">
        <v>210</v>
      </c>
      <c r="C36" s="47"/>
      <c r="D36" s="47" t="s">
        <v>338</v>
      </c>
      <c r="E36" s="82" t="s">
        <v>149</v>
      </c>
      <c r="F36" s="47" t="s">
        <v>339</v>
      </c>
      <c r="G36" s="47"/>
      <c r="H36" s="47"/>
      <c r="I36" s="111">
        <v>1</v>
      </c>
      <c r="J36" s="114">
        <f t="shared" si="0"/>
        <v>25.841047619999998</v>
      </c>
      <c r="K36" s="152" cm="1">
        <f t="array" ref="K36">IF(AC36="N/A","",_xlfn.IFS(Y36="m2",((AA36/(Z36/AL36))*I36),Y36="m3",((AA36/(Z36/AL36))*I36),Y36="kg",(((AA36*AM36)/(1/AL36))*I36),Y36="ton",(((AA36/1000*AM36)/(1/AL36))*I36),Y36="N/A",""))</f>
        <v>25.841047619999998</v>
      </c>
      <c r="L36" s="114">
        <f t="shared" si="1"/>
        <v>25.8108</v>
      </c>
      <c r="M36" s="152" cm="1">
        <f t="array" ref="M36">(_xlfn.IFS(Y36="m2",((AB36/(Z36/AL36))*I36),Y36="m3",((AB36/(Z36/AL36))*I36),Y36="kg",(((AB36*AM36)/(1/AL36))*I36),Y36="ton",(((AB36/1000*AM36)/(1/AL36))*I36),Y36="N/A",""))</f>
        <v>25.8108</v>
      </c>
      <c r="N36" s="52">
        <f t="shared" si="6"/>
        <v>3.0247619999999999E-2</v>
      </c>
      <c r="O36" s="148" cm="1">
        <f t="array" ref="O36">IF(AC36="N/A","",(_xlfn.IFS(Y36="m2",((AC36/(Z36/AL36))*I36),Y36="m3",((AC36/(Z36/AL36))*I36),Y36="kg",(((AC36*AM36)/(1/AL36))*I36),Y36="ton",(((AC36/1000*AM36)/(1/AL36))*I36),Y36="N/A","")))</f>
        <v>3.0247619999999999E-2</v>
      </c>
      <c r="P36" s="52" t="str">
        <f t="shared" si="7"/>
        <v>N/A</v>
      </c>
      <c r="Q36" s="155" t="str" cm="1">
        <f t="array" ref="Q36">IF(AE36="N/A","",_xlfn.IFS(Y36="m2",((AE36/(Z36/AL36))*I36),Y36="m3",((AE36/(Z36/AL36))*I36),Y36="kg",(((AE36*AM36)/(1/AL36))*I36),Y36="ton",(((AE36/1000*AM36)/(1/AL36))*I36),Y36="N/A",""))</f>
        <v/>
      </c>
      <c r="R36" s="82" t="s">
        <v>5</v>
      </c>
      <c r="S36" s="164"/>
      <c r="T36" s="47">
        <v>2025</v>
      </c>
      <c r="U36" s="47" t="s">
        <v>14</v>
      </c>
      <c r="V36" s="47" t="s">
        <v>191</v>
      </c>
      <c r="W36" s="47"/>
      <c r="X36" s="47" t="s">
        <v>583</v>
      </c>
      <c r="Y36" s="47" t="s">
        <v>61</v>
      </c>
      <c r="Z36" s="47" t="s">
        <v>191</v>
      </c>
      <c r="AA36" s="52">
        <f t="shared" si="4"/>
        <v>2.7432110000000001</v>
      </c>
      <c r="AB36" s="52">
        <v>2.74</v>
      </c>
      <c r="AC36" s="52">
        <f>0.00243+0.000781</f>
        <v>3.2109999999999999E-3</v>
      </c>
      <c r="AD36" s="52">
        <v>-1.41</v>
      </c>
      <c r="AE36" s="47" t="s">
        <v>191</v>
      </c>
      <c r="AF36" s="69"/>
      <c r="AG36" s="103" t="str">
        <f t="shared" si="5"/>
        <v xml:space="preserve">F </v>
      </c>
      <c r="AH36" s="75" t="s">
        <v>82</v>
      </c>
      <c r="AI36" s="76"/>
      <c r="AJ36" s="103"/>
      <c r="AK36" s="73"/>
      <c r="AL36" s="47">
        <v>1.1999999999999999E-3</v>
      </c>
      <c r="AM36" s="47">
        <v>7850</v>
      </c>
      <c r="AN36" s="47"/>
      <c r="AO36" s="80" t="s">
        <v>17</v>
      </c>
      <c r="AP36" s="110"/>
      <c r="AQ36" s="73"/>
      <c r="AR36" s="25"/>
    </row>
    <row r="37" spans="1:44" ht="25.2" customHeight="1" x14ac:dyDescent="0.15">
      <c r="A37" s="47" t="s">
        <v>343</v>
      </c>
      <c r="B37" s="47" t="s">
        <v>210</v>
      </c>
      <c r="C37" s="47"/>
      <c r="D37" s="47" t="s">
        <v>338</v>
      </c>
      <c r="E37" s="82" t="s">
        <v>149</v>
      </c>
      <c r="F37" s="47" t="s">
        <v>339</v>
      </c>
      <c r="G37" s="47"/>
      <c r="H37" s="47"/>
      <c r="I37" s="111">
        <v>1</v>
      </c>
      <c r="J37" s="114" t="str">
        <f t="shared" si="0"/>
        <v>N/A</v>
      </c>
      <c r="K37" s="152" t="str" cm="1">
        <f t="array" ref="K37">IF(AC37="N/A","",_xlfn.IFS(Y37="m2",((AA37/(Z37/AL37))*I37),Y37="m3",((AA37/(Z37/AL37))*I37),Y37="kg",(((AA37*AM37)/(1/AL37))*I37),Y37="ton",(((AA37/1000*AM37)/(1/AL37))*I37),Y37="N/A",""))</f>
        <v/>
      </c>
      <c r="L37" s="114" t="str">
        <f t="shared" si="1"/>
        <v>N/A</v>
      </c>
      <c r="M37" s="152" t="str" cm="1">
        <f t="array" ref="M37">(_xlfn.IFS(Y37="m2",((AB37/(Z37/AL37))*I37),Y37="m3",((AB37/(Z37/AL37))*I37),Y37="kg",(((AB37*AM37)/(1/AL37))*I37),Y37="ton",(((AB37/1000*AM37)/(1/AL37))*I37),Y37="N/A",""))</f>
        <v/>
      </c>
      <c r="N37" s="52" t="str">
        <f t="shared" si="6"/>
        <v>N/A</v>
      </c>
      <c r="O37" s="148" t="str" cm="1">
        <f t="array" ref="O37">IF(AC37="N/A","",(_xlfn.IFS(Y37="m2",((AC37/(Z37/AL37))*I37),Y37="m3",((AC37/(Z37/AL37))*I37),Y37="kg",(((AC37*AM37)/(1/AL37))*I37),Y37="ton",(((AC37/1000*AM37)/(1/AL37))*I37),Y37="N/A","")))</f>
        <v/>
      </c>
      <c r="P37" s="52" t="str">
        <f t="shared" si="7"/>
        <v>N/A</v>
      </c>
      <c r="Q37" s="155" t="str" cm="1">
        <f t="array" ref="Q37">IF(AE37="N/A","",_xlfn.IFS(Y37="m2",((AE37/(Z37/AL37))*I37),Y37="m3",((AE37/(Z37/AL37))*I37),Y37="kg",(((AE37*AM37)/(1/AL37))*I37),Y37="ton",(((AE37/1000*AM37)/(1/AL37))*I37),Y37="N/A",""))</f>
        <v/>
      </c>
      <c r="R37" s="47" t="s">
        <v>191</v>
      </c>
      <c r="S37" s="47"/>
      <c r="T37" s="47" t="s">
        <v>191</v>
      </c>
      <c r="U37" s="47" t="s">
        <v>191</v>
      </c>
      <c r="V37" s="47" t="s">
        <v>191</v>
      </c>
      <c r="W37" s="47"/>
      <c r="X37" s="47" t="s">
        <v>191</v>
      </c>
      <c r="Y37" s="47" t="s">
        <v>191</v>
      </c>
      <c r="Z37" s="47" t="s">
        <v>191</v>
      </c>
      <c r="AA37" s="52" t="str">
        <f t="shared" si="4"/>
        <v>N/A</v>
      </c>
      <c r="AB37" s="47" t="s">
        <v>191</v>
      </c>
      <c r="AC37" s="52" t="s">
        <v>191</v>
      </c>
      <c r="AD37" s="52" t="s">
        <v>191</v>
      </c>
      <c r="AE37" s="47" t="s">
        <v>191</v>
      </c>
      <c r="AF37" s="69"/>
      <c r="AG37" s="103" t="str">
        <f t="shared" si="5"/>
        <v xml:space="preserve">F </v>
      </c>
      <c r="AH37" s="75" t="s">
        <v>82</v>
      </c>
      <c r="AI37" s="76"/>
      <c r="AJ37" s="103"/>
      <c r="AK37" s="73"/>
      <c r="AL37" s="47" t="s">
        <v>191</v>
      </c>
      <c r="AM37" s="47" t="s">
        <v>191</v>
      </c>
      <c r="AN37" s="47"/>
      <c r="AO37" s="80" t="s">
        <v>17</v>
      </c>
      <c r="AP37" s="110"/>
      <c r="AQ37" s="73"/>
      <c r="AR37" s="25"/>
    </row>
    <row r="38" spans="1:44" ht="25.2" customHeight="1" x14ac:dyDescent="0.15">
      <c r="A38" s="47" t="s">
        <v>344</v>
      </c>
      <c r="B38" s="47" t="s">
        <v>210</v>
      </c>
      <c r="C38" s="47"/>
      <c r="D38" s="47" t="s">
        <v>338</v>
      </c>
      <c r="E38" s="82" t="s">
        <v>149</v>
      </c>
      <c r="F38" s="47" t="s">
        <v>339</v>
      </c>
      <c r="G38" s="47"/>
      <c r="H38" s="47"/>
      <c r="I38" s="111">
        <v>1</v>
      </c>
      <c r="J38" s="114">
        <f t="shared" si="0"/>
        <v>25.841047619999998</v>
      </c>
      <c r="K38" s="152" cm="1">
        <f t="array" ref="K38">IF(AC38="N/A","",_xlfn.IFS(Y38="m2",((AA38/(Z38/AL38))*I38),Y38="m3",((AA38/(Z38/AL38))*I38),Y38="kg",(((AA38*AM38)/(1/AL38))*I38),Y38="ton",(((AA38/1000*AM38)/(1/AL38))*I38),Y38="N/A",""))</f>
        <v>25.841047619999998</v>
      </c>
      <c r="L38" s="114">
        <f t="shared" si="1"/>
        <v>25.8108</v>
      </c>
      <c r="M38" s="152" cm="1">
        <f t="array" ref="M38">(_xlfn.IFS(Y38="m2",((AB38/(Z38/AL38))*I38),Y38="m3",((AB38/(Z38/AL38))*I38),Y38="kg",(((AB38*AM38)/(1/AL38))*I38),Y38="ton",(((AB38/1000*AM38)/(1/AL38))*I38),Y38="N/A",""))</f>
        <v>25.8108</v>
      </c>
      <c r="N38" s="52">
        <f t="shared" si="6"/>
        <v>3.0247619999999999E-2</v>
      </c>
      <c r="O38" s="148" cm="1">
        <f t="array" ref="O38">IF(AC38="N/A","",(_xlfn.IFS(Y38="m2",((AC38/(Z38/AL38))*I38),Y38="m3",((AC38/(Z38/AL38))*I38),Y38="kg",(((AC38*AM38)/(1/AL38))*I38),Y38="ton",(((AC38/1000*AM38)/(1/AL38))*I38),Y38="N/A","")))</f>
        <v>3.0247619999999999E-2</v>
      </c>
      <c r="P38" s="52" t="str">
        <f t="shared" si="7"/>
        <v>N/A</v>
      </c>
      <c r="Q38" s="155" t="str" cm="1">
        <f t="array" ref="Q38">IF(AE38="N/A","",_xlfn.IFS(Y38="m2",((AE38/(Z38/AL38))*I38),Y38="m3",((AE38/(Z38/AL38))*I38),Y38="kg",(((AE38*AM38)/(1/AL38))*I38),Y38="ton",(((AE38/1000*AM38)/(1/AL38))*I38),Y38="N/A",""))</f>
        <v/>
      </c>
      <c r="R38" s="82" t="s">
        <v>5</v>
      </c>
      <c r="S38" s="164"/>
      <c r="T38" s="47">
        <v>2025</v>
      </c>
      <c r="U38" s="47" t="s">
        <v>14</v>
      </c>
      <c r="V38" s="47" t="s">
        <v>191</v>
      </c>
      <c r="W38" s="47"/>
      <c r="X38" s="47" t="s">
        <v>583</v>
      </c>
      <c r="Y38" s="47" t="s">
        <v>61</v>
      </c>
      <c r="Z38" s="47" t="s">
        <v>191</v>
      </c>
      <c r="AA38" s="52">
        <f t="shared" si="4"/>
        <v>2.7432110000000001</v>
      </c>
      <c r="AB38" s="52">
        <v>2.74</v>
      </c>
      <c r="AC38" s="52">
        <f>0.00243+0.000781</f>
        <v>3.2109999999999999E-3</v>
      </c>
      <c r="AD38" s="52">
        <v>-1.41</v>
      </c>
      <c r="AE38" s="47" t="s">
        <v>191</v>
      </c>
      <c r="AF38" s="69"/>
      <c r="AG38" s="103" t="str">
        <f t="shared" si="5"/>
        <v xml:space="preserve">F </v>
      </c>
      <c r="AH38" s="75" t="s">
        <v>82</v>
      </c>
      <c r="AI38" s="76"/>
      <c r="AJ38" s="103"/>
      <c r="AK38" s="73"/>
      <c r="AL38" s="47">
        <v>1.1999999999999999E-3</v>
      </c>
      <c r="AM38" s="47">
        <v>7850</v>
      </c>
      <c r="AN38" s="47"/>
      <c r="AO38" s="80" t="s">
        <v>17</v>
      </c>
      <c r="AP38" s="110"/>
      <c r="AQ38" s="73"/>
      <c r="AR38" s="25"/>
    </row>
    <row r="39" spans="1:44" ht="25.2" customHeight="1" x14ac:dyDescent="0.15">
      <c r="A39" s="47" t="s">
        <v>345</v>
      </c>
      <c r="B39" s="47" t="s">
        <v>210</v>
      </c>
      <c r="C39" s="47"/>
      <c r="D39" s="47" t="s">
        <v>338</v>
      </c>
      <c r="E39" s="82" t="s">
        <v>149</v>
      </c>
      <c r="F39" s="47" t="s">
        <v>339</v>
      </c>
      <c r="G39" s="47"/>
      <c r="H39" s="47"/>
      <c r="I39" s="111">
        <v>1</v>
      </c>
      <c r="J39" s="114">
        <f t="shared" si="0"/>
        <v>25.841047619999998</v>
      </c>
      <c r="K39" s="152" cm="1">
        <f t="array" ref="K39">IF(AC39="N/A","",_xlfn.IFS(Y39="m2",((AA39/(Z39/AL39))*I39),Y39="m3",((AA39/(Z39/AL39))*I39),Y39="kg",(((AA39*AM39)/(1/AL39))*I39),Y39="ton",(((AA39/1000*AM39)/(1/AL39))*I39),Y39="N/A",""))</f>
        <v>25.841047619999998</v>
      </c>
      <c r="L39" s="114">
        <f t="shared" si="1"/>
        <v>25.8108</v>
      </c>
      <c r="M39" s="152" cm="1">
        <f t="array" ref="M39">(_xlfn.IFS(Y39="m2",((AB39/(Z39/AL39))*I39),Y39="m3",((AB39/(Z39/AL39))*I39),Y39="kg",(((AB39*AM39)/(1/AL39))*I39),Y39="ton",(((AB39/1000*AM39)/(1/AL39))*I39),Y39="N/A",""))</f>
        <v>25.8108</v>
      </c>
      <c r="N39" s="52">
        <f t="shared" si="6"/>
        <v>3.0247619999999999E-2</v>
      </c>
      <c r="O39" s="148" cm="1">
        <f t="array" ref="O39">IF(AC39="N/A","",(_xlfn.IFS(Y39="m2",((AC39/(Z39/AL39))*I39),Y39="m3",((AC39/(Z39/AL39))*I39),Y39="kg",(((AC39*AM39)/(1/AL39))*I39),Y39="ton",(((AC39/1000*AM39)/(1/AL39))*I39),Y39="N/A","")))</f>
        <v>3.0247619999999999E-2</v>
      </c>
      <c r="P39" s="52" t="str">
        <f t="shared" si="7"/>
        <v>N/A</v>
      </c>
      <c r="Q39" s="155" t="str" cm="1">
        <f t="array" ref="Q39">IF(AE39="N/A","",_xlfn.IFS(Y39="m2",((AE39/(Z39/AL39))*I39),Y39="m3",((AE39/(Z39/AL39))*I39),Y39="kg",(((AE39*AM39)/(1/AL39))*I39),Y39="ton",(((AE39/1000*AM39)/(1/AL39))*I39),Y39="N/A",""))</f>
        <v/>
      </c>
      <c r="R39" s="82" t="s">
        <v>5</v>
      </c>
      <c r="S39" s="164"/>
      <c r="T39" s="47">
        <v>2025</v>
      </c>
      <c r="U39" s="47" t="s">
        <v>14</v>
      </c>
      <c r="V39" s="47" t="s">
        <v>191</v>
      </c>
      <c r="W39" s="47"/>
      <c r="X39" s="47" t="s">
        <v>583</v>
      </c>
      <c r="Y39" s="47" t="s">
        <v>61</v>
      </c>
      <c r="Z39" s="47" t="s">
        <v>191</v>
      </c>
      <c r="AA39" s="52">
        <f t="shared" si="4"/>
        <v>2.7432110000000001</v>
      </c>
      <c r="AB39" s="52">
        <v>2.74</v>
      </c>
      <c r="AC39" s="52">
        <f>0.00243+0.000781</f>
        <v>3.2109999999999999E-3</v>
      </c>
      <c r="AD39" s="52">
        <v>-1.41</v>
      </c>
      <c r="AE39" s="47" t="s">
        <v>191</v>
      </c>
      <c r="AF39" s="69"/>
      <c r="AG39" s="103" t="str">
        <f t="shared" si="5"/>
        <v xml:space="preserve">F </v>
      </c>
      <c r="AH39" s="75" t="s">
        <v>82</v>
      </c>
      <c r="AI39" s="76"/>
      <c r="AJ39" s="103"/>
      <c r="AK39" s="73"/>
      <c r="AL39" s="47">
        <v>1.1999999999999999E-3</v>
      </c>
      <c r="AM39" s="47">
        <v>7850</v>
      </c>
      <c r="AN39" s="47"/>
      <c r="AO39" s="80" t="s">
        <v>17</v>
      </c>
      <c r="AP39" s="110"/>
      <c r="AQ39" s="73"/>
      <c r="AR39" s="25"/>
    </row>
    <row r="40" spans="1:44" ht="25.2" customHeight="1" x14ac:dyDescent="0.15">
      <c r="A40" s="47" t="s">
        <v>346</v>
      </c>
      <c r="B40" s="47" t="s">
        <v>210</v>
      </c>
      <c r="C40" s="47"/>
      <c r="D40" s="47" t="s">
        <v>338</v>
      </c>
      <c r="E40" s="82" t="s">
        <v>149</v>
      </c>
      <c r="F40" s="47" t="s">
        <v>339</v>
      </c>
      <c r="G40" s="47"/>
      <c r="H40" s="47"/>
      <c r="I40" s="111">
        <v>1</v>
      </c>
      <c r="J40" s="114" t="str">
        <f t="shared" si="0"/>
        <v>N/A</v>
      </c>
      <c r="K40" s="152" t="str" cm="1">
        <f t="array" ref="K40">IF(AC40="N/A","",_xlfn.IFS(Y40="m2",((AA40/(Z40/AL40))*I40),Y40="m3",((AA40/(Z40/AL40))*I40),Y40="kg",(((AA40*AM40)/(1/AL40))*I40),Y40="ton",(((AA40/1000*AM40)/(1/AL40))*I40),Y40="N/A",""))</f>
        <v/>
      </c>
      <c r="L40" s="114" t="str">
        <f t="shared" si="1"/>
        <v>N/A</v>
      </c>
      <c r="M40" s="152" t="str" cm="1">
        <f t="array" ref="M40">(_xlfn.IFS(Y40="m2",((AB40/(Z40/AL40))*I40),Y40="m3",((AB40/(Z40/AL40))*I40),Y40="kg",(((AB40*AM40)/(1/AL40))*I40),Y40="ton",(((AB40/1000*AM40)/(1/AL40))*I40),Y40="N/A",""))</f>
        <v/>
      </c>
      <c r="N40" s="52" t="str">
        <f t="shared" si="6"/>
        <v>N/A</v>
      </c>
      <c r="O40" s="148" t="str" cm="1">
        <f t="array" ref="O40">IF(AC40="N/A","",(_xlfn.IFS(Y40="m2",((AC40/(Z40/AL40))*I40),Y40="m3",((AC40/(Z40/AL40))*I40),Y40="kg",(((AC40*AM40)/(1/AL40))*I40),Y40="ton",(((AC40/1000*AM40)/(1/AL40))*I40),Y40="N/A","")))</f>
        <v/>
      </c>
      <c r="P40" s="52" t="str">
        <f t="shared" si="7"/>
        <v>N/A</v>
      </c>
      <c r="Q40" s="155" t="str" cm="1">
        <f t="array" ref="Q40">IF(AE40="N/A","",_xlfn.IFS(Y40="m2",((AE40/(Z40/AL40))*I40),Y40="m3",((AE40/(Z40/AL40))*I40),Y40="kg",(((AE40*AM40)/(1/AL40))*I40),Y40="ton",(((AE40/1000*AM40)/(1/AL40))*I40),Y40="N/A",""))</f>
        <v/>
      </c>
      <c r="R40" s="47" t="s">
        <v>191</v>
      </c>
      <c r="S40" s="47"/>
      <c r="T40" s="47" t="s">
        <v>191</v>
      </c>
      <c r="U40" s="47" t="s">
        <v>191</v>
      </c>
      <c r="V40" s="47" t="s">
        <v>191</v>
      </c>
      <c r="W40" s="47"/>
      <c r="X40" s="47" t="s">
        <v>191</v>
      </c>
      <c r="Y40" s="47" t="s">
        <v>191</v>
      </c>
      <c r="Z40" s="47" t="s">
        <v>191</v>
      </c>
      <c r="AA40" s="52" t="str">
        <f t="shared" si="4"/>
        <v>N/A</v>
      </c>
      <c r="AB40" s="52" t="s">
        <v>191</v>
      </c>
      <c r="AC40" s="52" t="s">
        <v>191</v>
      </c>
      <c r="AD40" s="52" t="s">
        <v>191</v>
      </c>
      <c r="AE40" s="47" t="s">
        <v>191</v>
      </c>
      <c r="AF40" s="69"/>
      <c r="AG40" s="103" t="str">
        <f t="shared" si="5"/>
        <v xml:space="preserve">F </v>
      </c>
      <c r="AH40" s="75" t="s">
        <v>82</v>
      </c>
      <c r="AI40" s="76"/>
      <c r="AJ40" s="103"/>
      <c r="AK40" s="73"/>
      <c r="AL40" s="47" t="s">
        <v>191</v>
      </c>
      <c r="AM40" s="47" t="s">
        <v>191</v>
      </c>
      <c r="AN40" s="47"/>
      <c r="AO40" s="80" t="s">
        <v>17</v>
      </c>
      <c r="AP40" s="110"/>
      <c r="AQ40" s="73"/>
      <c r="AR40" s="25"/>
    </row>
    <row r="41" spans="1:44" ht="25.2" customHeight="1" x14ac:dyDescent="0.15">
      <c r="A41" s="47" t="s">
        <v>347</v>
      </c>
      <c r="B41" s="47" t="s">
        <v>210</v>
      </c>
      <c r="C41" s="47"/>
      <c r="D41" s="47" t="s">
        <v>338</v>
      </c>
      <c r="E41" s="82" t="s">
        <v>149</v>
      </c>
      <c r="F41" s="47" t="s">
        <v>339</v>
      </c>
      <c r="G41" s="47"/>
      <c r="H41" s="47"/>
      <c r="I41" s="111">
        <v>1</v>
      </c>
      <c r="J41" s="114" t="str">
        <f t="shared" si="0"/>
        <v>N/A</v>
      </c>
      <c r="K41" s="152" t="str" cm="1">
        <f t="array" ref="K41">IF(AC41="N/A","",_xlfn.IFS(Y41="m2",((AA41/(Z41/AL41))*I41),Y41="m3",((AA41/(Z41/AL41))*I41),Y41="kg",(((AA41*AM41)/(1/AL41))*I41),Y41="ton",(((AA41/1000*AM41)/(1/AL41))*I41),Y41="N/A",""))</f>
        <v/>
      </c>
      <c r="L41" s="114" t="str">
        <f t="shared" si="1"/>
        <v>N/A</v>
      </c>
      <c r="M41" s="152" t="str" cm="1">
        <f t="array" ref="M41">(_xlfn.IFS(Y41="m2",((AB41/(Z41/AL41))*I41),Y41="m3",((AB41/(Z41/AL41))*I41),Y41="kg",(((AB41*AM41)/(1/AL41))*I41),Y41="ton",(((AB41/1000*AM41)/(1/AL41))*I41),Y41="N/A",""))</f>
        <v/>
      </c>
      <c r="N41" s="52" t="str">
        <f t="shared" si="6"/>
        <v>N/A</v>
      </c>
      <c r="O41" s="148" t="str" cm="1">
        <f t="array" ref="O41">IF(AC41="N/A","",(_xlfn.IFS(Y41="m2",((AC41/(Z41/AL41))*I41),Y41="m3",((AC41/(Z41/AL41))*I41),Y41="kg",(((AC41*AM41)/(1/AL41))*I41),Y41="ton",(((AC41/1000*AM41)/(1/AL41))*I41),Y41="N/A","")))</f>
        <v/>
      </c>
      <c r="P41" s="52" t="str">
        <f t="shared" si="7"/>
        <v>N/A</v>
      </c>
      <c r="Q41" s="155" t="str" cm="1">
        <f t="array" ref="Q41">IF(AE41="N/A","",_xlfn.IFS(Y41="m2",((AE41/(Z41/AL41))*I41),Y41="m3",((AE41/(Z41/AL41))*I41),Y41="kg",(((AE41*AM41)/(1/AL41))*I41),Y41="ton",(((AE41/1000*AM41)/(1/AL41))*I41),Y41="N/A",""))</f>
        <v/>
      </c>
      <c r="R41" s="47" t="s">
        <v>191</v>
      </c>
      <c r="S41" s="47"/>
      <c r="T41" s="47" t="s">
        <v>191</v>
      </c>
      <c r="U41" s="47" t="s">
        <v>191</v>
      </c>
      <c r="V41" s="47" t="s">
        <v>191</v>
      </c>
      <c r="W41" s="47"/>
      <c r="X41" s="47" t="s">
        <v>191</v>
      </c>
      <c r="Y41" s="47" t="s">
        <v>191</v>
      </c>
      <c r="Z41" s="47" t="s">
        <v>191</v>
      </c>
      <c r="AA41" s="52" t="str">
        <f t="shared" si="4"/>
        <v>N/A</v>
      </c>
      <c r="AB41" s="47" t="s">
        <v>191</v>
      </c>
      <c r="AC41" s="52" t="s">
        <v>191</v>
      </c>
      <c r="AD41" s="52" t="s">
        <v>191</v>
      </c>
      <c r="AE41" s="47" t="s">
        <v>191</v>
      </c>
      <c r="AF41" s="69"/>
      <c r="AG41" s="103" t="str">
        <f t="shared" si="5"/>
        <v xml:space="preserve">F </v>
      </c>
      <c r="AH41" s="75" t="s">
        <v>82</v>
      </c>
      <c r="AI41" s="76"/>
      <c r="AJ41" s="103"/>
      <c r="AK41" s="73"/>
      <c r="AL41" s="47" t="s">
        <v>191</v>
      </c>
      <c r="AM41" s="47" t="s">
        <v>191</v>
      </c>
      <c r="AN41" s="47"/>
      <c r="AO41" s="80" t="s">
        <v>17</v>
      </c>
      <c r="AP41" s="110"/>
      <c r="AQ41" s="73"/>
      <c r="AR41" s="25"/>
    </row>
    <row r="42" spans="1:44" ht="25.2" customHeight="1" x14ac:dyDescent="0.15">
      <c r="A42" s="47" t="s">
        <v>348</v>
      </c>
      <c r="B42" s="47" t="s">
        <v>210</v>
      </c>
      <c r="C42" s="47"/>
      <c r="D42" s="47" t="s">
        <v>338</v>
      </c>
      <c r="E42" s="82" t="s">
        <v>149</v>
      </c>
      <c r="F42" s="47" t="s">
        <v>339</v>
      </c>
      <c r="G42" s="47"/>
      <c r="H42" s="47"/>
      <c r="I42" s="111">
        <v>1</v>
      </c>
      <c r="J42" s="114" t="str">
        <f t="shared" si="0"/>
        <v>N/A</v>
      </c>
      <c r="K42" s="152" t="str" cm="1">
        <f t="array" ref="K42">IF(AC42="N/A","",_xlfn.IFS(Y42="m2",((AA42/(Z42/AL42))*I42),Y42="m3",((AA42/(Z42/AL42))*I42),Y42="kg",(((AA42*AM42)/(1/AL42))*I42),Y42="ton",(((AA42/1000*AM42)/(1/AL42))*I42),Y42="N/A",""))</f>
        <v/>
      </c>
      <c r="L42" s="114" t="str">
        <f t="shared" si="1"/>
        <v>N/A</v>
      </c>
      <c r="M42" s="152" t="str" cm="1">
        <f t="array" ref="M42">(_xlfn.IFS(Y42="m2",((AB42/(Z42/AL42))*I42),Y42="m3",((AB42/(Z42/AL42))*I42),Y42="kg",(((AB42*AM42)/(1/AL42))*I42),Y42="ton",(((AB42/1000*AM42)/(1/AL42))*I42),Y42="N/A",""))</f>
        <v/>
      </c>
      <c r="N42" s="52" t="str">
        <f t="shared" si="6"/>
        <v>N/A</v>
      </c>
      <c r="O42" s="148" t="str" cm="1">
        <f t="array" ref="O42">IF(AC42="N/A","",(_xlfn.IFS(Y42="m2",((AC42/(Z42/AL42))*I42),Y42="m3",((AC42/(Z42/AL42))*I42),Y42="kg",(((AC42*AM42)/(1/AL42))*I42),Y42="ton",(((AC42/1000*AM42)/(1/AL42))*I42),Y42="N/A","")))</f>
        <v/>
      </c>
      <c r="P42" s="52" t="str">
        <f t="shared" si="7"/>
        <v>N/A</v>
      </c>
      <c r="Q42" s="155" t="str" cm="1">
        <f t="array" ref="Q42">IF(AE42="N/A","",_xlfn.IFS(Y42="m2",((AE42/(Z42/AL42))*I42),Y42="m3",((AE42/(Z42/AL42))*I42),Y42="kg",(((AE42*AM42)/(1/AL42))*I42),Y42="ton",(((AE42/1000*AM42)/(1/AL42))*I42),Y42="N/A",""))</f>
        <v/>
      </c>
      <c r="R42" s="47" t="s">
        <v>191</v>
      </c>
      <c r="S42" s="47"/>
      <c r="T42" s="47" t="s">
        <v>191</v>
      </c>
      <c r="U42" s="47" t="s">
        <v>191</v>
      </c>
      <c r="V42" s="47" t="s">
        <v>191</v>
      </c>
      <c r="W42" s="47"/>
      <c r="X42" s="47" t="s">
        <v>191</v>
      </c>
      <c r="Y42" s="47" t="s">
        <v>191</v>
      </c>
      <c r="Z42" s="47" t="s">
        <v>191</v>
      </c>
      <c r="AA42" s="52" t="str">
        <f t="shared" si="4"/>
        <v>N/A</v>
      </c>
      <c r="AB42" s="52" t="s">
        <v>191</v>
      </c>
      <c r="AC42" s="52" t="s">
        <v>191</v>
      </c>
      <c r="AD42" s="52" t="s">
        <v>191</v>
      </c>
      <c r="AE42" s="47" t="s">
        <v>191</v>
      </c>
      <c r="AF42" s="69"/>
      <c r="AG42" s="103" t="str">
        <f t="shared" si="5"/>
        <v xml:space="preserve">F </v>
      </c>
      <c r="AH42" s="75" t="s">
        <v>82</v>
      </c>
      <c r="AI42" s="76"/>
      <c r="AJ42" s="103"/>
      <c r="AK42" s="73"/>
      <c r="AL42" s="47" t="s">
        <v>191</v>
      </c>
      <c r="AM42" s="47" t="s">
        <v>191</v>
      </c>
      <c r="AN42" s="47"/>
      <c r="AO42" s="80" t="s">
        <v>17</v>
      </c>
      <c r="AP42" s="110"/>
      <c r="AQ42" s="73"/>
      <c r="AR42" s="25"/>
    </row>
    <row r="43" spans="1:44" ht="25.2" customHeight="1" x14ac:dyDescent="0.15">
      <c r="A43" s="47" t="s">
        <v>349</v>
      </c>
      <c r="B43" s="47" t="s">
        <v>210</v>
      </c>
      <c r="C43" s="47"/>
      <c r="D43" s="47" t="s">
        <v>338</v>
      </c>
      <c r="E43" s="82" t="s">
        <v>149</v>
      </c>
      <c r="F43" s="47" t="s">
        <v>339</v>
      </c>
      <c r="G43" s="47"/>
      <c r="H43" s="47"/>
      <c r="I43" s="111">
        <v>1</v>
      </c>
      <c r="J43" s="114" t="str">
        <f t="shared" si="0"/>
        <v>N/A</v>
      </c>
      <c r="K43" s="152" t="str" cm="1">
        <f t="array" ref="K43">IF(AC43="N/A","",_xlfn.IFS(Y43="m2",((AA43/(Z43/AL43))*I43),Y43="m3",((AA43/(Z43/AL43))*I43),Y43="kg",(((AA43*AM43)/(1/AL43))*I43),Y43="ton",(((AA43/1000*AM43)/(1/AL43))*I43),Y43="N/A",""))</f>
        <v/>
      </c>
      <c r="L43" s="114" t="str">
        <f t="shared" si="1"/>
        <v>N/A</v>
      </c>
      <c r="M43" s="152" t="str" cm="1">
        <f t="array" ref="M43">(_xlfn.IFS(Y43="m2",((AB43/(Z43/AL43))*I43),Y43="m3",((AB43/(Z43/AL43))*I43),Y43="kg",(((AB43*AM43)/(1/AL43))*I43),Y43="ton",(((AB43/1000*AM43)/(1/AL43))*I43),Y43="N/A",""))</f>
        <v/>
      </c>
      <c r="N43" s="52" t="str">
        <f t="shared" si="6"/>
        <v>N/A</v>
      </c>
      <c r="O43" s="148" t="str" cm="1">
        <f t="array" ref="O43">IF(AC43="N/A","",(_xlfn.IFS(Y43="m2",((AC43/(Z43/AL43))*I43),Y43="m3",((AC43/(Z43/AL43))*I43),Y43="kg",(((AC43*AM43)/(1/AL43))*I43),Y43="ton",(((AC43/1000*AM43)/(1/AL43))*I43),Y43="N/A","")))</f>
        <v/>
      </c>
      <c r="P43" s="52" t="str">
        <f t="shared" si="7"/>
        <v>N/A</v>
      </c>
      <c r="Q43" s="155" t="str" cm="1">
        <f t="array" ref="Q43">IF(AE43="N/A","",_xlfn.IFS(Y43="m2",((AE43/(Z43/AL43))*I43),Y43="m3",((AE43/(Z43/AL43))*I43),Y43="kg",(((AE43*AM43)/(1/AL43))*I43),Y43="ton",(((AE43/1000*AM43)/(1/AL43))*I43),Y43="N/A",""))</f>
        <v/>
      </c>
      <c r="R43" s="47" t="s">
        <v>191</v>
      </c>
      <c r="S43" s="47"/>
      <c r="T43" s="47" t="s">
        <v>191</v>
      </c>
      <c r="U43" s="47" t="s">
        <v>191</v>
      </c>
      <c r="V43" s="47" t="s">
        <v>191</v>
      </c>
      <c r="W43" s="47"/>
      <c r="X43" s="47" t="s">
        <v>191</v>
      </c>
      <c r="Y43" s="47" t="s">
        <v>191</v>
      </c>
      <c r="Z43" s="47" t="s">
        <v>191</v>
      </c>
      <c r="AA43" s="52" t="str">
        <f t="shared" si="4"/>
        <v>N/A</v>
      </c>
      <c r="AB43" s="47" t="s">
        <v>191</v>
      </c>
      <c r="AC43" s="52" t="s">
        <v>191</v>
      </c>
      <c r="AD43" s="52" t="s">
        <v>191</v>
      </c>
      <c r="AE43" s="47" t="s">
        <v>191</v>
      </c>
      <c r="AF43" s="69"/>
      <c r="AG43" s="103" t="str">
        <f t="shared" si="5"/>
        <v xml:space="preserve">F </v>
      </c>
      <c r="AH43" s="75" t="s">
        <v>82</v>
      </c>
      <c r="AI43" s="76"/>
      <c r="AJ43" s="103"/>
      <c r="AK43" s="73"/>
      <c r="AL43" s="47" t="s">
        <v>191</v>
      </c>
      <c r="AM43" s="47" t="s">
        <v>191</v>
      </c>
      <c r="AN43" s="47"/>
      <c r="AO43" s="80" t="s">
        <v>17</v>
      </c>
      <c r="AP43" s="110"/>
      <c r="AQ43" s="73"/>
      <c r="AR43" s="25"/>
    </row>
    <row r="44" spans="1:44" ht="25.2" customHeight="1" x14ac:dyDescent="0.15">
      <c r="A44" s="47" t="s">
        <v>350</v>
      </c>
      <c r="B44" s="47" t="s">
        <v>210</v>
      </c>
      <c r="C44" s="47"/>
      <c r="D44" s="47" t="s">
        <v>338</v>
      </c>
      <c r="E44" s="82" t="s">
        <v>149</v>
      </c>
      <c r="F44" s="47" t="s">
        <v>339</v>
      </c>
      <c r="G44" s="47"/>
      <c r="H44" s="47"/>
      <c r="I44" s="111">
        <v>1</v>
      </c>
      <c r="J44" s="114" t="str">
        <f t="shared" si="0"/>
        <v>N/A</v>
      </c>
      <c r="K44" s="152" t="str" cm="1">
        <f t="array" ref="K44">IF(AC44="N/A","",_xlfn.IFS(Y44="m2",((AA44/(Z44/AL44))*I44),Y44="m3",((AA44/(Z44/AL44))*I44),Y44="kg",(((AA44*AM44)/(1/AL44))*I44),Y44="ton",(((AA44/1000*AM44)/(1/AL44))*I44),Y44="N/A",""))</f>
        <v/>
      </c>
      <c r="L44" s="114" t="str">
        <f t="shared" si="1"/>
        <v>N/A</v>
      </c>
      <c r="M44" s="152" t="str" cm="1">
        <f t="array" ref="M44">(_xlfn.IFS(Y44="m2",((AB44/(Z44/AL44))*I44),Y44="m3",((AB44/(Z44/AL44))*I44),Y44="kg",(((AB44*AM44)/(1/AL44))*I44),Y44="ton",(((AB44/1000*AM44)/(1/AL44))*I44),Y44="N/A",""))</f>
        <v/>
      </c>
      <c r="N44" s="52" t="str">
        <f t="shared" si="6"/>
        <v>N/A</v>
      </c>
      <c r="O44" s="148" t="str" cm="1">
        <f t="array" ref="O44">IF(AC44="N/A","",(_xlfn.IFS(Y44="m2",((AC44/(Z44/AL44))*I44),Y44="m3",((AC44/(Z44/AL44))*I44),Y44="kg",(((AC44*AM44)/(1/AL44))*I44),Y44="ton",(((AC44/1000*AM44)/(1/AL44))*I44),Y44="N/A","")))</f>
        <v/>
      </c>
      <c r="P44" s="52" t="str">
        <f t="shared" si="7"/>
        <v>N/A</v>
      </c>
      <c r="Q44" s="155" t="str" cm="1">
        <f t="array" ref="Q44">IF(AE44="N/A","",_xlfn.IFS(Y44="m2",((AE44/(Z44/AL44))*I44),Y44="m3",((AE44/(Z44/AL44))*I44),Y44="kg",(((AE44*AM44)/(1/AL44))*I44),Y44="ton",(((AE44/1000*AM44)/(1/AL44))*I44),Y44="N/A",""))</f>
        <v/>
      </c>
      <c r="R44" s="47" t="s">
        <v>191</v>
      </c>
      <c r="S44" s="47"/>
      <c r="T44" s="47" t="s">
        <v>191</v>
      </c>
      <c r="U44" s="47" t="s">
        <v>191</v>
      </c>
      <c r="V44" s="47" t="s">
        <v>191</v>
      </c>
      <c r="W44" s="47"/>
      <c r="X44" s="47" t="s">
        <v>191</v>
      </c>
      <c r="Y44" s="47" t="s">
        <v>191</v>
      </c>
      <c r="Z44" s="47" t="s">
        <v>191</v>
      </c>
      <c r="AA44" s="52" t="str">
        <f t="shared" si="4"/>
        <v>N/A</v>
      </c>
      <c r="AB44" s="52" t="s">
        <v>191</v>
      </c>
      <c r="AC44" s="52" t="s">
        <v>191</v>
      </c>
      <c r="AD44" s="52" t="s">
        <v>191</v>
      </c>
      <c r="AE44" s="47" t="s">
        <v>191</v>
      </c>
      <c r="AF44" s="69"/>
      <c r="AG44" s="103" t="str">
        <f t="shared" si="5"/>
        <v xml:space="preserve">F </v>
      </c>
      <c r="AH44" s="75" t="s">
        <v>82</v>
      </c>
      <c r="AI44" s="76"/>
      <c r="AJ44" s="103"/>
      <c r="AK44" s="73"/>
      <c r="AL44" s="47" t="s">
        <v>191</v>
      </c>
      <c r="AM44" s="47" t="s">
        <v>191</v>
      </c>
      <c r="AN44" s="47"/>
      <c r="AO44" s="80" t="s">
        <v>17</v>
      </c>
      <c r="AP44" s="110"/>
      <c r="AQ44" s="73"/>
      <c r="AR44" s="25"/>
    </row>
    <row r="45" spans="1:44" ht="25.2" customHeight="1" x14ac:dyDescent="0.15">
      <c r="A45" s="47" t="s">
        <v>351</v>
      </c>
      <c r="B45" s="47" t="s">
        <v>210</v>
      </c>
      <c r="C45" s="47"/>
      <c r="D45" s="47" t="s">
        <v>338</v>
      </c>
      <c r="E45" s="82" t="s">
        <v>149</v>
      </c>
      <c r="F45" s="47" t="s">
        <v>339</v>
      </c>
      <c r="G45" s="47"/>
      <c r="H45" s="47"/>
      <c r="I45" s="111">
        <v>1</v>
      </c>
      <c r="J45" s="114" t="str">
        <f t="shared" si="0"/>
        <v>N/A</v>
      </c>
      <c r="K45" s="152" t="str" cm="1">
        <f t="array" ref="K45">IF(AC45="N/A","",_xlfn.IFS(Y45="m2",((AA45/(Z45/AL45))*I45),Y45="m3",((AA45/(Z45/AL45))*I45),Y45="kg",(((AA45*AM45)/(1/AL45))*I45),Y45="ton",(((AA45/1000*AM45)/(1/AL45))*I45),Y45="N/A",""))</f>
        <v/>
      </c>
      <c r="L45" s="114" t="str">
        <f t="shared" si="1"/>
        <v>N/A</v>
      </c>
      <c r="M45" s="152" t="str" cm="1">
        <f t="array" ref="M45">(_xlfn.IFS(Y45="m2",((AB45/(Z45/AL45))*I45),Y45="m3",((AB45/(Z45/AL45))*I45),Y45="kg",(((AB45*AM45)/(1/AL45))*I45),Y45="ton",(((AB45/1000*AM45)/(1/AL45))*I45),Y45="N/A",""))</f>
        <v/>
      </c>
      <c r="N45" s="52" t="str">
        <f t="shared" si="6"/>
        <v>N/A</v>
      </c>
      <c r="O45" s="148" t="str" cm="1">
        <f t="array" ref="O45">IF(AC45="N/A","",(_xlfn.IFS(Y45="m2",((AC45/(Z45/AL45))*I45),Y45="m3",((AC45/(Z45/AL45))*I45),Y45="kg",(((AC45*AM45)/(1/AL45))*I45),Y45="ton",(((AC45/1000*AM45)/(1/AL45))*I45),Y45="N/A","")))</f>
        <v/>
      </c>
      <c r="P45" s="52" t="str">
        <f t="shared" si="7"/>
        <v>N/A</v>
      </c>
      <c r="Q45" s="155" t="str" cm="1">
        <f t="array" ref="Q45">IF(AE45="N/A","",_xlfn.IFS(Y45="m2",((AE45/(Z45/AL45))*I45),Y45="m3",((AE45/(Z45/AL45))*I45),Y45="kg",(((AE45*AM45)/(1/AL45))*I45),Y45="ton",(((AE45/1000*AM45)/(1/AL45))*I45),Y45="N/A",""))</f>
        <v/>
      </c>
      <c r="R45" s="47" t="s">
        <v>191</v>
      </c>
      <c r="S45" s="47"/>
      <c r="T45" s="47" t="s">
        <v>191</v>
      </c>
      <c r="U45" s="47" t="s">
        <v>191</v>
      </c>
      <c r="V45" s="47" t="s">
        <v>191</v>
      </c>
      <c r="W45" s="47"/>
      <c r="X45" s="47" t="s">
        <v>191</v>
      </c>
      <c r="Y45" s="47" t="s">
        <v>191</v>
      </c>
      <c r="Z45" s="47" t="s">
        <v>191</v>
      </c>
      <c r="AA45" s="52" t="str">
        <f t="shared" si="4"/>
        <v>N/A</v>
      </c>
      <c r="AB45" s="47" t="s">
        <v>191</v>
      </c>
      <c r="AC45" s="52" t="s">
        <v>191</v>
      </c>
      <c r="AD45" s="52" t="s">
        <v>191</v>
      </c>
      <c r="AE45" s="47" t="s">
        <v>191</v>
      </c>
      <c r="AF45" s="69"/>
      <c r="AG45" s="103" t="str">
        <f t="shared" si="5"/>
        <v xml:space="preserve">F </v>
      </c>
      <c r="AH45" s="75" t="s">
        <v>82</v>
      </c>
      <c r="AI45" s="76"/>
      <c r="AJ45" s="103"/>
      <c r="AK45" s="73"/>
      <c r="AL45" s="47" t="s">
        <v>191</v>
      </c>
      <c r="AM45" s="47" t="s">
        <v>191</v>
      </c>
      <c r="AN45" s="47"/>
      <c r="AO45" s="80" t="s">
        <v>17</v>
      </c>
      <c r="AP45" s="110"/>
      <c r="AQ45" s="73"/>
      <c r="AR45" s="25"/>
    </row>
    <row r="46" spans="1:44" ht="25.2" customHeight="1" x14ac:dyDescent="0.15">
      <c r="A46" s="47" t="s">
        <v>352</v>
      </c>
      <c r="B46" s="47" t="s">
        <v>210</v>
      </c>
      <c r="C46" s="47"/>
      <c r="D46" s="47" t="s">
        <v>338</v>
      </c>
      <c r="E46" s="82" t="s">
        <v>149</v>
      </c>
      <c r="F46" s="47" t="s">
        <v>339</v>
      </c>
      <c r="G46" s="47"/>
      <c r="H46" s="47"/>
      <c r="I46" s="111">
        <v>1</v>
      </c>
      <c r="J46" s="114" t="str">
        <f t="shared" si="0"/>
        <v>N/A</v>
      </c>
      <c r="K46" s="152" t="str" cm="1">
        <f t="array" ref="K46">IF(AC46="N/A","",_xlfn.IFS(Y46="m2",((AA46/(Z46/AL46))*I46),Y46="m3",((AA46/(Z46/AL46))*I46),Y46="kg",(((AA46*AM46)/(1/AL46))*I46),Y46="ton",(((AA46/1000*AM46)/(1/AL46))*I46),Y46="N/A",""))</f>
        <v/>
      </c>
      <c r="L46" s="114" t="str">
        <f t="shared" si="1"/>
        <v>N/A</v>
      </c>
      <c r="M46" s="152" t="str" cm="1">
        <f t="array" ref="M46">(_xlfn.IFS(Y46="m2",((AB46/(Z46/AL46))*I46),Y46="m3",((AB46/(Z46/AL46))*I46),Y46="kg",(((AB46*AM46)/(1/AL46))*I46),Y46="ton",(((AB46/1000*AM46)/(1/AL46))*I46),Y46="N/A",""))</f>
        <v/>
      </c>
      <c r="N46" s="52" t="str">
        <f t="shared" si="6"/>
        <v>N/A</v>
      </c>
      <c r="O46" s="148" t="str" cm="1">
        <f t="array" ref="O46">IF(AC46="N/A","",(_xlfn.IFS(Y46="m2",((AC46/(Z46/AL46))*I46),Y46="m3",((AC46/(Z46/AL46))*I46),Y46="kg",(((AC46*AM46)/(1/AL46))*I46),Y46="ton",(((AC46/1000*AM46)/(1/AL46))*I46),Y46="N/A","")))</f>
        <v/>
      </c>
      <c r="P46" s="52" t="str">
        <f t="shared" si="7"/>
        <v>N/A</v>
      </c>
      <c r="Q46" s="155" t="str" cm="1">
        <f t="array" ref="Q46">IF(AE46="N/A","",_xlfn.IFS(Y46="m2",((AE46/(Z46/AL46))*I46),Y46="m3",((AE46/(Z46/AL46))*I46),Y46="kg",(((AE46*AM46)/(1/AL46))*I46),Y46="ton",(((AE46/1000*AM46)/(1/AL46))*I46),Y46="N/A",""))</f>
        <v/>
      </c>
      <c r="R46" s="47" t="s">
        <v>191</v>
      </c>
      <c r="S46" s="47"/>
      <c r="T46" s="47" t="s">
        <v>191</v>
      </c>
      <c r="U46" s="47" t="s">
        <v>191</v>
      </c>
      <c r="V46" s="47" t="s">
        <v>191</v>
      </c>
      <c r="W46" s="47"/>
      <c r="X46" s="47" t="s">
        <v>191</v>
      </c>
      <c r="Y46" s="47" t="s">
        <v>191</v>
      </c>
      <c r="Z46" s="47" t="s">
        <v>191</v>
      </c>
      <c r="AA46" s="52" t="str">
        <f t="shared" si="4"/>
        <v>N/A</v>
      </c>
      <c r="AB46" s="52" t="s">
        <v>191</v>
      </c>
      <c r="AC46" s="52" t="s">
        <v>191</v>
      </c>
      <c r="AD46" s="52" t="s">
        <v>191</v>
      </c>
      <c r="AE46" s="47" t="s">
        <v>191</v>
      </c>
      <c r="AF46" s="69"/>
      <c r="AG46" s="103" t="str">
        <f t="shared" si="5"/>
        <v xml:space="preserve">F </v>
      </c>
      <c r="AH46" s="75" t="s">
        <v>82</v>
      </c>
      <c r="AI46" s="76"/>
      <c r="AJ46" s="103"/>
      <c r="AK46" s="73"/>
      <c r="AL46" s="47" t="s">
        <v>191</v>
      </c>
      <c r="AM46" s="47" t="s">
        <v>191</v>
      </c>
      <c r="AN46" s="47"/>
      <c r="AO46" s="80" t="s">
        <v>17</v>
      </c>
      <c r="AP46" s="110"/>
      <c r="AQ46" s="73"/>
      <c r="AR46" s="25"/>
    </row>
    <row r="47" spans="1:44" ht="25.2" customHeight="1" x14ac:dyDescent="0.15">
      <c r="A47" s="47" t="s">
        <v>353</v>
      </c>
      <c r="B47" s="47" t="s">
        <v>210</v>
      </c>
      <c r="C47" s="47"/>
      <c r="D47" s="47" t="s">
        <v>338</v>
      </c>
      <c r="E47" s="82" t="s">
        <v>149</v>
      </c>
      <c r="F47" s="47" t="s">
        <v>339</v>
      </c>
      <c r="G47" s="47"/>
      <c r="H47" s="47"/>
      <c r="I47" s="111">
        <v>1</v>
      </c>
      <c r="J47" s="114" t="str">
        <f t="shared" si="0"/>
        <v>N/A</v>
      </c>
      <c r="K47" s="152" t="str" cm="1">
        <f t="array" ref="K47">IF(AC47="N/A","",_xlfn.IFS(Y47="m2",((AA47/(Z47/AL47))*I47),Y47="m3",((AA47/(Z47/AL47))*I47),Y47="kg",(((AA47*AM47)/(1/AL47))*I47),Y47="ton",(((AA47/1000*AM47)/(1/AL47))*I47),Y47="N/A",""))</f>
        <v/>
      </c>
      <c r="L47" s="114" t="str">
        <f t="shared" si="1"/>
        <v>N/A</v>
      </c>
      <c r="M47" s="152" t="str" cm="1">
        <f t="array" ref="M47">(_xlfn.IFS(Y47="m2",((AB47/(Z47/AL47))*I47),Y47="m3",((AB47/(Z47/AL47))*I47),Y47="kg",(((AB47*AM47)/(1/AL47))*I47),Y47="ton",(((AB47/1000*AM47)/(1/AL47))*I47),Y47="N/A",""))</f>
        <v/>
      </c>
      <c r="N47" s="52" t="str">
        <f t="shared" si="6"/>
        <v>N/A</v>
      </c>
      <c r="O47" s="148" t="str" cm="1">
        <f t="array" ref="O47">IF(AC47="N/A","",(_xlfn.IFS(Y47="m2",((AC47/(Z47/AL47))*I47),Y47="m3",((AC47/(Z47/AL47))*I47),Y47="kg",(((AC47*AM47)/(1/AL47))*I47),Y47="ton",(((AC47/1000*AM47)/(1/AL47))*I47),Y47="N/A","")))</f>
        <v/>
      </c>
      <c r="P47" s="52" t="str">
        <f t="shared" si="7"/>
        <v>N/A</v>
      </c>
      <c r="Q47" s="155" t="str" cm="1">
        <f t="array" ref="Q47">IF(AE47="N/A","",_xlfn.IFS(Y47="m2",((AE47/(Z47/AL47))*I47),Y47="m3",((AE47/(Z47/AL47))*I47),Y47="kg",(((AE47*AM47)/(1/AL47))*I47),Y47="ton",(((AE47/1000*AM47)/(1/AL47))*I47),Y47="N/A",""))</f>
        <v/>
      </c>
      <c r="R47" s="47" t="s">
        <v>191</v>
      </c>
      <c r="S47" s="47"/>
      <c r="T47" s="47" t="s">
        <v>191</v>
      </c>
      <c r="U47" s="47" t="s">
        <v>191</v>
      </c>
      <c r="V47" s="47" t="s">
        <v>191</v>
      </c>
      <c r="W47" s="47"/>
      <c r="X47" s="47" t="s">
        <v>191</v>
      </c>
      <c r="Y47" s="47" t="s">
        <v>191</v>
      </c>
      <c r="Z47" s="47" t="s">
        <v>191</v>
      </c>
      <c r="AA47" s="52" t="str">
        <f t="shared" si="4"/>
        <v>N/A</v>
      </c>
      <c r="AB47" s="47" t="s">
        <v>191</v>
      </c>
      <c r="AC47" s="52" t="s">
        <v>191</v>
      </c>
      <c r="AD47" s="52" t="s">
        <v>191</v>
      </c>
      <c r="AE47" s="47" t="s">
        <v>191</v>
      </c>
      <c r="AF47" s="69"/>
      <c r="AG47" s="103" t="str">
        <f t="shared" si="5"/>
        <v xml:space="preserve">F </v>
      </c>
      <c r="AH47" s="75" t="s">
        <v>82</v>
      </c>
      <c r="AI47" s="76"/>
      <c r="AJ47" s="103"/>
      <c r="AK47" s="73"/>
      <c r="AL47" s="47" t="s">
        <v>191</v>
      </c>
      <c r="AM47" s="47" t="s">
        <v>191</v>
      </c>
      <c r="AN47" s="47"/>
      <c r="AO47" s="80" t="s">
        <v>17</v>
      </c>
      <c r="AP47" s="110"/>
      <c r="AQ47" s="73"/>
      <c r="AR47" s="25"/>
    </row>
    <row r="48" spans="1:44" ht="25.2" customHeight="1" x14ac:dyDescent="0.15">
      <c r="A48" s="47" t="s">
        <v>354</v>
      </c>
      <c r="B48" s="47" t="s">
        <v>210</v>
      </c>
      <c r="C48" s="47"/>
      <c r="D48" s="47" t="s">
        <v>338</v>
      </c>
      <c r="E48" s="82" t="s">
        <v>149</v>
      </c>
      <c r="F48" s="47" t="s">
        <v>339</v>
      </c>
      <c r="G48" s="47"/>
      <c r="H48" s="47"/>
      <c r="I48" s="111">
        <v>1</v>
      </c>
      <c r="J48" s="114" t="str">
        <f t="shared" si="0"/>
        <v>N/A</v>
      </c>
      <c r="K48" s="152" t="str" cm="1">
        <f t="array" ref="K48">IF(AC48="N/A","",_xlfn.IFS(Y48="m2",((AA48/(Z48/AL48))*I48),Y48="m3",((AA48/(Z48/AL48))*I48),Y48="kg",(((AA48*AM48)/(1/AL48))*I48),Y48="ton",(((AA48/1000*AM48)/(1/AL48))*I48),Y48="N/A",""))</f>
        <v/>
      </c>
      <c r="L48" s="114" t="str">
        <f t="shared" si="1"/>
        <v>N/A</v>
      </c>
      <c r="M48" s="152" t="str" cm="1">
        <f t="array" ref="M48">(_xlfn.IFS(Y48="m2",((AB48/(Z48/AL48))*I48),Y48="m3",((AB48/(Z48/AL48))*I48),Y48="kg",(((AB48*AM48)/(1/AL48))*I48),Y48="ton",(((AB48/1000*AM48)/(1/AL48))*I48),Y48="N/A",""))</f>
        <v/>
      </c>
      <c r="N48" s="52" t="str">
        <f t="shared" si="6"/>
        <v>N/A</v>
      </c>
      <c r="O48" s="148" t="str" cm="1">
        <f t="array" ref="O48">IF(AC48="N/A","",(_xlfn.IFS(Y48="m2",((AC48/(Z48/AL48))*I48),Y48="m3",((AC48/(Z48/AL48))*I48),Y48="kg",(((AC48*AM48)/(1/AL48))*I48),Y48="ton",(((AC48/1000*AM48)/(1/AL48))*I48),Y48="N/A","")))</f>
        <v/>
      </c>
      <c r="P48" s="52" t="str">
        <f t="shared" si="7"/>
        <v>N/A</v>
      </c>
      <c r="Q48" s="155" t="str" cm="1">
        <f t="array" ref="Q48">IF(AE48="N/A","",_xlfn.IFS(Y48="m2",((AE48/(Z48/AL48))*I48),Y48="m3",((AE48/(Z48/AL48))*I48),Y48="kg",(((AE48*AM48)/(1/AL48))*I48),Y48="ton",(((AE48/1000*AM48)/(1/AL48))*I48),Y48="N/A",""))</f>
        <v/>
      </c>
      <c r="R48" s="47" t="s">
        <v>191</v>
      </c>
      <c r="S48" s="47"/>
      <c r="T48" s="47" t="s">
        <v>191</v>
      </c>
      <c r="U48" s="47" t="s">
        <v>191</v>
      </c>
      <c r="V48" s="47" t="s">
        <v>191</v>
      </c>
      <c r="W48" s="47"/>
      <c r="X48" s="47" t="s">
        <v>191</v>
      </c>
      <c r="Y48" s="47" t="s">
        <v>191</v>
      </c>
      <c r="Z48" s="47" t="s">
        <v>191</v>
      </c>
      <c r="AA48" s="52" t="str">
        <f t="shared" si="4"/>
        <v>N/A</v>
      </c>
      <c r="AB48" s="52" t="s">
        <v>191</v>
      </c>
      <c r="AC48" s="52" t="s">
        <v>191</v>
      </c>
      <c r="AD48" s="52" t="s">
        <v>191</v>
      </c>
      <c r="AE48" s="47" t="s">
        <v>191</v>
      </c>
      <c r="AF48" s="69"/>
      <c r="AG48" s="103" t="str">
        <f t="shared" si="5"/>
        <v xml:space="preserve">F </v>
      </c>
      <c r="AH48" s="75" t="s">
        <v>82</v>
      </c>
      <c r="AI48" s="76"/>
      <c r="AJ48" s="103"/>
      <c r="AK48" s="73"/>
      <c r="AL48" s="47" t="s">
        <v>191</v>
      </c>
      <c r="AM48" s="47" t="s">
        <v>191</v>
      </c>
      <c r="AN48" s="47"/>
      <c r="AO48" s="80" t="s">
        <v>17</v>
      </c>
      <c r="AP48" s="110"/>
      <c r="AQ48" s="73"/>
      <c r="AR48" s="25"/>
    </row>
    <row r="49" spans="1:44" ht="25.2" customHeight="1" x14ac:dyDescent="0.15">
      <c r="A49" s="47" t="s">
        <v>355</v>
      </c>
      <c r="B49" s="47" t="s">
        <v>210</v>
      </c>
      <c r="C49" s="47"/>
      <c r="D49" s="47" t="s">
        <v>338</v>
      </c>
      <c r="E49" s="82" t="s">
        <v>149</v>
      </c>
      <c r="F49" s="47" t="s">
        <v>339</v>
      </c>
      <c r="G49" s="47"/>
      <c r="H49" s="47"/>
      <c r="I49" s="111">
        <v>1</v>
      </c>
      <c r="J49" s="114" t="str">
        <f t="shared" si="0"/>
        <v>N/A</v>
      </c>
      <c r="K49" s="152" t="str" cm="1">
        <f t="array" ref="K49">IF(AC49="N/A","",_xlfn.IFS(Y49="m2",((AA49/(Z49/AL49))*I49),Y49="m3",((AA49/(Z49/AL49))*I49),Y49="kg",(((AA49*AM49)/(1/AL49))*I49),Y49="ton",(((AA49/1000*AM49)/(1/AL49))*I49),Y49="N/A",""))</f>
        <v/>
      </c>
      <c r="L49" s="114" t="str">
        <f t="shared" si="1"/>
        <v>N/A</v>
      </c>
      <c r="M49" s="152" t="str" cm="1">
        <f t="array" ref="M49">(_xlfn.IFS(Y49="m2",((AB49/(Z49/AL49))*I49),Y49="m3",((AB49/(Z49/AL49))*I49),Y49="kg",(((AB49*AM49)/(1/AL49))*I49),Y49="ton",(((AB49/1000*AM49)/(1/AL49))*I49),Y49="N/A",""))</f>
        <v/>
      </c>
      <c r="N49" s="52" t="str">
        <f t="shared" si="6"/>
        <v>N/A</v>
      </c>
      <c r="O49" s="148" t="str" cm="1">
        <f t="array" ref="O49">IF(AC49="N/A","",(_xlfn.IFS(Y49="m2",((AC49/(Z49/AL49))*I49),Y49="m3",((AC49/(Z49/AL49))*I49),Y49="kg",(((AC49*AM49)/(1/AL49))*I49),Y49="ton",(((AC49/1000*AM49)/(1/AL49))*I49),Y49="N/A","")))</f>
        <v/>
      </c>
      <c r="P49" s="52" t="str">
        <f t="shared" si="7"/>
        <v>N/A</v>
      </c>
      <c r="Q49" s="155" t="str" cm="1">
        <f t="array" ref="Q49">IF(AE49="N/A","",_xlfn.IFS(Y49="m2",((AE49/(Z49/AL49))*I49),Y49="m3",((AE49/(Z49/AL49))*I49),Y49="kg",(((AE49*AM49)/(1/AL49))*I49),Y49="ton",(((AE49/1000*AM49)/(1/AL49))*I49),Y49="N/A",""))</f>
        <v/>
      </c>
      <c r="R49" s="47" t="s">
        <v>191</v>
      </c>
      <c r="S49" s="47"/>
      <c r="T49" s="47" t="s">
        <v>191</v>
      </c>
      <c r="U49" s="47" t="s">
        <v>191</v>
      </c>
      <c r="V49" s="47" t="s">
        <v>191</v>
      </c>
      <c r="W49" s="47"/>
      <c r="X49" s="47" t="s">
        <v>191</v>
      </c>
      <c r="Y49" s="47" t="s">
        <v>191</v>
      </c>
      <c r="Z49" s="47" t="s">
        <v>191</v>
      </c>
      <c r="AA49" s="52" t="str">
        <f t="shared" si="4"/>
        <v>N/A</v>
      </c>
      <c r="AB49" s="47" t="s">
        <v>191</v>
      </c>
      <c r="AC49" s="52" t="s">
        <v>191</v>
      </c>
      <c r="AD49" s="52" t="s">
        <v>191</v>
      </c>
      <c r="AE49" s="47" t="s">
        <v>191</v>
      </c>
      <c r="AF49" s="69"/>
      <c r="AG49" s="103" t="str">
        <f t="shared" si="5"/>
        <v xml:space="preserve">F </v>
      </c>
      <c r="AH49" s="75" t="s">
        <v>82</v>
      </c>
      <c r="AI49" s="76"/>
      <c r="AJ49" s="103"/>
      <c r="AK49" s="73"/>
      <c r="AL49" s="47" t="s">
        <v>191</v>
      </c>
      <c r="AM49" s="47" t="s">
        <v>191</v>
      </c>
      <c r="AN49" s="47"/>
      <c r="AO49" s="80" t="s">
        <v>17</v>
      </c>
      <c r="AP49" s="110"/>
      <c r="AQ49" s="73"/>
      <c r="AR49" s="25"/>
    </row>
    <row r="50" spans="1:44" ht="25.2" customHeight="1" x14ac:dyDescent="0.15">
      <c r="A50" s="47" t="s">
        <v>356</v>
      </c>
      <c r="B50" s="47" t="s">
        <v>210</v>
      </c>
      <c r="C50" s="47"/>
      <c r="D50" s="47" t="s">
        <v>338</v>
      </c>
      <c r="E50" s="82" t="s">
        <v>149</v>
      </c>
      <c r="F50" s="47" t="s">
        <v>339</v>
      </c>
      <c r="G50" s="47"/>
      <c r="H50" s="47"/>
      <c r="I50" s="111">
        <v>1</v>
      </c>
      <c r="J50" s="114" t="str">
        <f t="shared" si="0"/>
        <v>N/A</v>
      </c>
      <c r="K50" s="152" t="str" cm="1">
        <f t="array" ref="K50">IF(AC50="N/A","",_xlfn.IFS(Y50="m2",((AA50/(Z50/AL50))*I50),Y50="m3",((AA50/(Z50/AL50))*I50),Y50="kg",(((AA50*AM50)/(1/AL50))*I50),Y50="ton",(((AA50/1000*AM50)/(1/AL50))*I50),Y50="N/A",""))</f>
        <v/>
      </c>
      <c r="L50" s="114" t="str">
        <f t="shared" si="1"/>
        <v>N/A</v>
      </c>
      <c r="M50" s="152" t="str" cm="1">
        <f t="array" ref="M50">(_xlfn.IFS(Y50="m2",((AB50/(Z50/AL50))*I50),Y50="m3",((AB50/(Z50/AL50))*I50),Y50="kg",(((AB50*AM50)/(1/AL50))*I50),Y50="ton",(((AB50/1000*AM50)/(1/AL50))*I50),Y50="N/A",""))</f>
        <v/>
      </c>
      <c r="N50" s="52" t="str">
        <f t="shared" si="6"/>
        <v>N/A</v>
      </c>
      <c r="O50" s="148" t="str" cm="1">
        <f t="array" ref="O50">IF(AC50="N/A","",(_xlfn.IFS(Y50="m2",((AC50/(Z50/AL50))*I50),Y50="m3",((AC50/(Z50/AL50))*I50),Y50="kg",(((AC50*AM50)/(1/AL50))*I50),Y50="ton",(((AC50/1000*AM50)/(1/AL50))*I50),Y50="N/A","")))</f>
        <v/>
      </c>
      <c r="P50" s="52" t="str">
        <f t="shared" si="7"/>
        <v>N/A</v>
      </c>
      <c r="Q50" s="155" t="str" cm="1">
        <f t="array" ref="Q50">IF(AE50="N/A","",_xlfn.IFS(Y50="m2",((AE50/(Z50/AL50))*I50),Y50="m3",((AE50/(Z50/AL50))*I50),Y50="kg",(((AE50*AM50)/(1/AL50))*I50),Y50="ton",(((AE50/1000*AM50)/(1/AL50))*I50),Y50="N/A",""))</f>
        <v/>
      </c>
      <c r="R50" s="47" t="s">
        <v>191</v>
      </c>
      <c r="S50" s="47"/>
      <c r="T50" s="47" t="s">
        <v>191</v>
      </c>
      <c r="U50" s="47" t="s">
        <v>191</v>
      </c>
      <c r="V50" s="47" t="s">
        <v>191</v>
      </c>
      <c r="W50" s="47"/>
      <c r="X50" s="47" t="s">
        <v>191</v>
      </c>
      <c r="Y50" s="47" t="s">
        <v>191</v>
      </c>
      <c r="Z50" s="47" t="s">
        <v>191</v>
      </c>
      <c r="AA50" s="52" t="str">
        <f t="shared" si="4"/>
        <v>N/A</v>
      </c>
      <c r="AB50" s="52" t="s">
        <v>191</v>
      </c>
      <c r="AC50" s="52" t="s">
        <v>191</v>
      </c>
      <c r="AD50" s="52" t="s">
        <v>191</v>
      </c>
      <c r="AE50" s="47" t="s">
        <v>191</v>
      </c>
      <c r="AF50" s="69"/>
      <c r="AG50" s="103" t="str">
        <f t="shared" si="5"/>
        <v xml:space="preserve">F </v>
      </c>
      <c r="AH50" s="75" t="s">
        <v>82</v>
      </c>
      <c r="AI50" s="76"/>
      <c r="AJ50" s="103"/>
      <c r="AK50" s="73"/>
      <c r="AL50" s="47" t="s">
        <v>191</v>
      </c>
      <c r="AM50" s="47" t="s">
        <v>191</v>
      </c>
      <c r="AN50" s="47"/>
      <c r="AO50" s="80" t="s">
        <v>17</v>
      </c>
      <c r="AP50" s="110"/>
      <c r="AQ50" s="73"/>
      <c r="AR50" s="25"/>
    </row>
    <row r="51" spans="1:44" ht="25.2" customHeight="1" x14ac:dyDescent="0.15">
      <c r="A51" s="47" t="s">
        <v>357</v>
      </c>
      <c r="B51" s="47" t="s">
        <v>294</v>
      </c>
      <c r="C51" s="47"/>
      <c r="D51" s="47" t="s">
        <v>191</v>
      </c>
      <c r="E51" s="47" t="s">
        <v>191</v>
      </c>
      <c r="F51" s="47" t="s">
        <v>339</v>
      </c>
      <c r="G51" s="47"/>
      <c r="H51" s="47"/>
      <c r="I51" s="111">
        <v>1</v>
      </c>
      <c r="J51" s="114" t="str">
        <f t="shared" si="0"/>
        <v>N/A</v>
      </c>
      <c r="K51" s="152" t="str" cm="1">
        <f t="array" ref="K51">IF(AC51="N/A","",_xlfn.IFS(Y51="m2",((AA51/(Z51/AL51))*I51),Y51="m3",((AA51/(Z51/AL51))*I51),Y51="kg",(((AA51*AM51)/(1/AL51))*I51),Y51="ton",(((AA51/1000*AM51)/(1/AL51))*I51),Y51="N/A",""))</f>
        <v/>
      </c>
      <c r="L51" s="114" t="str">
        <f t="shared" si="1"/>
        <v>N/A</v>
      </c>
      <c r="M51" s="152" t="str" cm="1">
        <f t="array" ref="M51">(_xlfn.IFS(Y51="m2",((AB51/(Z51/AL51))*I51),Y51="m3",((AB51/(Z51/AL51))*I51),Y51="kg",(((AB51*AM51)/(1/AL51))*I51),Y51="ton",(((AB51/1000*AM51)/(1/AL51))*I51),Y51="N/A",""))</f>
        <v/>
      </c>
      <c r="N51" s="52" t="str">
        <f t="shared" si="6"/>
        <v>N/A</v>
      </c>
      <c r="O51" s="148" t="str" cm="1">
        <f t="array" ref="O51">IF(AC51="N/A","",(_xlfn.IFS(Y51="m2",((AC51/(Z51/AL51))*I51),Y51="m3",((AC51/(Z51/AL51))*I51),Y51="kg",(((AC51*AM51)/(1/AL51))*I51),Y51="ton",(((AC51/1000*AM51)/(1/AL51))*I51),Y51="N/A","")))</f>
        <v/>
      </c>
      <c r="P51" s="52" t="str">
        <f t="shared" si="7"/>
        <v>N/A</v>
      </c>
      <c r="Q51" s="155" t="str" cm="1">
        <f t="array" ref="Q51">IF(AE51="N/A","",_xlfn.IFS(Y51="m2",((AE51/(Z51/AL51))*I51),Y51="m3",((AE51/(Z51/AL51))*I51),Y51="kg",(((AE51*AM51)/(1/AL51))*I51),Y51="ton",(((AE51/1000*AM51)/(1/AL51))*I51),Y51="N/A",""))</f>
        <v/>
      </c>
      <c r="R51" s="47" t="s">
        <v>191</v>
      </c>
      <c r="S51" s="47"/>
      <c r="T51" s="47" t="s">
        <v>191</v>
      </c>
      <c r="U51" s="47" t="s">
        <v>191</v>
      </c>
      <c r="V51" s="47" t="s">
        <v>191</v>
      </c>
      <c r="W51" s="47"/>
      <c r="X51" s="47" t="s">
        <v>191</v>
      </c>
      <c r="Y51" s="47" t="s">
        <v>191</v>
      </c>
      <c r="Z51" s="47" t="s">
        <v>191</v>
      </c>
      <c r="AA51" s="52" t="str">
        <f t="shared" si="4"/>
        <v>N/A</v>
      </c>
      <c r="AB51" s="52" t="s">
        <v>191</v>
      </c>
      <c r="AC51" s="52" t="s">
        <v>191</v>
      </c>
      <c r="AD51" s="52" t="s">
        <v>191</v>
      </c>
      <c r="AE51" s="47" t="s">
        <v>191</v>
      </c>
      <c r="AF51" s="69"/>
      <c r="AG51" s="103" t="str">
        <f t="shared" si="5"/>
        <v xml:space="preserve">F </v>
      </c>
      <c r="AH51" s="75" t="s">
        <v>82</v>
      </c>
      <c r="AI51" s="76"/>
      <c r="AJ51" s="103"/>
      <c r="AK51" s="73"/>
      <c r="AL51" s="47" t="s">
        <v>191</v>
      </c>
      <c r="AM51" s="47" t="s">
        <v>191</v>
      </c>
      <c r="AN51" s="47"/>
      <c r="AO51" s="69"/>
      <c r="AP51" s="110"/>
      <c r="AQ51" s="73"/>
      <c r="AR51" s="25"/>
    </row>
    <row r="52" spans="1:44" ht="25.2" customHeight="1" x14ac:dyDescent="0.15">
      <c r="A52" s="47" t="s">
        <v>467</v>
      </c>
      <c r="B52" s="47" t="s">
        <v>210</v>
      </c>
      <c r="C52" s="47"/>
      <c r="D52" s="47" t="s">
        <v>466</v>
      </c>
      <c r="E52" s="47" t="s">
        <v>191</v>
      </c>
      <c r="F52" s="47" t="s">
        <v>43</v>
      </c>
      <c r="G52" s="47"/>
      <c r="H52" s="47"/>
      <c r="I52" s="111">
        <v>1</v>
      </c>
      <c r="J52" s="114">
        <f t="shared" ref="J52" si="8">IF(AC52="N/A","N/A",IF(K52="","N/A",K52))</f>
        <v>31.51</v>
      </c>
      <c r="K52" s="152" cm="1">
        <f t="array" ref="K52">IF(AC52="N/A","",_xlfn.IFS(Y52="m2",((AA52/(Z52/AL52))*I52),Y52="m3",((AA52/(Z52/AL52))*I52),Y52="kg",(((AA52*AM52)/(1/AL52))*I52),Y52="ton",(((AA52/1000*AM52)/(1/AL52))*I52),Y52="N/A",""))</f>
        <v>31.51</v>
      </c>
      <c r="L52" s="114">
        <f t="shared" ref="L52" si="9">IF(M52="","N/A",M52)</f>
        <v>31.3</v>
      </c>
      <c r="M52" s="152" cm="1">
        <f t="array" ref="M52">(_xlfn.IFS(Y52="m2",((AB52/(Z52/AL52))*I52),Y52="m3",((AB52/(Z52/AL52))*I52),Y52="kg",(((AB52*AM52)/(1/AL52))*I52),Y52="ton",(((AB52/1000*AM52)/(1/AL52))*I52),Y52="N/A",""))</f>
        <v>31.3</v>
      </c>
      <c r="N52" s="52">
        <f t="shared" si="6"/>
        <v>0.21</v>
      </c>
      <c r="O52" s="148" cm="1">
        <f t="array" ref="O52">IF(AC52="N/A","",(_xlfn.IFS(Y52="m2",((AC52/(Z52/AL52))*I52),Y52="m3",((AC52/(Z52/AL52))*I52),Y52="kg",(((AC52*AM52)/(1/AL52))*I52),Y52="ton",(((AC52/1000*AM52)/(1/AL52))*I52),Y52="N/A","")))</f>
        <v>0.21</v>
      </c>
      <c r="P52" s="52">
        <f t="shared" si="7"/>
        <v>-2.86</v>
      </c>
      <c r="Q52" s="155" cm="1">
        <f t="array" ref="Q52">IF(AE52="N/A","",_xlfn.IFS(Y52="m2",((AE52/(Z52/AL52))*I52),Y52="m3",((AE52/(Z52/AL52))*I52),Y52="kg",(((AE52*AM52)/(1/AL52))*I52),Y52="ton",(((AE52/1000*AM52)/(1/AL52))*I52),Y52="N/A",""))</f>
        <v>-2.86</v>
      </c>
      <c r="R52" s="82" t="s">
        <v>5</v>
      </c>
      <c r="S52" s="47"/>
      <c r="T52" s="47">
        <v>2027</v>
      </c>
      <c r="U52" s="47" t="s">
        <v>28</v>
      </c>
      <c r="V52" s="47" t="s">
        <v>191</v>
      </c>
      <c r="W52" s="47"/>
      <c r="X52" s="47" t="s">
        <v>584</v>
      </c>
      <c r="Y52" s="47" t="s">
        <v>15</v>
      </c>
      <c r="Z52" s="47">
        <v>3.5999999999999997E-2</v>
      </c>
      <c r="AA52" s="52">
        <f t="shared" ref="AA52" si="10">IF(AC52="N/A","N/A",SUM(AB52:AC52))</f>
        <v>31.51</v>
      </c>
      <c r="AB52" s="52">
        <v>31.3</v>
      </c>
      <c r="AC52" s="52">
        <f>0.191+0.019</f>
        <v>0.21</v>
      </c>
      <c r="AD52" s="52">
        <v>-0.49299999999999999</v>
      </c>
      <c r="AE52" s="52">
        <v>-2.86</v>
      </c>
      <c r="AF52" s="69"/>
      <c r="AG52" s="103" t="str">
        <f t="shared" si="5"/>
        <v xml:space="preserve">A1 </v>
      </c>
      <c r="AH52" s="69" t="s">
        <v>58</v>
      </c>
      <c r="AI52" s="230"/>
      <c r="AJ52" s="47"/>
      <c r="AK52" s="73"/>
      <c r="AL52" s="47">
        <v>3.5999999999999997E-2</v>
      </c>
      <c r="AM52" s="47" t="s">
        <v>191</v>
      </c>
      <c r="AN52" s="47"/>
      <c r="AO52" s="269" t="s">
        <v>17</v>
      </c>
      <c r="AP52" s="110"/>
      <c r="AQ52" s="73"/>
      <c r="AR52" s="25"/>
    </row>
    <row r="53" spans="1:44" ht="25.2" customHeight="1" x14ac:dyDescent="0.15">
      <c r="A53" s="47" t="s">
        <v>468</v>
      </c>
      <c r="B53" s="47" t="s">
        <v>210</v>
      </c>
      <c r="C53" s="47"/>
      <c r="D53" s="47" t="s">
        <v>466</v>
      </c>
      <c r="E53" s="47" t="s">
        <v>191</v>
      </c>
      <c r="F53" s="47" t="s">
        <v>43</v>
      </c>
      <c r="G53" s="47"/>
      <c r="H53" s="47"/>
      <c r="I53" s="111">
        <v>1</v>
      </c>
      <c r="J53" s="114">
        <f t="shared" ref="J53" si="11">IF(AC53="N/A","N/A",IF(K53="","N/A",K53))</f>
        <v>31.51</v>
      </c>
      <c r="K53" s="152" cm="1">
        <f t="array" ref="K53">IF(AC53="N/A","",_xlfn.IFS(Y53="m2",((AA53/(Z53/AL53))*I53),Y53="m3",((AA53/(Z53/AL53))*I53),Y53="kg",(((AA53*AM53)/(1/AL53))*I53),Y53="ton",(((AA53/1000*AM53)/(1/AL53))*I53),Y53="N/A",""))</f>
        <v>31.51</v>
      </c>
      <c r="L53" s="114">
        <f t="shared" ref="L53" si="12">IF(M53="","N/A",M53)</f>
        <v>31.3</v>
      </c>
      <c r="M53" s="152" cm="1">
        <f t="array" ref="M53">(_xlfn.IFS(Y53="m2",((AB53/(Z53/AL53))*I53),Y53="m3",((AB53/(Z53/AL53))*I53),Y53="kg",(((AB53*AM53)/(1/AL53))*I53),Y53="ton",(((AB53/1000*AM53)/(1/AL53))*I53),Y53="N/A",""))</f>
        <v>31.3</v>
      </c>
      <c r="N53" s="52">
        <f t="shared" ref="N53" si="13">IF(O53="","N/A",O53)</f>
        <v>0.21</v>
      </c>
      <c r="O53" s="148" cm="1">
        <f t="array" ref="O53">IF(AC53="N/A","",(_xlfn.IFS(Y53="m2",((AC53/(Z53/AL53))*I53),Y53="m3",((AC53/(Z53/AL53))*I53),Y53="kg",(((AC53*AM53)/(1/AL53))*I53),Y53="ton",(((AC53/1000*AM53)/(1/AL53))*I53),Y53="N/A","")))</f>
        <v>0.21</v>
      </c>
      <c r="P53" s="52">
        <f t="shared" ref="P53" si="14">IF(Q53="","N/A",Q53)</f>
        <v>-2.86</v>
      </c>
      <c r="Q53" s="155" cm="1">
        <f t="array" ref="Q53">IF(AE53="N/A","",_xlfn.IFS(Y53="m2",((AE53/(Z53/AL53))*I53),Y53="m3",((AE53/(Z53/AL53))*I53),Y53="kg",(((AE53*AM53)/(1/AL53))*I53),Y53="ton",(((AE53/1000*AM53)/(1/AL53))*I53),Y53="N/A",""))</f>
        <v>-2.86</v>
      </c>
      <c r="R53" s="82" t="s">
        <v>5</v>
      </c>
      <c r="S53" s="47"/>
      <c r="T53" s="47">
        <v>2027</v>
      </c>
      <c r="U53" s="47" t="s">
        <v>28</v>
      </c>
      <c r="V53" s="47" t="s">
        <v>191</v>
      </c>
      <c r="W53" s="47"/>
      <c r="X53" s="47" t="s">
        <v>584</v>
      </c>
      <c r="Y53" s="47" t="s">
        <v>15</v>
      </c>
      <c r="Z53" s="47">
        <v>3.5999999999999997E-2</v>
      </c>
      <c r="AA53" s="52">
        <f t="shared" ref="AA53" si="15">IF(AC53="N/A","N/A",SUM(AB53:AC53))</f>
        <v>31.51</v>
      </c>
      <c r="AB53" s="52">
        <v>31.3</v>
      </c>
      <c r="AC53" s="52">
        <f>0.191+0.019</f>
        <v>0.21</v>
      </c>
      <c r="AD53" s="52">
        <v>-0.49299999999999999</v>
      </c>
      <c r="AE53" s="52">
        <v>-2.86</v>
      </c>
      <c r="AF53" s="69"/>
      <c r="AG53" s="103" t="str">
        <f t="shared" si="5"/>
        <v xml:space="preserve">A1 </v>
      </c>
      <c r="AH53" s="69" t="s">
        <v>58</v>
      </c>
      <c r="AI53" s="230"/>
      <c r="AJ53" s="47"/>
      <c r="AK53" s="73"/>
      <c r="AL53" s="47">
        <v>3.5999999999999997E-2</v>
      </c>
      <c r="AM53" s="47" t="s">
        <v>191</v>
      </c>
      <c r="AN53" s="47"/>
      <c r="AO53" s="269" t="s">
        <v>17</v>
      </c>
      <c r="AP53" s="110"/>
      <c r="AQ53" s="73"/>
      <c r="AR53" s="25"/>
    </row>
    <row r="54" spans="1:44" ht="25.2" customHeight="1" x14ac:dyDescent="0.15">
      <c r="A54" s="47" t="s">
        <v>469</v>
      </c>
      <c r="B54" s="47" t="s">
        <v>210</v>
      </c>
      <c r="C54" s="47"/>
      <c r="D54" s="47" t="s">
        <v>466</v>
      </c>
      <c r="E54" s="47" t="s">
        <v>191</v>
      </c>
      <c r="F54" s="47" t="s">
        <v>43</v>
      </c>
      <c r="G54" s="47"/>
      <c r="H54" s="47"/>
      <c r="I54" s="111">
        <v>1</v>
      </c>
      <c r="J54" s="114">
        <f t="shared" ref="J54" si="16">IF(AC54="N/A","N/A",IF(K54="","N/A",K54))</f>
        <v>31.51</v>
      </c>
      <c r="K54" s="152" cm="1">
        <f t="array" ref="K54">IF(AC54="N/A","",_xlfn.IFS(Y54="m2",((AA54/(Z54/AL54))*I54),Y54="m3",((AA54/(Z54/AL54))*I54),Y54="kg",(((AA54*AM54)/(1/AL54))*I54),Y54="ton",(((AA54/1000*AM54)/(1/AL54))*I54),Y54="N/A",""))</f>
        <v>31.51</v>
      </c>
      <c r="L54" s="114">
        <f t="shared" ref="L54" si="17">IF(M54="","N/A",M54)</f>
        <v>31.3</v>
      </c>
      <c r="M54" s="152" cm="1">
        <f t="array" ref="M54">(_xlfn.IFS(Y54="m2",((AB54/(Z54/AL54))*I54),Y54="m3",((AB54/(Z54/AL54))*I54),Y54="kg",(((AB54*AM54)/(1/AL54))*I54),Y54="ton",(((AB54/1000*AM54)/(1/AL54))*I54),Y54="N/A",""))</f>
        <v>31.3</v>
      </c>
      <c r="N54" s="52">
        <f t="shared" ref="N54" si="18">IF(O54="","N/A",O54)</f>
        <v>0.21</v>
      </c>
      <c r="O54" s="148" cm="1">
        <f t="array" ref="O54">IF(AC54="N/A","",(_xlfn.IFS(Y54="m2",((AC54/(Z54/AL54))*I54),Y54="m3",((AC54/(Z54/AL54))*I54),Y54="kg",(((AC54*AM54)/(1/AL54))*I54),Y54="ton",(((AC54/1000*AM54)/(1/AL54))*I54),Y54="N/A","")))</f>
        <v>0.21</v>
      </c>
      <c r="P54" s="52">
        <f t="shared" ref="P54" si="19">IF(Q54="","N/A",Q54)</f>
        <v>-2.86</v>
      </c>
      <c r="Q54" s="155" cm="1">
        <f t="array" ref="Q54">IF(AE54="N/A","",_xlfn.IFS(Y54="m2",((AE54/(Z54/AL54))*I54),Y54="m3",((AE54/(Z54/AL54))*I54),Y54="kg",(((AE54*AM54)/(1/AL54))*I54),Y54="ton",(((AE54/1000*AM54)/(1/AL54))*I54),Y54="N/A",""))</f>
        <v>-2.86</v>
      </c>
      <c r="R54" s="82" t="s">
        <v>5</v>
      </c>
      <c r="S54" s="47"/>
      <c r="T54" s="47">
        <v>2027</v>
      </c>
      <c r="U54" s="47" t="s">
        <v>28</v>
      </c>
      <c r="V54" s="47" t="s">
        <v>191</v>
      </c>
      <c r="W54" s="47"/>
      <c r="X54" s="47" t="s">
        <v>584</v>
      </c>
      <c r="Y54" s="47" t="s">
        <v>15</v>
      </c>
      <c r="Z54" s="47">
        <v>3.5999999999999997E-2</v>
      </c>
      <c r="AA54" s="52">
        <f t="shared" ref="AA54" si="20">IF(AC54="N/A","N/A",SUM(AB54:AC54))</f>
        <v>31.51</v>
      </c>
      <c r="AB54" s="52">
        <v>31.3</v>
      </c>
      <c r="AC54" s="52">
        <f>0.191+0.019</f>
        <v>0.21</v>
      </c>
      <c r="AD54" s="52">
        <v>-0.49299999999999999</v>
      </c>
      <c r="AE54" s="52">
        <v>-2.86</v>
      </c>
      <c r="AF54" s="69"/>
      <c r="AG54" s="103" t="str">
        <f t="shared" si="5"/>
        <v xml:space="preserve">A1 </v>
      </c>
      <c r="AH54" s="69" t="s">
        <v>58</v>
      </c>
      <c r="AI54" s="230"/>
      <c r="AJ54" s="47"/>
      <c r="AK54" s="73"/>
      <c r="AL54" s="47">
        <v>3.5999999999999997E-2</v>
      </c>
      <c r="AM54" s="47" t="s">
        <v>191</v>
      </c>
      <c r="AN54" s="47"/>
      <c r="AO54" s="269" t="s">
        <v>17</v>
      </c>
      <c r="AP54" s="110"/>
      <c r="AQ54" s="73"/>
      <c r="AR54" s="25"/>
    </row>
    <row r="55" spans="1:44" ht="25.2" customHeight="1" x14ac:dyDescent="0.15">
      <c r="A55" s="47" t="s">
        <v>470</v>
      </c>
      <c r="B55" s="47" t="s">
        <v>210</v>
      </c>
      <c r="C55" s="47"/>
      <c r="D55" s="47" t="s">
        <v>466</v>
      </c>
      <c r="E55" s="47" t="s">
        <v>191</v>
      </c>
      <c r="F55" s="47" t="s">
        <v>43</v>
      </c>
      <c r="G55" s="47"/>
      <c r="H55" s="47"/>
      <c r="I55" s="111">
        <v>1</v>
      </c>
      <c r="J55" s="114">
        <f t="shared" ref="J55:J56" si="21">IF(AC55="N/A","N/A",IF(K55="","N/A",K55))</f>
        <v>31.51</v>
      </c>
      <c r="K55" s="152" cm="1">
        <f t="array" ref="K55">IF(AC55="N/A","",_xlfn.IFS(Y55="m2",((AA55/(Z55/AL55))*I55),Y55="m3",((AA55/(Z55/AL55))*I55),Y55="kg",(((AA55*AM55)/(1/AL55))*I55),Y55="ton",(((AA55/1000*AM55)/(1/AL55))*I55),Y55="N/A",""))</f>
        <v>31.51</v>
      </c>
      <c r="L55" s="114">
        <f t="shared" ref="L55:L56" si="22">IF(M55="","N/A",M55)</f>
        <v>31.3</v>
      </c>
      <c r="M55" s="152" cm="1">
        <f t="array" ref="M55">(_xlfn.IFS(Y55="m2",((AB55/(Z55/AL55))*I55),Y55="m3",((AB55/(Z55/AL55))*I55),Y55="kg",(((AB55*AM55)/(1/AL55))*I55),Y55="ton",(((AB55/1000*AM55)/(1/AL55))*I55),Y55="N/A",""))</f>
        <v>31.3</v>
      </c>
      <c r="N55" s="52">
        <f t="shared" ref="N55:N56" si="23">IF(O55="","N/A",O55)</f>
        <v>0.21</v>
      </c>
      <c r="O55" s="148" cm="1">
        <f t="array" ref="O55">IF(AC55="N/A","",(_xlfn.IFS(Y55="m2",((AC55/(Z55/AL55))*I55),Y55="m3",((AC55/(Z55/AL55))*I55),Y55="kg",(((AC55*AM55)/(1/AL55))*I55),Y55="ton",(((AC55/1000*AM55)/(1/AL55))*I55),Y55="N/A","")))</f>
        <v>0.21</v>
      </c>
      <c r="P55" s="52">
        <f t="shared" ref="P55:P56" si="24">IF(Q55="","N/A",Q55)</f>
        <v>-2.86</v>
      </c>
      <c r="Q55" s="155" cm="1">
        <f t="array" ref="Q55">IF(AE55="N/A","",_xlfn.IFS(Y55="m2",((AE55/(Z55/AL55))*I55),Y55="m3",((AE55/(Z55/AL55))*I55),Y55="kg",(((AE55*AM55)/(1/AL55))*I55),Y55="ton",(((AE55/1000*AM55)/(1/AL55))*I55),Y55="N/A",""))</f>
        <v>-2.86</v>
      </c>
      <c r="R55" s="82" t="s">
        <v>5</v>
      </c>
      <c r="S55" s="47"/>
      <c r="T55" s="47">
        <v>2027</v>
      </c>
      <c r="U55" s="47" t="s">
        <v>28</v>
      </c>
      <c r="V55" s="47" t="s">
        <v>191</v>
      </c>
      <c r="W55" s="47"/>
      <c r="X55" s="47" t="s">
        <v>584</v>
      </c>
      <c r="Y55" s="47" t="s">
        <v>15</v>
      </c>
      <c r="Z55" s="47">
        <v>3.5999999999999997E-2</v>
      </c>
      <c r="AA55" s="52">
        <f t="shared" ref="AA55:AA56" si="25">IF(AC55="N/A","N/A",SUM(AB55:AC55))</f>
        <v>31.51</v>
      </c>
      <c r="AB55" s="52">
        <v>31.3</v>
      </c>
      <c r="AC55" s="52">
        <f>0.191+0.019</f>
        <v>0.21</v>
      </c>
      <c r="AD55" s="52">
        <v>-0.49299999999999999</v>
      </c>
      <c r="AE55" s="52">
        <v>-2.86</v>
      </c>
      <c r="AF55" s="69"/>
      <c r="AG55" s="103" t="str">
        <f t="shared" si="5"/>
        <v xml:space="preserve">A1 </v>
      </c>
      <c r="AH55" s="69" t="s">
        <v>58</v>
      </c>
      <c r="AI55" s="230"/>
      <c r="AJ55" s="47"/>
      <c r="AK55" s="73"/>
      <c r="AL55" s="47">
        <v>3.5999999999999997E-2</v>
      </c>
      <c r="AM55" s="47" t="s">
        <v>191</v>
      </c>
      <c r="AN55" s="47"/>
      <c r="AO55" s="269" t="s">
        <v>17</v>
      </c>
      <c r="AP55" s="110"/>
      <c r="AQ55" s="73"/>
      <c r="AR55" s="25"/>
    </row>
    <row r="56" spans="1:44" ht="25.2" customHeight="1" x14ac:dyDescent="0.15">
      <c r="A56" s="47" t="s">
        <v>472</v>
      </c>
      <c r="B56" s="47" t="s">
        <v>210</v>
      </c>
      <c r="C56" s="47"/>
      <c r="D56" s="47" t="s">
        <v>466</v>
      </c>
      <c r="E56" s="82" t="s">
        <v>471</v>
      </c>
      <c r="F56" s="47" t="s">
        <v>43</v>
      </c>
      <c r="G56" s="47"/>
      <c r="H56" s="47"/>
      <c r="I56" s="111">
        <v>1</v>
      </c>
      <c r="J56" s="114">
        <f t="shared" si="21"/>
        <v>12.556988800000001</v>
      </c>
      <c r="K56" s="152" cm="1">
        <f t="array" ref="K56">IF(AC56="N/A","",_xlfn.IFS(Y56="m2",((AA56/(Z56/AL56))*I56),Y56="m3",((AA56/(Z56/AL56))*I56),Y56="kg",(((AA56*AM56)/(1/AL56))*I56),Y56="ton",(((AA56/1000*AM56)/(1/AL56))*I56),Y56="N/A",""))</f>
        <v>12.556988800000001</v>
      </c>
      <c r="L56" s="114">
        <f t="shared" si="22"/>
        <v>12.539200000000001</v>
      </c>
      <c r="M56" s="152" cm="1">
        <f t="array" ref="M56">(_xlfn.IFS(Y56="m2",((AB56/(Z56/AL56))*I56),Y56="m3",((AB56/(Z56/AL56))*I56),Y56="kg",(((AB56*AM56)/(1/AL56))*I56),Y56="ton",(((AB56/1000*AM56)/(1/AL56))*I56),Y56="N/A",""))</f>
        <v>12.539200000000001</v>
      </c>
      <c r="N56" s="52">
        <f t="shared" si="23"/>
        <v>1.7788800000000004E-2</v>
      </c>
      <c r="O56" s="148" cm="1">
        <f t="array" ref="O56">IF(AC56="N/A","",(_xlfn.IFS(Y56="m2",((AC56/(Z56/AL56))*I56),Y56="m3",((AC56/(Z56/AL56))*I56),Y56="kg",(((AC56*AM56)/(1/AL56))*I56),Y56="ton",(((AC56/1000*AM56)/(1/AL56))*I56),Y56="N/A","")))</f>
        <v>1.7788800000000004E-2</v>
      </c>
      <c r="P56" s="52">
        <f t="shared" si="24"/>
        <v>-5.8480000000000004E-2</v>
      </c>
      <c r="Q56" s="155" cm="1">
        <f t="array" ref="Q56">IF(AE56="N/A","",_xlfn.IFS(Y56="m2",((AE56/(Z56/AL56))*I56),Y56="m3",((AE56/(Z56/AL56))*I56),Y56="kg",(((AE56*AM56)/(1/AL56))*I56),Y56="ton",(((AE56/1000*AM56)/(1/AL56))*I56),Y56="N/A",""))</f>
        <v>-5.8480000000000004E-2</v>
      </c>
      <c r="R56" s="82" t="s">
        <v>5</v>
      </c>
      <c r="S56" s="47"/>
      <c r="T56" s="47">
        <v>2026</v>
      </c>
      <c r="U56" s="47" t="s">
        <v>28</v>
      </c>
      <c r="V56" s="47">
        <v>150</v>
      </c>
      <c r="W56" s="47"/>
      <c r="X56" s="47" t="s">
        <v>585</v>
      </c>
      <c r="Y56" s="47" t="s">
        <v>234</v>
      </c>
      <c r="Z56" s="47" t="s">
        <v>191</v>
      </c>
      <c r="AA56" s="52">
        <f t="shared" si="25"/>
        <v>461.654</v>
      </c>
      <c r="AB56" s="52">
        <v>461</v>
      </c>
      <c r="AC56" s="52">
        <f t="shared" ref="AC56:AC61" si="26">0.234+0.42</f>
        <v>0.65400000000000003</v>
      </c>
      <c r="AD56" s="52">
        <v>-0.90500000000000003</v>
      </c>
      <c r="AE56" s="52">
        <v>-2.15</v>
      </c>
      <c r="AF56" s="69"/>
      <c r="AG56" s="103" t="str">
        <f t="shared" si="5"/>
        <v xml:space="preserve">A1 </v>
      </c>
      <c r="AH56" s="75" t="s">
        <v>58</v>
      </c>
      <c r="AI56" s="76"/>
      <c r="AJ56" s="103"/>
      <c r="AK56" s="73"/>
      <c r="AL56" s="47">
        <v>1.7000000000000001E-2</v>
      </c>
      <c r="AM56" s="47">
        <v>1600</v>
      </c>
      <c r="AN56" s="47"/>
      <c r="AO56" s="269" t="s">
        <v>17</v>
      </c>
      <c r="AP56" s="110"/>
      <c r="AQ56" s="73"/>
      <c r="AR56" s="25"/>
    </row>
    <row r="57" spans="1:44" ht="25.2" customHeight="1" x14ac:dyDescent="0.15">
      <c r="A57" s="85" t="s">
        <v>473</v>
      </c>
      <c r="B57" s="47" t="s">
        <v>210</v>
      </c>
      <c r="C57" s="47"/>
      <c r="D57" s="47" t="s">
        <v>466</v>
      </c>
      <c r="E57" s="82" t="s">
        <v>471</v>
      </c>
      <c r="F57" s="47" t="s">
        <v>43</v>
      </c>
      <c r="G57" s="47"/>
      <c r="H57" s="47"/>
      <c r="I57" s="111">
        <v>1</v>
      </c>
      <c r="J57" s="114">
        <f t="shared" ref="J57:J59" si="27">IF(AC57="N/A","N/A",IF(K57="","N/A",K57))</f>
        <v>6.1105888000000004</v>
      </c>
      <c r="K57" s="152" cm="1">
        <f t="array" ref="K57">IF(AC57="N/A","",_xlfn.IFS(Y57="m2",((AA57/(Z57/AL57))*I57),Y57="m3",((AA57/(Z57/AL57))*I57),Y57="kg",(((AA57*AM57)/(1/AL57))*I57),Y57="ton",(((AA57/1000*AM57)/(1/AL57))*I57),Y57="N/A",""))</f>
        <v>6.1105888000000004</v>
      </c>
      <c r="L57" s="114">
        <f t="shared" ref="L57:L59" si="28">IF(M57="","N/A",M57)</f>
        <v>6.0928000000000013</v>
      </c>
      <c r="M57" s="152" cm="1">
        <f t="array" ref="M57">(_xlfn.IFS(Y57="m2",((AB57/(Z57/AL57))*I57),Y57="m3",((AB57/(Z57/AL57))*I57),Y57="kg",(((AB57*AM57)/(1/AL57))*I57),Y57="ton",(((AB57/1000*AM57)/(1/AL57))*I57),Y57="N/A",""))</f>
        <v>6.0928000000000013</v>
      </c>
      <c r="N57" s="52">
        <f t="shared" ref="N57:N59" si="29">IF(O57="","N/A",O57)</f>
        <v>1.7788800000000004E-2</v>
      </c>
      <c r="O57" s="148" cm="1">
        <f t="array" ref="O57">IF(AC57="N/A","",(_xlfn.IFS(Y57="m2",((AC57/(Z57/AL57))*I57),Y57="m3",((AC57/(Z57/AL57))*I57),Y57="kg",(((AC57*AM57)/(1/AL57))*I57),Y57="ton",(((AC57/1000*AM57)/(1/AL57))*I57),Y57="N/A","")))</f>
        <v>1.7788800000000004E-2</v>
      </c>
      <c r="P57" s="52">
        <f t="shared" ref="P57:P59" si="30">IF(Q57="","N/A",Q57)</f>
        <v>-0.114784</v>
      </c>
      <c r="Q57" s="155" cm="1">
        <f t="array" ref="Q57">IF(AE57="N/A","",_xlfn.IFS(Y57="m2",((AE57/(Z57/AL57))*I57),Y57="m3",((AE57/(Z57/AL57))*I57),Y57="kg",(((AE57*AM57)/(1/AL57))*I57),Y57="ton",(((AE57/1000*AM57)/(1/AL57))*I57),Y57="N/A",""))</f>
        <v>-0.114784</v>
      </c>
      <c r="R57" s="82" t="s">
        <v>5</v>
      </c>
      <c r="S57" s="47"/>
      <c r="T57" s="47">
        <v>2026</v>
      </c>
      <c r="U57" s="47" t="s">
        <v>28</v>
      </c>
      <c r="V57" s="47">
        <v>150</v>
      </c>
      <c r="W57" s="47"/>
      <c r="X57" s="47" t="s">
        <v>585</v>
      </c>
      <c r="Y57" s="47" t="s">
        <v>234</v>
      </c>
      <c r="Z57" s="47" t="s">
        <v>191</v>
      </c>
      <c r="AA57" s="52">
        <f t="shared" ref="AA57:AA59" si="31">IF(AC57="N/A","N/A",SUM(AB57:AC57))</f>
        <v>224.654</v>
      </c>
      <c r="AB57" s="52">
        <v>224</v>
      </c>
      <c r="AC57" s="52">
        <f t="shared" si="26"/>
        <v>0.65400000000000003</v>
      </c>
      <c r="AD57" s="52">
        <v>-0.90100000000000002</v>
      </c>
      <c r="AE57" s="52">
        <v>-4.22</v>
      </c>
      <c r="AF57" s="69"/>
      <c r="AG57" s="103" t="str">
        <f t="shared" si="5"/>
        <v xml:space="preserve">A1 </v>
      </c>
      <c r="AH57" s="75" t="s">
        <v>58</v>
      </c>
      <c r="AI57" s="76"/>
      <c r="AJ57" s="103"/>
      <c r="AK57" s="73"/>
      <c r="AL57" s="47">
        <v>1.7000000000000001E-2</v>
      </c>
      <c r="AM57" s="47">
        <v>1600</v>
      </c>
      <c r="AN57" s="47"/>
      <c r="AO57" s="269" t="s">
        <v>17</v>
      </c>
      <c r="AP57" s="110"/>
      <c r="AQ57" s="73"/>
      <c r="AR57" s="25"/>
    </row>
    <row r="58" spans="1:44" ht="25.2" customHeight="1" x14ac:dyDescent="0.15">
      <c r="A58" s="85" t="s">
        <v>474</v>
      </c>
      <c r="B58" s="47" t="s">
        <v>210</v>
      </c>
      <c r="C58" s="47"/>
      <c r="D58" s="47" t="s">
        <v>466</v>
      </c>
      <c r="E58" s="82" t="s">
        <v>471</v>
      </c>
      <c r="F58" s="47" t="s">
        <v>43</v>
      </c>
      <c r="G58" s="47"/>
      <c r="H58" s="47"/>
      <c r="I58" s="111">
        <v>1</v>
      </c>
      <c r="J58" s="114">
        <f t="shared" si="27"/>
        <v>9.8369888000000003</v>
      </c>
      <c r="K58" s="152" cm="1">
        <f t="array" ref="K58">IF(AC58="N/A","",_xlfn.IFS(Y58="m2",((AA58/(Z58/AL58))*I58),Y58="m3",((AA58/(Z58/AL58))*I58),Y58="kg",(((AA58*AM58)/(1/AL58))*I58),Y58="ton",(((AA58/1000*AM58)/(1/AL58))*I58),Y58="N/A",""))</f>
        <v>9.8369888000000003</v>
      </c>
      <c r="L58" s="114">
        <f t="shared" si="28"/>
        <v>9.8192000000000004</v>
      </c>
      <c r="M58" s="152" cm="1">
        <f t="array" ref="M58">(_xlfn.IFS(Y58="m2",((AB58/(Z58/AL58))*I58),Y58="m3",((AB58/(Z58/AL58))*I58),Y58="kg",(((AB58*AM58)/(1/AL58))*I58),Y58="ton",(((AB58/1000*AM58)/(1/AL58))*I58),Y58="N/A",""))</f>
        <v>9.8192000000000004</v>
      </c>
      <c r="N58" s="52">
        <f t="shared" si="29"/>
        <v>1.7788800000000004E-2</v>
      </c>
      <c r="O58" s="148" cm="1">
        <f t="array" ref="O58">IF(AC58="N/A","",(_xlfn.IFS(Y58="m2",((AC58/(Z58/AL58))*I58),Y58="m3",((AC58/(Z58/AL58))*I58),Y58="kg",(((AC58*AM58)/(1/AL58))*I58),Y58="ton",(((AC58/1000*AM58)/(1/AL58))*I58),Y58="N/A","")))</f>
        <v>1.7788800000000004E-2</v>
      </c>
      <c r="P58" s="52">
        <f t="shared" si="30"/>
        <v>-8.2416000000000003E-2</v>
      </c>
      <c r="Q58" s="155" cm="1">
        <f t="array" ref="Q58">IF(AE58="N/A","",_xlfn.IFS(Y58="m2",((AE58/(Z58/AL58))*I58),Y58="m3",((AE58/(Z58/AL58))*I58),Y58="kg",(((AE58*AM58)/(1/AL58))*I58),Y58="ton",(((AE58/1000*AM58)/(1/AL58))*I58),Y58="N/A",""))</f>
        <v>-8.2416000000000003E-2</v>
      </c>
      <c r="R58" s="82" t="s">
        <v>5</v>
      </c>
      <c r="S58" s="47"/>
      <c r="T58" s="47">
        <v>2026</v>
      </c>
      <c r="U58" s="47" t="s">
        <v>28</v>
      </c>
      <c r="V58" s="47">
        <v>150</v>
      </c>
      <c r="W58" s="47"/>
      <c r="X58" s="47" t="s">
        <v>585</v>
      </c>
      <c r="Y58" s="47" t="s">
        <v>234</v>
      </c>
      <c r="Z58" s="47" t="s">
        <v>191</v>
      </c>
      <c r="AA58" s="52">
        <f t="shared" si="31"/>
        <v>361.654</v>
      </c>
      <c r="AB58" s="52">
        <v>361</v>
      </c>
      <c r="AC58" s="52">
        <f t="shared" si="26"/>
        <v>0.65400000000000003</v>
      </c>
      <c r="AD58" s="52">
        <v>-0.90500000000000003</v>
      </c>
      <c r="AE58" s="52">
        <v>-3.03</v>
      </c>
      <c r="AF58" s="69"/>
      <c r="AG58" s="103" t="str">
        <f t="shared" si="5"/>
        <v xml:space="preserve">A1 </v>
      </c>
      <c r="AH58" s="75" t="s">
        <v>58</v>
      </c>
      <c r="AI58" s="76"/>
      <c r="AJ58" s="103"/>
      <c r="AK58" s="73"/>
      <c r="AL58" s="47">
        <v>1.7000000000000001E-2</v>
      </c>
      <c r="AM58" s="47">
        <v>1600</v>
      </c>
      <c r="AN58" s="47"/>
      <c r="AO58" s="269" t="s">
        <v>17</v>
      </c>
      <c r="AP58" s="110"/>
      <c r="AQ58" s="73"/>
      <c r="AR58" s="25"/>
    </row>
    <row r="59" spans="1:44" ht="25.2" customHeight="1" x14ac:dyDescent="0.15">
      <c r="A59" s="47" t="s">
        <v>475</v>
      </c>
      <c r="B59" s="47" t="s">
        <v>210</v>
      </c>
      <c r="C59" s="47"/>
      <c r="D59" s="47" t="s">
        <v>466</v>
      </c>
      <c r="E59" s="82" t="s">
        <v>471</v>
      </c>
      <c r="F59" s="47" t="s">
        <v>43</v>
      </c>
      <c r="G59" s="47"/>
      <c r="H59" s="47"/>
      <c r="I59" s="111">
        <v>1</v>
      </c>
      <c r="J59" s="114">
        <f t="shared" si="27"/>
        <v>25.852624000000002</v>
      </c>
      <c r="K59" s="152" cm="1">
        <f t="array" ref="K59">IF(AC59="N/A","",_xlfn.IFS(Y59="m2",((AA59/(Z59/AL59))*I59),Y59="m3",((AA59/(Z59/AL59))*I59),Y59="kg",(((AA59*AM59)/(1/AL59))*I59),Y59="ton",(((AA59/1000*AM59)/(1/AL59))*I59),Y59="N/A",""))</f>
        <v>25.852624000000002</v>
      </c>
      <c r="L59" s="114">
        <f t="shared" si="28"/>
        <v>25.816000000000003</v>
      </c>
      <c r="M59" s="152" cm="1">
        <f t="array" ref="M59">(_xlfn.IFS(Y59="m2",((AB59/(Z59/AL59))*I59),Y59="m3",((AB59/(Z59/AL59))*I59),Y59="kg",(((AB59*AM59)/(1/AL59))*I59),Y59="ton",(((AB59/1000*AM59)/(1/AL59))*I59),Y59="N/A",""))</f>
        <v>25.816000000000003</v>
      </c>
      <c r="N59" s="52">
        <f t="shared" si="29"/>
        <v>3.6624000000000011E-2</v>
      </c>
      <c r="O59" s="148" cm="1">
        <f t="array" ref="O59">IF(AC59="N/A","",(_xlfn.IFS(Y59="m2",((AC59/(Z59/AL59))*I59),Y59="m3",((AC59/(Z59/AL59))*I59),Y59="kg",(((AC59*AM59)/(1/AL59))*I59),Y59="ton",(((AC59/1000*AM59)/(1/AL59))*I59),Y59="N/A","")))</f>
        <v>3.6624000000000011E-2</v>
      </c>
      <c r="P59" s="52">
        <f t="shared" si="30"/>
        <v>-0.12040000000000001</v>
      </c>
      <c r="Q59" s="155" cm="1">
        <f t="array" ref="Q59">IF(AE59="N/A","",_xlfn.IFS(Y59="m2",((AE59/(Z59/AL59))*I59),Y59="m3",((AE59/(Z59/AL59))*I59),Y59="kg",(((AE59*AM59)/(1/AL59))*I59),Y59="ton",(((AE59/1000*AM59)/(1/AL59))*I59),Y59="N/A",""))</f>
        <v>-0.12040000000000001</v>
      </c>
      <c r="R59" s="82" t="s">
        <v>5</v>
      </c>
      <c r="S59" s="47"/>
      <c r="T59" s="47">
        <v>2026</v>
      </c>
      <c r="U59" s="47" t="s">
        <v>28</v>
      </c>
      <c r="V59" s="47">
        <v>150</v>
      </c>
      <c r="W59" s="47"/>
      <c r="X59" s="47" t="s">
        <v>585</v>
      </c>
      <c r="Y59" s="47" t="s">
        <v>234</v>
      </c>
      <c r="Z59" s="47" t="s">
        <v>191</v>
      </c>
      <c r="AA59" s="52">
        <f t="shared" si="31"/>
        <v>461.654</v>
      </c>
      <c r="AB59" s="52">
        <v>461</v>
      </c>
      <c r="AC59" s="52">
        <f t="shared" si="26"/>
        <v>0.65400000000000003</v>
      </c>
      <c r="AD59" s="52">
        <v>-0.90500000000000003</v>
      </c>
      <c r="AE59" s="52">
        <v>-2.15</v>
      </c>
      <c r="AF59" s="69"/>
      <c r="AG59" s="103" t="str">
        <f t="shared" si="5"/>
        <v xml:space="preserve">A1 </v>
      </c>
      <c r="AH59" s="75" t="s">
        <v>58</v>
      </c>
      <c r="AI59" s="76"/>
      <c r="AJ59" s="103"/>
      <c r="AK59" s="73"/>
      <c r="AL59" s="47">
        <v>3.5000000000000003E-2</v>
      </c>
      <c r="AM59" s="47">
        <v>1600</v>
      </c>
      <c r="AN59" s="47"/>
      <c r="AO59" s="269" t="s">
        <v>17</v>
      </c>
      <c r="AP59" s="110"/>
      <c r="AQ59" s="73"/>
      <c r="AR59" s="25"/>
    </row>
    <row r="60" spans="1:44" ht="25.2" customHeight="1" x14ac:dyDescent="0.15">
      <c r="A60" s="85" t="s">
        <v>476</v>
      </c>
      <c r="B60" s="47" t="s">
        <v>210</v>
      </c>
      <c r="C60" s="47"/>
      <c r="D60" s="47" t="s">
        <v>466</v>
      </c>
      <c r="E60" s="82" t="s">
        <v>471</v>
      </c>
      <c r="F60" s="47" t="s">
        <v>43</v>
      </c>
      <c r="G60" s="47"/>
      <c r="H60" s="47"/>
      <c r="I60" s="111">
        <v>1</v>
      </c>
      <c r="J60" s="114">
        <f t="shared" ref="J60:J61" si="32">IF(AC60="N/A","N/A",IF(K60="","N/A",K60))</f>
        <v>12.580624</v>
      </c>
      <c r="K60" s="152" cm="1">
        <f t="array" ref="K60">IF(AC60="N/A","",_xlfn.IFS(Y60="m2",((AA60/(Z60/AL60))*I60),Y60="m3",((AA60/(Z60/AL60))*I60),Y60="kg",(((AA60*AM60)/(1/AL60))*I60),Y60="ton",(((AA60/1000*AM60)/(1/AL60))*I60),Y60="N/A",""))</f>
        <v>12.580624</v>
      </c>
      <c r="L60" s="114">
        <f t="shared" ref="L60:L61" si="33">IF(M60="","N/A",M60)</f>
        <v>12.544000000000002</v>
      </c>
      <c r="M60" s="152" cm="1">
        <f t="array" ref="M60">(_xlfn.IFS(Y60="m2",((AB60/(Z60/AL60))*I60),Y60="m3",((AB60/(Z60/AL60))*I60),Y60="kg",(((AB60*AM60)/(1/AL60))*I60),Y60="ton",(((AB60/1000*AM60)/(1/AL60))*I60),Y60="N/A",""))</f>
        <v>12.544000000000002</v>
      </c>
      <c r="N60" s="52">
        <f t="shared" ref="N60:N61" si="34">IF(O60="","N/A",O60)</f>
        <v>3.6624000000000011E-2</v>
      </c>
      <c r="O60" s="148" cm="1">
        <f t="array" ref="O60">IF(AC60="N/A","",(_xlfn.IFS(Y60="m2",((AC60/(Z60/AL60))*I60),Y60="m3",((AC60/(Z60/AL60))*I60),Y60="kg",(((AC60*AM60)/(1/AL60))*I60),Y60="ton",(((AC60/1000*AM60)/(1/AL60))*I60),Y60="N/A","")))</f>
        <v>3.6624000000000011E-2</v>
      </c>
      <c r="P60" s="52">
        <f t="shared" ref="P60:P61" si="35">IF(Q60="","N/A",Q60)</f>
        <v>-0.23632</v>
      </c>
      <c r="Q60" s="155" cm="1">
        <f t="array" ref="Q60">IF(AE60="N/A","",_xlfn.IFS(Y60="m2",((AE60/(Z60/AL60))*I60),Y60="m3",((AE60/(Z60/AL60))*I60),Y60="kg",(((AE60*AM60)/(1/AL60))*I60),Y60="ton",(((AE60/1000*AM60)/(1/AL60))*I60),Y60="N/A",""))</f>
        <v>-0.23632</v>
      </c>
      <c r="R60" s="82" t="s">
        <v>5</v>
      </c>
      <c r="S60" s="47"/>
      <c r="T60" s="47">
        <v>2026</v>
      </c>
      <c r="U60" s="47" t="s">
        <v>28</v>
      </c>
      <c r="V60" s="47">
        <v>150</v>
      </c>
      <c r="W60" s="47"/>
      <c r="X60" s="47" t="s">
        <v>585</v>
      </c>
      <c r="Y60" s="47" t="s">
        <v>234</v>
      </c>
      <c r="Z60" s="47" t="s">
        <v>191</v>
      </c>
      <c r="AA60" s="52">
        <f t="shared" ref="AA60:AA65" si="36">IF(AC60="N/A","N/A",SUM(AB60:AC60))</f>
        <v>224.654</v>
      </c>
      <c r="AB60" s="52">
        <v>224</v>
      </c>
      <c r="AC60" s="52">
        <f t="shared" si="26"/>
        <v>0.65400000000000003</v>
      </c>
      <c r="AD60" s="52">
        <v>-0.90100000000000002</v>
      </c>
      <c r="AE60" s="52">
        <v>-4.22</v>
      </c>
      <c r="AF60" s="69"/>
      <c r="AG60" s="103" t="str">
        <f t="shared" si="5"/>
        <v xml:space="preserve">A1 </v>
      </c>
      <c r="AH60" s="75" t="s">
        <v>58</v>
      </c>
      <c r="AI60" s="76"/>
      <c r="AJ60" s="103"/>
      <c r="AK60" s="73"/>
      <c r="AL60" s="47">
        <v>3.5000000000000003E-2</v>
      </c>
      <c r="AM60" s="47">
        <v>1600</v>
      </c>
      <c r="AN60" s="47"/>
      <c r="AO60" s="269" t="s">
        <v>17</v>
      </c>
      <c r="AP60" s="110"/>
      <c r="AQ60" s="73"/>
      <c r="AR60" s="25"/>
    </row>
    <row r="61" spans="1:44" ht="25.2" customHeight="1" x14ac:dyDescent="0.15">
      <c r="A61" s="85" t="s">
        <v>477</v>
      </c>
      <c r="B61" s="47" t="s">
        <v>210</v>
      </c>
      <c r="C61" s="47"/>
      <c r="D61" s="47" t="s">
        <v>466</v>
      </c>
      <c r="E61" s="82" t="s">
        <v>471</v>
      </c>
      <c r="F61" s="47" t="s">
        <v>43</v>
      </c>
      <c r="G61" s="47"/>
      <c r="H61" s="47"/>
      <c r="I61" s="111">
        <v>1</v>
      </c>
      <c r="J61" s="114">
        <f t="shared" si="32"/>
        <v>20.252624000000001</v>
      </c>
      <c r="K61" s="152" cm="1">
        <f t="array" ref="K61">IF(AC61="N/A","",_xlfn.IFS(Y61="m2",((AA61/(Z61/AL61))*I61),Y61="m3",((AA61/(Z61/AL61))*I61),Y61="kg",(((AA61*AM61)/(1/AL61))*I61),Y61="ton",(((AA61/1000*AM61)/(1/AL61))*I61),Y61="N/A",""))</f>
        <v>20.252624000000001</v>
      </c>
      <c r="L61" s="114">
        <f t="shared" si="33"/>
        <v>20.216000000000001</v>
      </c>
      <c r="M61" s="152" cm="1">
        <f t="array" ref="M61">(_xlfn.IFS(Y61="m2",((AB61/(Z61/AL61))*I61),Y61="m3",((AB61/(Z61/AL61))*I61),Y61="kg",(((AB61*AM61)/(1/AL61))*I61),Y61="ton",(((AB61/1000*AM61)/(1/AL61))*I61),Y61="N/A",""))</f>
        <v>20.216000000000001</v>
      </c>
      <c r="N61" s="52">
        <f t="shared" si="34"/>
        <v>3.6624000000000011E-2</v>
      </c>
      <c r="O61" s="148" cm="1">
        <f t="array" ref="O61">IF(AC61="N/A","",(_xlfn.IFS(Y61="m2",((AC61/(Z61/AL61))*I61),Y61="m3",((AC61/(Z61/AL61))*I61),Y61="kg",(((AC61*AM61)/(1/AL61))*I61),Y61="ton",(((AC61/1000*AM61)/(1/AL61))*I61),Y61="N/A","")))</f>
        <v>3.6624000000000011E-2</v>
      </c>
      <c r="P61" s="52">
        <f t="shared" si="35"/>
        <v>-0.16968</v>
      </c>
      <c r="Q61" s="155" cm="1">
        <f t="array" ref="Q61">IF(AE61="N/A","",_xlfn.IFS(Y61="m2",((AE61/(Z61/AL61))*I61),Y61="m3",((AE61/(Z61/AL61))*I61),Y61="kg",(((AE61*AM61)/(1/AL61))*I61),Y61="ton",(((AE61/1000*AM61)/(1/AL61))*I61),Y61="N/A",""))</f>
        <v>-0.16968</v>
      </c>
      <c r="R61" s="82" t="s">
        <v>5</v>
      </c>
      <c r="S61" s="47"/>
      <c r="T61" s="47">
        <v>2026</v>
      </c>
      <c r="U61" s="47" t="s">
        <v>28</v>
      </c>
      <c r="V61" s="47">
        <v>150</v>
      </c>
      <c r="W61" s="47"/>
      <c r="X61" s="47" t="s">
        <v>585</v>
      </c>
      <c r="Y61" s="47" t="s">
        <v>234</v>
      </c>
      <c r="Z61" s="47" t="s">
        <v>191</v>
      </c>
      <c r="AA61" s="52">
        <f t="shared" si="36"/>
        <v>361.654</v>
      </c>
      <c r="AB61" s="52">
        <v>361</v>
      </c>
      <c r="AC61" s="52">
        <f t="shared" si="26"/>
        <v>0.65400000000000003</v>
      </c>
      <c r="AD61" s="52">
        <v>-0.90500000000000003</v>
      </c>
      <c r="AE61" s="52">
        <v>-3.03</v>
      </c>
      <c r="AF61" s="69"/>
      <c r="AG61" s="103" t="str">
        <f t="shared" si="5"/>
        <v xml:space="preserve">A1 </v>
      </c>
      <c r="AH61" s="75" t="s">
        <v>58</v>
      </c>
      <c r="AI61" s="76"/>
      <c r="AJ61" s="103"/>
      <c r="AK61" s="73"/>
      <c r="AL61" s="47">
        <v>3.5000000000000003E-2</v>
      </c>
      <c r="AM61" s="47">
        <v>1600</v>
      </c>
      <c r="AN61" s="47"/>
      <c r="AO61" s="269" t="s">
        <v>17</v>
      </c>
      <c r="AP61" s="110"/>
      <c r="AQ61" s="73"/>
      <c r="AR61" s="25"/>
    </row>
    <row r="62" spans="1:44" ht="25.2" customHeight="1" x14ac:dyDescent="0.15">
      <c r="A62" s="47" t="s">
        <v>478</v>
      </c>
      <c r="B62" s="47" t="s">
        <v>210</v>
      </c>
      <c r="C62" s="47"/>
      <c r="D62" s="47" t="s">
        <v>466</v>
      </c>
      <c r="E62" s="82" t="s">
        <v>143</v>
      </c>
      <c r="F62" s="47" t="s">
        <v>43</v>
      </c>
      <c r="G62" s="47"/>
      <c r="H62" s="47"/>
      <c r="I62" s="111">
        <v>1</v>
      </c>
      <c r="J62" s="114">
        <f t="shared" ref="J62:J63" si="37">IF(AC62="N/A","N/A",IF(K62="","N/A",K62))</f>
        <v>6.1446840000000007</v>
      </c>
      <c r="K62" s="152" cm="1">
        <f t="array" ref="K62">IF(AC62="N/A","",_xlfn.IFS(Y62="m2",((AA62/(Z62/AL62))*I62),Y62="m3",((AA62/(Z62/AL62))*I62),Y62="kg",(((AA62*AM62)/(1/AL62))*I62),Y62="ton",(((AA62/1000*AM62)/(1/AL62))*I62),Y62="N/A",""))</f>
        <v>6.1446840000000007</v>
      </c>
      <c r="L62" s="114">
        <f t="shared" ref="L62:L63" si="38">IF(M62="","N/A",M62)</f>
        <v>6.08209</v>
      </c>
      <c r="M62" s="152" cm="1">
        <f t="array" ref="M62">(_xlfn.IFS(Y62="m2",((AB62/(Z62/AL62))*I62),Y62="m3",((AB62/(Z62/AL62))*I62),Y62="kg",(((AB62*AM62)/(1/AL62))*I62),Y62="ton",(((AB62/1000*AM62)/(1/AL62))*I62),Y62="N/A",""))</f>
        <v>6.08209</v>
      </c>
      <c r="N62" s="52">
        <f t="shared" ref="N62:N63" si="39">IF(O62="","N/A",O62)</f>
        <v>6.2593999999999997E-2</v>
      </c>
      <c r="O62" s="148" cm="1">
        <f t="array" ref="O62">IF(AC62="N/A","",(_xlfn.IFS(Y62="m2",((AC62/(Z62/AL62))*I62),Y62="m3",((AC62/(Z62/AL62))*I62),Y62="kg",(((AC62*AM62)/(1/AL62))*I62),Y62="ton",(((AC62/1000*AM62)/(1/AL62))*I62),Y62="N/A","")))</f>
        <v>6.2593999999999997E-2</v>
      </c>
      <c r="P62" s="52" t="str">
        <f t="shared" ref="P62:P63" si="40">IF(Q62="","N/A",Q62)</f>
        <v>N/A</v>
      </c>
      <c r="Q62" s="155" t="str" cm="1">
        <f t="array" ref="Q62">IF(AE62="N/A","",_xlfn.IFS(Y62="m2",((AE62/(Z62/AL62))*I62),Y62="m3",((AE62/(Z62/AL62))*I62),Y62="kg",(((AE62*AM62)/(1/AL62))*I62),Y62="ton",(((AE62/1000*AM62)/(1/AL62))*I62),Y62="N/A",""))</f>
        <v/>
      </c>
      <c r="R62" s="82" t="s">
        <v>5</v>
      </c>
      <c r="S62" s="47"/>
      <c r="T62" s="47">
        <v>2026</v>
      </c>
      <c r="U62" s="47" t="s">
        <v>14</v>
      </c>
      <c r="V62" s="47">
        <v>150</v>
      </c>
      <c r="W62" s="47"/>
      <c r="X62" s="47" t="s">
        <v>586</v>
      </c>
      <c r="Y62" s="47" t="s">
        <v>234</v>
      </c>
      <c r="Z62" s="47" t="s">
        <v>191</v>
      </c>
      <c r="AA62" s="52">
        <f t="shared" ref="AA62" si="41">IF(AC62="N/A","N/A",SUM(AB62:AC62))</f>
        <v>258.18</v>
      </c>
      <c r="AB62" s="52">
        <v>255.55</v>
      </c>
      <c r="AC62" s="52">
        <f>2.63</f>
        <v>2.63</v>
      </c>
      <c r="AD62" s="52">
        <f>-6.12</f>
        <v>-6.12</v>
      </c>
      <c r="AE62" s="47" t="s">
        <v>191</v>
      </c>
      <c r="AF62" s="69"/>
      <c r="AG62" s="103" t="str">
        <f t="shared" si="5"/>
        <v xml:space="preserve">A1 </v>
      </c>
      <c r="AH62" s="75" t="s">
        <v>58</v>
      </c>
      <c r="AI62" s="76"/>
      <c r="AJ62" s="103"/>
      <c r="AK62" s="73"/>
      <c r="AL62" s="47">
        <v>1.4E-2</v>
      </c>
      <c r="AM62" s="47">
        <f>(900+2500)/2</f>
        <v>1700</v>
      </c>
      <c r="AN62" s="47"/>
      <c r="AO62" s="80" t="s">
        <v>17</v>
      </c>
      <c r="AP62" s="110"/>
      <c r="AQ62" s="73"/>
      <c r="AR62" s="25"/>
    </row>
    <row r="63" spans="1:44" ht="25.2" customHeight="1" x14ac:dyDescent="0.15">
      <c r="A63" s="47" t="s">
        <v>479</v>
      </c>
      <c r="B63" s="47" t="s">
        <v>210</v>
      </c>
      <c r="C63" s="47"/>
      <c r="D63" s="47" t="s">
        <v>466</v>
      </c>
      <c r="E63" s="47" t="s">
        <v>191</v>
      </c>
      <c r="F63" s="47" t="s">
        <v>296</v>
      </c>
      <c r="G63" s="47"/>
      <c r="H63" s="47"/>
      <c r="I63" s="111">
        <v>1</v>
      </c>
      <c r="J63" s="114" t="str">
        <f t="shared" si="37"/>
        <v>N/A</v>
      </c>
      <c r="K63" s="152" t="str" cm="1">
        <f t="array" ref="K63">IF(AC63="N/A","",_xlfn.IFS(Y63="m2",((AA63/(Z63/AL63))*I63),Y63="m3",((AA63/(Z63/AL63))*I63),Y63="kg",(((AA63*AM63)/(1/AL63))*I63),Y63="ton",(((AA63/1000*AM63)/(1/AL63))*I63),Y63="N/A",""))</f>
        <v/>
      </c>
      <c r="L63" s="114" t="str">
        <f t="shared" si="38"/>
        <v>N/A</v>
      </c>
      <c r="M63" s="152" t="str" cm="1">
        <f t="array" ref="M63">(_xlfn.IFS(Y63="m2",((AB63/(Z63/AL63))*I63),Y63="m3",((AB63/(Z63/AL63))*I63),Y63="kg",(((AB63*AM63)/(1/AL63))*I63),Y63="ton",(((AB63/1000*AM63)/(1/AL63))*I63),Y63="N/A",""))</f>
        <v/>
      </c>
      <c r="N63" s="52" t="str">
        <f t="shared" si="39"/>
        <v>N/A</v>
      </c>
      <c r="O63" s="148" t="str" cm="1">
        <f t="array" ref="O63">IF(AC63="N/A","",(_xlfn.IFS(Y63="m2",((AC63/(Z63/AL63))*I63),Y63="m3",((AC63/(Z63/AL63))*I63),Y63="kg",(((AC63*AM63)/(1/AL63))*I63),Y63="ton",(((AC63/1000*AM63)/(1/AL63))*I63),Y63="N/A","")))</f>
        <v/>
      </c>
      <c r="P63" s="52" t="str">
        <f t="shared" si="40"/>
        <v>N/A</v>
      </c>
      <c r="Q63" s="155" t="str" cm="1">
        <f t="array" ref="Q63">IF(AE63="N/A","",_xlfn.IFS(Y63="m2",((AE63/(Z63/AL63))*I63),Y63="m3",((AE63/(Z63/AL63))*I63),Y63="kg",(((AE63*AM63)/(1/AL63))*I63),Y63="ton",(((AE63/1000*AM63)/(1/AL63))*I63),Y63="N/A",""))</f>
        <v/>
      </c>
      <c r="R63" s="47" t="s">
        <v>191</v>
      </c>
      <c r="S63" s="47"/>
      <c r="T63" s="47" t="s">
        <v>191</v>
      </c>
      <c r="U63" s="47" t="s">
        <v>191</v>
      </c>
      <c r="V63" s="47" t="s">
        <v>191</v>
      </c>
      <c r="W63" s="47"/>
      <c r="X63" s="47" t="s">
        <v>191</v>
      </c>
      <c r="Y63" s="47" t="s">
        <v>191</v>
      </c>
      <c r="Z63" s="47" t="s">
        <v>191</v>
      </c>
      <c r="AA63" s="52" t="str">
        <f t="shared" si="36"/>
        <v>N/A</v>
      </c>
      <c r="AB63" s="47" t="s">
        <v>191</v>
      </c>
      <c r="AC63" s="47" t="s">
        <v>191</v>
      </c>
      <c r="AD63" s="47" t="s">
        <v>191</v>
      </c>
      <c r="AE63" s="47" t="s">
        <v>191</v>
      </c>
      <c r="AF63" s="69"/>
      <c r="AG63" s="103" t="str">
        <f t="shared" si="5"/>
        <v xml:space="preserve">A1 </v>
      </c>
      <c r="AH63" s="75" t="s">
        <v>58</v>
      </c>
      <c r="AI63" s="76"/>
      <c r="AJ63" s="103"/>
      <c r="AK63" s="73"/>
      <c r="AL63" s="47" t="s">
        <v>191</v>
      </c>
      <c r="AM63" s="47" t="s">
        <v>191</v>
      </c>
      <c r="AN63" s="47"/>
      <c r="AO63" s="80" t="s">
        <v>17</v>
      </c>
      <c r="AP63" s="110"/>
      <c r="AQ63" s="73"/>
      <c r="AR63" s="25"/>
    </row>
    <row r="64" spans="1:44" ht="25.2" customHeight="1" x14ac:dyDescent="0.15">
      <c r="A64" s="47" t="s">
        <v>480</v>
      </c>
      <c r="B64" s="47" t="s">
        <v>210</v>
      </c>
      <c r="C64" s="47"/>
      <c r="D64" s="47" t="s">
        <v>466</v>
      </c>
      <c r="E64" s="47" t="s">
        <v>191</v>
      </c>
      <c r="F64" s="47" t="s">
        <v>481</v>
      </c>
      <c r="G64" s="47"/>
      <c r="H64" s="47"/>
      <c r="I64" s="111">
        <v>1</v>
      </c>
      <c r="J64" s="114" t="str">
        <f t="shared" ref="J64:J65" si="42">IF(AC64="N/A","N/A",IF(K64="","N/A",K64))</f>
        <v>N/A</v>
      </c>
      <c r="K64" s="152" t="str" cm="1">
        <f t="array" ref="K64">IF(AC64="N/A","",_xlfn.IFS(Y64="m2",((AA64/(Z64/AL64))*I64),Y64="m3",((AA64/(Z64/AL64))*I64),Y64="kg",(((AA64*AM64)/(1/AL64))*I64),Y64="ton",(((AA64/1000*AM64)/(1/AL64))*I64),Y64="N/A",""))</f>
        <v/>
      </c>
      <c r="L64" s="114" t="str">
        <f t="shared" ref="L64:L65" si="43">IF(M64="","N/A",M64)</f>
        <v>N/A</v>
      </c>
      <c r="M64" s="152" t="str" cm="1">
        <f t="array" ref="M64">(_xlfn.IFS(Y64="m2",((AB64/(Z64/AL64))*I64),Y64="m3",((AB64/(Z64/AL64))*I64),Y64="kg",(((AB64*AM64)/(1/AL64))*I64),Y64="ton",(((AB64/1000*AM64)/(1/AL64))*I64),Y64="N/A",""))</f>
        <v/>
      </c>
      <c r="N64" s="52" t="str">
        <f t="shared" ref="N64:N65" si="44">IF(O64="","N/A",O64)</f>
        <v>N/A</v>
      </c>
      <c r="O64" s="148" t="str" cm="1">
        <f t="array" ref="O64">IF(AC64="N/A","",(_xlfn.IFS(Y64="m2",((AC64/(Z64/AL64))*I64),Y64="m3",((AC64/(Z64/AL64))*I64),Y64="kg",(((AC64*AM64)/(1/AL64))*I64),Y64="ton",(((AC64/1000*AM64)/(1/AL64))*I64),Y64="N/A","")))</f>
        <v/>
      </c>
      <c r="P64" s="52" t="str">
        <f t="shared" ref="P64:P65" si="45">IF(Q64="","N/A",Q64)</f>
        <v>N/A</v>
      </c>
      <c r="Q64" s="155" t="str" cm="1">
        <f t="array" ref="Q64">IF(AE64="N/A","",_xlfn.IFS(Y64="m2",((AE64/(Z64/AL64))*I64),Y64="m3",((AE64/(Z64/AL64))*I64),Y64="kg",(((AE64*AM64)/(1/AL64))*I64),Y64="ton",(((AE64/1000*AM64)/(1/AL64))*I64),Y64="N/A",""))</f>
        <v/>
      </c>
      <c r="R64" s="47" t="s">
        <v>191</v>
      </c>
      <c r="S64" s="47"/>
      <c r="T64" s="47" t="s">
        <v>191</v>
      </c>
      <c r="U64" s="47" t="s">
        <v>191</v>
      </c>
      <c r="V64" s="47" t="s">
        <v>191</v>
      </c>
      <c r="W64" s="47"/>
      <c r="X64" s="47" t="s">
        <v>191</v>
      </c>
      <c r="Y64" s="47" t="s">
        <v>191</v>
      </c>
      <c r="Z64" s="47" t="s">
        <v>191</v>
      </c>
      <c r="AA64" s="52" t="str">
        <f t="shared" ref="AA64" si="46">IF(AC64="N/A","N/A",SUM(AB64:AC64))</f>
        <v>N/A</v>
      </c>
      <c r="AB64" s="47" t="s">
        <v>191</v>
      </c>
      <c r="AC64" s="47" t="s">
        <v>191</v>
      </c>
      <c r="AD64" s="47" t="s">
        <v>191</v>
      </c>
      <c r="AE64" s="47" t="s">
        <v>191</v>
      </c>
      <c r="AF64" s="69"/>
      <c r="AG64" s="103" t="str">
        <f t="shared" si="5"/>
        <v xml:space="preserve">F </v>
      </c>
      <c r="AH64" s="75" t="s">
        <v>82</v>
      </c>
      <c r="AI64" s="76"/>
      <c r="AJ64" s="103"/>
      <c r="AK64" s="73"/>
      <c r="AL64" s="47" t="s">
        <v>191</v>
      </c>
      <c r="AM64" s="47" t="s">
        <v>191</v>
      </c>
      <c r="AN64" s="47"/>
      <c r="AO64" s="80" t="s">
        <v>17</v>
      </c>
      <c r="AP64" s="110"/>
      <c r="AQ64" s="73"/>
      <c r="AR64" s="25"/>
    </row>
    <row r="65" spans="1:44" ht="25.2" customHeight="1" x14ac:dyDescent="0.15">
      <c r="A65" s="47" t="s">
        <v>482</v>
      </c>
      <c r="B65" s="47" t="s">
        <v>210</v>
      </c>
      <c r="C65" s="47"/>
      <c r="D65" s="47" t="s">
        <v>466</v>
      </c>
      <c r="E65" s="82" t="s">
        <v>143</v>
      </c>
      <c r="F65" s="47" t="s">
        <v>43</v>
      </c>
      <c r="G65" s="47"/>
      <c r="H65" s="47"/>
      <c r="I65" s="111">
        <v>1</v>
      </c>
      <c r="J65" s="114">
        <f t="shared" si="42"/>
        <v>12.3315</v>
      </c>
      <c r="K65" s="152" cm="1">
        <f t="array" ref="K65">IF(AC65="N/A","",_xlfn.IFS(Y65="m2",((AA65/(Z65/AL65))*I65),Y65="m3",((AA65/(Z65/AL65))*I65),Y65="kg",(((AA65*AM65)/(1/AL65))*I65),Y65="ton",(((AA65/1000*AM65)/(1/AL65))*I65),Y65="N/A",""))</f>
        <v>12.3315</v>
      </c>
      <c r="L65" s="114">
        <f t="shared" si="43"/>
        <v>12.2</v>
      </c>
      <c r="M65" s="152" cm="1">
        <f t="array" ref="M65">(_xlfn.IFS(Y65="m2",((AB65/(Z65/AL65))*I65),Y65="m3",((AB65/(Z65/AL65))*I65),Y65="kg",(((AB65*AM65)/(1/AL65))*I65),Y65="ton",(((AB65/1000*AM65)/(1/AL65))*I65),Y65="N/A",""))</f>
        <v>12.2</v>
      </c>
      <c r="N65" s="52">
        <f t="shared" si="44"/>
        <v>0.13150000000000001</v>
      </c>
      <c r="O65" s="148" cm="1">
        <f t="array" ref="O65">IF(AC65="N/A","",(_xlfn.IFS(Y65="m2",((AC65/(Z65/AL65))*I65),Y65="m3",((AC65/(Z65/AL65))*I65),Y65="kg",(((AC65*AM65)/(1/AL65))*I65),Y65="ton",(((AC65/1000*AM65)/(1/AL65))*I65),Y65="N/A","")))</f>
        <v>0.13150000000000001</v>
      </c>
      <c r="P65" s="52" t="str">
        <f t="shared" si="45"/>
        <v>N/A</v>
      </c>
      <c r="Q65" s="155" t="str" cm="1">
        <f t="array" ref="Q65">IF(AE65="N/A","",_xlfn.IFS(Y65="m2",((AE65/(Z65/AL65))*I65),Y65="m3",((AE65/(Z65/AL65))*I65),Y65="kg",(((AE65*AM65)/(1/AL65))*I65),Y65="ton",(((AE65/1000*AM65)/(1/AL65))*I65),Y65="N/A",""))</f>
        <v/>
      </c>
      <c r="R65" s="82" t="s">
        <v>5</v>
      </c>
      <c r="S65" s="47" t="s">
        <v>377</v>
      </c>
      <c r="T65" s="47">
        <v>2026</v>
      </c>
      <c r="U65" s="47" t="s">
        <v>14</v>
      </c>
      <c r="V65" s="47">
        <v>150</v>
      </c>
      <c r="W65" s="47"/>
      <c r="X65" s="47" t="s">
        <v>587</v>
      </c>
      <c r="Y65" s="47" t="s">
        <v>15</v>
      </c>
      <c r="Z65" s="47">
        <v>0.03</v>
      </c>
      <c r="AA65" s="52">
        <f t="shared" si="36"/>
        <v>12.3315</v>
      </c>
      <c r="AB65" s="52">
        <v>12.2</v>
      </c>
      <c r="AC65" s="52">
        <f>0.0974+0.0341</f>
        <v>0.13150000000000001</v>
      </c>
      <c r="AD65" s="52">
        <v>5.97</v>
      </c>
      <c r="AE65" s="47" t="s">
        <v>191</v>
      </c>
      <c r="AF65" s="69"/>
      <c r="AG65" s="103" t="str">
        <f t="shared" si="5"/>
        <v xml:space="preserve">A1 </v>
      </c>
      <c r="AH65" s="75" t="s">
        <v>58</v>
      </c>
      <c r="AI65" s="76"/>
      <c r="AJ65" s="103"/>
      <c r="AK65" s="73"/>
      <c r="AL65" s="47">
        <v>0.03</v>
      </c>
      <c r="AM65" s="47" t="s">
        <v>191</v>
      </c>
      <c r="AN65" s="47"/>
      <c r="AO65" s="80" t="s">
        <v>17</v>
      </c>
      <c r="AP65" s="110"/>
      <c r="AQ65" s="73"/>
      <c r="AR65" s="25"/>
    </row>
    <row r="66" spans="1:44" ht="25.2" customHeight="1" x14ac:dyDescent="0.15">
      <c r="A66" s="47" t="s">
        <v>483</v>
      </c>
      <c r="B66" s="47" t="s">
        <v>210</v>
      </c>
      <c r="C66" s="47"/>
      <c r="D66" s="47" t="s">
        <v>466</v>
      </c>
      <c r="E66" s="82" t="s">
        <v>143</v>
      </c>
      <c r="F66" s="47" t="s">
        <v>43</v>
      </c>
      <c r="G66" s="47"/>
      <c r="H66" s="47"/>
      <c r="I66" s="111">
        <v>1</v>
      </c>
      <c r="J66" s="114">
        <f t="shared" ref="J66" si="47">IF(AC66="N/A","N/A",IF(K66="","N/A",K66))</f>
        <v>12.3315</v>
      </c>
      <c r="K66" s="152" cm="1">
        <f t="array" ref="K66">IF(AC66="N/A","",_xlfn.IFS(Y66="m2",((AA66/(Z66/AL66))*I66),Y66="m3",((AA66/(Z66/AL66))*I66),Y66="kg",(((AA66*AM66)/(1/AL66))*I66),Y66="ton",(((AA66/1000*AM66)/(1/AL66))*I66),Y66="N/A",""))</f>
        <v>12.3315</v>
      </c>
      <c r="L66" s="114">
        <f t="shared" ref="L66" si="48">IF(M66="","N/A",M66)</f>
        <v>12.2</v>
      </c>
      <c r="M66" s="152" cm="1">
        <f t="array" ref="M66">(_xlfn.IFS(Y66="m2",((AB66/(Z66/AL66))*I66),Y66="m3",((AB66/(Z66/AL66))*I66),Y66="kg",(((AB66*AM66)/(1/AL66))*I66),Y66="ton",(((AB66/1000*AM66)/(1/AL66))*I66),Y66="N/A",""))</f>
        <v>12.2</v>
      </c>
      <c r="N66" s="52">
        <f t="shared" ref="N66" si="49">IF(O66="","N/A",O66)</f>
        <v>0.13150000000000001</v>
      </c>
      <c r="O66" s="148" cm="1">
        <f t="array" ref="O66">IF(AC66="N/A","",(_xlfn.IFS(Y66="m2",((AC66/(Z66/AL66))*I66),Y66="m3",((AC66/(Z66/AL66))*I66),Y66="kg",(((AC66*AM66)/(1/AL66))*I66),Y66="ton",(((AC66/1000*AM66)/(1/AL66))*I66),Y66="N/A","")))</f>
        <v>0.13150000000000001</v>
      </c>
      <c r="P66" s="52" t="str">
        <f t="shared" ref="P66" si="50">IF(Q66="","N/A",Q66)</f>
        <v>N/A</v>
      </c>
      <c r="Q66" s="155" t="str" cm="1">
        <f t="array" ref="Q66">IF(AE66="N/A","",_xlfn.IFS(Y66="m2",((AE66/(Z66/AL66))*I66),Y66="m3",((AE66/(Z66/AL66))*I66),Y66="kg",(((AE66*AM66)/(1/AL66))*I66),Y66="ton",(((AE66/1000*AM66)/(1/AL66))*I66),Y66="N/A",""))</f>
        <v/>
      </c>
      <c r="R66" s="82" t="s">
        <v>5</v>
      </c>
      <c r="S66" s="47" t="s">
        <v>377</v>
      </c>
      <c r="T66" s="47">
        <v>2026</v>
      </c>
      <c r="U66" s="47" t="s">
        <v>14</v>
      </c>
      <c r="V66" s="47">
        <v>150</v>
      </c>
      <c r="W66" s="47"/>
      <c r="X66" s="47" t="s">
        <v>587</v>
      </c>
      <c r="Y66" s="47" t="s">
        <v>15</v>
      </c>
      <c r="Z66" s="47">
        <v>0.03</v>
      </c>
      <c r="AA66" s="52">
        <f t="shared" ref="AA66" si="51">IF(AC66="N/A","N/A",SUM(AB66:AC66))</f>
        <v>12.3315</v>
      </c>
      <c r="AB66" s="52">
        <v>12.2</v>
      </c>
      <c r="AC66" s="52">
        <f>0.0974+0.0341</f>
        <v>0.13150000000000001</v>
      </c>
      <c r="AD66" s="52">
        <v>5.97</v>
      </c>
      <c r="AE66" s="47" t="s">
        <v>191</v>
      </c>
      <c r="AF66" s="69"/>
      <c r="AG66" s="103" t="str">
        <f t="shared" si="5"/>
        <v xml:space="preserve">A1 </v>
      </c>
      <c r="AH66" s="75" t="s">
        <v>58</v>
      </c>
      <c r="AI66" s="76"/>
      <c r="AJ66" s="103"/>
      <c r="AK66" s="73"/>
      <c r="AL66" s="47">
        <v>0.03</v>
      </c>
      <c r="AM66" s="47" t="s">
        <v>191</v>
      </c>
      <c r="AN66" s="47"/>
      <c r="AO66" s="80" t="s">
        <v>17</v>
      </c>
      <c r="AP66" s="110"/>
      <c r="AQ66" s="73"/>
      <c r="AR66" s="25"/>
    </row>
    <row r="67" spans="1:44" ht="25.2" customHeight="1" x14ac:dyDescent="0.15">
      <c r="A67" s="47" t="s">
        <v>484</v>
      </c>
      <c r="B67" s="47" t="s">
        <v>210</v>
      </c>
      <c r="C67" s="47"/>
      <c r="D67" s="47" t="s">
        <v>466</v>
      </c>
      <c r="E67" s="82" t="s">
        <v>143</v>
      </c>
      <c r="F67" s="47" t="s">
        <v>43</v>
      </c>
      <c r="G67" s="47"/>
      <c r="H67" s="47"/>
      <c r="I67" s="111">
        <v>1</v>
      </c>
      <c r="J67" s="114">
        <f t="shared" ref="J67" si="52">IF(AC67="N/A","N/A",IF(K67="","N/A",K67))</f>
        <v>12.3315</v>
      </c>
      <c r="K67" s="152" cm="1">
        <f t="array" ref="K67">IF(AC67="N/A","",_xlfn.IFS(Y67="m2",((AA67/(Z67/AL67))*I67),Y67="m3",((AA67/(Z67/AL67))*I67),Y67="kg",(((AA67*AM67)/(1/AL67))*I67),Y67="ton",(((AA67/1000*AM67)/(1/AL67))*I67),Y67="N/A",""))</f>
        <v>12.3315</v>
      </c>
      <c r="L67" s="114">
        <f t="shared" ref="L67" si="53">IF(M67="","N/A",M67)</f>
        <v>12.2</v>
      </c>
      <c r="M67" s="152" cm="1">
        <f t="array" ref="M67">(_xlfn.IFS(Y67="m2",((AB67/(Z67/AL67))*I67),Y67="m3",((AB67/(Z67/AL67))*I67),Y67="kg",(((AB67*AM67)/(1/AL67))*I67),Y67="ton",(((AB67/1000*AM67)/(1/AL67))*I67),Y67="N/A",""))</f>
        <v>12.2</v>
      </c>
      <c r="N67" s="52">
        <f t="shared" ref="N67" si="54">IF(O67="","N/A",O67)</f>
        <v>0.13150000000000001</v>
      </c>
      <c r="O67" s="148" cm="1">
        <f t="array" ref="O67">IF(AC67="N/A","",(_xlfn.IFS(Y67="m2",((AC67/(Z67/AL67))*I67),Y67="m3",((AC67/(Z67/AL67))*I67),Y67="kg",(((AC67*AM67)/(1/AL67))*I67),Y67="ton",(((AC67/1000*AM67)/(1/AL67))*I67),Y67="N/A","")))</f>
        <v>0.13150000000000001</v>
      </c>
      <c r="P67" s="52" t="str">
        <f t="shared" ref="P67" si="55">IF(Q67="","N/A",Q67)</f>
        <v>N/A</v>
      </c>
      <c r="Q67" s="155" t="str" cm="1">
        <f t="array" ref="Q67">IF(AE67="N/A","",_xlfn.IFS(Y67="m2",((AE67/(Z67/AL67))*I67),Y67="m3",((AE67/(Z67/AL67))*I67),Y67="kg",(((AE67*AM67)/(1/AL67))*I67),Y67="ton",(((AE67/1000*AM67)/(1/AL67))*I67),Y67="N/A",""))</f>
        <v/>
      </c>
      <c r="R67" s="82" t="s">
        <v>5</v>
      </c>
      <c r="S67" s="47" t="s">
        <v>377</v>
      </c>
      <c r="T67" s="47">
        <v>2026</v>
      </c>
      <c r="U67" s="47" t="s">
        <v>14</v>
      </c>
      <c r="V67" s="47">
        <v>150</v>
      </c>
      <c r="W67" s="47"/>
      <c r="X67" s="47" t="s">
        <v>587</v>
      </c>
      <c r="Y67" s="47" t="s">
        <v>15</v>
      </c>
      <c r="Z67" s="47">
        <v>0.03</v>
      </c>
      <c r="AA67" s="52">
        <f t="shared" ref="AA67" si="56">IF(AC67="N/A","N/A",SUM(AB67:AC67))</f>
        <v>12.3315</v>
      </c>
      <c r="AB67" s="52">
        <v>12.2</v>
      </c>
      <c r="AC67" s="52">
        <f>0.0974+0.0341</f>
        <v>0.13150000000000001</v>
      </c>
      <c r="AD67" s="52">
        <v>5.97</v>
      </c>
      <c r="AE67" s="47" t="s">
        <v>191</v>
      </c>
      <c r="AF67" s="69"/>
      <c r="AG67" s="103" t="str">
        <f t="shared" si="5"/>
        <v xml:space="preserve">A1 </v>
      </c>
      <c r="AH67" s="75" t="s">
        <v>58</v>
      </c>
      <c r="AI67" s="76"/>
      <c r="AJ67" s="103"/>
      <c r="AK67" s="73"/>
      <c r="AL67" s="47">
        <v>0.03</v>
      </c>
      <c r="AM67" s="47" t="s">
        <v>191</v>
      </c>
      <c r="AN67" s="47"/>
      <c r="AO67" s="80" t="s">
        <v>17</v>
      </c>
      <c r="AP67" s="110"/>
      <c r="AQ67" s="73"/>
      <c r="AR67" s="25"/>
    </row>
    <row r="68" spans="1:44" ht="25.2" customHeight="1" x14ac:dyDescent="0.15">
      <c r="A68" s="47" t="s">
        <v>485</v>
      </c>
      <c r="B68" s="47" t="s">
        <v>210</v>
      </c>
      <c r="C68" s="47"/>
      <c r="D68" s="47" t="s">
        <v>466</v>
      </c>
      <c r="E68" s="82" t="s">
        <v>143</v>
      </c>
      <c r="F68" s="47" t="s">
        <v>43</v>
      </c>
      <c r="G68" s="47"/>
      <c r="H68" s="47"/>
      <c r="I68" s="111">
        <v>1</v>
      </c>
      <c r="J68" s="114">
        <f t="shared" ref="J68" si="57">IF(AC68="N/A","N/A",IF(K68="","N/A",K68))</f>
        <v>12.3315</v>
      </c>
      <c r="K68" s="152" cm="1">
        <f t="array" ref="K68">IF(AC68="N/A","",_xlfn.IFS(Y68="m2",((AA68/(Z68/AL68))*I68),Y68="m3",((AA68/(Z68/AL68))*I68),Y68="kg",(((AA68*AM68)/(1/AL68))*I68),Y68="ton",(((AA68/1000*AM68)/(1/AL68))*I68),Y68="N/A",""))</f>
        <v>12.3315</v>
      </c>
      <c r="L68" s="114">
        <f t="shared" ref="L68" si="58">IF(M68="","N/A",M68)</f>
        <v>12.2</v>
      </c>
      <c r="M68" s="152" cm="1">
        <f t="array" ref="M68">(_xlfn.IFS(Y68="m2",((AB68/(Z68/AL68))*I68),Y68="m3",((AB68/(Z68/AL68))*I68),Y68="kg",(((AB68*AM68)/(1/AL68))*I68),Y68="ton",(((AB68/1000*AM68)/(1/AL68))*I68),Y68="N/A",""))</f>
        <v>12.2</v>
      </c>
      <c r="N68" s="52">
        <f t="shared" ref="N68" si="59">IF(O68="","N/A",O68)</f>
        <v>0.13150000000000001</v>
      </c>
      <c r="O68" s="148" cm="1">
        <f t="array" ref="O68">IF(AC68="N/A","",(_xlfn.IFS(Y68="m2",((AC68/(Z68/AL68))*I68),Y68="m3",((AC68/(Z68/AL68))*I68),Y68="kg",(((AC68*AM68)/(1/AL68))*I68),Y68="ton",(((AC68/1000*AM68)/(1/AL68))*I68),Y68="N/A","")))</f>
        <v>0.13150000000000001</v>
      </c>
      <c r="P68" s="52" t="str">
        <f t="shared" ref="P68" si="60">IF(Q68="","N/A",Q68)</f>
        <v>N/A</v>
      </c>
      <c r="Q68" s="155" t="str" cm="1">
        <f t="array" ref="Q68">IF(AE68="N/A","",_xlfn.IFS(Y68="m2",((AE68/(Z68/AL68))*I68),Y68="m3",((AE68/(Z68/AL68))*I68),Y68="kg",(((AE68*AM68)/(1/AL68))*I68),Y68="ton",(((AE68/1000*AM68)/(1/AL68))*I68),Y68="N/A",""))</f>
        <v/>
      </c>
      <c r="R68" s="82" t="s">
        <v>5</v>
      </c>
      <c r="S68" s="47" t="s">
        <v>377</v>
      </c>
      <c r="T68" s="47">
        <v>2026</v>
      </c>
      <c r="U68" s="47" t="s">
        <v>14</v>
      </c>
      <c r="V68" s="47">
        <v>150</v>
      </c>
      <c r="W68" s="47"/>
      <c r="X68" s="47" t="s">
        <v>587</v>
      </c>
      <c r="Y68" s="47" t="s">
        <v>15</v>
      </c>
      <c r="Z68" s="47">
        <v>0.03</v>
      </c>
      <c r="AA68" s="52">
        <f t="shared" ref="AA68" si="61">IF(AC68="N/A","N/A",SUM(AB68:AC68))</f>
        <v>12.3315</v>
      </c>
      <c r="AB68" s="52">
        <v>12.2</v>
      </c>
      <c r="AC68" s="52">
        <f>0.0974+0.0341</f>
        <v>0.13150000000000001</v>
      </c>
      <c r="AD68" s="52">
        <v>5.97</v>
      </c>
      <c r="AE68" s="47" t="s">
        <v>191</v>
      </c>
      <c r="AF68" s="69"/>
      <c r="AG68" s="103" t="str">
        <f t="shared" si="5"/>
        <v xml:space="preserve">A1 </v>
      </c>
      <c r="AH68" s="75" t="s">
        <v>58</v>
      </c>
      <c r="AI68" s="76"/>
      <c r="AJ68" s="103"/>
      <c r="AK68" s="73"/>
      <c r="AL68" s="47">
        <v>0.03</v>
      </c>
      <c r="AM68" s="47" t="s">
        <v>191</v>
      </c>
      <c r="AN68" s="47"/>
      <c r="AO68" s="80" t="s">
        <v>17</v>
      </c>
      <c r="AP68" s="110"/>
      <c r="AQ68" s="73"/>
      <c r="AR68" s="25"/>
    </row>
    <row r="69" spans="1:44" ht="25.2" customHeight="1" x14ac:dyDescent="0.15">
      <c r="A69" s="47" t="s">
        <v>486</v>
      </c>
      <c r="B69" s="47" t="s">
        <v>210</v>
      </c>
      <c r="C69" s="47"/>
      <c r="D69" s="47" t="s">
        <v>466</v>
      </c>
      <c r="E69" s="82" t="s">
        <v>143</v>
      </c>
      <c r="F69" s="47" t="s">
        <v>43</v>
      </c>
      <c r="G69" s="47"/>
      <c r="H69" s="47"/>
      <c r="I69" s="111">
        <v>1</v>
      </c>
      <c r="J69" s="114">
        <f t="shared" ref="J69:J70" si="62">IF(AC69="N/A","N/A",IF(K69="","N/A",K69))</f>
        <v>12.3315</v>
      </c>
      <c r="K69" s="152" cm="1">
        <f t="array" ref="K69">IF(AC69="N/A","",_xlfn.IFS(Y69="m2",((AA69/(Z69/AL69))*I69),Y69="m3",((AA69/(Z69/AL69))*I69),Y69="kg",(((AA69*AM69)/(1/AL69))*I69),Y69="ton",(((AA69/1000*AM69)/(1/AL69))*I69),Y69="N/A",""))</f>
        <v>12.3315</v>
      </c>
      <c r="L69" s="114">
        <f t="shared" ref="L69:L70" si="63">IF(M69="","N/A",M69)</f>
        <v>12.2</v>
      </c>
      <c r="M69" s="152" cm="1">
        <f t="array" ref="M69">(_xlfn.IFS(Y69="m2",((AB69/(Z69/AL69))*I69),Y69="m3",((AB69/(Z69/AL69))*I69),Y69="kg",(((AB69*AM69)/(1/AL69))*I69),Y69="ton",(((AB69/1000*AM69)/(1/AL69))*I69),Y69="N/A",""))</f>
        <v>12.2</v>
      </c>
      <c r="N69" s="52">
        <f t="shared" ref="N69:N70" si="64">IF(O69="","N/A",O69)</f>
        <v>0.13150000000000001</v>
      </c>
      <c r="O69" s="148" cm="1">
        <f t="array" ref="O69">IF(AC69="N/A","",(_xlfn.IFS(Y69="m2",((AC69/(Z69/AL69))*I69),Y69="m3",((AC69/(Z69/AL69))*I69),Y69="kg",(((AC69*AM69)/(1/AL69))*I69),Y69="ton",(((AC69/1000*AM69)/(1/AL69))*I69),Y69="N/A","")))</f>
        <v>0.13150000000000001</v>
      </c>
      <c r="P69" s="52" t="str">
        <f t="shared" ref="P69:P70" si="65">IF(Q69="","N/A",Q69)</f>
        <v>N/A</v>
      </c>
      <c r="Q69" s="155" t="str" cm="1">
        <f t="array" ref="Q69">IF(AE69="N/A","",_xlfn.IFS(Y69="m2",((AE69/(Z69/AL69))*I69),Y69="m3",((AE69/(Z69/AL69))*I69),Y69="kg",(((AE69*AM69)/(1/AL69))*I69),Y69="ton",(((AE69/1000*AM69)/(1/AL69))*I69),Y69="N/A",""))</f>
        <v/>
      </c>
      <c r="R69" s="82" t="s">
        <v>5</v>
      </c>
      <c r="S69" s="47" t="s">
        <v>377</v>
      </c>
      <c r="T69" s="47">
        <v>2026</v>
      </c>
      <c r="U69" s="47" t="s">
        <v>14</v>
      </c>
      <c r="V69" s="47">
        <v>150</v>
      </c>
      <c r="W69" s="47"/>
      <c r="X69" s="47" t="s">
        <v>587</v>
      </c>
      <c r="Y69" s="47" t="s">
        <v>15</v>
      </c>
      <c r="Z69" s="47">
        <v>0.03</v>
      </c>
      <c r="AA69" s="52">
        <f t="shared" ref="AA69:AA70" si="66">IF(AC69="N/A","N/A",SUM(AB69:AC69))</f>
        <v>12.3315</v>
      </c>
      <c r="AB69" s="52">
        <v>12.2</v>
      </c>
      <c r="AC69" s="52">
        <f>0.0974+0.0341</f>
        <v>0.13150000000000001</v>
      </c>
      <c r="AD69" s="52">
        <v>5.97</v>
      </c>
      <c r="AE69" s="47" t="s">
        <v>191</v>
      </c>
      <c r="AF69" s="69"/>
      <c r="AG69" s="103" t="str">
        <f t="shared" ref="AG69:AG77" si="67">AH69&amp;" "&amp;AI69</f>
        <v xml:space="preserve">A1 </v>
      </c>
      <c r="AH69" s="75" t="s">
        <v>58</v>
      </c>
      <c r="AI69" s="76"/>
      <c r="AJ69" s="103"/>
      <c r="AK69" s="73"/>
      <c r="AL69" s="47">
        <v>0.03</v>
      </c>
      <c r="AM69" s="47" t="s">
        <v>191</v>
      </c>
      <c r="AN69" s="47"/>
      <c r="AO69" s="80" t="s">
        <v>17</v>
      </c>
      <c r="AP69" s="110"/>
      <c r="AQ69" s="73"/>
      <c r="AR69" s="25"/>
    </row>
    <row r="70" spans="1:44" ht="25.2" customHeight="1" x14ac:dyDescent="0.15">
      <c r="A70" s="47" t="s">
        <v>487</v>
      </c>
      <c r="B70" s="47" t="s">
        <v>210</v>
      </c>
      <c r="C70" s="47"/>
      <c r="D70" s="47" t="s">
        <v>466</v>
      </c>
      <c r="E70" s="47" t="s">
        <v>191</v>
      </c>
      <c r="F70" s="47" t="s">
        <v>43</v>
      </c>
      <c r="G70" s="47"/>
      <c r="H70" s="47"/>
      <c r="I70" s="111">
        <v>1</v>
      </c>
      <c r="J70" s="114" t="str">
        <f t="shared" si="62"/>
        <v>N/A</v>
      </c>
      <c r="K70" s="152" t="str" cm="1">
        <f t="array" ref="K70">IF(AC70="N/A","",_xlfn.IFS(Y70="m2",((AA70/(Z70/AL70))*I70),Y70="m3",((AA70/(Z70/AL70))*I70),Y70="kg",(((AA70*AM70)/(1/AL70))*I70),Y70="ton",(((AA70/1000*AM70)/(1/AL70))*I70),Y70="N/A",""))</f>
        <v/>
      </c>
      <c r="L70" s="114" t="str">
        <f t="shared" si="63"/>
        <v>N/A</v>
      </c>
      <c r="M70" s="152" t="str" cm="1">
        <f t="array" ref="M70">(_xlfn.IFS(Y70="m2",((AB70/(Z70/AL70))*I70),Y70="m3",((AB70/(Z70/AL70))*I70),Y70="kg",(((AB70*AM70)/(1/AL70))*I70),Y70="ton",(((AB70/1000*AM70)/(1/AL70))*I70),Y70="N/A",""))</f>
        <v/>
      </c>
      <c r="N70" s="52" t="str">
        <f t="shared" si="64"/>
        <v>N/A</v>
      </c>
      <c r="O70" s="148" t="str" cm="1">
        <f t="array" ref="O70">IF(AC70="N/A","",(_xlfn.IFS(Y70="m2",((AC70/(Z70/AL70))*I70),Y70="m3",((AC70/(Z70/AL70))*I70),Y70="kg",(((AC70*AM70)/(1/AL70))*I70),Y70="ton",(((AC70/1000*AM70)/(1/AL70))*I70),Y70="N/A","")))</f>
        <v/>
      </c>
      <c r="P70" s="52" t="str">
        <f t="shared" si="65"/>
        <v>N/A</v>
      </c>
      <c r="Q70" s="155" t="str" cm="1">
        <f t="array" ref="Q70">IF(AE70="N/A","",_xlfn.IFS(Y70="m2",((AE70/(Z70/AL70))*I70),Y70="m3",((AE70/(Z70/AL70))*I70),Y70="kg",(((AE70*AM70)/(1/AL70))*I70),Y70="ton",(((AE70/1000*AM70)/(1/AL70))*I70),Y70="N/A",""))</f>
        <v/>
      </c>
      <c r="R70" s="47" t="s">
        <v>191</v>
      </c>
      <c r="S70" s="47"/>
      <c r="T70" s="47" t="s">
        <v>191</v>
      </c>
      <c r="U70" s="47" t="s">
        <v>191</v>
      </c>
      <c r="V70" s="47" t="s">
        <v>191</v>
      </c>
      <c r="W70" s="47"/>
      <c r="X70" s="47" t="s">
        <v>191</v>
      </c>
      <c r="Y70" s="47" t="s">
        <v>191</v>
      </c>
      <c r="Z70" s="47" t="s">
        <v>191</v>
      </c>
      <c r="AA70" s="52" t="str">
        <f t="shared" si="66"/>
        <v>N/A</v>
      </c>
      <c r="AB70" s="47" t="s">
        <v>191</v>
      </c>
      <c r="AC70" s="47" t="s">
        <v>191</v>
      </c>
      <c r="AD70" s="47" t="s">
        <v>191</v>
      </c>
      <c r="AE70" s="47" t="s">
        <v>191</v>
      </c>
      <c r="AF70" s="69"/>
      <c r="AG70" s="103" t="str">
        <f t="shared" si="67"/>
        <v xml:space="preserve">F </v>
      </c>
      <c r="AH70" s="75" t="s">
        <v>82</v>
      </c>
      <c r="AI70" s="76"/>
      <c r="AJ70" s="103"/>
      <c r="AK70" s="73"/>
      <c r="AL70" s="47" t="s">
        <v>191</v>
      </c>
      <c r="AM70" s="47" t="s">
        <v>191</v>
      </c>
      <c r="AN70" s="47"/>
      <c r="AO70" s="80" t="s">
        <v>17</v>
      </c>
      <c r="AP70" s="110"/>
      <c r="AQ70" s="73"/>
      <c r="AR70" s="25"/>
    </row>
    <row r="71" spans="1:44" ht="24.6" customHeight="1" x14ac:dyDescent="0.15">
      <c r="A71" s="47" t="s">
        <v>488</v>
      </c>
      <c r="B71" s="47" t="s">
        <v>210</v>
      </c>
      <c r="C71" s="47"/>
      <c r="D71" s="47" t="s">
        <v>466</v>
      </c>
      <c r="E71" s="82" t="s">
        <v>143</v>
      </c>
      <c r="F71" s="47" t="s">
        <v>43</v>
      </c>
      <c r="G71" s="47"/>
      <c r="H71" s="47"/>
      <c r="I71" s="111">
        <v>1</v>
      </c>
      <c r="J71" s="114">
        <f t="shared" ref="J71" si="68">IF(AC71="N/A","N/A",IF(K71="","N/A",K71))</f>
        <v>12.3315</v>
      </c>
      <c r="K71" s="152" cm="1">
        <f t="array" ref="K71">IF(AC71="N/A","",_xlfn.IFS(Y71="m2",((AA71/(Z71/AL71))*I71),Y71="m3",((AA71/(Z71/AL71))*I71),Y71="kg",(((AA71*AM71)/(1/AL71))*I71),Y71="ton",(((AA71/1000*AM71)/(1/AL71))*I71),Y71="N/A",""))</f>
        <v>12.3315</v>
      </c>
      <c r="L71" s="114">
        <f t="shared" ref="L71" si="69">IF(M71="","N/A",M71)</f>
        <v>12.2</v>
      </c>
      <c r="M71" s="152" cm="1">
        <f t="array" ref="M71">(_xlfn.IFS(Y71="m2",((AB71/(Z71/AL71))*I71),Y71="m3",((AB71/(Z71/AL71))*I71),Y71="kg",(((AB71*AM71)/(1/AL71))*I71),Y71="ton",(((AB71/1000*AM71)/(1/AL71))*I71),Y71="N/A",""))</f>
        <v>12.2</v>
      </c>
      <c r="N71" s="52">
        <f t="shared" ref="N71" si="70">IF(O71="","N/A",O71)</f>
        <v>0.13150000000000001</v>
      </c>
      <c r="O71" s="148" cm="1">
        <f t="array" ref="O71">IF(AC71="N/A","",(_xlfn.IFS(Y71="m2",((AC71/(Z71/AL71))*I71),Y71="m3",((AC71/(Z71/AL71))*I71),Y71="kg",(((AC71*AM71)/(1/AL71))*I71),Y71="ton",(((AC71/1000*AM71)/(1/AL71))*I71),Y71="N/A","")))</f>
        <v>0.13150000000000001</v>
      </c>
      <c r="P71" s="52" t="str">
        <f t="shared" ref="P71" si="71">IF(Q71="","N/A",Q71)</f>
        <v>N/A</v>
      </c>
      <c r="Q71" s="155" t="str" cm="1">
        <f t="array" ref="Q71">IF(AE71="N/A","",_xlfn.IFS(Y71="m2",((AE71/(Z71/AL71))*I71),Y71="m3",((AE71/(Z71/AL71))*I71),Y71="kg",(((AE71*AM71)/(1/AL71))*I71),Y71="ton",(((AE71/1000*AM71)/(1/AL71))*I71),Y71="N/A",""))</f>
        <v/>
      </c>
      <c r="R71" s="82" t="s">
        <v>5</v>
      </c>
      <c r="S71" s="47" t="s">
        <v>377</v>
      </c>
      <c r="T71" s="47">
        <v>2026</v>
      </c>
      <c r="U71" s="47" t="s">
        <v>14</v>
      </c>
      <c r="V71" s="47">
        <v>150</v>
      </c>
      <c r="W71" s="47"/>
      <c r="X71" s="47" t="s">
        <v>587</v>
      </c>
      <c r="Y71" s="47" t="s">
        <v>15</v>
      </c>
      <c r="Z71" s="47">
        <v>0.03</v>
      </c>
      <c r="AA71" s="52">
        <f t="shared" ref="AA71" si="72">IF(AC71="N/A","N/A",SUM(AB71:AC71))</f>
        <v>12.3315</v>
      </c>
      <c r="AB71" s="52">
        <v>12.2</v>
      </c>
      <c r="AC71" s="52">
        <f>0.0974+0.0341</f>
        <v>0.13150000000000001</v>
      </c>
      <c r="AD71" s="52">
        <v>5.97</v>
      </c>
      <c r="AE71" s="47" t="s">
        <v>191</v>
      </c>
      <c r="AF71" s="69"/>
      <c r="AG71" s="103" t="str">
        <f t="shared" si="67"/>
        <v xml:space="preserve">A1 </v>
      </c>
      <c r="AH71" s="75" t="s">
        <v>58</v>
      </c>
      <c r="AI71" s="76"/>
      <c r="AJ71" s="103"/>
      <c r="AK71" s="73"/>
      <c r="AL71" s="47">
        <v>0.03</v>
      </c>
      <c r="AM71" s="47" t="s">
        <v>191</v>
      </c>
      <c r="AN71" s="47"/>
      <c r="AO71" s="80" t="s">
        <v>17</v>
      </c>
      <c r="AP71" s="110"/>
      <c r="AQ71" s="73"/>
      <c r="AR71" s="25"/>
    </row>
    <row r="72" spans="1:44" ht="25.2" customHeight="1" x14ac:dyDescent="0.15">
      <c r="A72" s="47" t="s">
        <v>489</v>
      </c>
      <c r="B72" s="47" t="s">
        <v>210</v>
      </c>
      <c r="C72" s="47"/>
      <c r="D72" s="47" t="s">
        <v>466</v>
      </c>
      <c r="E72" s="82" t="s">
        <v>143</v>
      </c>
      <c r="F72" s="47" t="s">
        <v>43</v>
      </c>
      <c r="G72" s="47"/>
      <c r="H72" s="47"/>
      <c r="I72" s="111">
        <v>1</v>
      </c>
      <c r="J72" s="114">
        <f t="shared" ref="J72" si="73">IF(AC72="N/A","N/A",IF(K72="","N/A",K72))</f>
        <v>12.3315</v>
      </c>
      <c r="K72" s="152" cm="1">
        <f t="array" ref="K72">IF(AC72="N/A","",_xlfn.IFS(Y72="m2",((AA72/(Z72/AL72))*I72),Y72="m3",((AA72/(Z72/AL72))*I72),Y72="kg",(((AA72*AM72)/(1/AL72))*I72),Y72="ton",(((AA72/1000*AM72)/(1/AL72))*I72),Y72="N/A",""))</f>
        <v>12.3315</v>
      </c>
      <c r="L72" s="114">
        <f t="shared" ref="L72" si="74">IF(M72="","N/A",M72)</f>
        <v>12.2</v>
      </c>
      <c r="M72" s="152" cm="1">
        <f t="array" ref="M72">(_xlfn.IFS(Y72="m2",((AB72/(Z72/AL72))*I72),Y72="m3",((AB72/(Z72/AL72))*I72),Y72="kg",(((AB72*AM72)/(1/AL72))*I72),Y72="ton",(((AB72/1000*AM72)/(1/AL72))*I72),Y72="N/A",""))</f>
        <v>12.2</v>
      </c>
      <c r="N72" s="52">
        <f t="shared" ref="N72" si="75">IF(O72="","N/A",O72)</f>
        <v>0.13150000000000001</v>
      </c>
      <c r="O72" s="148" cm="1">
        <f t="array" ref="O72">IF(AC72="N/A","",(_xlfn.IFS(Y72="m2",((AC72/(Z72/AL72))*I72),Y72="m3",((AC72/(Z72/AL72))*I72),Y72="kg",(((AC72*AM72)/(1/AL72))*I72),Y72="ton",(((AC72/1000*AM72)/(1/AL72))*I72),Y72="N/A","")))</f>
        <v>0.13150000000000001</v>
      </c>
      <c r="P72" s="52" t="str">
        <f t="shared" ref="P72" si="76">IF(Q72="","N/A",Q72)</f>
        <v>N/A</v>
      </c>
      <c r="Q72" s="155" t="str" cm="1">
        <f t="array" ref="Q72">IF(AE72="N/A","",_xlfn.IFS(Y72="m2",((AE72/(Z72/AL72))*I72),Y72="m3",((AE72/(Z72/AL72))*I72),Y72="kg",(((AE72*AM72)/(1/AL72))*I72),Y72="ton",(((AE72/1000*AM72)/(1/AL72))*I72),Y72="N/A",""))</f>
        <v/>
      </c>
      <c r="R72" s="82" t="s">
        <v>5</v>
      </c>
      <c r="S72" s="47" t="s">
        <v>377</v>
      </c>
      <c r="T72" s="47">
        <v>2026</v>
      </c>
      <c r="U72" s="47" t="s">
        <v>14</v>
      </c>
      <c r="V72" s="47">
        <v>150</v>
      </c>
      <c r="W72" s="47"/>
      <c r="X72" s="47" t="s">
        <v>587</v>
      </c>
      <c r="Y72" s="47" t="s">
        <v>15</v>
      </c>
      <c r="Z72" s="47">
        <v>0.03</v>
      </c>
      <c r="AA72" s="52">
        <f t="shared" ref="AA72" si="77">IF(AC72="N/A","N/A",SUM(AB72:AC72))</f>
        <v>12.3315</v>
      </c>
      <c r="AB72" s="52">
        <v>12.2</v>
      </c>
      <c r="AC72" s="52">
        <f>0.0974+0.0341</f>
        <v>0.13150000000000001</v>
      </c>
      <c r="AD72" s="52">
        <v>5.97</v>
      </c>
      <c r="AE72" s="47" t="s">
        <v>191</v>
      </c>
      <c r="AF72" s="69"/>
      <c r="AG72" s="103" t="str">
        <f t="shared" si="67"/>
        <v xml:space="preserve">A1 </v>
      </c>
      <c r="AH72" s="75" t="s">
        <v>58</v>
      </c>
      <c r="AI72" s="76"/>
      <c r="AJ72" s="103"/>
      <c r="AK72" s="73"/>
      <c r="AL72" s="47">
        <v>0.03</v>
      </c>
      <c r="AM72" s="47" t="s">
        <v>191</v>
      </c>
      <c r="AN72" s="47"/>
      <c r="AO72" s="80" t="s">
        <v>17</v>
      </c>
      <c r="AP72" s="110"/>
      <c r="AQ72" s="73"/>
      <c r="AR72" s="25"/>
    </row>
    <row r="73" spans="1:44" ht="25.2" customHeight="1" x14ac:dyDescent="0.15">
      <c r="A73" s="47" t="s">
        <v>490</v>
      </c>
      <c r="B73" s="47" t="s">
        <v>210</v>
      </c>
      <c r="C73" s="47"/>
      <c r="D73" s="47" t="s">
        <v>466</v>
      </c>
      <c r="E73" s="82" t="s">
        <v>143</v>
      </c>
      <c r="F73" s="47" t="s">
        <v>43</v>
      </c>
      <c r="G73" s="47"/>
      <c r="H73" s="47"/>
      <c r="I73" s="111">
        <v>1</v>
      </c>
      <c r="J73" s="114">
        <f t="shared" ref="J73:J74" si="78">IF(AC73="N/A","N/A",IF(K73="","N/A",K73))</f>
        <v>12.3315</v>
      </c>
      <c r="K73" s="152" cm="1">
        <f t="array" ref="K73">IF(AC73="N/A","",_xlfn.IFS(Y73="m2",((AA73/(Z73/AL73))*I73),Y73="m3",((AA73/(Z73/AL73))*I73),Y73="kg",(((AA73*AM73)/(1/AL73))*I73),Y73="ton",(((AA73/1000*AM73)/(1/AL73))*I73),Y73="N/A",""))</f>
        <v>12.3315</v>
      </c>
      <c r="L73" s="114">
        <f t="shared" ref="L73:L74" si="79">IF(M73="","N/A",M73)</f>
        <v>12.2</v>
      </c>
      <c r="M73" s="152" cm="1">
        <f t="array" ref="M73">(_xlfn.IFS(Y73="m2",((AB73/(Z73/AL73))*I73),Y73="m3",((AB73/(Z73/AL73))*I73),Y73="kg",(((AB73*AM73)/(1/AL73))*I73),Y73="ton",(((AB73/1000*AM73)/(1/AL73))*I73),Y73="N/A",""))</f>
        <v>12.2</v>
      </c>
      <c r="N73" s="52">
        <f t="shared" ref="N73:N74" si="80">IF(O73="","N/A",O73)</f>
        <v>0.13150000000000001</v>
      </c>
      <c r="O73" s="148" cm="1">
        <f t="array" ref="O73">IF(AC73="N/A","",(_xlfn.IFS(Y73="m2",((AC73/(Z73/AL73))*I73),Y73="m3",((AC73/(Z73/AL73))*I73),Y73="kg",(((AC73*AM73)/(1/AL73))*I73),Y73="ton",(((AC73/1000*AM73)/(1/AL73))*I73),Y73="N/A","")))</f>
        <v>0.13150000000000001</v>
      </c>
      <c r="P73" s="52" t="str">
        <f t="shared" ref="P73:P74" si="81">IF(Q73="","N/A",Q73)</f>
        <v>N/A</v>
      </c>
      <c r="Q73" s="155" t="str" cm="1">
        <f t="array" ref="Q73">IF(AE73="N/A","",_xlfn.IFS(Y73="m2",((AE73/(Z73/AL73))*I73),Y73="m3",((AE73/(Z73/AL73))*I73),Y73="kg",(((AE73*AM73)/(1/AL73))*I73),Y73="ton",(((AE73/1000*AM73)/(1/AL73))*I73),Y73="N/A",""))</f>
        <v/>
      </c>
      <c r="R73" s="82" t="s">
        <v>5</v>
      </c>
      <c r="S73" s="47" t="s">
        <v>377</v>
      </c>
      <c r="T73" s="47">
        <v>2026</v>
      </c>
      <c r="U73" s="47" t="s">
        <v>14</v>
      </c>
      <c r="V73" s="47">
        <v>150</v>
      </c>
      <c r="W73" s="47"/>
      <c r="X73" s="47" t="s">
        <v>587</v>
      </c>
      <c r="Y73" s="47" t="s">
        <v>15</v>
      </c>
      <c r="Z73" s="47">
        <v>0.03</v>
      </c>
      <c r="AA73" s="52">
        <f t="shared" ref="AA73:AA75" si="82">IF(AC73="N/A","N/A",SUM(AB73:AC73))</f>
        <v>12.3315</v>
      </c>
      <c r="AB73" s="52">
        <v>12.2</v>
      </c>
      <c r="AC73" s="52">
        <f>0.0974+0.0341</f>
        <v>0.13150000000000001</v>
      </c>
      <c r="AD73" s="52">
        <v>5.97</v>
      </c>
      <c r="AE73" s="47" t="s">
        <v>191</v>
      </c>
      <c r="AF73" s="69"/>
      <c r="AG73" s="103" t="str">
        <f t="shared" si="67"/>
        <v xml:space="preserve">A1 </v>
      </c>
      <c r="AH73" s="75" t="s">
        <v>58</v>
      </c>
      <c r="AI73" s="76"/>
      <c r="AJ73" s="103"/>
      <c r="AK73" s="73"/>
      <c r="AL73" s="47">
        <v>0.03</v>
      </c>
      <c r="AM73" s="47" t="s">
        <v>191</v>
      </c>
      <c r="AN73" s="47"/>
      <c r="AO73" s="80" t="s">
        <v>17</v>
      </c>
      <c r="AP73" s="110"/>
      <c r="AQ73" s="73"/>
      <c r="AR73" s="25"/>
    </row>
    <row r="74" spans="1:44" ht="25.2" customHeight="1" x14ac:dyDescent="0.15">
      <c r="A74" s="47" t="s">
        <v>491</v>
      </c>
      <c r="B74" s="47" t="s">
        <v>210</v>
      </c>
      <c r="C74" s="47"/>
      <c r="D74" s="47" t="s">
        <v>466</v>
      </c>
      <c r="E74" s="47" t="s">
        <v>191</v>
      </c>
      <c r="F74" s="47" t="s">
        <v>296</v>
      </c>
      <c r="G74" s="47"/>
      <c r="H74" s="47"/>
      <c r="I74" s="111">
        <v>1</v>
      </c>
      <c r="J74" s="114" t="str">
        <f t="shared" si="78"/>
        <v>N/A</v>
      </c>
      <c r="K74" s="152" t="str" cm="1">
        <f t="array" ref="K74">IF(AC74="N/A","",_xlfn.IFS(Y74="m2",((AA74/(Z74/AL74))*I74),Y74="m3",((AA74/(Z74/AL74))*I74),Y74="kg",(((AA74*AM74)/(1/AL74))*I74),Y74="ton",(((AA74/1000*AM74)/(1/AL74))*I74),Y74="N/A",""))</f>
        <v/>
      </c>
      <c r="L74" s="114" t="str">
        <f t="shared" si="79"/>
        <v>N/A</v>
      </c>
      <c r="M74" s="152" t="str" cm="1">
        <f t="array" ref="M74">(_xlfn.IFS(Y74="m2",((AB74/(Z74/AL74))*I74),Y74="m3",((AB74/(Z74/AL74))*I74),Y74="kg",(((AB74*AM74)/(1/AL74))*I74),Y74="ton",(((AB74/1000*AM74)/(1/AL74))*I74),Y74="N/A",""))</f>
        <v/>
      </c>
      <c r="N74" s="52" t="str">
        <f t="shared" si="80"/>
        <v>N/A</v>
      </c>
      <c r="O74" s="148" t="str" cm="1">
        <f t="array" ref="O74">IF(AC74="N/A","",(_xlfn.IFS(Y74="m2",((AC74/(Z74/AL74))*I74),Y74="m3",((AC74/(Z74/AL74))*I74),Y74="kg",(((AC74*AM74)/(1/AL74))*I74),Y74="ton",(((AC74/1000*AM74)/(1/AL74))*I74),Y74="N/A","")))</f>
        <v/>
      </c>
      <c r="P74" s="52" t="str">
        <f t="shared" si="81"/>
        <v>N/A</v>
      </c>
      <c r="Q74" s="155" t="str" cm="1">
        <f t="array" ref="Q74">IF(AE74="N/A","",_xlfn.IFS(Y74="m2",((AE74/(Z74/AL74))*I74),Y74="m3",((AE74/(Z74/AL74))*I74),Y74="kg",(((AE74*AM74)/(1/AL74))*I74),Y74="ton",(((AE74/1000*AM74)/(1/AL74))*I74),Y74="N/A",""))</f>
        <v/>
      </c>
      <c r="R74" s="47" t="s">
        <v>191</v>
      </c>
      <c r="S74" s="47"/>
      <c r="T74" s="47" t="s">
        <v>191</v>
      </c>
      <c r="U74" s="47" t="s">
        <v>191</v>
      </c>
      <c r="V74" s="47" t="s">
        <v>191</v>
      </c>
      <c r="W74" s="47"/>
      <c r="X74" s="47" t="s">
        <v>191</v>
      </c>
      <c r="Y74" s="47" t="s">
        <v>191</v>
      </c>
      <c r="Z74" s="47" t="s">
        <v>191</v>
      </c>
      <c r="AA74" s="52" t="str">
        <f t="shared" si="82"/>
        <v>N/A</v>
      </c>
      <c r="AB74" s="47" t="s">
        <v>191</v>
      </c>
      <c r="AC74" s="47" t="s">
        <v>191</v>
      </c>
      <c r="AD74" s="47" t="s">
        <v>191</v>
      </c>
      <c r="AE74" s="47" t="s">
        <v>191</v>
      </c>
      <c r="AF74" s="69"/>
      <c r="AG74" s="103" t="str">
        <f t="shared" si="67"/>
        <v xml:space="preserve">F </v>
      </c>
      <c r="AH74" s="75" t="s">
        <v>82</v>
      </c>
      <c r="AI74" s="76"/>
      <c r="AJ74" s="103"/>
      <c r="AK74" s="73"/>
      <c r="AL74" s="47" t="s">
        <v>191</v>
      </c>
      <c r="AM74" s="47" t="s">
        <v>191</v>
      </c>
      <c r="AN74" s="47"/>
      <c r="AO74" s="80" t="s">
        <v>17</v>
      </c>
      <c r="AP74" s="110"/>
      <c r="AQ74" s="73"/>
      <c r="AR74" s="25"/>
    </row>
    <row r="75" spans="1:44" ht="25.2" customHeight="1" x14ac:dyDescent="0.15">
      <c r="A75" s="47" t="s">
        <v>492</v>
      </c>
      <c r="B75" s="47" t="s">
        <v>210</v>
      </c>
      <c r="C75" s="47"/>
      <c r="D75" s="47" t="s">
        <v>466</v>
      </c>
      <c r="E75" s="47" t="s">
        <v>191</v>
      </c>
      <c r="F75" s="47" t="s">
        <v>296</v>
      </c>
      <c r="G75" s="47"/>
      <c r="H75" s="47"/>
      <c r="I75" s="111">
        <v>1</v>
      </c>
      <c r="J75" s="114" t="str">
        <f t="shared" ref="J75:J76" si="83">IF(AC75="N/A","N/A",IF(K75="","N/A",K75))</f>
        <v>N/A</v>
      </c>
      <c r="K75" s="152" t="str" cm="1">
        <f t="array" ref="K75">IF(AC75="N/A","",_xlfn.IFS(Y75="m2",((AA75/(Z75/AL75))*I75),Y75="m3",((AA75/(Z75/AL75))*I75),Y75="kg",(((AA75*AM75)/(1/AL75))*I75),Y75="ton",(((AA75/1000*AM75)/(1/AL75))*I75),Y75="N/A",""))</f>
        <v/>
      </c>
      <c r="L75" s="114" t="str">
        <f t="shared" ref="L75:L76" si="84">IF(M75="","N/A",M75)</f>
        <v>N/A</v>
      </c>
      <c r="M75" s="152" t="str" cm="1">
        <f t="array" ref="M75">(_xlfn.IFS(Y75="m2",((AB75/(Z75/AL75))*I75),Y75="m3",((AB75/(Z75/AL75))*I75),Y75="kg",(((AB75*AM75)/(1/AL75))*I75),Y75="ton",(((AB75/1000*AM75)/(1/AL75))*I75),Y75="N/A",""))</f>
        <v/>
      </c>
      <c r="N75" s="52" t="str">
        <f t="shared" ref="N75:N76" si="85">IF(O75="","N/A",O75)</f>
        <v>N/A</v>
      </c>
      <c r="O75" s="148" t="str" cm="1">
        <f t="array" ref="O75">IF(AC75="N/A","",(_xlfn.IFS(Y75="m2",((AC75/(Z75/AL75))*I75),Y75="m3",((AC75/(Z75/AL75))*I75),Y75="kg",(((AC75*AM75)/(1/AL75))*I75),Y75="ton",(((AC75/1000*AM75)/(1/AL75))*I75),Y75="N/A","")))</f>
        <v/>
      </c>
      <c r="P75" s="52" t="str">
        <f t="shared" ref="P75:P76" si="86">IF(Q75="","N/A",Q75)</f>
        <v>N/A</v>
      </c>
      <c r="Q75" s="155" t="str" cm="1">
        <f t="array" ref="Q75">IF(AE75="N/A","",_xlfn.IFS(Y75="m2",((AE75/(Z75/AL75))*I75),Y75="m3",((AE75/(Z75/AL75))*I75),Y75="kg",(((AE75*AM75)/(1/AL75))*I75),Y75="ton",(((AE75/1000*AM75)/(1/AL75))*I75),Y75="N/A",""))</f>
        <v/>
      </c>
      <c r="R75" s="47" t="s">
        <v>191</v>
      </c>
      <c r="S75" s="47"/>
      <c r="T75" s="47" t="s">
        <v>191</v>
      </c>
      <c r="U75" s="47" t="s">
        <v>191</v>
      </c>
      <c r="V75" s="47" t="s">
        <v>191</v>
      </c>
      <c r="W75" s="47"/>
      <c r="X75" s="47" t="s">
        <v>191</v>
      </c>
      <c r="Y75" s="47" t="s">
        <v>191</v>
      </c>
      <c r="Z75" s="47" t="s">
        <v>191</v>
      </c>
      <c r="AA75" s="52" t="str">
        <f t="shared" si="82"/>
        <v>N/A</v>
      </c>
      <c r="AB75" s="47" t="s">
        <v>191</v>
      </c>
      <c r="AC75" s="47" t="s">
        <v>191</v>
      </c>
      <c r="AD75" s="47" t="s">
        <v>191</v>
      </c>
      <c r="AE75" s="47" t="s">
        <v>191</v>
      </c>
      <c r="AF75" s="69"/>
      <c r="AG75" s="103" t="str">
        <f t="shared" si="67"/>
        <v xml:space="preserve">F </v>
      </c>
      <c r="AH75" s="75" t="s">
        <v>82</v>
      </c>
      <c r="AI75" s="76"/>
      <c r="AJ75" s="103"/>
      <c r="AK75" s="73"/>
      <c r="AL75" s="47" t="s">
        <v>191</v>
      </c>
      <c r="AM75" s="47" t="s">
        <v>191</v>
      </c>
      <c r="AN75" s="47"/>
      <c r="AO75" s="80" t="s">
        <v>17</v>
      </c>
      <c r="AP75" s="110"/>
      <c r="AQ75" s="73"/>
      <c r="AR75" s="25"/>
    </row>
    <row r="76" spans="1:44" ht="25.2" customHeight="1" x14ac:dyDescent="0.15">
      <c r="A76" s="47" t="s">
        <v>493</v>
      </c>
      <c r="B76" s="47" t="s">
        <v>210</v>
      </c>
      <c r="C76" s="47"/>
      <c r="D76" s="47" t="s">
        <v>466</v>
      </c>
      <c r="E76" s="47" t="s">
        <v>191</v>
      </c>
      <c r="F76" s="47" t="s">
        <v>481</v>
      </c>
      <c r="G76" s="47"/>
      <c r="H76" s="47"/>
      <c r="I76" s="111">
        <v>1</v>
      </c>
      <c r="J76" s="114" t="str">
        <f t="shared" si="83"/>
        <v>N/A</v>
      </c>
      <c r="K76" s="152" t="str" cm="1">
        <f t="array" ref="K76">IF(AC76="N/A","",_xlfn.IFS(Y76="m2",((AA76/(Z76/AL76))*I76),Y76="m3",((AA76/(Z76/AL76))*I76),Y76="kg",(((AA76*AM76)/(1/AL76))*I76),Y76="ton",(((AA76/1000*AM76)/(1/AL76))*I76),Y76="N/A",""))</f>
        <v/>
      </c>
      <c r="L76" s="114" t="str">
        <f t="shared" si="84"/>
        <v>N/A</v>
      </c>
      <c r="M76" s="152" t="str" cm="1">
        <f t="array" ref="M76">(_xlfn.IFS(Y76="m2",((AB76/(Z76/AL76))*I76),Y76="m3",((AB76/(Z76/AL76))*I76),Y76="kg",(((AB76*AM76)/(1/AL76))*I76),Y76="ton",(((AB76/1000*AM76)/(1/AL76))*I76),Y76="N/A",""))</f>
        <v/>
      </c>
      <c r="N76" s="52" t="str">
        <f t="shared" si="85"/>
        <v>N/A</v>
      </c>
      <c r="O76" s="148" t="str" cm="1">
        <f t="array" ref="O76">IF(AC76="N/A","",(_xlfn.IFS(Y76="m2",((AC76/(Z76/AL76))*I76),Y76="m3",((AC76/(Z76/AL76))*I76),Y76="kg",(((AC76*AM76)/(1/AL76))*I76),Y76="ton",(((AC76/1000*AM76)/(1/AL76))*I76),Y76="N/A","")))</f>
        <v/>
      </c>
      <c r="P76" s="52" t="str">
        <f t="shared" si="86"/>
        <v>N/A</v>
      </c>
      <c r="Q76" s="155" t="str" cm="1">
        <f t="array" ref="Q76">IF(AE76="N/A","",_xlfn.IFS(Y76="m2",((AE76/(Z76/AL76))*I76),Y76="m3",((AE76/(Z76/AL76))*I76),Y76="kg",(((AE76*AM76)/(1/AL76))*I76),Y76="ton",(((AE76/1000*AM76)/(1/AL76))*I76),Y76="N/A",""))</f>
        <v/>
      </c>
      <c r="R76" s="47" t="s">
        <v>191</v>
      </c>
      <c r="S76" s="47"/>
      <c r="T76" s="47" t="s">
        <v>191</v>
      </c>
      <c r="U76" s="47" t="s">
        <v>191</v>
      </c>
      <c r="V76" s="47" t="s">
        <v>191</v>
      </c>
      <c r="W76" s="47"/>
      <c r="X76" s="47" t="s">
        <v>191</v>
      </c>
      <c r="Y76" s="47" t="s">
        <v>191</v>
      </c>
      <c r="Z76" s="47" t="s">
        <v>191</v>
      </c>
      <c r="AA76" s="52" t="str">
        <f t="shared" ref="AA76:AA84" si="87">IF(AC76="N/A","N/A",SUM(AB76:AC76))</f>
        <v>N/A</v>
      </c>
      <c r="AB76" s="47" t="s">
        <v>191</v>
      </c>
      <c r="AC76" s="47" t="s">
        <v>191</v>
      </c>
      <c r="AD76" s="47" t="s">
        <v>191</v>
      </c>
      <c r="AE76" s="47" t="s">
        <v>191</v>
      </c>
      <c r="AF76" s="69"/>
      <c r="AG76" s="103" t="str">
        <f t="shared" si="67"/>
        <v xml:space="preserve">F </v>
      </c>
      <c r="AH76" s="75" t="s">
        <v>82</v>
      </c>
      <c r="AI76" s="76"/>
      <c r="AJ76" s="103"/>
      <c r="AK76" s="73"/>
      <c r="AL76" s="47" t="s">
        <v>191</v>
      </c>
      <c r="AM76" s="47" t="s">
        <v>191</v>
      </c>
      <c r="AN76" s="47"/>
      <c r="AO76" s="80" t="s">
        <v>17</v>
      </c>
      <c r="AP76" s="110"/>
      <c r="AQ76" s="73"/>
      <c r="AR76" s="25"/>
    </row>
    <row r="77" spans="1:44" ht="25.2" customHeight="1" x14ac:dyDescent="0.15">
      <c r="A77" s="47" t="s">
        <v>494</v>
      </c>
      <c r="B77" s="47" t="s">
        <v>210</v>
      </c>
      <c r="C77" s="47"/>
      <c r="D77" s="47" t="s">
        <v>466</v>
      </c>
      <c r="E77" s="47" t="s">
        <v>191</v>
      </c>
      <c r="F77" s="47" t="s">
        <v>481</v>
      </c>
      <c r="G77" s="47"/>
      <c r="H77" s="47"/>
      <c r="I77" s="111">
        <v>1</v>
      </c>
      <c r="J77" s="114" t="str">
        <f t="shared" ref="J77:J78" si="88">IF(AC77="N/A","N/A",IF(K77="","N/A",K77))</f>
        <v>N/A</v>
      </c>
      <c r="K77" s="152" t="str" cm="1">
        <f t="array" ref="K77">IF(AC77="N/A","",_xlfn.IFS(Y77="m2",((AA77/(Z77/AL77))*I77),Y77="m3",((AA77/(Z77/AL77))*I77),Y77="kg",(((AA77*AM77)/(1/AL77))*I77),Y77="ton",(((AA77/1000*AM77)/(1/AL77))*I77),Y77="N/A",""))</f>
        <v/>
      </c>
      <c r="L77" s="114" t="str">
        <f t="shared" ref="L77:L78" si="89">IF(M77="","N/A",M77)</f>
        <v>N/A</v>
      </c>
      <c r="M77" s="152" t="str" cm="1">
        <f t="array" ref="M77">(_xlfn.IFS(Y77="m2",((AB77/(Z77/AL77))*I77),Y77="m3",((AB77/(Z77/AL77))*I77),Y77="kg",(((AB77*AM77)/(1/AL77))*I77),Y77="ton",(((AB77/1000*AM77)/(1/AL77))*I77),Y77="N/A",""))</f>
        <v/>
      </c>
      <c r="N77" s="52" t="str">
        <f t="shared" ref="N77:N78" si="90">IF(O77="","N/A",O77)</f>
        <v>N/A</v>
      </c>
      <c r="O77" s="148" t="str" cm="1">
        <f t="array" ref="O77">IF(AC77="N/A","",(_xlfn.IFS(Y77="m2",((AC77/(Z77/AL77))*I77),Y77="m3",((AC77/(Z77/AL77))*I77),Y77="kg",(((AC77*AM77)/(1/AL77))*I77),Y77="ton",(((AC77/1000*AM77)/(1/AL77))*I77),Y77="N/A","")))</f>
        <v/>
      </c>
      <c r="P77" s="52" t="str">
        <f t="shared" ref="P77:P78" si="91">IF(Q77="","N/A",Q77)</f>
        <v>N/A</v>
      </c>
      <c r="Q77" s="155" t="str" cm="1">
        <f t="array" ref="Q77">IF(AE77="N/A","",_xlfn.IFS(Y77="m2",((AE77/(Z77/AL77))*I77),Y77="m3",((AE77/(Z77/AL77))*I77),Y77="kg",(((AE77*AM77)/(1/AL77))*I77),Y77="ton",(((AE77/1000*AM77)/(1/AL77))*I77),Y77="N/A",""))</f>
        <v/>
      </c>
      <c r="R77" s="47" t="s">
        <v>191</v>
      </c>
      <c r="S77" s="47"/>
      <c r="T77" s="47" t="s">
        <v>191</v>
      </c>
      <c r="U77" s="47" t="s">
        <v>191</v>
      </c>
      <c r="V77" s="47" t="s">
        <v>191</v>
      </c>
      <c r="W77" s="47"/>
      <c r="X77" s="47" t="s">
        <v>191</v>
      </c>
      <c r="Y77" s="47" t="s">
        <v>191</v>
      </c>
      <c r="Z77" s="47" t="s">
        <v>191</v>
      </c>
      <c r="AA77" s="52" t="str">
        <f t="shared" si="87"/>
        <v>N/A</v>
      </c>
      <c r="AB77" s="47" t="s">
        <v>191</v>
      </c>
      <c r="AC77" s="47" t="s">
        <v>191</v>
      </c>
      <c r="AD77" s="47" t="s">
        <v>191</v>
      </c>
      <c r="AE77" s="47" t="s">
        <v>191</v>
      </c>
      <c r="AF77" s="69"/>
      <c r="AG77" s="103" t="str">
        <f t="shared" si="67"/>
        <v xml:space="preserve">F </v>
      </c>
      <c r="AH77" s="75" t="s">
        <v>82</v>
      </c>
      <c r="AI77" s="76"/>
      <c r="AJ77" s="103"/>
      <c r="AK77" s="73"/>
      <c r="AL77" s="47" t="s">
        <v>191</v>
      </c>
      <c r="AM77" s="47" t="s">
        <v>191</v>
      </c>
      <c r="AN77" s="47"/>
      <c r="AO77" s="80" t="s">
        <v>17</v>
      </c>
      <c r="AP77" s="110"/>
      <c r="AQ77" s="73"/>
      <c r="AR77" s="25"/>
    </row>
    <row r="78" spans="1:44" ht="25.2" customHeight="1" x14ac:dyDescent="0.15">
      <c r="A78" s="47" t="s">
        <v>823</v>
      </c>
      <c r="B78" s="47" t="s">
        <v>208</v>
      </c>
      <c r="C78" s="47"/>
      <c r="D78" s="47" t="s">
        <v>99</v>
      </c>
      <c r="E78" s="47" t="s">
        <v>146</v>
      </c>
      <c r="F78" s="47" t="s">
        <v>55</v>
      </c>
      <c r="G78" s="47" t="s">
        <v>817</v>
      </c>
      <c r="H78" s="47"/>
      <c r="I78" s="111">
        <v>1</v>
      </c>
      <c r="J78" s="114">
        <f t="shared" si="88"/>
        <v>5.7</v>
      </c>
      <c r="K78" s="152" cm="1">
        <f t="array" ref="K78">IF(AC78="N/A","",_xlfn.IFS(Y78="m2",((AA78/(Z78/AL78))*I78),Y78="m3",((AA78/(Z78/AL78))*I78),Y78="kg",(((AA78*AM78)/(1/AL78))*I78),Y78="ton",(((AA78/1000*AM78)/(1/AL78))*I78),Y78="N/A",""))</f>
        <v>5.7</v>
      </c>
      <c r="L78" s="114">
        <f t="shared" si="89"/>
        <v>-9.3000000000000007</v>
      </c>
      <c r="M78" s="152" cm="1">
        <f t="array" ref="M78">(_xlfn.IFS(Y78="m2",((AB78/(Z78/AL78))*I78),Y78="m3",((AB78/(Z78/AL78))*I78),Y78="kg",(((AB78*AM78)/(1/AL78))*I78),Y78="ton",(((AB78/1000*AM78)/(1/AL78))*I78),Y78="N/A",""))</f>
        <v>-9.3000000000000007</v>
      </c>
      <c r="N78" s="52">
        <f t="shared" si="90"/>
        <v>15</v>
      </c>
      <c r="O78" s="148" cm="1">
        <f t="array" ref="O78">IF(AC78="N/A","",(_xlfn.IFS(Y78="m2",((AC78/(Z78/AL78))*I78),Y78="m3",((AC78/(Z78/AL78))*I78),Y78="kg",(((AC78*AM78)/(1/AL78))*I78),Y78="ton",(((AC78/1000*AM78)/(1/AL78))*I78),Y78="N/A","")))</f>
        <v>15</v>
      </c>
      <c r="P78" s="52">
        <f t="shared" si="91"/>
        <v>14.72</v>
      </c>
      <c r="Q78" s="155" cm="1">
        <f t="array" ref="Q78">IF(AE78="N/A","",_xlfn.IFS(Y78="m2",((AE78/(Z78/AL78))*I78),Y78="m3",((AE78/(Z78/AL78))*I78),Y78="kg",(((AE78*AM78)/(1/AL78))*I78),Y78="ton",(((AE78/1000*AM78)/(1/AL78))*I78),Y78="N/A",""))</f>
        <v>14.72</v>
      </c>
      <c r="R78" s="221" t="s">
        <v>5</v>
      </c>
      <c r="S78" s="47" t="s">
        <v>377</v>
      </c>
      <c r="T78" s="47">
        <v>2028</v>
      </c>
      <c r="U78" s="47" t="s">
        <v>28</v>
      </c>
      <c r="V78" s="47" t="s">
        <v>191</v>
      </c>
      <c r="W78" s="47"/>
      <c r="X78" s="47" t="s">
        <v>818</v>
      </c>
      <c r="Y78" s="47" t="s">
        <v>20</v>
      </c>
      <c r="Z78" s="47">
        <v>1</v>
      </c>
      <c r="AA78" s="52">
        <f t="shared" si="87"/>
        <v>285</v>
      </c>
      <c r="AB78" s="52">
        <v>-465</v>
      </c>
      <c r="AC78" s="52">
        <f>750+0</f>
        <v>750</v>
      </c>
      <c r="AD78" s="52">
        <v>-358</v>
      </c>
      <c r="AE78" s="52">
        <v>736</v>
      </c>
      <c r="AF78" s="69"/>
      <c r="AG78" s="103" t="str">
        <f t="shared" ref="AG78:AG133" si="92">AH78&amp;" "&amp;AI78</f>
        <v>D s1
d0</v>
      </c>
      <c r="AH78" s="75" t="s">
        <v>8</v>
      </c>
      <c r="AI78" s="83" t="s">
        <v>176</v>
      </c>
      <c r="AJ78" s="103"/>
      <c r="AK78" s="73"/>
      <c r="AL78" s="47">
        <v>0.02</v>
      </c>
      <c r="AM78" s="47">
        <f>(400+450)/2</f>
        <v>425</v>
      </c>
      <c r="AN78" s="47"/>
      <c r="AO78" s="269" t="s">
        <v>17</v>
      </c>
      <c r="AP78" s="110"/>
      <c r="AQ78" s="73"/>
      <c r="AR78" s="25"/>
    </row>
    <row r="79" spans="1:44" ht="25.2" customHeight="1" x14ac:dyDescent="0.15">
      <c r="A79" s="85" t="s">
        <v>819</v>
      </c>
      <c r="B79" s="47" t="s">
        <v>208</v>
      </c>
      <c r="C79" s="47"/>
      <c r="D79" s="47" t="s">
        <v>99</v>
      </c>
      <c r="E79" s="47" t="s">
        <v>149</v>
      </c>
      <c r="F79" s="47" t="s">
        <v>55</v>
      </c>
      <c r="G79" s="85" t="s">
        <v>829</v>
      </c>
      <c r="H79" s="47"/>
      <c r="I79" s="111">
        <v>1</v>
      </c>
      <c r="J79" s="114">
        <f t="shared" ref="J79:J80" si="93">IF(AC79="N/A","N/A",IF(K79="","N/A",K79))</f>
        <v>12.541370000000001</v>
      </c>
      <c r="K79" s="152" cm="1">
        <f t="array" ref="K79">IF(AC79="N/A","",_xlfn.IFS(Y79="m2",((AA79/(Z79/AL79))*I79),Y79="m3",((AA79/(Z79/AL79))*I79),Y79="kg",(((AA79*AM79)/(1/AL79))*I79),Y79="ton",(((AA79/1000*AM79)/(1/AL79))*I79),Y79="N/A",""))</f>
        <v>12.541370000000001</v>
      </c>
      <c r="L79" s="114">
        <f t="shared" ref="L79:L80" si="94">IF(M79="","N/A",M79)</f>
        <v>-5.16</v>
      </c>
      <c r="M79" s="152" cm="1">
        <f t="array" ref="M79">(_xlfn.IFS(Y79="m2",((AB79/(Z79/AL79))*I79),Y79="m3",((AB79/(Z79/AL79))*I79),Y79="kg",(((AB79*AM79)/(1/AL79))*I79),Y79="ton",(((AB79/1000*AM79)/(1/AL79))*I79),Y79="N/A",""))</f>
        <v>-5.16</v>
      </c>
      <c r="N79" s="52">
        <f t="shared" ref="N79:N80" si="95">IF(O79="","N/A",O79)</f>
        <v>17.701370000000001</v>
      </c>
      <c r="O79" s="148" cm="1">
        <f t="array" ref="O79">IF(AC79="N/A","",(_xlfn.IFS(Y79="m2",((AC79/(Z79/AL79))*I79),Y79="m3",((AC79/(Z79/AL79))*I79),Y79="kg",(((AC79*AM79)/(1/AL79))*I79),Y79="ton",(((AC79/1000*AM79)/(1/AL79))*I79),Y79="N/A","")))</f>
        <v>17.701370000000001</v>
      </c>
      <c r="P79" s="52" t="str">
        <f t="shared" ref="P79:P80" si="96">IF(Q79="","N/A",Q79)</f>
        <v>N/A</v>
      </c>
      <c r="Q79" s="155" t="str" cm="1">
        <f t="array" ref="Q79">IF(AE79="N/A","",_xlfn.IFS(Y79="m2",((AE79/(Z79/AL79))*I79),Y79="m3",((AE79/(Z79/AL79))*I79),Y79="kg",(((AE79*AM79)/(1/AL79))*I79),Y79="ton",(((AE79/1000*AM79)/(1/AL79))*I79),Y79="N/A",""))</f>
        <v/>
      </c>
      <c r="R79" s="221" t="s">
        <v>5</v>
      </c>
      <c r="S79" s="47"/>
      <c r="T79" s="47">
        <v>2025</v>
      </c>
      <c r="U79" s="47" t="s">
        <v>14</v>
      </c>
      <c r="V79" s="47">
        <v>60</v>
      </c>
      <c r="W79" s="47"/>
      <c r="X79" s="47" t="s">
        <v>822</v>
      </c>
      <c r="Y79" s="47" t="s">
        <v>15</v>
      </c>
      <c r="Z79" s="47">
        <v>0.02</v>
      </c>
      <c r="AA79" s="52">
        <f t="shared" si="87"/>
        <v>12.541370000000001</v>
      </c>
      <c r="AB79" s="52">
        <v>-5.16</v>
      </c>
      <c r="AC79" s="52">
        <f>17.7+0.00137</f>
        <v>17.701370000000001</v>
      </c>
      <c r="AD79" s="52">
        <v>-0.79200000000000004</v>
      </c>
      <c r="AE79" s="47" t="s">
        <v>191</v>
      </c>
      <c r="AF79" s="69"/>
      <c r="AG79" s="103" t="str">
        <f t="shared" si="92"/>
        <v>B s1
d0</v>
      </c>
      <c r="AH79" s="75" t="s">
        <v>178</v>
      </c>
      <c r="AI79" s="83" t="s">
        <v>176</v>
      </c>
      <c r="AJ79" s="103"/>
      <c r="AK79" s="73"/>
      <c r="AL79" s="47">
        <v>0.02</v>
      </c>
      <c r="AM79" s="47">
        <v>435</v>
      </c>
      <c r="AN79" s="47"/>
      <c r="AO79" s="269" t="s">
        <v>17</v>
      </c>
      <c r="AP79" s="110"/>
      <c r="AQ79" s="73"/>
      <c r="AR79" s="25"/>
    </row>
    <row r="80" spans="1:44" ht="25.2" customHeight="1" x14ac:dyDescent="0.25">
      <c r="A80" s="47" t="s">
        <v>820</v>
      </c>
      <c r="B80" s="47" t="s">
        <v>208</v>
      </c>
      <c r="C80" s="47"/>
      <c r="D80" s="47" t="s">
        <v>99</v>
      </c>
      <c r="E80" s="47" t="s">
        <v>151</v>
      </c>
      <c r="F80" s="47" t="s">
        <v>55</v>
      </c>
      <c r="G80" s="47" t="s">
        <v>817</v>
      </c>
      <c r="H80" s="196"/>
      <c r="I80" s="111">
        <v>1</v>
      </c>
      <c r="J80" s="114">
        <f t="shared" si="93"/>
        <v>8.6206500000000013</v>
      </c>
      <c r="K80" s="152" cm="1">
        <f t="array" ref="K80">IF(AC80="N/A","",_xlfn.IFS(Y80="m2",((AA80/(Z80/AL80))*I80),Y80="m3",((AA80/(Z80/AL80))*I80),Y80="kg",(((AA80*AM80)/(1/AL80))*I80),Y80="ton",(((AA80/1000*AM80)/(1/AL80))*I80),Y80="N/A",""))</f>
        <v>8.6206500000000013</v>
      </c>
      <c r="L80" s="114">
        <f t="shared" si="94"/>
        <v>-14.78</v>
      </c>
      <c r="M80" s="152" cm="1">
        <f t="array" ref="M80">(_xlfn.IFS(Y80="m2",((AB80/(Z80/AL80))*I80),Y80="m3",((AB80/(Z80/AL80))*I80),Y80="kg",(((AB80*AM80)/(1/AL80))*I80),Y80="ton",(((AB80/1000*AM80)/(1/AL80))*I80),Y80="N/A",""))</f>
        <v>-14.78</v>
      </c>
      <c r="N80" s="52">
        <f t="shared" si="95"/>
        <v>23.400649999999999</v>
      </c>
      <c r="O80" s="148" cm="1">
        <f t="array" ref="O80">IF(AC80="N/A","",(_xlfn.IFS(Y80="m2",((AC80/(Z80/AL80))*I80),Y80="m3",((AC80/(Z80/AL80))*I80),Y80="kg",(((AC80*AM80)/(1/AL80))*I80),Y80="ton",(((AC80/1000*AM80)/(1/AL80))*I80),Y80="N/A","")))</f>
        <v>23.400649999999999</v>
      </c>
      <c r="P80" s="52" t="str">
        <f t="shared" si="96"/>
        <v>N/A</v>
      </c>
      <c r="Q80" s="155" t="str" cm="1">
        <f t="array" ref="Q80">IF(AE80="N/A","",_xlfn.IFS(Y80="m2",((AE80/(Z80/AL80))*I80),Y80="m3",((AE80/(Z80/AL80))*I80),Y80="kg",(((AE80*AM80)/(1/AL80))*I80),Y80="ton",(((AE80/1000*AM80)/(1/AL80))*I80),Y80="N/A",""))</f>
        <v/>
      </c>
      <c r="R80" s="221" t="s">
        <v>5</v>
      </c>
      <c r="S80" s="220"/>
      <c r="T80" s="47">
        <v>2024</v>
      </c>
      <c r="U80" s="47" t="s">
        <v>14</v>
      </c>
      <c r="V80" s="47">
        <v>60</v>
      </c>
      <c r="W80" s="47"/>
      <c r="X80" s="47" t="s">
        <v>821</v>
      </c>
      <c r="Y80" s="47" t="s">
        <v>20</v>
      </c>
      <c r="Z80" s="47">
        <v>1</v>
      </c>
      <c r="AA80" s="52">
        <f t="shared" si="87"/>
        <v>431.03250000000003</v>
      </c>
      <c r="AB80" s="52">
        <v>-739</v>
      </c>
      <c r="AC80" s="52">
        <f>1170+0.0325</f>
        <v>1170.0325</v>
      </c>
      <c r="AD80" s="52">
        <f>-57.1</f>
        <v>-57.1</v>
      </c>
      <c r="AE80" s="47" t="s">
        <v>191</v>
      </c>
      <c r="AF80" s="69"/>
      <c r="AG80" s="103" t="str">
        <f t="shared" si="92"/>
        <v xml:space="preserve">F </v>
      </c>
      <c r="AH80" s="75" t="s">
        <v>82</v>
      </c>
      <c r="AI80" s="76"/>
      <c r="AJ80" s="103"/>
      <c r="AK80" s="73"/>
      <c r="AL80" s="47">
        <v>0.02</v>
      </c>
      <c r="AM80" s="47">
        <v>670</v>
      </c>
      <c r="AN80" s="47"/>
      <c r="AO80" s="269" t="s">
        <v>17</v>
      </c>
      <c r="AP80" s="110"/>
      <c r="AQ80" s="73"/>
      <c r="AR80" s="25"/>
    </row>
    <row r="81" spans="1:44" ht="25.2" customHeight="1" x14ac:dyDescent="0.15">
      <c r="A81" s="47" t="s">
        <v>825</v>
      </c>
      <c r="B81" s="47" t="s">
        <v>208</v>
      </c>
      <c r="C81" s="47"/>
      <c r="D81" s="47" t="s">
        <v>99</v>
      </c>
      <c r="E81" s="47" t="s">
        <v>146</v>
      </c>
      <c r="F81" s="47" t="s">
        <v>55</v>
      </c>
      <c r="G81" s="47"/>
      <c r="H81" s="47"/>
      <c r="I81" s="111">
        <v>1</v>
      </c>
      <c r="J81" s="114">
        <f t="shared" ref="J81" si="97">IF(AC81="N/A","N/A",IF(K81="","N/A",K81))</f>
        <v>3.7003659999999989</v>
      </c>
      <c r="K81" s="152" cm="1">
        <f t="array" ref="K81">IF(AC81="N/A","",_xlfn.IFS(Y81="m2",((AA81/(Z81/AL81))*I81),Y81="m3",((AA81/(Z81/AL81))*I81),Y81="kg",(((AA81*AM81)/(1/AL81))*I81),Y81="ton",(((AA81/1000*AM81)/(1/AL81))*I81),Y81="N/A",""))</f>
        <v>3.7003659999999989</v>
      </c>
      <c r="L81" s="114">
        <f t="shared" ref="L81" si="98">IF(M81="","N/A",M81)</f>
        <v>-9.4600000000000009</v>
      </c>
      <c r="M81" s="152" cm="1">
        <f t="array" ref="M81">(_xlfn.IFS(Y81="m2",((AB81/(Z81/AL81))*I81),Y81="m3",((AB81/(Z81/AL81))*I81),Y81="kg",(((AB81*AM81)/(1/AL81))*I81),Y81="ton",(((AB81/1000*AM81)/(1/AL81))*I81),Y81="N/A",""))</f>
        <v>-9.4600000000000009</v>
      </c>
      <c r="N81" s="52">
        <f t="shared" ref="N81" si="99">IF(O81="","N/A",O81)</f>
        <v>13.160366</v>
      </c>
      <c r="O81" s="148" cm="1">
        <f t="array" ref="O81">IF(AC81="N/A","",(_xlfn.IFS(Y81="m2",((AC81/(Z81/AL81))*I81),Y81="m3",((AC81/(Z81/AL81))*I81),Y81="kg",(((AC81*AM81)/(1/AL81))*I81),Y81="ton",(((AC81/1000*AM81)/(1/AL81))*I81),Y81="N/A","")))</f>
        <v>13.160366</v>
      </c>
      <c r="P81" s="52" t="str">
        <f t="shared" ref="P81" si="100">IF(Q81="","N/A",Q81)</f>
        <v>N/A</v>
      </c>
      <c r="Q81" s="155" t="str" cm="1">
        <f t="array" ref="Q81">IF(AE81="N/A","",_xlfn.IFS(Y81="m2",((AE81/(Z81/AL81))*I81),Y81="m3",((AE81/(Z81/AL81))*I81),Y81="kg",(((AE81*AM81)/(1/AL81))*I81),Y81="ton",(((AE81/1000*AM81)/(1/AL81))*I81),Y81="N/A",""))</f>
        <v/>
      </c>
      <c r="R81" s="221" t="s">
        <v>5</v>
      </c>
      <c r="S81" s="47"/>
      <c r="T81" s="47">
        <v>2024</v>
      </c>
      <c r="U81" s="47" t="s">
        <v>14</v>
      </c>
      <c r="V81" s="47">
        <v>60</v>
      </c>
      <c r="W81" s="47"/>
      <c r="X81" s="25" t="s">
        <v>824</v>
      </c>
      <c r="Y81" s="47" t="s">
        <v>20</v>
      </c>
      <c r="Z81" s="47">
        <v>1</v>
      </c>
      <c r="AA81" s="52">
        <f t="shared" si="87"/>
        <v>185.01829999999995</v>
      </c>
      <c r="AB81" s="52">
        <v>-473</v>
      </c>
      <c r="AC81" s="52">
        <f>658+0.0183</f>
        <v>658.01829999999995</v>
      </c>
      <c r="AD81" s="52">
        <v>-32.200000000000003</v>
      </c>
      <c r="AE81" s="47" t="s">
        <v>191</v>
      </c>
      <c r="AF81" s="69"/>
      <c r="AG81" s="103" t="str">
        <f t="shared" si="92"/>
        <v xml:space="preserve">F </v>
      </c>
      <c r="AH81" s="75" t="s">
        <v>82</v>
      </c>
      <c r="AI81" s="76"/>
      <c r="AJ81" s="103"/>
      <c r="AK81" s="73"/>
      <c r="AL81" s="47">
        <v>0.02</v>
      </c>
      <c r="AM81" s="47">
        <v>410</v>
      </c>
      <c r="AN81" s="47"/>
      <c r="AO81" s="269" t="s">
        <v>17</v>
      </c>
      <c r="AP81" s="110"/>
      <c r="AQ81" s="73"/>
      <c r="AR81" s="25"/>
    </row>
    <row r="82" spans="1:44" ht="25.2" customHeight="1" x14ac:dyDescent="0.15">
      <c r="A82" s="85" t="s">
        <v>826</v>
      </c>
      <c r="B82" s="47" t="s">
        <v>208</v>
      </c>
      <c r="C82" s="47"/>
      <c r="D82" s="47" t="s">
        <v>99</v>
      </c>
      <c r="E82" s="47" t="s">
        <v>146</v>
      </c>
      <c r="F82" s="47" t="s">
        <v>55</v>
      </c>
      <c r="G82" s="47" t="s">
        <v>828</v>
      </c>
      <c r="H82" s="47"/>
      <c r="I82" s="111">
        <v>1</v>
      </c>
      <c r="J82" s="114">
        <f t="shared" ref="J82" si="101">IF(AC82="N/A","N/A",IF(K82="","N/A",K82))</f>
        <v>10.848637894736843</v>
      </c>
      <c r="K82" s="152" cm="1">
        <f t="array" ref="K82">IF(AC82="N/A","",_xlfn.IFS(Y82="m2",((AA82/(Z82/AL82))*I82),Y82="m3",((AA82/(Z82/AL82))*I82),Y82="kg",(((AA82*AM82)/(1/AL82))*I82),Y82="ton",(((AA82/1000*AM82)/(1/AL82))*I82),Y82="N/A",""))</f>
        <v>10.848637894736843</v>
      </c>
      <c r="L82" s="114">
        <f t="shared" ref="L82" si="102">IF(M82="","N/A",M82)</f>
        <v>-3.7421052631578946</v>
      </c>
      <c r="M82" s="152" cm="1">
        <f t="array" ref="M82">(_xlfn.IFS(Y82="m2",((AB82/(Z82/AL82))*I82),Y82="m3",((AB82/(Z82/AL82))*I82),Y82="kg",(((AB82*AM82)/(1/AL82))*I82),Y82="ton",(((AB82/1000*AM82)/(1/AL82))*I82),Y82="N/A",""))</f>
        <v>-3.7421052631578946</v>
      </c>
      <c r="N82" s="52">
        <f t="shared" ref="N82" si="103">IF(O82="","N/A",O82)</f>
        <v>14.590743157894737</v>
      </c>
      <c r="O82" s="148" cm="1">
        <f t="array" ref="O82">IF(AC82="N/A","",(_xlfn.IFS(Y82="m2",((AC82/(Z82/AL82))*I82),Y82="m3",((AC82/(Z82/AL82))*I82),Y82="kg",(((AC82*AM82)/(1/AL82))*I82),Y82="ton",(((AC82/1000*AM82)/(1/AL82))*I82),Y82="N/A","")))</f>
        <v>14.590743157894737</v>
      </c>
      <c r="P82" s="52" t="str">
        <f t="shared" ref="P82" si="104">IF(Q82="","N/A",Q82)</f>
        <v>N/A</v>
      </c>
      <c r="Q82" s="155" t="str" cm="1">
        <f t="array" ref="Q82">IF(AE82="N/A","",_xlfn.IFS(Y82="m2",((AE82/(Z82/AL82))*I82),Y82="m3",((AE82/(Z82/AL82))*I82),Y82="kg",(((AE82*AM82)/(1/AL82))*I82),Y82="ton",(((AE82/1000*AM82)/(1/AL82))*I82),Y82="N/A",""))</f>
        <v/>
      </c>
      <c r="R82" s="221" t="s">
        <v>5</v>
      </c>
      <c r="S82" s="47"/>
      <c r="T82" s="47">
        <v>2025</v>
      </c>
      <c r="U82" s="47" t="s">
        <v>14</v>
      </c>
      <c r="V82" s="47">
        <v>60</v>
      </c>
      <c r="W82" s="47"/>
      <c r="X82" s="47" t="s">
        <v>827</v>
      </c>
      <c r="Y82" s="47" t="s">
        <v>15</v>
      </c>
      <c r="Z82" s="47">
        <v>1.9E-2</v>
      </c>
      <c r="AA82" s="52">
        <f t="shared" si="87"/>
        <v>11.451340000000002</v>
      </c>
      <c r="AB82" s="52">
        <v>-3.95</v>
      </c>
      <c r="AC82" s="52">
        <f>15.4+0.00134</f>
        <v>15.401340000000001</v>
      </c>
      <c r="AD82" s="52">
        <v>-0.67100000000000004</v>
      </c>
      <c r="AE82" s="47" t="s">
        <v>191</v>
      </c>
      <c r="AF82" s="69"/>
      <c r="AG82" s="103" t="str">
        <f t="shared" si="92"/>
        <v>B s1
d0</v>
      </c>
      <c r="AH82" s="75" t="s">
        <v>178</v>
      </c>
      <c r="AI82" s="83" t="s">
        <v>176</v>
      </c>
      <c r="AJ82" s="103"/>
      <c r="AK82" s="73"/>
      <c r="AL82" s="47">
        <v>1.7999999999999999E-2</v>
      </c>
      <c r="AM82" s="47">
        <v>360</v>
      </c>
      <c r="AN82" s="47"/>
      <c r="AO82" s="269" t="s">
        <v>17</v>
      </c>
      <c r="AP82" s="110"/>
      <c r="AQ82" s="73"/>
      <c r="AR82" s="25"/>
    </row>
    <row r="83" spans="1:44" ht="25.2" customHeight="1" x14ac:dyDescent="0.15">
      <c r="A83" s="47" t="s">
        <v>830</v>
      </c>
      <c r="B83" s="47" t="s">
        <v>208</v>
      </c>
      <c r="C83" s="47"/>
      <c r="D83" s="47" t="s">
        <v>99</v>
      </c>
      <c r="E83" s="47" t="s">
        <v>191</v>
      </c>
      <c r="F83" s="47" t="s">
        <v>55</v>
      </c>
      <c r="G83" s="85" t="s">
        <v>835</v>
      </c>
      <c r="H83" s="47"/>
      <c r="I83" s="111">
        <v>1</v>
      </c>
      <c r="J83" s="114" t="str">
        <f t="shared" ref="J83" si="105">IF(AC83="N/A","N/A",IF(K83="","N/A",K83))</f>
        <v>N/A</v>
      </c>
      <c r="K83" s="152" t="str" cm="1">
        <f t="array" ref="K83">IF(AC83="N/A","",_xlfn.IFS(Y83="m2",((AA83/(Z83/AL83))*I83),Y83="m3",((AA83/(Z83/AL83))*I83),Y83="kg",(((AA83*AM83)/(1/AL83))*I83),Y83="ton",(((AA83/1000*AM83)/(1/AL83))*I83),Y83="N/A",""))</f>
        <v/>
      </c>
      <c r="L83" s="114" t="str">
        <f t="shared" ref="L83" si="106">IF(M83="","N/A",M83)</f>
        <v>N/A</v>
      </c>
      <c r="M83" s="152" t="str" cm="1">
        <f t="array" ref="M83">(_xlfn.IFS(Y83="m2",((AB83/(Z83/AL83))*I83),Y83="m3",((AB83/(Z83/AL83))*I83),Y83="kg",(((AB83*AM83)/(1/AL83))*I83),Y83="ton",(((AB83/1000*AM83)/(1/AL83))*I83),Y83="N/A",""))</f>
        <v/>
      </c>
      <c r="N83" s="52" t="str">
        <f t="shared" ref="N83" si="107">IF(O83="","N/A",O83)</f>
        <v>N/A</v>
      </c>
      <c r="O83" s="148" t="str" cm="1">
        <f t="array" ref="O83">IF(AC83="N/A","",(_xlfn.IFS(Y83="m2",((AC83/(Z83/AL83))*I83),Y83="m3",((AC83/(Z83/AL83))*I83),Y83="kg",(((AC83*AM83)/(1/AL83))*I83),Y83="ton",(((AC83/1000*AM83)/(1/AL83))*I83),Y83="N/A","")))</f>
        <v/>
      </c>
      <c r="P83" s="52" t="str">
        <f t="shared" ref="P83" si="108">IF(Q83="","N/A",Q83)</f>
        <v>N/A</v>
      </c>
      <c r="Q83" s="155" t="str" cm="1">
        <f t="array" ref="Q83">IF(AE83="N/A","",_xlfn.IFS(Y83="m2",((AE83/(Z83/AL83))*I83),Y83="m3",((AE83/(Z83/AL83))*I83),Y83="kg",(((AE83*AM83)/(1/AL83))*I83),Y83="ton",(((AE83/1000*AM83)/(1/AL83))*I83),Y83="N/A",""))</f>
        <v/>
      </c>
      <c r="R83" s="47" t="s">
        <v>191</v>
      </c>
      <c r="S83" s="47" t="s">
        <v>191</v>
      </c>
      <c r="T83" s="47" t="s">
        <v>191</v>
      </c>
      <c r="U83" s="47" t="s">
        <v>191</v>
      </c>
      <c r="V83" s="47" t="s">
        <v>191</v>
      </c>
      <c r="W83" s="47"/>
      <c r="X83" s="47" t="s">
        <v>191</v>
      </c>
      <c r="Y83" s="47" t="s">
        <v>191</v>
      </c>
      <c r="Z83" s="47" t="s">
        <v>191</v>
      </c>
      <c r="AA83" s="52" t="str">
        <f t="shared" si="87"/>
        <v>N/A</v>
      </c>
      <c r="AB83" s="47" t="s">
        <v>191</v>
      </c>
      <c r="AC83" s="47" t="s">
        <v>191</v>
      </c>
      <c r="AD83" s="47" t="s">
        <v>191</v>
      </c>
      <c r="AE83" s="47" t="s">
        <v>191</v>
      </c>
      <c r="AF83" s="69"/>
      <c r="AG83" s="103" t="str">
        <f t="shared" si="92"/>
        <v>D s2
d0</v>
      </c>
      <c r="AH83" s="75" t="s">
        <v>8</v>
      </c>
      <c r="AI83" s="83" t="s">
        <v>177</v>
      </c>
      <c r="AJ83" s="103"/>
      <c r="AK83" s="73"/>
      <c r="AL83" s="47">
        <v>2.1000000000000001E-2</v>
      </c>
      <c r="AM83" s="47">
        <f>(400+450)/2</f>
        <v>425</v>
      </c>
      <c r="AN83" s="47"/>
      <c r="AO83" s="269" t="s">
        <v>17</v>
      </c>
      <c r="AP83" s="110"/>
      <c r="AQ83" s="73"/>
      <c r="AR83" s="25"/>
    </row>
    <row r="84" spans="1:44" ht="25.2" customHeight="1" x14ac:dyDescent="0.15">
      <c r="A84" s="47" t="s">
        <v>832</v>
      </c>
      <c r="B84" s="47" t="s">
        <v>208</v>
      </c>
      <c r="C84" s="47"/>
      <c r="D84" s="47" t="s">
        <v>99</v>
      </c>
      <c r="E84" s="47" t="s">
        <v>191</v>
      </c>
      <c r="F84" s="47" t="s">
        <v>55</v>
      </c>
      <c r="G84" s="47" t="s">
        <v>831</v>
      </c>
      <c r="H84" s="47"/>
      <c r="I84" s="111">
        <v>1</v>
      </c>
      <c r="J84" s="114" t="str">
        <f t="shared" ref="J84" si="109">IF(AC84="N/A","N/A",IF(K84="","N/A",K84))</f>
        <v>N/A</v>
      </c>
      <c r="K84" s="152" t="str" cm="1">
        <f t="array" ref="K84">IF(AC84="N/A","",_xlfn.IFS(Y84="m2",((AA84/(Z84/AL84))*I84),Y84="m3",((AA84/(Z84/AL84))*I84),Y84="kg",(((AA84*AM84)/(1/AL84))*I84),Y84="ton",(((AA84/1000*AM84)/(1/AL84))*I84),Y84="N/A",""))</f>
        <v/>
      </c>
      <c r="L84" s="114" t="str">
        <f t="shared" ref="L84" si="110">IF(M84="","N/A",M84)</f>
        <v>N/A</v>
      </c>
      <c r="M84" s="152" t="str" cm="1">
        <f t="array" ref="M84">(_xlfn.IFS(Y84="m2",((AB84/(Z84/AL84))*I84),Y84="m3",((AB84/(Z84/AL84))*I84),Y84="kg",(((AB84*AM84)/(1/AL84))*I84),Y84="ton",(((AB84/1000*AM84)/(1/AL84))*I84),Y84="N/A",""))</f>
        <v/>
      </c>
      <c r="N84" s="52" t="str">
        <f t="shared" ref="N84" si="111">IF(O84="","N/A",O84)</f>
        <v>N/A</v>
      </c>
      <c r="O84" s="148" t="str" cm="1">
        <f t="array" ref="O84">IF(AC84="N/A","",(_xlfn.IFS(Y84="m2",((AC84/(Z84/AL84))*I84),Y84="m3",((AC84/(Z84/AL84))*I84),Y84="kg",(((AC84*AM84)/(1/AL84))*I84),Y84="ton",(((AC84/1000*AM84)/(1/AL84))*I84),Y84="N/A","")))</f>
        <v/>
      </c>
      <c r="P84" s="52" t="str">
        <f t="shared" ref="P84" si="112">IF(Q84="","N/A",Q84)</f>
        <v>N/A</v>
      </c>
      <c r="Q84" s="155" t="str" cm="1">
        <f t="array" ref="Q84">IF(AE84="N/A","",_xlfn.IFS(Y84="m2",((AE84/(Z84/AL84))*I84),Y84="m3",((AE84/(Z84/AL84))*I84),Y84="kg",(((AE84*AM84)/(1/AL84))*I84),Y84="ton",(((AE84/1000*AM84)/(1/AL84))*I84),Y84="N/A",""))</f>
        <v/>
      </c>
      <c r="R84" s="47" t="s">
        <v>191</v>
      </c>
      <c r="S84" s="47" t="s">
        <v>191</v>
      </c>
      <c r="T84" s="47" t="s">
        <v>191</v>
      </c>
      <c r="U84" s="47" t="s">
        <v>191</v>
      </c>
      <c r="V84" s="47" t="s">
        <v>191</v>
      </c>
      <c r="W84" s="47"/>
      <c r="X84" s="47" t="s">
        <v>191</v>
      </c>
      <c r="Y84" s="47" t="s">
        <v>191</v>
      </c>
      <c r="Z84" s="47" t="s">
        <v>191</v>
      </c>
      <c r="AA84" s="52" t="str">
        <f t="shared" si="87"/>
        <v>N/A</v>
      </c>
      <c r="AB84" s="47" t="s">
        <v>191</v>
      </c>
      <c r="AC84" s="47" t="s">
        <v>191</v>
      </c>
      <c r="AD84" s="47" t="s">
        <v>191</v>
      </c>
      <c r="AE84" s="47" t="s">
        <v>191</v>
      </c>
      <c r="AF84" s="69"/>
      <c r="AG84" s="103" t="str">
        <f t="shared" si="92"/>
        <v>D s2
d0</v>
      </c>
      <c r="AH84" s="75" t="s">
        <v>8</v>
      </c>
      <c r="AI84" s="83" t="s">
        <v>177</v>
      </c>
      <c r="AJ84" s="103"/>
      <c r="AK84" s="73"/>
      <c r="AL84" s="47">
        <v>1.6E-2</v>
      </c>
      <c r="AM84" s="47">
        <v>400</v>
      </c>
      <c r="AN84" s="47"/>
      <c r="AO84" s="269" t="s">
        <v>17</v>
      </c>
      <c r="AP84" s="110"/>
      <c r="AQ84" s="73"/>
      <c r="AR84" s="25"/>
    </row>
    <row r="85" spans="1:44" ht="25.2" customHeight="1" x14ac:dyDescent="0.15">
      <c r="A85" s="47" t="s">
        <v>833</v>
      </c>
      <c r="B85" s="47" t="s">
        <v>208</v>
      </c>
      <c r="C85" s="47"/>
      <c r="D85" s="47" t="s">
        <v>99</v>
      </c>
      <c r="E85" s="47" t="s">
        <v>191</v>
      </c>
      <c r="F85" s="47" t="s">
        <v>55</v>
      </c>
      <c r="G85" s="47" t="s">
        <v>834</v>
      </c>
      <c r="H85" s="47"/>
      <c r="I85" s="111">
        <v>1</v>
      </c>
      <c r="J85" s="114" t="str">
        <f t="shared" ref="J85" si="113">IF(AC85="N/A","N/A",IF(K85="","N/A",K85))</f>
        <v>N/A</v>
      </c>
      <c r="K85" s="152" t="str" cm="1">
        <f t="array" ref="K85">IF(AC85="N/A","",_xlfn.IFS(Y85="m2",((AA85/(Z85/AL85))*I85),Y85="m3",((AA85/(Z85/AL85))*I85),Y85="kg",(((AA85*AM85)/(1/AL85))*I85),Y85="ton",(((AA85/1000*AM85)/(1/AL85))*I85),Y85="N/A",""))</f>
        <v/>
      </c>
      <c r="L85" s="114" t="str">
        <f t="shared" ref="L85" si="114">IF(M85="","N/A",M85)</f>
        <v>N/A</v>
      </c>
      <c r="M85" s="152" t="str" cm="1">
        <f t="array" ref="M85">(_xlfn.IFS(Y85="m2",((AB85/(Z85/AL85))*I85),Y85="m3",((AB85/(Z85/AL85))*I85),Y85="kg",(((AB85*AM85)/(1/AL85))*I85),Y85="ton",(((AB85/1000*AM85)/(1/AL85))*I85),Y85="N/A",""))</f>
        <v/>
      </c>
      <c r="N85" s="52" t="str">
        <f t="shared" ref="N85" si="115">IF(O85="","N/A",O85)</f>
        <v>N/A</v>
      </c>
      <c r="O85" s="148" t="str" cm="1">
        <f t="array" ref="O85">IF(AC85="N/A","",(_xlfn.IFS(Y85="m2",((AC85/(Z85/AL85))*I85),Y85="m3",((AC85/(Z85/AL85))*I85),Y85="kg",(((AC85*AM85)/(1/AL85))*I85),Y85="ton",(((AC85/1000*AM85)/(1/AL85))*I85),Y85="N/A","")))</f>
        <v/>
      </c>
      <c r="P85" s="52" t="str">
        <f t="shared" ref="P85" si="116">IF(Q85="","N/A",Q85)</f>
        <v>N/A</v>
      </c>
      <c r="Q85" s="155" t="str" cm="1">
        <f t="array" ref="Q85">IF(AE85="N/A","",_xlfn.IFS(Y85="m2",((AE85/(Z85/AL85))*I85),Y85="m3",((AE85/(Z85/AL85))*I85),Y85="kg",(((AE85*AM85)/(1/AL85))*I85),Y85="ton",(((AE85/1000*AM85)/(1/AL85))*I85),Y85="N/A",""))</f>
        <v/>
      </c>
      <c r="R85" s="47" t="s">
        <v>191</v>
      </c>
      <c r="S85" s="47" t="s">
        <v>191</v>
      </c>
      <c r="T85" s="47" t="s">
        <v>191</v>
      </c>
      <c r="U85" s="47" t="s">
        <v>191</v>
      </c>
      <c r="V85" s="47" t="s">
        <v>191</v>
      </c>
      <c r="W85" s="47"/>
      <c r="X85" s="47" t="s">
        <v>191</v>
      </c>
      <c r="Y85" s="47" t="s">
        <v>191</v>
      </c>
      <c r="Z85" s="47" t="s">
        <v>191</v>
      </c>
      <c r="AA85" s="52" t="str">
        <f t="shared" ref="AA85" si="117">IF(AC85="N/A","N/A",SUM(AB85:AC85))</f>
        <v>N/A</v>
      </c>
      <c r="AB85" s="47" t="s">
        <v>191</v>
      </c>
      <c r="AC85" s="47" t="s">
        <v>191</v>
      </c>
      <c r="AD85" s="47" t="s">
        <v>191</v>
      </c>
      <c r="AE85" s="47" t="s">
        <v>191</v>
      </c>
      <c r="AF85" s="69"/>
      <c r="AG85" s="103" t="str">
        <f t="shared" si="92"/>
        <v>D s2
d0</v>
      </c>
      <c r="AH85" s="75" t="s">
        <v>8</v>
      </c>
      <c r="AI85" s="83" t="s">
        <v>177</v>
      </c>
      <c r="AJ85" s="103"/>
      <c r="AK85" s="73"/>
      <c r="AL85" s="47" t="s">
        <v>191</v>
      </c>
      <c r="AM85" s="47">
        <f>(500+540)/2</f>
        <v>520</v>
      </c>
      <c r="AN85" s="47"/>
      <c r="AO85" s="269" t="s">
        <v>17</v>
      </c>
      <c r="AP85" s="110"/>
      <c r="AQ85" s="73"/>
      <c r="AR85" s="25"/>
    </row>
    <row r="86" spans="1:44" ht="25.2" customHeight="1" x14ac:dyDescent="0.15">
      <c r="A86" s="47" t="s">
        <v>836</v>
      </c>
      <c r="B86" s="47" t="s">
        <v>208</v>
      </c>
      <c r="C86" s="47"/>
      <c r="D86" s="47" t="s">
        <v>99</v>
      </c>
      <c r="E86" s="47" t="s">
        <v>191</v>
      </c>
      <c r="F86" s="47" t="s">
        <v>55</v>
      </c>
      <c r="G86" s="47" t="s">
        <v>837</v>
      </c>
      <c r="H86" s="47" t="str">
        <f>""</f>
        <v/>
      </c>
      <c r="I86" s="111">
        <v>1</v>
      </c>
      <c r="J86" s="114" t="str">
        <f t="shared" ref="J86" si="118">IF(AC86="N/A","N/A",IF(K86="","N/A",K86))</f>
        <v>N/A</v>
      </c>
      <c r="K86" s="152" t="str" cm="1">
        <f t="array" ref="K86">IF(AC86="N/A","",_xlfn.IFS(Y86="m2",((AA86/(Z86/AL86))*I86),Y86="m3",((AA86/(Z86/AL86))*I86),Y86="kg",(((AA86*AM86)/(1/AL86))*I86),Y86="ton",(((AA86/1000*AM86)/(1/AL86))*I86),Y86="N/A",""))</f>
        <v/>
      </c>
      <c r="L86" s="114" t="str">
        <f t="shared" ref="L86" si="119">IF(M86="","N/A",M86)</f>
        <v>N/A</v>
      </c>
      <c r="M86" s="152" t="str" cm="1">
        <f t="array" ref="M86">(_xlfn.IFS(Y86="m2",((AB86/(Z86/AL86))*I86),Y86="m3",((AB86/(Z86/AL86))*I86),Y86="kg",(((AB86*AM86)/(1/AL86))*I86),Y86="ton",(((AB86/1000*AM86)/(1/AL86))*I86),Y86="N/A",""))</f>
        <v/>
      </c>
      <c r="N86" s="52" t="str">
        <f t="shared" ref="N86" si="120">IF(O86="","N/A",O86)</f>
        <v>N/A</v>
      </c>
      <c r="O86" s="148" t="str" cm="1">
        <f t="array" ref="O86">IF(AC86="N/A","",(_xlfn.IFS(Y86="m2",((AC86/(Z86/AL86))*I86),Y86="m3",((AC86/(Z86/AL86))*I86),Y86="kg",(((AC86*AM86)/(1/AL86))*I86),Y86="ton",(((AC86/1000*AM86)/(1/AL86))*I86),Y86="N/A","")))</f>
        <v/>
      </c>
      <c r="P86" s="52" t="str">
        <f t="shared" ref="P86" si="121">IF(Q86="","N/A",Q86)</f>
        <v>N/A</v>
      </c>
      <c r="Q86" s="155" t="str" cm="1">
        <f t="array" ref="Q86">IF(AE86="N/A","",_xlfn.IFS(Y86="m2",((AE86/(Z86/AL86))*I86),Y86="m3",((AE86/(Z86/AL86))*I86),Y86="kg",(((AE86*AM86)/(1/AL86))*I86),Y86="ton",(((AE86/1000*AM86)/(1/AL86))*I86),Y86="N/A",""))</f>
        <v/>
      </c>
      <c r="R86" s="47" t="s">
        <v>191</v>
      </c>
      <c r="S86" s="47" t="s">
        <v>191</v>
      </c>
      <c r="T86" s="47" t="s">
        <v>191</v>
      </c>
      <c r="U86" s="47" t="s">
        <v>191</v>
      </c>
      <c r="V86" s="47" t="s">
        <v>191</v>
      </c>
      <c r="W86" s="47"/>
      <c r="X86" s="47" t="s">
        <v>191</v>
      </c>
      <c r="Y86" s="47" t="s">
        <v>191</v>
      </c>
      <c r="Z86" s="47" t="s">
        <v>191</v>
      </c>
      <c r="AA86" s="52" t="str">
        <f t="shared" ref="AA86:AA96" si="122">IF(AC86="N/A","N/A",SUM(AB86:AC86))</f>
        <v>N/A</v>
      </c>
      <c r="AB86" s="47" t="s">
        <v>191</v>
      </c>
      <c r="AC86" s="47" t="s">
        <v>191</v>
      </c>
      <c r="AD86" s="47" t="s">
        <v>191</v>
      </c>
      <c r="AE86" s="47" t="s">
        <v>191</v>
      </c>
      <c r="AF86" s="69"/>
      <c r="AG86" s="103" t="str">
        <f t="shared" ref="AG86" si="123">AH86&amp;" "&amp;AI86</f>
        <v>D s2
d0</v>
      </c>
      <c r="AH86" s="75" t="s">
        <v>8</v>
      </c>
      <c r="AI86" s="83" t="s">
        <v>177</v>
      </c>
      <c r="AJ86" s="103"/>
      <c r="AK86" s="73"/>
      <c r="AL86" s="47" t="s">
        <v>191</v>
      </c>
      <c r="AM86" s="47">
        <f>(500+540)/2</f>
        <v>520</v>
      </c>
      <c r="AN86" s="47"/>
      <c r="AO86" s="269" t="s">
        <v>17</v>
      </c>
      <c r="AP86" s="110"/>
      <c r="AQ86" s="73"/>
      <c r="AR86" s="25"/>
    </row>
    <row r="87" spans="1:44" ht="25.2" customHeight="1" x14ac:dyDescent="0.15">
      <c r="A87" s="85" t="s">
        <v>854</v>
      </c>
      <c r="B87" s="47" t="s">
        <v>294</v>
      </c>
      <c r="C87" s="47"/>
      <c r="D87" s="47" t="s">
        <v>852</v>
      </c>
      <c r="E87" s="47" t="s">
        <v>146</v>
      </c>
      <c r="F87" s="47" t="s">
        <v>43</v>
      </c>
      <c r="G87" s="47"/>
      <c r="H87" s="47"/>
      <c r="I87" s="111">
        <v>1</v>
      </c>
      <c r="J87" s="114">
        <f t="shared" ref="J87:J88" si="124">IF(AC87="N/A","N/A",IF(K87="","N/A",K87))</f>
        <v>3.1762189799999994</v>
      </c>
      <c r="K87" s="152" cm="1">
        <f t="array" ref="K87">IF(AC87="N/A","",_xlfn.IFS(Y87="m2",((AA87/(Z87/AL87))*I87),Y87="m3",((AA87/(Z87/AL87))*I87),Y87="kg",(((AA87*AM87)/(1/AL87))*I87),Y87="ton",(((AA87/1000*AM87)/(1/AL87))*I87),Y87="N/A",""))</f>
        <v>3.1762189799999994</v>
      </c>
      <c r="L87" s="114">
        <f t="shared" ref="L87" si="125">IF(M87="","N/A",M87)</f>
        <v>3.1185000000000005</v>
      </c>
      <c r="M87" s="152" cm="1">
        <f t="array" ref="M87">(_xlfn.IFS(Y87="m2",((AB87/(Z87/AL87))*I87),Y87="m3",((AB87/(Z87/AL87))*I87),Y87="kg",(((AB87*AM87)/(1/AL87))*I87),Y87="ton",(((AB87/1000*AM87)/(1/AL87))*I87),Y87="N/A",""))</f>
        <v>3.1185000000000005</v>
      </c>
      <c r="N87" s="52">
        <f t="shared" ref="N87:N88" si="126">IF(O87="","N/A",O87)</f>
        <v>5.7718979999999982E-2</v>
      </c>
      <c r="O87" s="148" cm="1">
        <f t="array" ref="O87">IF(AC87="N/A","",(_xlfn.IFS(Y87="m2",((AC87/(Z87/AL87))*I87),Y87="m3",((AC87/(Z87/AL87))*I87),Y87="kg",(((AC87*AM87)/(1/AL87))*I87),Y87="ton",(((AC87/1000*AM87)/(1/AL87))*I87),Y87="N/A","")))</f>
        <v>5.7718979999999982E-2</v>
      </c>
      <c r="P87" s="52">
        <f t="shared" ref="P87:P88" si="127">IF(Q87="","N/A",Q87)</f>
        <v>-1.1190959999999999</v>
      </c>
      <c r="Q87" s="155" cm="1">
        <f t="array" ref="Q87">IF(AE87="N/A","",_xlfn.IFS(Y87="m2",((AE87/(Z87/AL87))*I87),Y87="m3",((AE87/(Z87/AL87))*I87),Y87="kg",(((AE87*AM87)/(1/AL87))*I87),Y87="ton",(((AE87/1000*AM87)/(1/AL87))*I87),Y87="N/A",""))</f>
        <v>-1.1190959999999999</v>
      </c>
      <c r="R87" s="221" t="s">
        <v>5</v>
      </c>
      <c r="S87" s="47" t="s">
        <v>191</v>
      </c>
      <c r="T87" s="47">
        <v>2028</v>
      </c>
      <c r="U87" s="47" t="s">
        <v>28</v>
      </c>
      <c r="V87" s="47" t="s">
        <v>191</v>
      </c>
      <c r="W87" s="47"/>
      <c r="X87" s="47" t="s">
        <v>856</v>
      </c>
      <c r="Y87" s="47" t="s">
        <v>234</v>
      </c>
      <c r="Z87" s="47" t="s">
        <v>191</v>
      </c>
      <c r="AA87" s="52">
        <f t="shared" si="122"/>
        <v>17.823899999999998</v>
      </c>
      <c r="AB87" s="52">
        <v>17.5</v>
      </c>
      <c r="AC87" s="52">
        <f>0.297+0.0269</f>
        <v>0.32389999999999997</v>
      </c>
      <c r="AD87" s="52">
        <f>-5.65</f>
        <v>-5.65</v>
      </c>
      <c r="AE87" s="52">
        <f>-6.28</f>
        <v>-6.28</v>
      </c>
      <c r="AF87" s="69"/>
      <c r="AG87" s="103" t="str">
        <f t="shared" si="92"/>
        <v xml:space="preserve">F </v>
      </c>
      <c r="AH87" s="75" t="s">
        <v>82</v>
      </c>
      <c r="AI87" s="76"/>
      <c r="AJ87" s="103"/>
      <c r="AK87" s="73"/>
      <c r="AL87" s="47">
        <v>0.108</v>
      </c>
      <c r="AM87" s="47">
        <v>1650</v>
      </c>
      <c r="AN87" s="47"/>
      <c r="AO87" s="269" t="s">
        <v>17</v>
      </c>
      <c r="AP87" s="110"/>
      <c r="AQ87" s="73"/>
      <c r="AR87" s="25"/>
    </row>
    <row r="88" spans="1:44" ht="25.2" customHeight="1" x14ac:dyDescent="0.15">
      <c r="A88" s="47" t="s">
        <v>855</v>
      </c>
      <c r="B88" s="47" t="s">
        <v>294</v>
      </c>
      <c r="C88" s="47"/>
      <c r="D88" s="47" t="s">
        <v>853</v>
      </c>
      <c r="E88" s="47" t="s">
        <v>146</v>
      </c>
      <c r="F88" s="47" t="s">
        <v>43</v>
      </c>
      <c r="G88" s="47"/>
      <c r="H88" s="47"/>
      <c r="I88" s="111">
        <v>1</v>
      </c>
      <c r="J88" s="114" t="str">
        <f t="shared" si="124"/>
        <v>N/A</v>
      </c>
      <c r="K88" s="152" t="str" cm="1">
        <f t="array" ref="K88">IF(AC88="N/A","",_xlfn.IFS(Y88="m2",((AA88/(Z88/AL88))*I88),Y88="m3",((AA88/(Z88/AL88))*I88),Y88="kg",(((AA88*AM88)/(1/AL88))*I88),Y88="ton",(((AA88/1000*AM88)/(1/AL88))*I88),Y88="N/A",""))</f>
        <v/>
      </c>
      <c r="L88" s="114">
        <f>IF(M88="","N/A",M88)</f>
        <v>0.48114000000000001</v>
      </c>
      <c r="M88" s="152" cm="1">
        <f t="array" ref="M88">(_xlfn.IFS(Y88="m2",((AB88/(Z88/AL88))*I88),Y88="m3",((AB88/(Z88/AL88))*I88),Y88="kg",(((AB88*AM88)/(1/AL88))*I88),Y88="ton",(((AB88/1000*AM88)/(1/AL88))*I88),Y88="N/A",""))</f>
        <v>0.48114000000000001</v>
      </c>
      <c r="N88" s="52" t="str">
        <f t="shared" si="126"/>
        <v>N/A</v>
      </c>
      <c r="O88" s="148" t="str" cm="1">
        <f t="array" ref="O88">IF(AC88="N/A","",(_xlfn.IFS(Y88="m2",((AC88/(Z88/AL88))*I88),Y88="m3",((AC88/(Z88/AL88))*I88),Y88="kg",(((AC88*AM88)/(1/AL88))*I88),Y88="ton",(((AC88/1000*AM88)/(1/AL88))*I88),Y88="N/A","")))</f>
        <v/>
      </c>
      <c r="P88" s="52" t="str">
        <f t="shared" si="127"/>
        <v>N/A</v>
      </c>
      <c r="Q88" s="155" t="str" cm="1">
        <f t="array" ref="Q88">IF(AE88="N/A","",_xlfn.IFS(Y88="m2",((AE88/(Z88/AL88))*I88),Y88="m3",((AE88/(Z88/AL88))*I88),Y88="kg",(((AE88*AM88)/(1/AL88))*I88),Y88="ton",(((AE88/1000*AM88)/(1/AL88))*I88),Y88="N/A",""))</f>
        <v/>
      </c>
      <c r="R88" s="221" t="s">
        <v>5</v>
      </c>
      <c r="S88" s="47" t="s">
        <v>191</v>
      </c>
      <c r="T88" s="47">
        <v>2022</v>
      </c>
      <c r="U88" s="47" t="s">
        <v>14</v>
      </c>
      <c r="V88" s="47" t="s">
        <v>191</v>
      </c>
      <c r="W88" s="47"/>
      <c r="X88" s="47" t="s">
        <v>857</v>
      </c>
      <c r="Y88" s="47" t="s">
        <v>234</v>
      </c>
      <c r="Z88" s="47" t="s">
        <v>191</v>
      </c>
      <c r="AA88" s="52" t="str">
        <f t="shared" si="122"/>
        <v>N/A</v>
      </c>
      <c r="AB88" s="52">
        <v>2.7</v>
      </c>
      <c r="AC88" s="52" t="s">
        <v>191</v>
      </c>
      <c r="AD88" s="52" t="s">
        <v>191</v>
      </c>
      <c r="AE88" s="52" t="s">
        <v>191</v>
      </c>
      <c r="AF88" s="69"/>
      <c r="AG88" s="103" t="str">
        <f t="shared" si="92"/>
        <v xml:space="preserve">F </v>
      </c>
      <c r="AH88" s="75" t="s">
        <v>82</v>
      </c>
      <c r="AI88" s="76"/>
      <c r="AJ88" s="103"/>
      <c r="AK88" s="73"/>
      <c r="AL88" s="47">
        <v>0.108</v>
      </c>
      <c r="AM88" s="47">
        <v>1650</v>
      </c>
      <c r="AN88" s="47"/>
      <c r="AO88" s="269" t="s">
        <v>17</v>
      </c>
      <c r="AP88" s="110"/>
      <c r="AQ88" s="73"/>
      <c r="AR88" s="25"/>
    </row>
    <row r="89" spans="1:44" ht="25.2" customHeight="1" x14ac:dyDescent="0.15">
      <c r="A89" s="47" t="s">
        <v>859</v>
      </c>
      <c r="B89" s="47" t="s">
        <v>210</v>
      </c>
      <c r="C89" s="47"/>
      <c r="D89" s="47" t="s">
        <v>860</v>
      </c>
      <c r="E89" s="47" t="s">
        <v>146</v>
      </c>
      <c r="F89" s="47" t="s">
        <v>43</v>
      </c>
      <c r="G89" s="47"/>
      <c r="H89" s="47"/>
      <c r="I89" s="111">
        <v>1</v>
      </c>
      <c r="J89" s="114">
        <f t="shared" ref="J89:J94" si="128">IF(AC89="N/A","N/A",IF(K89="","N/A",K89))</f>
        <v>64.674568799999989</v>
      </c>
      <c r="K89" s="152" cm="1">
        <f t="array" ref="K89">IF(AC89="N/A","",_xlfn.IFS(Y89="m2",((AA89/(Z89/AL89))*I89),Y89="m3",((AA89/(Z89/AL89))*I89),Y89="kg",(((AA89*AM89)/(1/AL89))*I89),Y89="ton",(((AA89/1000*AM89)/(1/AL89))*I89),Y89="N/A",""))</f>
        <v>64.674568799999989</v>
      </c>
      <c r="L89" s="114">
        <f t="shared" ref="L89:L94" si="129">IF(M89="","N/A",M89)</f>
        <v>64.076399999999992</v>
      </c>
      <c r="M89" s="152" cm="1">
        <f t="array" ref="M89">(_xlfn.IFS(Y89="m2",((AB89/(Z89/AL89))*I89),Y89="m3",((AB89/(Z89/AL89))*I89),Y89="kg",(((AB89*AM89)/(1/AL89))*I89),Y89="ton",(((AB89/1000*AM89)/(1/AL89))*I89),Y89="N/A",""))</f>
        <v>64.076399999999992</v>
      </c>
      <c r="N89" s="52">
        <f t="shared" ref="N89:N94" si="130">IF(O89="","N/A",O89)</f>
        <v>0.59816879999999994</v>
      </c>
      <c r="O89" s="148" cm="1">
        <f t="array" ref="O89">IF(AC89="N/A","",(_xlfn.IFS(Y89="m2",((AC89/(Z89/AL89))*I89),Y89="m3",((AC89/(Z89/AL89))*I89),Y89="kg",(((AC89*AM89)/(1/AL89))*I89),Y89="ton",(((AC89/1000*AM89)/(1/AL89))*I89),Y89="N/A","")))</f>
        <v>0.59816879999999994</v>
      </c>
      <c r="P89" s="52" t="str">
        <f t="shared" ref="P89:P94" si="131">IF(Q89="","N/A",Q89)</f>
        <v>N/A</v>
      </c>
      <c r="Q89" s="155" t="str" cm="1">
        <f t="array" ref="Q89">IF(AE89="N/A","",_xlfn.IFS(Y89="m2",((AE89/(Z89/AL89))*I89),Y89="m3",((AE89/(Z89/AL89))*I89),Y89="kg",(((AE89*AM89)/(1/AL89))*I89),Y89="ton",(((AE89/1000*AM89)/(1/AL89))*I89),Y89="N/A",""))</f>
        <v/>
      </c>
      <c r="R89" s="221" t="s">
        <v>5</v>
      </c>
      <c r="S89" s="47" t="s">
        <v>377</v>
      </c>
      <c r="T89" s="47">
        <v>2027</v>
      </c>
      <c r="U89" s="47" t="s">
        <v>14</v>
      </c>
      <c r="V89" s="47">
        <v>150</v>
      </c>
      <c r="W89" s="47"/>
      <c r="X89" s="47" t="s">
        <v>858</v>
      </c>
      <c r="Y89" s="47" t="s">
        <v>234</v>
      </c>
      <c r="Z89" s="47" t="s">
        <v>191</v>
      </c>
      <c r="AA89" s="52">
        <f t="shared" si="122"/>
        <v>352.25799999999998</v>
      </c>
      <c r="AB89" s="52">
        <v>349</v>
      </c>
      <c r="AC89" s="52">
        <f t="shared" ref="AC89:AC94" si="132">3.12+0.138</f>
        <v>3.258</v>
      </c>
      <c r="AD89" s="52">
        <v>-6.06</v>
      </c>
      <c r="AE89" s="52" t="s">
        <v>191</v>
      </c>
      <c r="AF89" s="69"/>
      <c r="AG89" s="103" t="str">
        <f t="shared" si="92"/>
        <v xml:space="preserve">A1 </v>
      </c>
      <c r="AH89" s="75" t="s">
        <v>58</v>
      </c>
      <c r="AI89" s="76"/>
      <c r="AJ89" s="103"/>
      <c r="AK89" s="73"/>
      <c r="AL89" s="47">
        <v>0.108</v>
      </c>
      <c r="AM89" s="47">
        <v>1700</v>
      </c>
      <c r="AN89" s="47"/>
      <c r="AO89" s="269" t="s">
        <v>17</v>
      </c>
      <c r="AP89" s="110"/>
      <c r="AQ89" s="73"/>
      <c r="AR89" s="25"/>
    </row>
    <row r="90" spans="1:44" ht="25.2" customHeight="1" x14ac:dyDescent="0.15">
      <c r="A90" s="47" t="s">
        <v>861</v>
      </c>
      <c r="B90" s="47" t="s">
        <v>210</v>
      </c>
      <c r="C90" s="47"/>
      <c r="D90" s="47" t="s">
        <v>860</v>
      </c>
      <c r="E90" s="47" t="s">
        <v>146</v>
      </c>
      <c r="F90" s="47" t="s">
        <v>43</v>
      </c>
      <c r="G90" s="47"/>
      <c r="H90" s="47"/>
      <c r="I90" s="111">
        <v>1</v>
      </c>
      <c r="J90" s="114">
        <f t="shared" si="128"/>
        <v>65.820761999999988</v>
      </c>
      <c r="K90" s="152" cm="1">
        <f t="array" ref="K90">IF(AC90="N/A","",_xlfn.IFS(Y90="m2",((AA90/(Z90/AL90))*I90),Y90="m3",((AA90/(Z90/AL90))*I90),Y90="kg",(((AA90*AM90)/(1/AL90))*I90),Y90="ton",(((AA90/1000*AM90)/(1/AL90))*I90),Y90="N/A",""))</f>
        <v>65.820761999999988</v>
      </c>
      <c r="L90" s="114">
        <f t="shared" si="129"/>
        <v>65.204999999999998</v>
      </c>
      <c r="M90" s="152" cm="1">
        <f t="array" ref="M90">(_xlfn.IFS(Y90="m2",((AB90/(Z90/AL90))*I90),Y90="m3",((AB90/(Z90/AL90))*I90),Y90="kg",(((AB90*AM90)/(1/AL90))*I90),Y90="ton",(((AB90/1000*AM90)/(1/AL90))*I90),Y90="N/A",""))</f>
        <v>65.204999999999998</v>
      </c>
      <c r="N90" s="52">
        <f t="shared" si="130"/>
        <v>0.61576200000000003</v>
      </c>
      <c r="O90" s="148" cm="1">
        <f t="array" ref="O90">IF(AC90="N/A","",(_xlfn.IFS(Y90="m2",((AC90/(Z90/AL90))*I90),Y90="m3",((AC90/(Z90/AL90))*I90),Y90="kg",(((AC90*AM90)/(1/AL90))*I90),Y90="ton",(((AC90/1000*AM90)/(1/AL90))*I90),Y90="N/A","")))</f>
        <v>0.61576200000000003</v>
      </c>
      <c r="P90" s="52" t="str">
        <f t="shared" si="131"/>
        <v>N/A</v>
      </c>
      <c r="Q90" s="155" t="str" cm="1">
        <f t="array" ref="Q90">IF(AE90="N/A","",_xlfn.IFS(Y90="m2",((AE90/(Z90/AL90))*I90),Y90="m3",((AE90/(Z90/AL90))*I90),Y90="kg",(((AE90*AM90)/(1/AL90))*I90),Y90="ton",(((AE90/1000*AM90)/(1/AL90))*I90),Y90="N/A",""))</f>
        <v/>
      </c>
      <c r="R90" s="221" t="s">
        <v>5</v>
      </c>
      <c r="S90" s="47" t="s">
        <v>377</v>
      </c>
      <c r="T90" s="47">
        <v>2027</v>
      </c>
      <c r="U90" s="47" t="s">
        <v>14</v>
      </c>
      <c r="V90" s="47">
        <v>150</v>
      </c>
      <c r="W90" s="47"/>
      <c r="X90" s="47" t="s">
        <v>862</v>
      </c>
      <c r="Y90" s="47" t="s">
        <v>234</v>
      </c>
      <c r="Z90" s="47" t="s">
        <v>191</v>
      </c>
      <c r="AA90" s="52">
        <f t="shared" si="122"/>
        <v>348.25799999999998</v>
      </c>
      <c r="AB90" s="52">
        <f>345</f>
        <v>345</v>
      </c>
      <c r="AC90" s="52">
        <f t="shared" si="132"/>
        <v>3.258</v>
      </c>
      <c r="AD90" s="52">
        <v>-6.06</v>
      </c>
      <c r="AE90" s="52" t="s">
        <v>191</v>
      </c>
      <c r="AF90" s="69"/>
      <c r="AG90" s="103" t="str">
        <f t="shared" si="92"/>
        <v xml:space="preserve">A1 </v>
      </c>
      <c r="AH90" s="75" t="s">
        <v>58</v>
      </c>
      <c r="AI90" s="76"/>
      <c r="AJ90" s="103"/>
      <c r="AK90" s="73"/>
      <c r="AL90" s="47">
        <v>0.108</v>
      </c>
      <c r="AM90" s="47">
        <v>1750</v>
      </c>
      <c r="AN90" s="47"/>
      <c r="AO90" s="269" t="s">
        <v>17</v>
      </c>
      <c r="AP90" s="110"/>
      <c r="AQ90" s="73"/>
      <c r="AR90" s="25"/>
    </row>
    <row r="91" spans="1:44" ht="25.2" customHeight="1" x14ac:dyDescent="0.15">
      <c r="A91" s="47" t="s">
        <v>864</v>
      </c>
      <c r="B91" s="47" t="s">
        <v>210</v>
      </c>
      <c r="C91" s="47"/>
      <c r="D91" s="47" t="s">
        <v>860</v>
      </c>
      <c r="E91" s="47" t="s">
        <v>146</v>
      </c>
      <c r="F91" s="47" t="s">
        <v>43</v>
      </c>
      <c r="G91" s="47"/>
      <c r="H91" s="47"/>
      <c r="I91" s="111">
        <v>1</v>
      </c>
      <c r="J91" s="114">
        <f t="shared" si="128"/>
        <v>53.704555200000001</v>
      </c>
      <c r="K91" s="152" cm="1">
        <f t="array" ref="K91">IF(AC91="N/A","",_xlfn.IFS(Y91="m2",((AA91/(Z91/AL91))*I91),Y91="m3",((AA91/(Z91/AL91))*I91),Y91="kg",(((AA91*AM91)/(1/AL91))*I91),Y91="ton",(((AA91/1000*AM91)/(1/AL91))*I91),Y91="N/A",""))</f>
        <v>53.704555200000001</v>
      </c>
      <c r="L91" s="114">
        <f t="shared" si="129"/>
        <v>53.071200000000005</v>
      </c>
      <c r="M91" s="152" cm="1">
        <f t="array" ref="M91">(_xlfn.IFS(Y91="m2",((AB91/(Z91/AL91))*I91),Y91="m3",((AB91/(Z91/AL91))*I91),Y91="kg",(((AB91*AM91)/(1/AL91))*I91),Y91="ton",(((AB91/1000*AM91)/(1/AL91))*I91),Y91="N/A",""))</f>
        <v>53.071200000000005</v>
      </c>
      <c r="N91" s="52">
        <f t="shared" si="130"/>
        <v>0.63335520000000001</v>
      </c>
      <c r="O91" s="148" cm="1">
        <f t="array" ref="O91">IF(AC91="N/A","",(_xlfn.IFS(Y91="m2",((AC91/(Z91/AL91))*I91),Y91="m3",((AC91/(Z91/AL91))*I91),Y91="kg",(((AC91*AM91)/(1/AL91))*I91),Y91="ton",(((AC91/1000*AM91)/(1/AL91))*I91),Y91="N/A","")))</f>
        <v>0.63335520000000001</v>
      </c>
      <c r="P91" s="52" t="str">
        <f t="shared" si="131"/>
        <v>N/A</v>
      </c>
      <c r="Q91" s="155" t="str" cm="1">
        <f t="array" ref="Q91">IF(AE91="N/A","",_xlfn.IFS(Y91="m2",((AE91/(Z91/AL91))*I91),Y91="m3",((AE91/(Z91/AL91))*I91),Y91="kg",(((AE91*AM91)/(1/AL91))*I91),Y91="ton",(((AE91/1000*AM91)/(1/AL91))*I91),Y91="N/A",""))</f>
        <v/>
      </c>
      <c r="R91" s="221" t="s">
        <v>5</v>
      </c>
      <c r="S91" s="47" t="s">
        <v>377</v>
      </c>
      <c r="T91" s="47">
        <v>2027</v>
      </c>
      <c r="U91" s="47" t="s">
        <v>14</v>
      </c>
      <c r="V91" s="47">
        <v>150</v>
      </c>
      <c r="W91" s="47"/>
      <c r="X91" s="47" t="s">
        <v>863</v>
      </c>
      <c r="Y91" s="47" t="s">
        <v>234</v>
      </c>
      <c r="Z91" s="47" t="s">
        <v>191</v>
      </c>
      <c r="AA91" s="52">
        <f t="shared" si="122"/>
        <v>276.25799999999998</v>
      </c>
      <c r="AB91" s="52">
        <v>273</v>
      </c>
      <c r="AC91" s="52">
        <f t="shared" si="132"/>
        <v>3.258</v>
      </c>
      <c r="AD91" s="52">
        <v>-6.06</v>
      </c>
      <c r="AE91" s="52" t="s">
        <v>191</v>
      </c>
      <c r="AF91" s="69"/>
      <c r="AG91" s="103" t="str">
        <f t="shared" si="92"/>
        <v xml:space="preserve">A1 </v>
      </c>
      <c r="AH91" s="75" t="s">
        <v>58</v>
      </c>
      <c r="AI91" s="76"/>
      <c r="AJ91" s="103"/>
      <c r="AK91" s="73"/>
      <c r="AL91" s="47">
        <v>0.108</v>
      </c>
      <c r="AM91" s="47">
        <v>1800</v>
      </c>
      <c r="AN91" s="47"/>
      <c r="AO91" s="269" t="s">
        <v>17</v>
      </c>
      <c r="AP91" s="110"/>
      <c r="AQ91" s="73"/>
      <c r="AR91" s="25"/>
    </row>
    <row r="92" spans="1:44" ht="25.2" customHeight="1" x14ac:dyDescent="0.15">
      <c r="A92" s="47" t="s">
        <v>865</v>
      </c>
      <c r="B92" s="47" t="s">
        <v>210</v>
      </c>
      <c r="C92" s="47"/>
      <c r="D92" s="47" t="s">
        <v>860</v>
      </c>
      <c r="E92" s="47" t="s">
        <v>146</v>
      </c>
      <c r="F92" s="47" t="s">
        <v>43</v>
      </c>
      <c r="G92" s="47"/>
      <c r="H92" s="47"/>
      <c r="I92" s="111">
        <v>1</v>
      </c>
      <c r="J92" s="114">
        <f t="shared" si="128"/>
        <v>38.4197688</v>
      </c>
      <c r="K92" s="152" cm="1">
        <f t="array" ref="K92">IF(AC92="N/A","",_xlfn.IFS(Y92="m2",((AA92/(Z92/AL92))*I92),Y92="m3",((AA92/(Z92/AL92))*I92),Y92="kg",(((AA92*AM92)/(1/AL92))*I92),Y92="ton",(((AA92/1000*AM92)/(1/AL92))*I92),Y92="N/A",""))</f>
        <v>38.4197688</v>
      </c>
      <c r="L92" s="114">
        <f t="shared" si="129"/>
        <v>37.821599999999997</v>
      </c>
      <c r="M92" s="152" cm="1">
        <f t="array" ref="M92">(_xlfn.IFS(Y92="m2",((AB92/(Z92/AL92))*I92),Y92="m3",((AB92/(Z92/AL92))*I92),Y92="kg",(((AB92*AM92)/(1/AL92))*I92),Y92="ton",(((AB92/1000*AM92)/(1/AL92))*I92),Y92="N/A",""))</f>
        <v>37.821599999999997</v>
      </c>
      <c r="N92" s="52">
        <f t="shared" si="130"/>
        <v>0.59816879999999994</v>
      </c>
      <c r="O92" s="148" cm="1">
        <f t="array" ref="O92">IF(AC92="N/A","",(_xlfn.IFS(Y92="m2",((AC92/(Z92/AL92))*I92),Y92="m3",((AC92/(Z92/AL92))*I92),Y92="kg",(((AC92*AM92)/(1/AL92))*I92),Y92="ton",(((AC92/1000*AM92)/(1/AL92))*I92),Y92="N/A","")))</f>
        <v>0.59816879999999994</v>
      </c>
      <c r="P92" s="52" t="str">
        <f t="shared" si="131"/>
        <v>N/A</v>
      </c>
      <c r="Q92" s="155" t="str" cm="1">
        <f t="array" ref="Q92">IF(AE92="N/A","",_xlfn.IFS(Y92="m2",((AE92/(Z92/AL92))*I92),Y92="m3",((AE92/(Z92/AL92))*I92),Y92="kg",(((AE92*AM92)/(1/AL92))*I92),Y92="ton",(((AE92/1000*AM92)/(1/AL92))*I92),Y92="N/A",""))</f>
        <v/>
      </c>
      <c r="R92" s="221" t="s">
        <v>5</v>
      </c>
      <c r="S92" s="47" t="s">
        <v>377</v>
      </c>
      <c r="T92" s="47">
        <v>2027</v>
      </c>
      <c r="U92" s="47" t="s">
        <v>14</v>
      </c>
      <c r="V92" s="47">
        <v>150</v>
      </c>
      <c r="W92" s="47"/>
      <c r="X92" s="47" t="s">
        <v>868</v>
      </c>
      <c r="Y92" s="47" t="s">
        <v>234</v>
      </c>
      <c r="Z92" s="47" t="s">
        <v>191</v>
      </c>
      <c r="AA92" s="52">
        <f t="shared" si="122"/>
        <v>209.25800000000001</v>
      </c>
      <c r="AB92" s="52">
        <v>206</v>
      </c>
      <c r="AC92" s="52">
        <f t="shared" si="132"/>
        <v>3.258</v>
      </c>
      <c r="AD92" s="52">
        <v>-6.27</v>
      </c>
      <c r="AE92" s="52" t="s">
        <v>191</v>
      </c>
      <c r="AF92" s="69"/>
      <c r="AG92" s="103" t="str">
        <f t="shared" si="92"/>
        <v xml:space="preserve">A1 </v>
      </c>
      <c r="AH92" s="75" t="s">
        <v>58</v>
      </c>
      <c r="AI92" s="76"/>
      <c r="AJ92" s="103"/>
      <c r="AK92" s="73"/>
      <c r="AL92" s="47">
        <v>0.108</v>
      </c>
      <c r="AM92" s="47">
        <v>1700</v>
      </c>
      <c r="AN92" s="47"/>
      <c r="AO92" s="269" t="s">
        <v>17</v>
      </c>
      <c r="AP92" s="110"/>
      <c r="AQ92" s="73"/>
      <c r="AR92" s="25"/>
    </row>
    <row r="93" spans="1:44" ht="25.2" customHeight="1" x14ac:dyDescent="0.15">
      <c r="A93" s="47" t="s">
        <v>866</v>
      </c>
      <c r="B93" s="47" t="s">
        <v>210</v>
      </c>
      <c r="C93" s="47"/>
      <c r="D93" s="47" t="s">
        <v>860</v>
      </c>
      <c r="E93" s="47" t="s">
        <v>146</v>
      </c>
      <c r="F93" s="47" t="s">
        <v>43</v>
      </c>
      <c r="G93" s="47"/>
      <c r="H93" s="47"/>
      <c r="I93" s="111">
        <v>1</v>
      </c>
      <c r="J93" s="114">
        <f t="shared" si="128"/>
        <v>38.415762000000008</v>
      </c>
      <c r="K93" s="152" cm="1">
        <f t="array" ref="K93">IF(AC93="N/A","",_xlfn.IFS(Y93="m2",((AA93/(Z93/AL93))*I93),Y93="m3",((AA93/(Z93/AL93))*I93),Y93="kg",(((AA93*AM93)/(1/AL93))*I93),Y93="ton",(((AA93/1000*AM93)/(1/AL93))*I93),Y93="N/A",""))</f>
        <v>38.415762000000008</v>
      </c>
      <c r="L93" s="114">
        <f t="shared" si="129"/>
        <v>37.799999999999997</v>
      </c>
      <c r="M93" s="152" cm="1">
        <f t="array" ref="M93">(_xlfn.IFS(Y93="m2",((AB93/(Z93/AL93))*I93),Y93="m3",((AB93/(Z93/AL93))*I93),Y93="kg",(((AB93*AM93)/(1/AL93))*I93),Y93="ton",(((AB93/1000*AM93)/(1/AL93))*I93),Y93="N/A",""))</f>
        <v>37.799999999999997</v>
      </c>
      <c r="N93" s="52">
        <f t="shared" si="130"/>
        <v>0.61576200000000003</v>
      </c>
      <c r="O93" s="148" cm="1">
        <f t="array" ref="O93">IF(AC93="N/A","",(_xlfn.IFS(Y93="m2",((AC93/(Z93/AL93))*I93),Y93="m3",((AC93/(Z93/AL93))*I93),Y93="kg",(((AC93*AM93)/(1/AL93))*I93),Y93="ton",(((AC93/1000*AM93)/(1/AL93))*I93),Y93="N/A","")))</f>
        <v>0.61576200000000003</v>
      </c>
      <c r="P93" s="52" t="str">
        <f t="shared" si="131"/>
        <v>N/A</v>
      </c>
      <c r="Q93" s="155" t="str" cm="1">
        <f t="array" ref="Q93">IF(AE93="N/A","",_xlfn.IFS(Y93="m2",((AE93/(Z93/AL93))*I93),Y93="m3",((AE93/(Z93/AL93))*I93),Y93="kg",(((AE93*AM93)/(1/AL93))*I93),Y93="ton",(((AE93/1000*AM93)/(1/AL93))*I93),Y93="N/A",""))</f>
        <v/>
      </c>
      <c r="R93" s="221" t="s">
        <v>5</v>
      </c>
      <c r="S93" s="47" t="s">
        <v>377</v>
      </c>
      <c r="T93" s="47">
        <v>2027</v>
      </c>
      <c r="U93" s="47" t="s">
        <v>14</v>
      </c>
      <c r="V93" s="47">
        <v>150</v>
      </c>
      <c r="W93" s="47"/>
      <c r="X93" s="47" t="s">
        <v>869</v>
      </c>
      <c r="Y93" s="47" t="s">
        <v>234</v>
      </c>
      <c r="Z93" s="47" t="s">
        <v>191</v>
      </c>
      <c r="AA93" s="52">
        <f t="shared" si="122"/>
        <v>203.25800000000001</v>
      </c>
      <c r="AB93" s="52">
        <v>200</v>
      </c>
      <c r="AC93" s="52">
        <f t="shared" si="132"/>
        <v>3.258</v>
      </c>
      <c r="AD93" s="52">
        <v>-6.27</v>
      </c>
      <c r="AE93" s="52" t="s">
        <v>191</v>
      </c>
      <c r="AF93" s="69"/>
      <c r="AG93" s="103" t="str">
        <f t="shared" si="92"/>
        <v xml:space="preserve">A1 </v>
      </c>
      <c r="AH93" s="75" t="s">
        <v>58</v>
      </c>
      <c r="AI93" s="76"/>
      <c r="AJ93" s="103"/>
      <c r="AK93" s="73"/>
      <c r="AL93" s="47">
        <v>0.108</v>
      </c>
      <c r="AM93" s="47">
        <v>1750</v>
      </c>
      <c r="AN93" s="47"/>
      <c r="AO93" s="269" t="s">
        <v>17</v>
      </c>
      <c r="AP93" s="110"/>
      <c r="AQ93" s="73"/>
      <c r="AR93" s="25"/>
    </row>
    <row r="94" spans="1:44" ht="25.2" customHeight="1" x14ac:dyDescent="0.15">
      <c r="A94" s="47" t="s">
        <v>867</v>
      </c>
      <c r="B94" s="47" t="s">
        <v>210</v>
      </c>
      <c r="C94" s="47"/>
      <c r="D94" s="47" t="s">
        <v>860</v>
      </c>
      <c r="E94" s="47" t="s">
        <v>146</v>
      </c>
      <c r="F94" s="47" t="s">
        <v>43</v>
      </c>
      <c r="G94" s="47"/>
      <c r="H94" s="47"/>
      <c r="I94" s="111">
        <v>1</v>
      </c>
      <c r="J94" s="114">
        <f t="shared" si="128"/>
        <v>25.710955200000004</v>
      </c>
      <c r="K94" s="152" cm="1">
        <f t="array" ref="K94">IF(AC94="N/A","",_xlfn.IFS(Y94="m2",((AA94/(Z94/AL94))*I94),Y94="m3",((AA94/(Z94/AL94))*I94),Y94="kg",(((AA94*AM94)/(1/AL94))*I94),Y94="ton",(((AA94/1000*AM94)/(1/AL94))*I94),Y94="N/A",""))</f>
        <v>25.710955200000004</v>
      </c>
      <c r="L94" s="114">
        <f t="shared" si="129"/>
        <v>25.0776</v>
      </c>
      <c r="M94" s="152" cm="1">
        <f t="array" ref="M94">(_xlfn.IFS(Y94="m2",((AB94/(Z94/AL94))*I94),Y94="m3",((AB94/(Z94/AL94))*I94),Y94="kg",(((AB94*AM94)/(1/AL94))*I94),Y94="ton",(((AB94/1000*AM94)/(1/AL94))*I94),Y94="N/A",""))</f>
        <v>25.0776</v>
      </c>
      <c r="N94" s="52">
        <f t="shared" si="130"/>
        <v>0.63335520000000001</v>
      </c>
      <c r="O94" s="148" cm="1">
        <f t="array" ref="O94">IF(AC94="N/A","",(_xlfn.IFS(Y94="m2",((AC94/(Z94/AL94))*I94),Y94="m3",((AC94/(Z94/AL94))*I94),Y94="kg",(((AC94*AM94)/(1/AL94))*I94),Y94="ton",(((AC94/1000*AM94)/(1/AL94))*I94),Y94="N/A","")))</f>
        <v>0.63335520000000001</v>
      </c>
      <c r="P94" s="52" t="str">
        <f t="shared" si="131"/>
        <v>N/A</v>
      </c>
      <c r="Q94" s="155" t="str" cm="1">
        <f t="array" ref="Q94">IF(AE94="N/A","",_xlfn.IFS(Y94="m2",((AE94/(Z94/AL94))*I94),Y94="m3",((AE94/(Z94/AL94))*I94),Y94="kg",(((AE94*AM94)/(1/AL94))*I94),Y94="ton",(((AE94/1000*AM94)/(1/AL94))*I94),Y94="N/A",""))</f>
        <v/>
      </c>
      <c r="R94" s="221" t="s">
        <v>5</v>
      </c>
      <c r="S94" s="47" t="s">
        <v>377</v>
      </c>
      <c r="T94" s="47">
        <v>2027</v>
      </c>
      <c r="U94" s="47" t="s">
        <v>14</v>
      </c>
      <c r="V94" s="47">
        <v>150</v>
      </c>
      <c r="W94" s="47"/>
      <c r="X94" s="47" t="s">
        <v>870</v>
      </c>
      <c r="Y94" s="47" t="s">
        <v>234</v>
      </c>
      <c r="Z94" s="47" t="s">
        <v>191</v>
      </c>
      <c r="AA94" s="52">
        <f t="shared" si="122"/>
        <v>132.25800000000001</v>
      </c>
      <c r="AB94" s="52">
        <v>129</v>
      </c>
      <c r="AC94" s="52">
        <f t="shared" si="132"/>
        <v>3.258</v>
      </c>
      <c r="AD94" s="52">
        <v>-6.27</v>
      </c>
      <c r="AE94" s="52" t="s">
        <v>191</v>
      </c>
      <c r="AF94" s="69"/>
      <c r="AG94" s="103" t="str">
        <f t="shared" si="92"/>
        <v xml:space="preserve">A1 </v>
      </c>
      <c r="AH94" s="75" t="s">
        <v>58</v>
      </c>
      <c r="AI94" s="76"/>
      <c r="AJ94" s="103"/>
      <c r="AK94" s="73"/>
      <c r="AL94" s="47">
        <v>0.108</v>
      </c>
      <c r="AM94" s="47">
        <v>1800</v>
      </c>
      <c r="AN94" s="47"/>
      <c r="AO94" s="269" t="s">
        <v>17</v>
      </c>
      <c r="AP94" s="110"/>
      <c r="AQ94" s="73"/>
      <c r="AR94" s="25"/>
    </row>
    <row r="95" spans="1:44" ht="25.2" customHeight="1" x14ac:dyDescent="0.15">
      <c r="A95" s="47" t="s">
        <v>874</v>
      </c>
      <c r="B95" s="47" t="s">
        <v>210</v>
      </c>
      <c r="C95" s="47"/>
      <c r="D95" s="47" t="s">
        <v>871</v>
      </c>
      <c r="E95" s="47" t="s">
        <v>146</v>
      </c>
      <c r="F95" s="47" t="s">
        <v>43</v>
      </c>
      <c r="G95" s="47"/>
      <c r="H95" s="47"/>
      <c r="I95" s="111">
        <v>1</v>
      </c>
      <c r="J95" s="114">
        <f t="shared" ref="J95:J96" si="133">IF(AC95="N/A","N/A",IF(K95="","N/A",K95))</f>
        <v>37.6417152</v>
      </c>
      <c r="K95" s="152" cm="1">
        <f t="array" ref="K95">IF(AC95="N/A","",_xlfn.IFS(Y95="m2",((AA95/(Z95/AL95))*I95),Y95="m3",((AA95/(Z95/AL95))*I95),Y95="kg",(((AA95*AM95)/(1/AL95))*I95),Y95="ton",(((AA95/1000*AM95)/(1/AL95))*I95),Y95="N/A",""))</f>
        <v>37.6417152</v>
      </c>
      <c r="L95" s="114">
        <f t="shared" ref="L95:L96" si="134">IF(M95="","N/A",M95)</f>
        <v>37.497599999999998</v>
      </c>
      <c r="M95" s="152" cm="1">
        <f t="array" ref="M95">(_xlfn.IFS(Y95="m2",((AB95/(Z95/AL95))*I95),Y95="m3",((AB95/(Z95/AL95))*I95),Y95="kg",(((AB95*AM95)/(1/AL95))*I95),Y95="ton",(((AB95/1000*AM95)/(1/AL95))*I95),Y95="N/A",""))</f>
        <v>37.497599999999998</v>
      </c>
      <c r="N95" s="52">
        <f t="shared" ref="N95:N96" si="135">IF(O95="","N/A",O95)</f>
        <v>0.1441152</v>
      </c>
      <c r="O95" s="148" cm="1">
        <f t="array" ref="O95">IF(AC95="N/A","",(_xlfn.IFS(Y95="m2",((AC95/(Z95/AL95))*I95),Y95="m3",((AC95/(Z95/AL95))*I95),Y95="kg",(((AC95*AM95)/(1/AL95))*I95),Y95="ton",(((AC95/1000*AM95)/(1/AL95))*I95),Y95="N/A","")))</f>
        <v>0.1441152</v>
      </c>
      <c r="P95" s="52" t="str">
        <f t="shared" ref="P95:P96" si="136">IF(Q95="","N/A",Q95)</f>
        <v>N/A</v>
      </c>
      <c r="Q95" s="155" t="str" cm="1">
        <f t="array" ref="Q95">IF(AE95="N/A","",_xlfn.IFS(Y95="m2",((AE95/(Z95/AL95))*I95),Y95="m3",((AE95/(Z95/AL95))*I95),Y95="kg",(((AE95*AM95)/(1/AL95))*I95),Y95="ton",(((AE95/1000*AM95)/(1/AL95))*I95),Y95="N/A",""))</f>
        <v/>
      </c>
      <c r="R95" s="221" t="s">
        <v>5</v>
      </c>
      <c r="S95" s="47"/>
      <c r="T95" s="47">
        <v>2026</v>
      </c>
      <c r="U95" s="47" t="s">
        <v>14</v>
      </c>
      <c r="V95" s="47">
        <v>150</v>
      </c>
      <c r="W95" s="47"/>
      <c r="X95" s="47" t="s">
        <v>872</v>
      </c>
      <c r="Y95" s="47" t="s">
        <v>234</v>
      </c>
      <c r="Z95" s="47" t="s">
        <v>191</v>
      </c>
      <c r="AA95" s="52">
        <f t="shared" si="122"/>
        <v>217.834</v>
      </c>
      <c r="AB95" s="52">
        <v>217</v>
      </c>
      <c r="AC95" s="52">
        <f t="shared" ref="AC95:AC104" si="137">0.702+0.132</f>
        <v>0.83399999999999996</v>
      </c>
      <c r="AD95" s="52">
        <v>-3.14</v>
      </c>
      <c r="AE95" s="52" t="s">
        <v>191</v>
      </c>
      <c r="AF95" s="69"/>
      <c r="AG95" s="103" t="str">
        <f t="shared" si="92"/>
        <v xml:space="preserve">A1 </v>
      </c>
      <c r="AH95" s="75" t="s">
        <v>58</v>
      </c>
      <c r="AI95" s="76"/>
      <c r="AJ95" s="103"/>
      <c r="AK95" s="73"/>
      <c r="AL95" s="47">
        <v>0.108</v>
      </c>
      <c r="AM95" s="47">
        <f>(1550+1650)/2</f>
        <v>1600</v>
      </c>
      <c r="AN95" s="47"/>
      <c r="AO95" s="269" t="s">
        <v>17</v>
      </c>
      <c r="AP95" s="110"/>
      <c r="AQ95" s="73"/>
      <c r="AR95" s="25"/>
    </row>
    <row r="96" spans="1:44" ht="25.2" customHeight="1" x14ac:dyDescent="0.15">
      <c r="A96" s="47" t="s">
        <v>875</v>
      </c>
      <c r="B96" s="47" t="s">
        <v>210</v>
      </c>
      <c r="C96" s="47"/>
      <c r="D96" s="47" t="s">
        <v>871</v>
      </c>
      <c r="E96" s="47" t="s">
        <v>146</v>
      </c>
      <c r="F96" s="47" t="s">
        <v>43</v>
      </c>
      <c r="G96" s="47"/>
      <c r="H96" s="47"/>
      <c r="I96" s="111">
        <v>1</v>
      </c>
      <c r="J96" s="114">
        <f t="shared" si="133"/>
        <v>50.256115199999996</v>
      </c>
      <c r="K96" s="152" cm="1">
        <f t="array" ref="K96">IF(AC96="N/A","",_xlfn.IFS(Y96="m2",((AA96/(Z96/AL96))*I96),Y96="m3",((AA96/(Z96/AL96))*I96),Y96="kg",(((AA96*AM96)/(1/AL96))*I96),Y96="ton",(((AA96/1000*AM96)/(1/AL96))*I96),Y96="N/A",""))</f>
        <v>50.256115199999996</v>
      </c>
      <c r="L96" s="114">
        <f t="shared" si="134"/>
        <v>50.111999999999995</v>
      </c>
      <c r="M96" s="152" cm="1">
        <f t="array" ref="M96">(_xlfn.IFS(Y96="m2",((AB96/(Z96/AL96))*I96),Y96="m3",((AB96/(Z96/AL96))*I96),Y96="kg",(((AB96*AM96)/(1/AL96))*I96),Y96="ton",(((AB96/1000*AM96)/(1/AL96))*I96),Y96="N/A",""))</f>
        <v>50.111999999999995</v>
      </c>
      <c r="N96" s="52">
        <f t="shared" si="135"/>
        <v>0.1441152</v>
      </c>
      <c r="O96" s="148" cm="1">
        <f t="array" ref="O96">IF(AC96="N/A","",(_xlfn.IFS(Y96="m2",((AC96/(Z96/AL96))*I96),Y96="m3",((AC96/(Z96/AL96))*I96),Y96="kg",(((AC96*AM96)/(1/AL96))*I96),Y96="ton",(((AC96/1000*AM96)/(1/AL96))*I96),Y96="N/A","")))</f>
        <v>0.1441152</v>
      </c>
      <c r="P96" s="52" t="str">
        <f t="shared" si="136"/>
        <v>N/A</v>
      </c>
      <c r="Q96" s="155" t="str" cm="1">
        <f t="array" ref="Q96">IF(AE96="N/A","",_xlfn.IFS(Y96="m2",((AE96/(Z96/AL96))*I96),Y96="m3",((AE96/(Z96/AL96))*I96),Y96="kg",(((AE96*AM96)/(1/AL96))*I96),Y96="ton",(((AE96/1000*AM96)/(1/AL96))*I96),Y96="N/A",""))</f>
        <v/>
      </c>
      <c r="R96" s="221" t="s">
        <v>5</v>
      </c>
      <c r="S96" s="47"/>
      <c r="T96" s="47">
        <v>2026</v>
      </c>
      <c r="U96" s="47" t="s">
        <v>14</v>
      </c>
      <c r="V96" s="47">
        <v>150</v>
      </c>
      <c r="W96" s="47"/>
      <c r="X96" s="47" t="s">
        <v>872</v>
      </c>
      <c r="Y96" s="47" t="s">
        <v>234</v>
      </c>
      <c r="Z96" s="47" t="s">
        <v>191</v>
      </c>
      <c r="AA96" s="52">
        <f t="shared" si="122"/>
        <v>290.834</v>
      </c>
      <c r="AB96" s="52">
        <v>290</v>
      </c>
      <c r="AC96" s="52">
        <f t="shared" si="137"/>
        <v>0.83399999999999996</v>
      </c>
      <c r="AD96" s="52">
        <v>-3.14</v>
      </c>
      <c r="AE96" s="52" t="s">
        <v>191</v>
      </c>
      <c r="AF96" s="69"/>
      <c r="AG96" s="103" t="str">
        <f t="shared" si="92"/>
        <v xml:space="preserve">A1 </v>
      </c>
      <c r="AH96" s="75" t="s">
        <v>58</v>
      </c>
      <c r="AI96" s="76"/>
      <c r="AJ96" s="103"/>
      <c r="AK96" s="73"/>
      <c r="AL96" s="47">
        <v>0.108</v>
      </c>
      <c r="AM96" s="47">
        <f>(1550+1650)/2</f>
        <v>1600</v>
      </c>
      <c r="AN96" s="47"/>
      <c r="AO96" s="269" t="s">
        <v>17</v>
      </c>
      <c r="AP96" s="110"/>
      <c r="AQ96" s="73"/>
      <c r="AR96" s="25"/>
    </row>
    <row r="97" spans="1:44" ht="25.2" customHeight="1" x14ac:dyDescent="0.15">
      <c r="A97" s="85" t="s">
        <v>876</v>
      </c>
      <c r="B97" s="47" t="s">
        <v>210</v>
      </c>
      <c r="C97" s="47"/>
      <c r="D97" s="47" t="s">
        <v>871</v>
      </c>
      <c r="E97" s="47" t="s">
        <v>146</v>
      </c>
      <c r="F97" s="47" t="s">
        <v>43</v>
      </c>
      <c r="G97" s="47"/>
      <c r="H97" s="47"/>
      <c r="I97" s="111">
        <v>1</v>
      </c>
      <c r="J97" s="114">
        <f t="shared" ref="J97:J98" si="138">IF(AC97="N/A","N/A",IF(K97="","N/A",K97))</f>
        <v>16.058995199999998</v>
      </c>
      <c r="K97" s="152" cm="1">
        <f t="array" ref="K97">IF(AC97="N/A","",_xlfn.IFS(Y97="m2",((AA97/(Z97/AL97))*I97),Y97="m3",((AA97/(Z97/AL97))*I97),Y97="kg",(((AA97*AM97)/(1/AL97))*I97),Y97="ton",(((AA97/1000*AM97)/(1/AL97))*I97),Y97="N/A",""))</f>
        <v>16.058995199999998</v>
      </c>
      <c r="L97" s="114">
        <f t="shared" ref="L97:L98" si="139">IF(M97="","N/A",M97)</f>
        <v>15.914879999999998</v>
      </c>
      <c r="M97" s="152" cm="1">
        <f t="array" ref="M97">(_xlfn.IFS(Y97="m2",((AB97/(Z97/AL97))*I97),Y97="m3",((AB97/(Z97/AL97))*I97),Y97="kg",(((AB97*AM97)/(1/AL97))*I97),Y97="ton",(((AB97/1000*AM97)/(1/AL97))*I97),Y97="N/A",""))</f>
        <v>15.914879999999998</v>
      </c>
      <c r="N97" s="52">
        <f t="shared" ref="N97:N98" si="140">IF(O97="","N/A",O97)</f>
        <v>0.1441152</v>
      </c>
      <c r="O97" s="148" cm="1">
        <f t="array" ref="O97">IF(AC97="N/A","",(_xlfn.IFS(Y97="m2",((AC97/(Z97/AL97))*I97),Y97="m3",((AC97/(Z97/AL97))*I97),Y97="kg",(((AC97*AM97)/(1/AL97))*I97),Y97="ton",(((AC97/1000*AM97)/(1/AL97))*I97),Y97="N/A","")))</f>
        <v>0.1441152</v>
      </c>
      <c r="P97" s="52" t="str">
        <f t="shared" ref="P97:P98" si="141">IF(Q97="","N/A",Q97)</f>
        <v>N/A</v>
      </c>
      <c r="Q97" s="155" t="str" cm="1">
        <f t="array" ref="Q97">IF(AE97="N/A","",_xlfn.IFS(Y97="m2",((AE97/(Z97/AL97))*I97),Y97="m3",((AE97/(Z97/AL97))*I97),Y97="kg",(((AE97*AM97)/(1/AL97))*I97),Y97="ton",(((AE97/1000*AM97)/(1/AL97))*I97),Y97="N/A",""))</f>
        <v/>
      </c>
      <c r="R97" s="221" t="s">
        <v>5</v>
      </c>
      <c r="S97" s="47"/>
      <c r="T97" s="47">
        <v>2026</v>
      </c>
      <c r="U97" s="47" t="s">
        <v>14</v>
      </c>
      <c r="V97" s="47">
        <v>150</v>
      </c>
      <c r="W97" s="47"/>
      <c r="X97" s="47" t="s">
        <v>873</v>
      </c>
      <c r="Y97" s="47" t="s">
        <v>234</v>
      </c>
      <c r="Z97" s="47" t="s">
        <v>191</v>
      </c>
      <c r="AA97" s="52">
        <f t="shared" ref="AA97:AA98" si="142">IF(AC97="N/A","N/A",SUM(AB97:AC97))</f>
        <v>92.933999999999997</v>
      </c>
      <c r="AB97" s="52">
        <v>92.1</v>
      </c>
      <c r="AC97" s="52">
        <f t="shared" si="137"/>
        <v>0.83399999999999996</v>
      </c>
      <c r="AD97" s="52">
        <v>-3.14</v>
      </c>
      <c r="AE97" s="52" t="s">
        <v>191</v>
      </c>
      <c r="AF97" s="69"/>
      <c r="AG97" s="103" t="str">
        <f t="shared" ref="AG97:AG98" si="143">AH97&amp;" "&amp;AI97</f>
        <v xml:space="preserve">A1 </v>
      </c>
      <c r="AH97" s="75" t="s">
        <v>58</v>
      </c>
      <c r="AI97" s="76"/>
      <c r="AJ97" s="103"/>
      <c r="AK97" s="73"/>
      <c r="AL97" s="47">
        <v>0.108</v>
      </c>
      <c r="AM97" s="47">
        <f>(1550+1650)/2</f>
        <v>1600</v>
      </c>
      <c r="AN97" s="47"/>
      <c r="AO97" s="269" t="s">
        <v>17</v>
      </c>
      <c r="AP97" s="110"/>
      <c r="AQ97" s="73"/>
      <c r="AR97" s="25"/>
    </row>
    <row r="98" spans="1:44" ht="25.2" customHeight="1" x14ac:dyDescent="0.15">
      <c r="A98" s="85" t="s">
        <v>877</v>
      </c>
      <c r="B98" s="47" t="s">
        <v>210</v>
      </c>
      <c r="C98" s="47"/>
      <c r="D98" s="47" t="s">
        <v>871</v>
      </c>
      <c r="E98" s="47" t="s">
        <v>146</v>
      </c>
      <c r="F98" s="47" t="s">
        <v>43</v>
      </c>
      <c r="G98" s="47"/>
      <c r="H98" s="47"/>
      <c r="I98" s="111">
        <v>1</v>
      </c>
      <c r="J98" s="114">
        <f t="shared" si="138"/>
        <v>26.755315199999998</v>
      </c>
      <c r="K98" s="152" cm="1">
        <f t="array" ref="K98">IF(AC98="N/A","",_xlfn.IFS(Y98="m2",((AA98/(Z98/AL98))*I98),Y98="m3",((AA98/(Z98/AL98))*I98),Y98="kg",(((AA98*AM98)/(1/AL98))*I98),Y98="ton",(((AA98/1000*AM98)/(1/AL98))*I98),Y98="N/A",""))</f>
        <v>26.755315199999998</v>
      </c>
      <c r="L98" s="114">
        <f t="shared" si="139"/>
        <v>26.6112</v>
      </c>
      <c r="M98" s="152" cm="1">
        <f t="array" ref="M98">(_xlfn.IFS(Y98="m2",((AB98/(Z98/AL98))*I98),Y98="m3",((AB98/(Z98/AL98))*I98),Y98="kg",(((AB98*AM98)/(1/AL98))*I98),Y98="ton",(((AB98/1000*AM98)/(1/AL98))*I98),Y98="N/A",""))</f>
        <v>26.6112</v>
      </c>
      <c r="N98" s="52">
        <f t="shared" si="140"/>
        <v>0.1441152</v>
      </c>
      <c r="O98" s="148" cm="1">
        <f t="array" ref="O98">IF(AC98="N/A","",(_xlfn.IFS(Y98="m2",((AC98/(Z98/AL98))*I98),Y98="m3",((AC98/(Z98/AL98))*I98),Y98="kg",(((AC98*AM98)/(1/AL98))*I98),Y98="ton",(((AC98/1000*AM98)/(1/AL98))*I98),Y98="N/A","")))</f>
        <v>0.1441152</v>
      </c>
      <c r="P98" s="52" t="str">
        <f t="shared" si="141"/>
        <v>N/A</v>
      </c>
      <c r="Q98" s="155" t="str" cm="1">
        <f t="array" ref="Q98">IF(AE98="N/A","",_xlfn.IFS(Y98="m2",((AE98/(Z98/AL98))*I98),Y98="m3",((AE98/(Z98/AL98))*I98),Y98="kg",(((AE98*AM98)/(1/AL98))*I98),Y98="ton",(((AE98/1000*AM98)/(1/AL98))*I98),Y98="N/A",""))</f>
        <v/>
      </c>
      <c r="R98" s="221" t="s">
        <v>5</v>
      </c>
      <c r="S98" s="47"/>
      <c r="T98" s="47">
        <v>2026</v>
      </c>
      <c r="U98" s="47" t="s">
        <v>14</v>
      </c>
      <c r="V98" s="47">
        <v>150</v>
      </c>
      <c r="W98" s="47"/>
      <c r="X98" s="47" t="s">
        <v>873</v>
      </c>
      <c r="Y98" s="47" t="s">
        <v>234</v>
      </c>
      <c r="Z98" s="47" t="s">
        <v>191</v>
      </c>
      <c r="AA98" s="52">
        <f t="shared" si="142"/>
        <v>154.834</v>
      </c>
      <c r="AB98" s="52">
        <v>154</v>
      </c>
      <c r="AC98" s="52">
        <f t="shared" si="137"/>
        <v>0.83399999999999996</v>
      </c>
      <c r="AD98" s="52">
        <v>-3.14</v>
      </c>
      <c r="AE98" s="52" t="s">
        <v>191</v>
      </c>
      <c r="AF98" s="69"/>
      <c r="AG98" s="103" t="str">
        <f t="shared" si="143"/>
        <v xml:space="preserve">A1 </v>
      </c>
      <c r="AH98" s="75" t="s">
        <v>58</v>
      </c>
      <c r="AI98" s="76"/>
      <c r="AJ98" s="103"/>
      <c r="AK98" s="73"/>
      <c r="AL98" s="47">
        <v>0.108</v>
      </c>
      <c r="AM98" s="47">
        <f>(1550+1650)/2</f>
        <v>1600</v>
      </c>
      <c r="AN98" s="47"/>
      <c r="AO98" s="269" t="s">
        <v>17</v>
      </c>
      <c r="AP98" s="110"/>
      <c r="AQ98" s="73"/>
      <c r="AR98" s="25"/>
    </row>
    <row r="99" spans="1:44" ht="25.2" customHeight="1" x14ac:dyDescent="0.15">
      <c r="A99" s="47" t="s">
        <v>879</v>
      </c>
      <c r="B99" s="47" t="s">
        <v>210</v>
      </c>
      <c r="C99" s="47"/>
      <c r="D99" s="47" t="s">
        <v>871</v>
      </c>
      <c r="E99" s="47" t="s">
        <v>146</v>
      </c>
      <c r="F99" s="47" t="s">
        <v>43</v>
      </c>
      <c r="G99" s="47"/>
      <c r="H99" s="47"/>
      <c r="I99" s="111">
        <v>1</v>
      </c>
      <c r="J99" s="114">
        <f t="shared" ref="J99:J100" si="144">IF(AC99="N/A","N/A",IF(K99="","N/A",K99))</f>
        <v>31.930094699999998</v>
      </c>
      <c r="K99" s="152" cm="1">
        <f t="array" ref="K99">IF(AC99="N/A","",_xlfn.IFS(Y99="m2",((AA99/(Z99/AL99))*I99),Y99="m3",((AA99/(Z99/AL99))*I99),Y99="kg",(((AA99*AM99)/(1/AL99))*I99),Y99="ton",(((AA99/1000*AM99)/(1/AL99))*I99),Y99="N/A",""))</f>
        <v>31.930094699999998</v>
      </c>
      <c r="L99" s="114">
        <f t="shared" ref="L99:L100" si="145">IF(M99="","N/A",M99)</f>
        <v>31.780349999999999</v>
      </c>
      <c r="M99" s="152" cm="1">
        <f t="array" ref="M99">(_xlfn.IFS(Y99="m2",((AB99/(Z99/AL99))*I99),Y99="m3",((AB99/(Z99/AL99))*I99),Y99="kg",(((AB99*AM99)/(1/AL99))*I99),Y99="ton",(((AB99/1000*AM99)/(1/AL99))*I99),Y99="N/A",""))</f>
        <v>31.780349999999999</v>
      </c>
      <c r="N99" s="52">
        <f t="shared" ref="N99:N100" si="146">IF(O99="","N/A",O99)</f>
        <v>0.14974470000000001</v>
      </c>
      <c r="O99" s="148" cm="1">
        <f t="array" ref="O99">IF(AC99="N/A","",(_xlfn.IFS(Y99="m2",((AC99/(Z99/AL99))*I99),Y99="m3",((AC99/(Z99/AL99))*I99),Y99="kg",(((AC99*AM99)/(1/AL99))*I99),Y99="ton",(((AC99/1000*AM99)/(1/AL99))*I99),Y99="N/A","")))</f>
        <v>0.14974470000000001</v>
      </c>
      <c r="P99" s="52" t="str">
        <f t="shared" ref="P99:P100" si="147">IF(Q99="","N/A",Q99)</f>
        <v>N/A</v>
      </c>
      <c r="Q99" s="155" t="str" cm="1">
        <f t="array" ref="Q99">IF(AE99="N/A","",_xlfn.IFS(Y99="m2",((AE99/(Z99/AL99))*I99),Y99="m3",((AE99/(Z99/AL99))*I99),Y99="kg",(((AE99*AM99)/(1/AL99))*I99),Y99="ton",(((AE99/1000*AM99)/(1/AL99))*I99),Y99="N/A",""))</f>
        <v/>
      </c>
      <c r="R99" s="221" t="s">
        <v>5</v>
      </c>
      <c r="S99" s="47"/>
      <c r="T99" s="47">
        <v>2026</v>
      </c>
      <c r="U99" s="47" t="s">
        <v>14</v>
      </c>
      <c r="V99" s="47">
        <v>150</v>
      </c>
      <c r="W99" s="47"/>
      <c r="X99" s="47" t="s">
        <v>878</v>
      </c>
      <c r="Y99" s="47" t="s">
        <v>234</v>
      </c>
      <c r="Z99" s="47" t="s">
        <v>191</v>
      </c>
      <c r="AA99" s="52">
        <f t="shared" ref="AA99:AA100" si="148">IF(AC99="N/A","N/A",SUM(AB99:AC99))</f>
        <v>177.834</v>
      </c>
      <c r="AB99" s="52">
        <v>177</v>
      </c>
      <c r="AC99" s="52">
        <f t="shared" si="137"/>
        <v>0.83399999999999996</v>
      </c>
      <c r="AD99" s="52">
        <v>-2.86</v>
      </c>
      <c r="AE99" s="52" t="s">
        <v>191</v>
      </c>
      <c r="AF99" s="69"/>
      <c r="AG99" s="103" t="str">
        <f t="shared" si="92"/>
        <v xml:space="preserve">A1 </v>
      </c>
      <c r="AH99" s="75" t="s">
        <v>58</v>
      </c>
      <c r="AI99" s="76"/>
      <c r="AJ99" s="103"/>
      <c r="AK99" s="73"/>
      <c r="AL99" s="47">
        <v>0.108</v>
      </c>
      <c r="AM99" s="116">
        <f t="shared" ref="AM99:AM104" si="149">(1525+1800)/2</f>
        <v>1662.5</v>
      </c>
      <c r="AN99" s="47"/>
      <c r="AO99" s="269" t="s">
        <v>17</v>
      </c>
      <c r="AP99" s="110"/>
      <c r="AQ99" s="73"/>
      <c r="AR99" s="25"/>
    </row>
    <row r="100" spans="1:44" ht="25.2" customHeight="1" x14ac:dyDescent="0.15">
      <c r="A100" s="47" t="s">
        <v>880</v>
      </c>
      <c r="B100" s="47" t="s">
        <v>210</v>
      </c>
      <c r="C100" s="47"/>
      <c r="D100" s="47" t="s">
        <v>871</v>
      </c>
      <c r="E100" s="47" t="s">
        <v>146</v>
      </c>
      <c r="F100" s="47" t="s">
        <v>43</v>
      </c>
      <c r="G100" s="47"/>
      <c r="H100" s="47"/>
      <c r="I100" s="111">
        <v>1</v>
      </c>
      <c r="J100" s="114">
        <f t="shared" si="144"/>
        <v>44.319044699999999</v>
      </c>
      <c r="K100" s="152" cm="1">
        <f t="array" ref="K100">IF(AC100="N/A","",_xlfn.IFS(Y100="m2",((AA100/(Z100/AL100))*I100),Y100="m3",((AA100/(Z100/AL100))*I100),Y100="kg",(((AA100*AM100)/(1/AL100))*I100),Y100="ton",(((AA100/1000*AM100)/(1/AL100))*I100),Y100="N/A",""))</f>
        <v>44.319044699999999</v>
      </c>
      <c r="L100" s="114">
        <f t="shared" si="145"/>
        <v>44.169299999999993</v>
      </c>
      <c r="M100" s="152" cm="1">
        <f t="array" ref="M100">(_xlfn.IFS(Y100="m2",((AB100/(Z100/AL100))*I100),Y100="m3",((AB100/(Z100/AL100))*I100),Y100="kg",(((AB100*AM100)/(1/AL100))*I100),Y100="ton",(((AB100/1000*AM100)/(1/AL100))*I100),Y100="N/A",""))</f>
        <v>44.169299999999993</v>
      </c>
      <c r="N100" s="52">
        <f t="shared" si="146"/>
        <v>0.14974470000000001</v>
      </c>
      <c r="O100" s="148" cm="1">
        <f t="array" ref="O100">IF(AC100="N/A","",(_xlfn.IFS(Y100="m2",((AC100/(Z100/AL100))*I100),Y100="m3",((AC100/(Z100/AL100))*I100),Y100="kg",(((AC100*AM100)/(1/AL100))*I100),Y100="ton",(((AC100/1000*AM100)/(1/AL100))*I100),Y100="N/A","")))</f>
        <v>0.14974470000000001</v>
      </c>
      <c r="P100" s="52" t="str">
        <f t="shared" si="147"/>
        <v>N/A</v>
      </c>
      <c r="Q100" s="155" t="str" cm="1">
        <f t="array" ref="Q100">IF(AE100="N/A","",_xlfn.IFS(Y100="m2",((AE100/(Z100/AL100))*I100),Y100="m3",((AE100/(Z100/AL100))*I100),Y100="kg",(((AE100*AM100)/(1/AL100))*I100),Y100="ton",(((AE100/1000*AM100)/(1/AL100))*I100),Y100="N/A",""))</f>
        <v/>
      </c>
      <c r="R100" s="221" t="s">
        <v>5</v>
      </c>
      <c r="S100" s="47"/>
      <c r="T100" s="47">
        <v>2026</v>
      </c>
      <c r="U100" s="47" t="s">
        <v>14</v>
      </c>
      <c r="V100" s="47">
        <v>150</v>
      </c>
      <c r="W100" s="47"/>
      <c r="X100" s="47" t="s">
        <v>878</v>
      </c>
      <c r="Y100" s="47" t="s">
        <v>234</v>
      </c>
      <c r="Z100" s="47" t="s">
        <v>191</v>
      </c>
      <c r="AA100" s="52">
        <f t="shared" si="148"/>
        <v>246.834</v>
      </c>
      <c r="AB100" s="52">
        <v>246</v>
      </c>
      <c r="AC100" s="52">
        <f t="shared" si="137"/>
        <v>0.83399999999999996</v>
      </c>
      <c r="AD100" s="52">
        <v>-2.86</v>
      </c>
      <c r="AE100" s="52" t="s">
        <v>191</v>
      </c>
      <c r="AF100" s="69"/>
      <c r="AG100" s="103" t="str">
        <f t="shared" si="92"/>
        <v xml:space="preserve">A1 </v>
      </c>
      <c r="AH100" s="75" t="s">
        <v>58</v>
      </c>
      <c r="AI100" s="76"/>
      <c r="AJ100" s="103"/>
      <c r="AK100" s="73"/>
      <c r="AL100" s="47">
        <v>0.108</v>
      </c>
      <c r="AM100" s="116">
        <f t="shared" si="149"/>
        <v>1662.5</v>
      </c>
      <c r="AN100" s="47"/>
      <c r="AO100" s="269" t="s">
        <v>17</v>
      </c>
      <c r="AP100" s="110"/>
      <c r="AQ100" s="73"/>
      <c r="AR100" s="25"/>
    </row>
    <row r="101" spans="1:44" ht="25.2" customHeight="1" x14ac:dyDescent="0.15">
      <c r="A101" s="47" t="s">
        <v>881</v>
      </c>
      <c r="B101" s="47" t="s">
        <v>210</v>
      </c>
      <c r="C101" s="47"/>
      <c r="D101" s="47" t="s">
        <v>871</v>
      </c>
      <c r="E101" s="47" t="s">
        <v>146</v>
      </c>
      <c r="F101" s="47" t="s">
        <v>43</v>
      </c>
      <c r="G101" s="47"/>
      <c r="H101" s="47"/>
      <c r="I101" s="111">
        <v>1</v>
      </c>
      <c r="J101" s="114">
        <f t="shared" ref="J101:J103" si="150">IF(AC101="N/A","N/A",IF(K101="","N/A",K101))</f>
        <v>33.366494699999997</v>
      </c>
      <c r="K101" s="152" cm="1">
        <f t="array" ref="K101">IF(AC101="N/A","",_xlfn.IFS(Y101="m2",((AA101/(Z101/AL101))*I101),Y101="m3",((AA101/(Z101/AL101))*I101),Y101="kg",(((AA101*AM101)/(1/AL101))*I101),Y101="ton",(((AA101/1000*AM101)/(1/AL101))*I101),Y101="N/A",""))</f>
        <v>33.366494699999997</v>
      </c>
      <c r="L101" s="114">
        <f t="shared" ref="L101:L103" si="151">IF(M101="","N/A",M101)</f>
        <v>33.216749999999998</v>
      </c>
      <c r="M101" s="152" cm="1">
        <f t="array" ref="M101">(_xlfn.IFS(Y101="m2",((AB101/(Z101/AL101))*I101),Y101="m3",((AB101/(Z101/AL101))*I101),Y101="kg",(((AB101*AM101)/(1/AL101))*I101),Y101="ton",(((AB101/1000*AM101)/(1/AL101))*I101),Y101="N/A",""))</f>
        <v>33.216749999999998</v>
      </c>
      <c r="N101" s="52">
        <f t="shared" ref="N101:N103" si="152">IF(O101="","N/A",O101)</f>
        <v>0.14974470000000001</v>
      </c>
      <c r="O101" s="148" cm="1">
        <f t="array" ref="O101">IF(AC101="N/A","",(_xlfn.IFS(Y101="m2",((AC101/(Z101/AL101))*I101),Y101="m3",((AC101/(Z101/AL101))*I101),Y101="kg",(((AC101*AM101)/(1/AL101))*I101),Y101="ton",(((AC101/1000*AM101)/(1/AL101))*I101),Y101="N/A","")))</f>
        <v>0.14974470000000001</v>
      </c>
      <c r="P101" s="52" t="str">
        <f t="shared" ref="P101:P103" si="153">IF(Q101="","N/A",Q101)</f>
        <v>N/A</v>
      </c>
      <c r="Q101" s="155" t="str" cm="1">
        <f t="array" ref="Q101">IF(AE101="N/A","",_xlfn.IFS(Y101="m2",((AE101/(Z101/AL101))*I101),Y101="m3",((AE101/(Z101/AL101))*I101),Y101="kg",(((AE101*AM101)/(1/AL101))*I101),Y101="ton",(((AE101/1000*AM101)/(1/AL101))*I101),Y101="N/A",""))</f>
        <v/>
      </c>
      <c r="R101" s="221" t="s">
        <v>5</v>
      </c>
      <c r="S101" s="47"/>
      <c r="T101" s="47">
        <v>2026</v>
      </c>
      <c r="U101" s="47" t="s">
        <v>14</v>
      </c>
      <c r="V101" s="47">
        <v>150</v>
      </c>
      <c r="W101" s="47"/>
      <c r="X101" s="47" t="s">
        <v>878</v>
      </c>
      <c r="Y101" s="47" t="s">
        <v>234</v>
      </c>
      <c r="Z101" s="47" t="s">
        <v>191</v>
      </c>
      <c r="AA101" s="52">
        <f t="shared" ref="AA101:AA103" si="154">IF(AC101="N/A","N/A",SUM(AB101:AC101))</f>
        <v>185.834</v>
      </c>
      <c r="AB101" s="52">
        <v>185</v>
      </c>
      <c r="AC101" s="52">
        <f t="shared" si="137"/>
        <v>0.83399999999999996</v>
      </c>
      <c r="AD101" s="52">
        <v>-2.86</v>
      </c>
      <c r="AE101" s="52" t="s">
        <v>191</v>
      </c>
      <c r="AF101" s="69"/>
      <c r="AG101" s="103" t="str">
        <f t="shared" ref="AG101:AG103" si="155">AH101&amp;" "&amp;AI101</f>
        <v xml:space="preserve">A1 </v>
      </c>
      <c r="AH101" s="75" t="s">
        <v>58</v>
      </c>
      <c r="AI101" s="76"/>
      <c r="AJ101" s="103"/>
      <c r="AK101" s="73"/>
      <c r="AL101" s="47">
        <v>0.108</v>
      </c>
      <c r="AM101" s="116">
        <f t="shared" si="149"/>
        <v>1662.5</v>
      </c>
      <c r="AN101" s="47"/>
      <c r="AO101" s="269" t="s">
        <v>17</v>
      </c>
      <c r="AP101" s="110"/>
      <c r="AQ101" s="73"/>
      <c r="AR101" s="25"/>
    </row>
    <row r="102" spans="1:44" ht="25.2" customHeight="1" x14ac:dyDescent="0.15">
      <c r="A102" s="85" t="s">
        <v>882</v>
      </c>
      <c r="B102" s="47" t="s">
        <v>210</v>
      </c>
      <c r="C102" s="47"/>
      <c r="D102" s="47" t="s">
        <v>871</v>
      </c>
      <c r="E102" s="47" t="s">
        <v>146</v>
      </c>
      <c r="F102" s="47" t="s">
        <v>43</v>
      </c>
      <c r="G102" s="47"/>
      <c r="H102" s="47"/>
      <c r="I102" s="111">
        <v>1</v>
      </c>
      <c r="J102" s="114">
        <f t="shared" si="150"/>
        <v>14.693294699999999</v>
      </c>
      <c r="K102" s="152" cm="1">
        <f t="array" ref="K102">IF(AC102="N/A","",_xlfn.IFS(Y102="m2",((AA102/(Z102/AL102))*I102),Y102="m3",((AA102/(Z102/AL102))*I102),Y102="kg",(((AA102*AM102)/(1/AL102))*I102),Y102="ton",(((AA102/1000*AM102)/(1/AL102))*I102),Y102="N/A",""))</f>
        <v>14.693294699999999</v>
      </c>
      <c r="L102" s="114">
        <f t="shared" si="151"/>
        <v>14.54355</v>
      </c>
      <c r="M102" s="152" cm="1">
        <f t="array" ref="M102">(_xlfn.IFS(Y102="m2",((AB102/(Z102/AL102))*I102),Y102="m3",((AB102/(Z102/AL102))*I102),Y102="kg",(((AB102*AM102)/(1/AL102))*I102),Y102="ton",(((AB102/1000*AM102)/(1/AL102))*I102),Y102="N/A",""))</f>
        <v>14.54355</v>
      </c>
      <c r="N102" s="52">
        <f t="shared" si="152"/>
        <v>0.14974470000000001</v>
      </c>
      <c r="O102" s="148" cm="1">
        <f t="array" ref="O102">IF(AC102="N/A","",(_xlfn.IFS(Y102="m2",((AC102/(Z102/AL102))*I102),Y102="m3",((AC102/(Z102/AL102))*I102),Y102="kg",(((AC102*AM102)/(1/AL102))*I102),Y102="ton",(((AC102/1000*AM102)/(1/AL102))*I102),Y102="N/A","")))</f>
        <v>0.14974470000000001</v>
      </c>
      <c r="P102" s="52" t="str">
        <f t="shared" si="153"/>
        <v>N/A</v>
      </c>
      <c r="Q102" s="155" t="str" cm="1">
        <f t="array" ref="Q102">IF(AE102="N/A","",_xlfn.IFS(Y102="m2",((AE102/(Z102/AL102))*I102),Y102="m3",((AE102/(Z102/AL102))*I102),Y102="kg",(((AE102*AM102)/(1/AL102))*I102),Y102="ton",(((AE102/1000*AM102)/(1/AL102))*I102),Y102="N/A",""))</f>
        <v/>
      </c>
      <c r="R102" s="221" t="s">
        <v>5</v>
      </c>
      <c r="S102" s="47"/>
      <c r="T102" s="47">
        <v>2026</v>
      </c>
      <c r="U102" s="47" t="s">
        <v>14</v>
      </c>
      <c r="V102" s="47">
        <v>150</v>
      </c>
      <c r="W102" s="47"/>
      <c r="X102" s="47" t="s">
        <v>889</v>
      </c>
      <c r="Y102" s="47" t="s">
        <v>234</v>
      </c>
      <c r="Z102" s="47" t="s">
        <v>191</v>
      </c>
      <c r="AA102" s="52">
        <f t="shared" si="154"/>
        <v>81.834000000000003</v>
      </c>
      <c r="AB102" s="52">
        <v>81</v>
      </c>
      <c r="AC102" s="52">
        <f t="shared" si="137"/>
        <v>0.83399999999999996</v>
      </c>
      <c r="AD102" s="52">
        <v>-2.86</v>
      </c>
      <c r="AE102" s="52" t="s">
        <v>191</v>
      </c>
      <c r="AF102" s="69"/>
      <c r="AG102" s="103" t="str">
        <f t="shared" si="155"/>
        <v xml:space="preserve">A1 </v>
      </c>
      <c r="AH102" s="75" t="s">
        <v>58</v>
      </c>
      <c r="AI102" s="76"/>
      <c r="AJ102" s="103"/>
      <c r="AK102" s="73"/>
      <c r="AL102" s="47">
        <v>0.108</v>
      </c>
      <c r="AM102" s="116">
        <f t="shared" si="149"/>
        <v>1662.5</v>
      </c>
      <c r="AN102" s="47"/>
      <c r="AO102" s="269" t="s">
        <v>17</v>
      </c>
      <c r="AP102" s="110"/>
      <c r="AQ102" s="73"/>
      <c r="AR102" s="25"/>
    </row>
    <row r="103" spans="1:44" ht="25.2" customHeight="1" x14ac:dyDescent="0.15">
      <c r="A103" s="85" t="s">
        <v>883</v>
      </c>
      <c r="B103" s="47" t="s">
        <v>210</v>
      </c>
      <c r="C103" s="47"/>
      <c r="D103" s="47" t="s">
        <v>871</v>
      </c>
      <c r="E103" s="47" t="s">
        <v>146</v>
      </c>
      <c r="F103" s="47" t="s">
        <v>43</v>
      </c>
      <c r="G103" s="47"/>
      <c r="H103" s="47"/>
      <c r="I103" s="111">
        <v>1</v>
      </c>
      <c r="J103" s="114">
        <f t="shared" si="150"/>
        <v>24.927644700000002</v>
      </c>
      <c r="K103" s="152" cm="1">
        <f t="array" ref="K103">IF(AC103="N/A","",_xlfn.IFS(Y103="m2",((AA103/(Z103/AL103))*I103),Y103="m3",((AA103/(Z103/AL103))*I103),Y103="kg",(((AA103*AM103)/(1/AL103))*I103),Y103="ton",(((AA103/1000*AM103)/(1/AL103))*I103),Y103="N/A",""))</f>
        <v>24.927644700000002</v>
      </c>
      <c r="L103" s="114">
        <f t="shared" si="151"/>
        <v>24.777899999999999</v>
      </c>
      <c r="M103" s="152" cm="1">
        <f t="array" ref="M103">(_xlfn.IFS(Y103="m2",((AB103/(Z103/AL103))*I103),Y103="m3",((AB103/(Z103/AL103))*I103),Y103="kg",(((AB103*AM103)/(1/AL103))*I103),Y103="ton",(((AB103/1000*AM103)/(1/AL103))*I103),Y103="N/A",""))</f>
        <v>24.777899999999999</v>
      </c>
      <c r="N103" s="52">
        <f t="shared" si="152"/>
        <v>0.14974470000000001</v>
      </c>
      <c r="O103" s="148" cm="1">
        <f t="array" ref="O103">IF(AC103="N/A","",(_xlfn.IFS(Y103="m2",((AC103/(Z103/AL103))*I103),Y103="m3",((AC103/(Z103/AL103))*I103),Y103="kg",(((AC103*AM103)/(1/AL103))*I103),Y103="ton",(((AC103/1000*AM103)/(1/AL103))*I103),Y103="N/A","")))</f>
        <v>0.14974470000000001</v>
      </c>
      <c r="P103" s="52" t="str">
        <f t="shared" si="153"/>
        <v>N/A</v>
      </c>
      <c r="Q103" s="155" t="str" cm="1">
        <f t="array" ref="Q103">IF(AE103="N/A","",_xlfn.IFS(Y103="m2",((AE103/(Z103/AL103))*I103),Y103="m3",((AE103/(Z103/AL103))*I103),Y103="kg",(((AE103*AM103)/(1/AL103))*I103),Y103="ton",(((AE103/1000*AM103)/(1/AL103))*I103),Y103="N/A",""))</f>
        <v/>
      </c>
      <c r="R103" s="221" t="s">
        <v>5</v>
      </c>
      <c r="S103" s="47"/>
      <c r="T103" s="47">
        <v>2026</v>
      </c>
      <c r="U103" s="47" t="s">
        <v>14</v>
      </c>
      <c r="V103" s="47">
        <v>150</v>
      </c>
      <c r="W103" s="47"/>
      <c r="X103" s="47" t="s">
        <v>889</v>
      </c>
      <c r="Y103" s="47" t="s">
        <v>234</v>
      </c>
      <c r="Z103" s="47" t="s">
        <v>191</v>
      </c>
      <c r="AA103" s="52">
        <f t="shared" si="154"/>
        <v>138.834</v>
      </c>
      <c r="AB103" s="52">
        <v>138</v>
      </c>
      <c r="AC103" s="52">
        <f t="shared" si="137"/>
        <v>0.83399999999999996</v>
      </c>
      <c r="AD103" s="52">
        <v>-2.86</v>
      </c>
      <c r="AE103" s="52" t="s">
        <v>191</v>
      </c>
      <c r="AF103" s="69"/>
      <c r="AG103" s="103" t="str">
        <f t="shared" si="155"/>
        <v xml:space="preserve">A1 </v>
      </c>
      <c r="AH103" s="75" t="s">
        <v>58</v>
      </c>
      <c r="AI103" s="76"/>
      <c r="AJ103" s="103"/>
      <c r="AK103" s="73"/>
      <c r="AL103" s="47">
        <v>0.108</v>
      </c>
      <c r="AM103" s="116">
        <f t="shared" si="149"/>
        <v>1662.5</v>
      </c>
      <c r="AN103" s="47"/>
      <c r="AO103" s="269" t="s">
        <v>17</v>
      </c>
      <c r="AP103" s="110"/>
      <c r="AQ103" s="73"/>
      <c r="AR103" s="25"/>
    </row>
    <row r="104" spans="1:44" ht="25.2" customHeight="1" x14ac:dyDescent="0.15">
      <c r="A104" s="85" t="s">
        <v>884</v>
      </c>
      <c r="B104" s="47" t="s">
        <v>210</v>
      </c>
      <c r="C104" s="47"/>
      <c r="D104" s="47" t="s">
        <v>871</v>
      </c>
      <c r="E104" s="47" t="s">
        <v>146</v>
      </c>
      <c r="F104" s="47" t="s">
        <v>43</v>
      </c>
      <c r="G104" s="47"/>
      <c r="H104" s="47"/>
      <c r="I104" s="111">
        <v>1</v>
      </c>
      <c r="J104" s="114">
        <f t="shared" ref="J104:J105" si="156">IF(AC104="N/A","N/A",IF(K104="","N/A",K104))</f>
        <v>15.9680997</v>
      </c>
      <c r="K104" s="152" cm="1">
        <f t="array" ref="K104">IF(AC104="N/A","",_xlfn.IFS(Y104="m2",((AA104/(Z104/AL104))*I104),Y104="m3",((AA104/(Z104/AL104))*I104),Y104="kg",(((AA104*AM104)/(1/AL104))*I104),Y104="ton",(((AA104/1000*AM104)/(1/AL104))*I104),Y104="N/A",""))</f>
        <v>15.9680997</v>
      </c>
      <c r="L104" s="114">
        <f t="shared" ref="L104:L105" si="157">IF(M104="","N/A",M104)</f>
        <v>15.818355</v>
      </c>
      <c r="M104" s="152" cm="1">
        <f t="array" ref="M104">(_xlfn.IFS(Y104="m2",((AB104/(Z104/AL104))*I104),Y104="m3",((AB104/(Z104/AL104))*I104),Y104="kg",(((AB104*AM104)/(1/AL104))*I104),Y104="ton",(((AB104/1000*AM104)/(1/AL104))*I104),Y104="N/A",""))</f>
        <v>15.818355</v>
      </c>
      <c r="N104" s="52">
        <f t="shared" ref="N104:N105" si="158">IF(O104="","N/A",O104)</f>
        <v>0.14974470000000001</v>
      </c>
      <c r="O104" s="148" cm="1">
        <f t="array" ref="O104">IF(AC104="N/A","",(_xlfn.IFS(Y104="m2",((AC104/(Z104/AL104))*I104),Y104="m3",((AC104/(Z104/AL104))*I104),Y104="kg",(((AC104*AM104)/(1/AL104))*I104),Y104="ton",(((AC104/1000*AM104)/(1/AL104))*I104),Y104="N/A","")))</f>
        <v>0.14974470000000001</v>
      </c>
      <c r="P104" s="52" t="str">
        <f t="shared" ref="P104:P105" si="159">IF(Q104="","N/A",Q104)</f>
        <v>N/A</v>
      </c>
      <c r="Q104" s="155" t="str" cm="1">
        <f t="array" ref="Q104">IF(AE104="N/A","",_xlfn.IFS(Y104="m2",((AE104/(Z104/AL104))*I104),Y104="m3",((AE104/(Z104/AL104))*I104),Y104="kg",(((AE104*AM104)/(1/AL104))*I104),Y104="ton",(((AE104/1000*AM104)/(1/AL104))*I104),Y104="N/A",""))</f>
        <v/>
      </c>
      <c r="R104" s="221" t="s">
        <v>5</v>
      </c>
      <c r="S104" s="47"/>
      <c r="T104" s="47">
        <v>2026</v>
      </c>
      <c r="U104" s="47" t="s">
        <v>14</v>
      </c>
      <c r="V104" s="47">
        <v>150</v>
      </c>
      <c r="W104" s="47"/>
      <c r="X104" s="47" t="s">
        <v>889</v>
      </c>
      <c r="Y104" s="47" t="s">
        <v>234</v>
      </c>
      <c r="Z104" s="47" t="s">
        <v>191</v>
      </c>
      <c r="AA104" s="52">
        <f t="shared" ref="AA104:AA105" si="160">IF(AC104="N/A","N/A",SUM(AB104:AC104))</f>
        <v>88.933999999999997</v>
      </c>
      <c r="AB104" s="52">
        <v>88.1</v>
      </c>
      <c r="AC104" s="52">
        <f t="shared" si="137"/>
        <v>0.83399999999999996</v>
      </c>
      <c r="AD104" s="52">
        <v>-2.86</v>
      </c>
      <c r="AE104" s="52" t="s">
        <v>191</v>
      </c>
      <c r="AF104" s="69"/>
      <c r="AG104" s="103" t="str">
        <f t="shared" ref="AG104" si="161">AH104&amp;" "&amp;AI104</f>
        <v xml:space="preserve">A1 </v>
      </c>
      <c r="AH104" s="75" t="s">
        <v>58</v>
      </c>
      <c r="AI104" s="76"/>
      <c r="AJ104" s="103"/>
      <c r="AK104" s="73"/>
      <c r="AL104" s="47">
        <v>0.108</v>
      </c>
      <c r="AM104" s="116">
        <f t="shared" si="149"/>
        <v>1662.5</v>
      </c>
      <c r="AN104" s="47"/>
      <c r="AO104" s="269" t="s">
        <v>17</v>
      </c>
      <c r="AP104" s="110"/>
      <c r="AQ104" s="73"/>
      <c r="AR104" s="25"/>
    </row>
    <row r="105" spans="1:44" ht="25.2" customHeight="1" x14ac:dyDescent="0.15">
      <c r="A105" s="47" t="s">
        <v>886</v>
      </c>
      <c r="B105" s="47" t="s">
        <v>210</v>
      </c>
      <c r="C105" s="47"/>
      <c r="D105" s="47" t="s">
        <v>885</v>
      </c>
      <c r="E105" s="47" t="s">
        <v>146</v>
      </c>
      <c r="F105" s="47" t="s">
        <v>43</v>
      </c>
      <c r="G105" s="47"/>
      <c r="H105" s="47"/>
      <c r="I105" s="111">
        <v>1</v>
      </c>
      <c r="J105" s="114">
        <f t="shared" si="156"/>
        <v>59.887061100000011</v>
      </c>
      <c r="K105" s="152" cm="1">
        <f t="array" ref="K105">IF(AC105="N/A","",_xlfn.IFS(Y105="m2",((AA105/(Z105/AL105))*I105),Y105="m3",((AA105/(Z105/AL105))*I105),Y105="kg",(((AA105*AM105)/(1/AL105))*I105),Y105="ton",(((AA105/1000*AM105)/(1/AL105))*I105),Y105="N/A",""))</f>
        <v>59.887061100000011</v>
      </c>
      <c r="L105" s="114">
        <f t="shared" si="157"/>
        <v>59.721299999999999</v>
      </c>
      <c r="M105" s="152" cm="1">
        <f t="array" ref="M105">(_xlfn.IFS(Y105="m2",((AB105/(Z105/AL105))*I105),Y105="m3",((AB105/(Z105/AL105))*I105),Y105="kg",(((AB105*AM105)/(1/AL105))*I105),Y105="ton",(((AB105/1000*AM105)/(1/AL105))*I105),Y105="N/A",""))</f>
        <v>59.721299999999999</v>
      </c>
      <c r="N105" s="52">
        <f t="shared" si="158"/>
        <v>0.16576109999999999</v>
      </c>
      <c r="O105" s="148" cm="1">
        <f t="array" ref="O105">IF(AC105="N/A","",(_xlfn.IFS(Y105="m2",((AC105/(Z105/AL105))*I105),Y105="m3",((AC105/(Z105/AL105))*I105),Y105="kg",(((AC105*AM105)/(1/AL105))*I105),Y105="ton",(((AC105/1000*AM105)/(1/AL105))*I105),Y105="N/A","")))</f>
        <v>0.16576109999999999</v>
      </c>
      <c r="P105" s="52" t="str">
        <f t="shared" si="159"/>
        <v>N/A</v>
      </c>
      <c r="Q105" s="155" t="str" cm="1">
        <f t="array" ref="Q105">IF(AE105="N/A","",_xlfn.IFS(Y105="m2",((AE105/(Z105/AL105))*I105),Y105="m3",((AE105/(Z105/AL105))*I105),Y105="kg",(((AE105*AM105)/(1/AL105))*I105),Y105="ton",(((AE105/1000*AM105)/(1/AL105))*I105),Y105="N/A",""))</f>
        <v/>
      </c>
      <c r="R105" s="221" t="s">
        <v>5</v>
      </c>
      <c r="S105" s="47"/>
      <c r="T105" s="47">
        <v>2027</v>
      </c>
      <c r="U105" s="47" t="s">
        <v>14</v>
      </c>
      <c r="V105" s="47">
        <v>150</v>
      </c>
      <c r="W105" s="47"/>
      <c r="X105" s="47" t="s">
        <v>890</v>
      </c>
      <c r="Y105" s="47" t="s">
        <v>234</v>
      </c>
      <c r="Z105" s="47" t="s">
        <v>191</v>
      </c>
      <c r="AA105" s="52">
        <f t="shared" si="160"/>
        <v>303.84100000000001</v>
      </c>
      <c r="AB105" s="52">
        <v>303</v>
      </c>
      <c r="AC105" s="52">
        <f>0.697+0.144</f>
        <v>0.84099999999999997</v>
      </c>
      <c r="AD105" s="52">
        <v>-2.87</v>
      </c>
      <c r="AE105" s="52" t="s">
        <v>191</v>
      </c>
      <c r="AF105" s="69"/>
      <c r="AG105" s="103" t="str">
        <f t="shared" si="92"/>
        <v xml:space="preserve">A1 </v>
      </c>
      <c r="AH105" s="75" t="s">
        <v>58</v>
      </c>
      <c r="AI105" s="76"/>
      <c r="AJ105" s="103"/>
      <c r="AK105" s="73"/>
      <c r="AL105" s="47">
        <v>0.108</v>
      </c>
      <c r="AM105" s="47">
        <f>(1600+2050)/2</f>
        <v>1825</v>
      </c>
      <c r="AN105" s="47"/>
      <c r="AO105" s="269" t="s">
        <v>17</v>
      </c>
      <c r="AP105" s="110"/>
      <c r="AQ105" s="73"/>
      <c r="AR105" s="25"/>
    </row>
    <row r="106" spans="1:44" ht="25.2" customHeight="1" x14ac:dyDescent="0.15">
      <c r="A106" s="47" t="s">
        <v>887</v>
      </c>
      <c r="B106" s="47" t="s">
        <v>210</v>
      </c>
      <c r="C106" s="47"/>
      <c r="D106" s="47" t="s">
        <v>885</v>
      </c>
      <c r="E106" s="47" t="s">
        <v>146</v>
      </c>
      <c r="F106" s="47" t="s">
        <v>43</v>
      </c>
      <c r="G106" s="47"/>
      <c r="H106" s="47"/>
      <c r="I106" s="111">
        <v>1</v>
      </c>
      <c r="J106" s="114">
        <f t="shared" ref="J106:J107" si="162">IF(AC106="N/A","N/A",IF(K106="","N/A",K106))</f>
        <v>105.2200611</v>
      </c>
      <c r="K106" s="152" cm="1">
        <f t="array" ref="K106">IF(AC106="N/A","",_xlfn.IFS(Y106="m2",((AA106/(Z106/AL106))*I106),Y106="m3",((AA106/(Z106/AL106))*I106),Y106="kg",(((AA106*AM106)/(1/AL106))*I106),Y106="ton",(((AA106/1000*AM106)/(1/AL106))*I106),Y106="N/A",""))</f>
        <v>105.2200611</v>
      </c>
      <c r="L106" s="114">
        <f t="shared" ref="L106:L107" si="163">IF(M106="","N/A",M106)</f>
        <v>105.0543</v>
      </c>
      <c r="M106" s="152" cm="1">
        <f t="array" ref="M106">(_xlfn.IFS(Y106="m2",((AB106/(Z106/AL106))*I106),Y106="m3",((AB106/(Z106/AL106))*I106),Y106="kg",(((AB106*AM106)/(1/AL106))*I106),Y106="ton",(((AB106/1000*AM106)/(1/AL106))*I106),Y106="N/A",""))</f>
        <v>105.0543</v>
      </c>
      <c r="N106" s="52">
        <f t="shared" ref="N106:N107" si="164">IF(O106="","N/A",O106)</f>
        <v>0.16576109999999999</v>
      </c>
      <c r="O106" s="148" cm="1">
        <f t="array" ref="O106">IF(AC106="N/A","",(_xlfn.IFS(Y106="m2",((AC106/(Z106/AL106))*I106),Y106="m3",((AC106/(Z106/AL106))*I106),Y106="kg",(((AC106*AM106)/(1/AL106))*I106),Y106="ton",(((AC106/1000*AM106)/(1/AL106))*I106),Y106="N/A","")))</f>
        <v>0.16576109999999999</v>
      </c>
      <c r="P106" s="52" t="str">
        <f t="shared" ref="P106:P107" si="165">IF(Q106="","N/A",Q106)</f>
        <v>N/A</v>
      </c>
      <c r="Q106" s="155" t="str" cm="1">
        <f t="array" ref="Q106">IF(AE106="N/A","",_xlfn.IFS(Y106="m2",((AE106/(Z106/AL106))*I106),Y106="m3",((AE106/(Z106/AL106))*I106),Y106="kg",(((AE106*AM106)/(1/AL106))*I106),Y106="ton",(((AE106/1000*AM106)/(1/AL106))*I106),Y106="N/A",""))</f>
        <v/>
      </c>
      <c r="R106" s="221" t="s">
        <v>5</v>
      </c>
      <c r="S106" s="47"/>
      <c r="T106" s="47">
        <v>2027</v>
      </c>
      <c r="U106" s="47" t="s">
        <v>14</v>
      </c>
      <c r="V106" s="47">
        <v>150</v>
      </c>
      <c r="W106" s="47"/>
      <c r="X106" s="47" t="s">
        <v>891</v>
      </c>
      <c r="Y106" s="47" t="s">
        <v>234</v>
      </c>
      <c r="Z106" s="47" t="s">
        <v>191</v>
      </c>
      <c r="AA106" s="52">
        <f t="shared" ref="AA106:AA107" si="166">IF(AC106="N/A","N/A",SUM(AB106:AC106))</f>
        <v>533.84100000000001</v>
      </c>
      <c r="AB106" s="52">
        <v>533</v>
      </c>
      <c r="AC106" s="52">
        <f>0.697+0.144</f>
        <v>0.84099999999999997</v>
      </c>
      <c r="AD106" s="52">
        <v>-2.87</v>
      </c>
      <c r="AE106" s="52" t="s">
        <v>191</v>
      </c>
      <c r="AF106" s="69"/>
      <c r="AG106" s="103" t="str">
        <f t="shared" si="92"/>
        <v xml:space="preserve">A1 </v>
      </c>
      <c r="AH106" s="75" t="s">
        <v>58</v>
      </c>
      <c r="AI106" s="76"/>
      <c r="AJ106" s="103"/>
      <c r="AK106" s="73"/>
      <c r="AL106" s="47">
        <v>0.108</v>
      </c>
      <c r="AM106" s="47">
        <f t="shared" ref="AM106:AM107" si="167">(1600+2050)/2</f>
        <v>1825</v>
      </c>
      <c r="AN106" s="47"/>
      <c r="AO106" s="269" t="s">
        <v>17</v>
      </c>
      <c r="AP106" s="110"/>
      <c r="AQ106" s="73"/>
      <c r="AR106" s="25"/>
    </row>
    <row r="107" spans="1:44" ht="25.2" customHeight="1" x14ac:dyDescent="0.15">
      <c r="A107" s="47" t="s">
        <v>888</v>
      </c>
      <c r="B107" s="47" t="s">
        <v>210</v>
      </c>
      <c r="C107" s="47"/>
      <c r="D107" s="47" t="s">
        <v>885</v>
      </c>
      <c r="E107" s="47" t="s">
        <v>146</v>
      </c>
      <c r="F107" s="47" t="s">
        <v>43</v>
      </c>
      <c r="G107" s="47"/>
      <c r="H107" s="47"/>
      <c r="I107" s="111">
        <v>1</v>
      </c>
      <c r="J107" s="114">
        <f t="shared" si="162"/>
        <v>36.047613524999996</v>
      </c>
      <c r="K107" s="152" cm="1">
        <f t="array" ref="K107">IF(AC107="N/A","",_xlfn.IFS(Y107="m2",((AA107/(Z107/AL107))*I107),Y107="m3",((AA107/(Z107/AL107))*I107),Y107="kg",(((AA107*AM107)/(1/AL107))*I107),Y107="ton",(((AA107/1000*AM107)/(1/AL107))*I107),Y107="N/A",""))</f>
        <v>36.047613524999996</v>
      </c>
      <c r="L107" s="114">
        <f t="shared" si="163"/>
        <v>35.990825000000001</v>
      </c>
      <c r="M107" s="152" cm="1">
        <f t="array" ref="M107">(_xlfn.IFS(Y107="m2",((AB107/(Z107/AL107))*I107),Y107="m3",((AB107/(Z107/AL107))*I107),Y107="kg",(((AB107*AM107)/(1/AL107))*I107),Y107="ton",(((AB107/1000*AM107)/(1/AL107))*I107),Y107="N/A",""))</f>
        <v>35.990825000000001</v>
      </c>
      <c r="N107" s="52">
        <f t="shared" si="164"/>
        <v>5.6788524999999992E-2</v>
      </c>
      <c r="O107" s="148" cm="1">
        <f t="array" ref="O107">IF(AC107="N/A","",(_xlfn.IFS(Y107="m2",((AC107/(Z107/AL107))*I107),Y107="m3",((AC107/(Z107/AL107))*I107),Y107="kg",(((AC107*AM107)/(1/AL107))*I107),Y107="ton",(((AC107/1000*AM107)/(1/AL107))*I107),Y107="N/A","")))</f>
        <v>5.6788524999999992E-2</v>
      </c>
      <c r="P107" s="52" t="str">
        <f t="shared" si="165"/>
        <v>N/A</v>
      </c>
      <c r="Q107" s="155" t="str" cm="1">
        <f t="array" ref="Q107">IF(AE107="N/A","",_xlfn.IFS(Y107="m2",((AE107/(Z107/AL107))*I107),Y107="m3",((AE107/(Z107/AL107))*I107),Y107="kg",(((AE107*AM107)/(1/AL107))*I107),Y107="ton",(((AE107/1000*AM107)/(1/AL107))*I107),Y107="N/A",""))</f>
        <v/>
      </c>
      <c r="R107" s="221" t="s">
        <v>5</v>
      </c>
      <c r="S107" s="47"/>
      <c r="T107" s="47">
        <v>2027</v>
      </c>
      <c r="U107" s="47" t="s">
        <v>14</v>
      </c>
      <c r="V107" s="47">
        <v>150</v>
      </c>
      <c r="W107" s="47"/>
      <c r="X107" s="47" t="s">
        <v>892</v>
      </c>
      <c r="Y107" s="47" t="s">
        <v>234</v>
      </c>
      <c r="Z107" s="47" t="s">
        <v>191</v>
      </c>
      <c r="AA107" s="52">
        <f t="shared" si="166"/>
        <v>533.84100000000001</v>
      </c>
      <c r="AB107" s="52">
        <v>533</v>
      </c>
      <c r="AC107" s="52">
        <f>0.697+0.144</f>
        <v>0.84099999999999997</v>
      </c>
      <c r="AD107" s="52">
        <v>-2.87</v>
      </c>
      <c r="AE107" s="52" t="s">
        <v>191</v>
      </c>
      <c r="AF107" s="69"/>
      <c r="AG107" s="103" t="str">
        <f t="shared" si="92"/>
        <v xml:space="preserve">A1 </v>
      </c>
      <c r="AH107" s="75" t="s">
        <v>58</v>
      </c>
      <c r="AI107" s="76"/>
      <c r="AJ107" s="103"/>
      <c r="AK107" s="73"/>
      <c r="AL107" s="47">
        <v>3.6999999999999998E-2</v>
      </c>
      <c r="AM107" s="47">
        <f t="shared" si="167"/>
        <v>1825</v>
      </c>
      <c r="AN107" s="47"/>
      <c r="AO107" s="269" t="s">
        <v>17</v>
      </c>
      <c r="AP107" s="110"/>
      <c r="AQ107" s="73"/>
      <c r="AR107" s="25"/>
    </row>
    <row r="108" spans="1:44" ht="25.2" customHeight="1" x14ac:dyDescent="0.15">
      <c r="A108" s="47" t="s">
        <v>908</v>
      </c>
      <c r="B108" s="47" t="s">
        <v>210</v>
      </c>
      <c r="C108" s="47"/>
      <c r="D108" s="47" t="s">
        <v>893</v>
      </c>
      <c r="E108" s="47" t="s">
        <v>146</v>
      </c>
      <c r="F108" s="47" t="s">
        <v>43</v>
      </c>
      <c r="G108" s="47"/>
      <c r="H108" s="47"/>
      <c r="I108" s="111">
        <v>1</v>
      </c>
      <c r="J108" s="114">
        <f t="shared" ref="J108" si="168">IF(AC108="N/A","N/A",IF(K108="","N/A",K108))</f>
        <v>48.0640176</v>
      </c>
      <c r="K108" s="152" cm="1">
        <f t="array" ref="K108">IF(AC108="N/A","",_xlfn.IFS(Y108="m2",((AA108/(Z108/AL108))*I108),Y108="m3",((AA108/(Z108/AL108))*I108),Y108="kg",(((AA108*AM108)/(1/AL108))*I108),Y108="ton",(((AA108/1000*AM108)/(1/AL108))*I108),Y108="N/A",""))</f>
        <v>48.0640176</v>
      </c>
      <c r="L108" s="114">
        <f t="shared" ref="L108" si="169">IF(M108="","N/A",M108)</f>
        <v>47.895299999999992</v>
      </c>
      <c r="M108" s="152" cm="1">
        <f t="array" ref="M108">(_xlfn.IFS(Y108="m2",((AB108/(Z108/AL108))*I108),Y108="m3",((AB108/(Z108/AL108))*I108),Y108="kg",(((AB108*AM108)/(1/AL108))*I108),Y108="ton",(((AB108/1000*AM108)/(1/AL108))*I108),Y108="N/A",""))</f>
        <v>47.895299999999992</v>
      </c>
      <c r="N108" s="52">
        <f t="shared" ref="N108" si="170">IF(O108="","N/A",O108)</f>
        <v>0.1687176</v>
      </c>
      <c r="O108" s="148" cm="1">
        <f t="array" ref="O108">IF(AC108="N/A","",(_xlfn.IFS(Y108="m2",((AC108/(Z108/AL108))*I108),Y108="m3",((AC108/(Z108/AL108))*I108),Y108="kg",(((AC108*AM108)/(1/AL108))*I108),Y108="ton",(((AC108/1000*AM108)/(1/AL108))*I108),Y108="N/A","")))</f>
        <v>0.1687176</v>
      </c>
      <c r="P108" s="52" t="str">
        <f t="shared" ref="P108" si="171">IF(Q108="","N/A",Q108)</f>
        <v>N/A</v>
      </c>
      <c r="Q108" s="155" t="str" cm="1">
        <f t="array" ref="Q108">IF(AE108="N/A","",_xlfn.IFS(Y108="m2",((AE108/(Z108/AL108))*I108),Y108="m3",((AE108/(Z108/AL108))*I108),Y108="kg",(((AE108*AM108)/(1/AL108))*I108),Y108="ton",(((AE108/1000*AM108)/(1/AL108))*I108),Y108="N/A",""))</f>
        <v/>
      </c>
      <c r="R108" s="221" t="s">
        <v>5</v>
      </c>
      <c r="S108" s="47"/>
      <c r="T108" s="47">
        <v>2023</v>
      </c>
      <c r="U108" s="47" t="s">
        <v>14</v>
      </c>
      <c r="V108" s="47">
        <v>150</v>
      </c>
      <c r="W108" s="47"/>
      <c r="X108" s="47" t="s">
        <v>894</v>
      </c>
      <c r="Y108" s="47" t="s">
        <v>234</v>
      </c>
      <c r="Z108" s="47" t="s">
        <v>191</v>
      </c>
      <c r="AA108" s="52">
        <f t="shared" ref="AA108" si="172">IF(AC108="N/A","N/A",SUM(AB108:AC108))</f>
        <v>243.85599999999999</v>
      </c>
      <c r="AB108" s="52">
        <v>243</v>
      </c>
      <c r="AC108" s="52">
        <f t="shared" ref="AC108:AC115" si="173">0.7+0.156</f>
        <v>0.85599999999999998</v>
      </c>
      <c r="AD108" s="52">
        <v>-2.91</v>
      </c>
      <c r="AE108" s="47" t="s">
        <v>191</v>
      </c>
      <c r="AF108" s="69"/>
      <c r="AG108" s="103" t="str">
        <f t="shared" si="92"/>
        <v xml:space="preserve">A1 </v>
      </c>
      <c r="AH108" s="75" t="s">
        <v>58</v>
      </c>
      <c r="AI108" s="76"/>
      <c r="AJ108" s="103"/>
      <c r="AK108" s="73"/>
      <c r="AL108" s="47">
        <v>0.108</v>
      </c>
      <c r="AM108" s="47">
        <f t="shared" ref="AM108:AM115" si="174">(1600+2050)/2</f>
        <v>1825</v>
      </c>
      <c r="AN108" s="47"/>
      <c r="AO108" s="269" t="s">
        <v>17</v>
      </c>
      <c r="AP108" s="110"/>
      <c r="AQ108" s="73"/>
      <c r="AR108" s="25"/>
    </row>
    <row r="109" spans="1:44" ht="25.2" customHeight="1" x14ac:dyDescent="0.15">
      <c r="A109" s="85" t="s">
        <v>909</v>
      </c>
      <c r="B109" s="47" t="s">
        <v>210</v>
      </c>
      <c r="C109" s="47"/>
      <c r="D109" s="47" t="s">
        <v>893</v>
      </c>
      <c r="E109" s="47" t="s">
        <v>146</v>
      </c>
      <c r="F109" s="47" t="s">
        <v>43</v>
      </c>
      <c r="G109" s="47"/>
      <c r="H109" s="47"/>
      <c r="I109" s="111">
        <v>1</v>
      </c>
      <c r="J109" s="114">
        <f t="shared" ref="J109:J110" si="175">IF(AC109="N/A","N/A",IF(K109="","N/A",K109))</f>
        <v>84.527517599999996</v>
      </c>
      <c r="K109" s="152" cm="1">
        <f t="array" ref="K109">IF(AC109="N/A","",_xlfn.IFS(Y109="m2",((AA109/(Z109/AL109))*I109),Y109="m3",((AA109/(Z109/AL109))*I109),Y109="kg",(((AA109*AM109)/(1/AL109))*I109),Y109="ton",(((AA109/1000*AM109)/(1/AL109))*I109),Y109="N/A",""))</f>
        <v>84.527517599999996</v>
      </c>
      <c r="L109" s="114">
        <f t="shared" ref="L109:L110" si="176">IF(M109="","N/A",M109)</f>
        <v>84.358800000000002</v>
      </c>
      <c r="M109" s="152" cm="1">
        <f t="array" ref="M109">(_xlfn.IFS(Y109="m2",((AB109/(Z109/AL109))*I109),Y109="m3",((AB109/(Z109/AL109))*I109),Y109="kg",(((AB109*AM109)/(1/AL109))*I109),Y109="ton",(((AB109/1000*AM109)/(1/AL109))*I109),Y109="N/A",""))</f>
        <v>84.358800000000002</v>
      </c>
      <c r="N109" s="52">
        <f t="shared" ref="N109:N110" si="177">IF(O109="","N/A",O109)</f>
        <v>0.1687176</v>
      </c>
      <c r="O109" s="148" cm="1">
        <f t="array" ref="O109">IF(AC109="N/A","",(_xlfn.IFS(Y109="m2",((AC109/(Z109/AL109))*I109),Y109="m3",((AC109/(Z109/AL109))*I109),Y109="kg",(((AC109*AM109)/(1/AL109))*I109),Y109="ton",(((AC109/1000*AM109)/(1/AL109))*I109),Y109="N/A","")))</f>
        <v>0.1687176</v>
      </c>
      <c r="P109" s="52" t="str">
        <f t="shared" ref="P109:P110" si="178">IF(Q109="","N/A",Q109)</f>
        <v>N/A</v>
      </c>
      <c r="Q109" s="155" t="str" cm="1">
        <f t="array" ref="Q109">IF(AE109="N/A","",_xlfn.IFS(Y109="m2",((AE109/(Z109/AL109))*I109),Y109="m3",((AE109/(Z109/AL109))*I109),Y109="kg",(((AE109*AM109)/(1/AL109))*I109),Y109="ton",(((AE109/1000*AM109)/(1/AL109))*I109),Y109="N/A",""))</f>
        <v/>
      </c>
      <c r="R109" s="221" t="s">
        <v>5</v>
      </c>
      <c r="S109" s="47"/>
      <c r="T109" s="47">
        <v>2023</v>
      </c>
      <c r="U109" s="47" t="s">
        <v>14</v>
      </c>
      <c r="V109" s="47">
        <v>150</v>
      </c>
      <c r="W109" s="47"/>
      <c r="X109" s="47" t="s">
        <v>894</v>
      </c>
      <c r="Y109" s="47" t="s">
        <v>234</v>
      </c>
      <c r="Z109" s="47" t="s">
        <v>191</v>
      </c>
      <c r="AA109" s="52">
        <f t="shared" ref="AA109:AA110" si="179">IF(AC109="N/A","N/A",SUM(AB109:AC109))</f>
        <v>428.85599999999999</v>
      </c>
      <c r="AB109" s="52">
        <v>428</v>
      </c>
      <c r="AC109" s="52">
        <f t="shared" si="173"/>
        <v>0.85599999999999998</v>
      </c>
      <c r="AD109" s="52">
        <v>-2.91</v>
      </c>
      <c r="AE109" s="47" t="s">
        <v>191</v>
      </c>
      <c r="AF109" s="69"/>
      <c r="AG109" s="103" t="str">
        <f t="shared" ref="AG109:AG110" si="180">AH109&amp;" "&amp;AI109</f>
        <v xml:space="preserve">A1 </v>
      </c>
      <c r="AH109" s="75" t="s">
        <v>58</v>
      </c>
      <c r="AI109" s="76"/>
      <c r="AJ109" s="103"/>
      <c r="AK109" s="73"/>
      <c r="AL109" s="47">
        <v>0.108</v>
      </c>
      <c r="AM109" s="47">
        <f t="shared" si="174"/>
        <v>1825</v>
      </c>
      <c r="AN109" s="47"/>
      <c r="AO109" s="269" t="s">
        <v>17</v>
      </c>
      <c r="AP109" s="110"/>
      <c r="AQ109" s="73"/>
      <c r="AR109" s="25"/>
    </row>
    <row r="110" spans="1:44" ht="25.2" customHeight="1" x14ac:dyDescent="0.15">
      <c r="A110" s="85" t="s">
        <v>910</v>
      </c>
      <c r="B110" s="47" t="s">
        <v>210</v>
      </c>
      <c r="C110" s="47"/>
      <c r="D110" s="47" t="s">
        <v>893</v>
      </c>
      <c r="E110" s="47" t="s">
        <v>146</v>
      </c>
      <c r="F110" s="47" t="s">
        <v>43</v>
      </c>
      <c r="G110" s="47"/>
      <c r="H110" s="47"/>
      <c r="I110" s="111">
        <v>1</v>
      </c>
      <c r="J110" s="114">
        <f t="shared" si="175"/>
        <v>18.558147599999995</v>
      </c>
      <c r="K110" s="152" cm="1">
        <f t="array" ref="K110">IF(AC110="N/A","",_xlfn.IFS(Y110="m2",((AA110/(Z110/AL110))*I110),Y110="m3",((AA110/(Z110/AL110))*I110),Y110="kg",(((AA110*AM110)/(1/AL110))*I110),Y110="ton",(((AA110/1000*AM110)/(1/AL110))*I110),Y110="N/A",""))</f>
        <v>18.558147599999995</v>
      </c>
      <c r="L110" s="114">
        <f t="shared" si="176"/>
        <v>18.389429999999997</v>
      </c>
      <c r="M110" s="152" cm="1">
        <f t="array" ref="M110">(_xlfn.IFS(Y110="m2",((AB110/(Z110/AL110))*I110),Y110="m3",((AB110/(Z110/AL110))*I110),Y110="kg",(((AB110*AM110)/(1/AL110))*I110),Y110="ton",(((AB110/1000*AM110)/(1/AL110))*I110),Y110="N/A",""))</f>
        <v>18.389429999999997</v>
      </c>
      <c r="N110" s="52">
        <f t="shared" si="177"/>
        <v>0.1687176</v>
      </c>
      <c r="O110" s="148" cm="1">
        <f t="array" ref="O110">IF(AC110="N/A","",(_xlfn.IFS(Y110="m2",((AC110/(Z110/AL110))*I110),Y110="m3",((AC110/(Z110/AL110))*I110),Y110="kg",(((AC110*AM110)/(1/AL110))*I110),Y110="ton",(((AC110/1000*AM110)/(1/AL110))*I110),Y110="N/A","")))</f>
        <v>0.1687176</v>
      </c>
      <c r="P110" s="52" t="str">
        <f t="shared" si="178"/>
        <v>N/A</v>
      </c>
      <c r="Q110" s="155" t="str" cm="1">
        <f t="array" ref="Q110">IF(AE110="N/A","",_xlfn.IFS(Y110="m2",((AE110/(Z110/AL110))*I110),Y110="m3",((AE110/(Z110/AL110))*I110),Y110="kg",(((AE110*AM110)/(1/AL110))*I110),Y110="ton",(((AE110/1000*AM110)/(1/AL110))*I110),Y110="N/A",""))</f>
        <v/>
      </c>
      <c r="R110" s="221" t="s">
        <v>5</v>
      </c>
      <c r="S110" s="47"/>
      <c r="T110" s="47">
        <v>2023</v>
      </c>
      <c r="U110" s="47" t="s">
        <v>14</v>
      </c>
      <c r="V110" s="47">
        <v>150</v>
      </c>
      <c r="W110" s="47"/>
      <c r="X110" s="47" t="s">
        <v>895</v>
      </c>
      <c r="Y110" s="47" t="s">
        <v>234</v>
      </c>
      <c r="Z110" s="47" t="s">
        <v>191</v>
      </c>
      <c r="AA110" s="52">
        <f t="shared" si="179"/>
        <v>94.155999999999992</v>
      </c>
      <c r="AB110" s="52">
        <v>93.3</v>
      </c>
      <c r="AC110" s="52">
        <f t="shared" si="173"/>
        <v>0.85599999999999998</v>
      </c>
      <c r="AD110" s="52">
        <v>-2.91</v>
      </c>
      <c r="AE110" s="47" t="s">
        <v>191</v>
      </c>
      <c r="AF110" s="69"/>
      <c r="AG110" s="103" t="str">
        <f t="shared" si="180"/>
        <v xml:space="preserve">A1 </v>
      </c>
      <c r="AH110" s="75" t="s">
        <v>58</v>
      </c>
      <c r="AI110" s="76"/>
      <c r="AJ110" s="103"/>
      <c r="AK110" s="73"/>
      <c r="AL110" s="47">
        <v>0.108</v>
      </c>
      <c r="AM110" s="47">
        <f t="shared" si="174"/>
        <v>1825</v>
      </c>
      <c r="AN110" s="47"/>
      <c r="AO110" s="269" t="s">
        <v>17</v>
      </c>
      <c r="AP110" s="110"/>
      <c r="AQ110" s="73"/>
      <c r="AR110" s="25"/>
    </row>
    <row r="111" spans="1:44" ht="25.2" customHeight="1" x14ac:dyDescent="0.15">
      <c r="A111" s="85" t="s">
        <v>911</v>
      </c>
      <c r="B111" s="47" t="s">
        <v>210</v>
      </c>
      <c r="C111" s="47"/>
      <c r="D111" s="47" t="s">
        <v>893</v>
      </c>
      <c r="E111" s="47" t="s">
        <v>146</v>
      </c>
      <c r="F111" s="47" t="s">
        <v>43</v>
      </c>
      <c r="G111" s="47"/>
      <c r="H111" s="47"/>
      <c r="I111" s="111">
        <v>1</v>
      </c>
      <c r="J111" s="114">
        <f t="shared" ref="J111" si="181">IF(AC111="N/A","N/A",IF(K111="","N/A",K111))</f>
        <v>26.1859176</v>
      </c>
      <c r="K111" s="152" cm="1">
        <f t="array" ref="K111">IF(AC111="N/A","",_xlfn.IFS(Y111="m2",((AA111/(Z111/AL111))*I111),Y111="m3",((AA111/(Z111/AL111))*I111),Y111="kg",(((AA111*AM111)/(1/AL111))*I111),Y111="ton",(((AA111/1000*AM111)/(1/AL111))*I111),Y111="N/A",""))</f>
        <v>26.1859176</v>
      </c>
      <c r="L111" s="114">
        <f t="shared" ref="L111" si="182">IF(M111="","N/A",M111)</f>
        <v>26.017199999999999</v>
      </c>
      <c r="M111" s="152" cm="1">
        <f t="array" ref="M111">(_xlfn.IFS(Y111="m2",((AB111/(Z111/AL111))*I111),Y111="m3",((AB111/(Z111/AL111))*I111),Y111="kg",(((AB111*AM111)/(1/AL111))*I111),Y111="ton",(((AB111/1000*AM111)/(1/AL111))*I111),Y111="N/A",""))</f>
        <v>26.017199999999999</v>
      </c>
      <c r="N111" s="52">
        <f t="shared" ref="N111" si="183">IF(O111="","N/A",O111)</f>
        <v>0.1687176</v>
      </c>
      <c r="O111" s="148" cm="1">
        <f t="array" ref="O111">IF(AC111="N/A","",(_xlfn.IFS(Y111="m2",((AC111/(Z111/AL111))*I111),Y111="m3",((AC111/(Z111/AL111))*I111),Y111="kg",(((AC111*AM111)/(1/AL111))*I111),Y111="ton",(((AC111/1000*AM111)/(1/AL111))*I111),Y111="N/A","")))</f>
        <v>0.1687176</v>
      </c>
      <c r="P111" s="52" t="str">
        <f t="shared" ref="P111" si="184">IF(Q111="","N/A",Q111)</f>
        <v>N/A</v>
      </c>
      <c r="Q111" s="155" t="str" cm="1">
        <f t="array" ref="Q111">IF(AE111="N/A","",_xlfn.IFS(Y111="m2",((AE111/(Z111/AL111))*I111),Y111="m3",((AE111/(Z111/AL111))*I111),Y111="kg",(((AE111*AM111)/(1/AL111))*I111),Y111="ton",(((AE111/1000*AM111)/(1/AL111))*I111),Y111="N/A",""))</f>
        <v/>
      </c>
      <c r="R111" s="221" t="s">
        <v>5</v>
      </c>
      <c r="S111" s="47"/>
      <c r="T111" s="47">
        <v>2023</v>
      </c>
      <c r="U111" s="47" t="s">
        <v>14</v>
      </c>
      <c r="V111" s="47">
        <v>150</v>
      </c>
      <c r="W111" s="47"/>
      <c r="X111" s="47" t="s">
        <v>895</v>
      </c>
      <c r="Y111" s="47" t="s">
        <v>234</v>
      </c>
      <c r="Z111" s="47" t="s">
        <v>191</v>
      </c>
      <c r="AA111" s="52">
        <f t="shared" ref="AA111:AA112" si="185">IF(AC111="N/A","N/A",SUM(AB111:AC111))</f>
        <v>132.85599999999999</v>
      </c>
      <c r="AB111" s="52">
        <v>132</v>
      </c>
      <c r="AC111" s="52">
        <f t="shared" si="173"/>
        <v>0.85599999999999998</v>
      </c>
      <c r="AD111" s="52">
        <v>-2.91</v>
      </c>
      <c r="AE111" s="47" t="s">
        <v>191</v>
      </c>
      <c r="AF111" s="69"/>
      <c r="AG111" s="103" t="str">
        <f t="shared" ref="AG111" si="186">AH111&amp;" "&amp;AI111</f>
        <v xml:space="preserve">A1 </v>
      </c>
      <c r="AH111" s="75" t="s">
        <v>58</v>
      </c>
      <c r="AI111" s="76"/>
      <c r="AJ111" s="103"/>
      <c r="AK111" s="73"/>
      <c r="AL111" s="47">
        <v>0.108</v>
      </c>
      <c r="AM111" s="47">
        <f t="shared" si="174"/>
        <v>1825</v>
      </c>
      <c r="AN111" s="47"/>
      <c r="AO111" s="269" t="s">
        <v>17</v>
      </c>
      <c r="AP111" s="110"/>
      <c r="AQ111" s="73"/>
      <c r="AR111" s="25"/>
    </row>
    <row r="112" spans="1:44" ht="25.2" customHeight="1" x14ac:dyDescent="0.15">
      <c r="A112" s="47" t="s">
        <v>897</v>
      </c>
      <c r="B112" s="47" t="s">
        <v>210</v>
      </c>
      <c r="C112" s="47"/>
      <c r="D112" s="47" t="s">
        <v>893</v>
      </c>
      <c r="E112" s="47" t="s">
        <v>146</v>
      </c>
      <c r="F112" s="47" t="s">
        <v>43</v>
      </c>
      <c r="G112" s="47"/>
      <c r="H112" s="47"/>
      <c r="I112" s="111">
        <v>1</v>
      </c>
      <c r="J112" s="114">
        <f t="shared" ref="J112" si="187">IF(AC112="N/A","N/A",IF(K112="","N/A",K112))</f>
        <v>60.284217600000005</v>
      </c>
      <c r="K112" s="152" cm="1">
        <f t="array" ref="K112">IF(AC112="N/A","",_xlfn.IFS(Y112="m2",((AA112/(Z112/AL112))*I112),Y112="m3",((AA112/(Z112/AL112))*I112),Y112="kg",(((AA112*AM112)/(1/AL112))*I112),Y112="ton",(((AA112/1000*AM112)/(1/AL112))*I112),Y112="N/A",""))</f>
        <v>60.284217600000005</v>
      </c>
      <c r="L112" s="114">
        <f t="shared" ref="L112" si="188">IF(M112="","N/A",M112)</f>
        <v>60.115499999999997</v>
      </c>
      <c r="M112" s="152" cm="1">
        <f t="array" ref="M112">(_xlfn.IFS(Y112="m2",((AB112/(Z112/AL112))*I112),Y112="m3",((AB112/(Z112/AL112))*I112),Y112="kg",(((AB112*AM112)/(1/AL112))*I112),Y112="ton",(((AB112/1000*AM112)/(1/AL112))*I112),Y112="N/A",""))</f>
        <v>60.115499999999997</v>
      </c>
      <c r="N112" s="52">
        <f t="shared" ref="N112" si="189">IF(O112="","N/A",O112)</f>
        <v>0.1687176</v>
      </c>
      <c r="O112" s="148" cm="1">
        <f t="array" ref="O112">IF(AC112="N/A","",(_xlfn.IFS(Y112="m2",((AC112/(Z112/AL112))*I112),Y112="m3",((AC112/(Z112/AL112))*I112),Y112="kg",(((AC112*AM112)/(1/AL112))*I112),Y112="ton",(((AC112/1000*AM112)/(1/AL112))*I112),Y112="N/A","")))</f>
        <v>0.1687176</v>
      </c>
      <c r="P112" s="52" t="str">
        <f t="shared" ref="P112" si="190">IF(Q112="","N/A",Q112)</f>
        <v>N/A</v>
      </c>
      <c r="Q112" s="155" t="str" cm="1">
        <f t="array" ref="Q112">IF(AE112="N/A","",_xlfn.IFS(Y112="m2",((AE112/(Z112/AL112))*I112),Y112="m3",((AE112/(Z112/AL112))*I112),Y112="kg",(((AE112*AM112)/(1/AL112))*I112),Y112="ton",(((AE112/1000*AM112)/(1/AL112))*I112),Y112="N/A",""))</f>
        <v/>
      </c>
      <c r="R112" s="221" t="s">
        <v>5</v>
      </c>
      <c r="S112" s="47"/>
      <c r="T112" s="47">
        <v>2023</v>
      </c>
      <c r="U112" s="47" t="s">
        <v>14</v>
      </c>
      <c r="V112" s="47">
        <v>150</v>
      </c>
      <c r="W112" s="47"/>
      <c r="X112" s="47" t="s">
        <v>896</v>
      </c>
      <c r="Y112" s="47" t="s">
        <v>234</v>
      </c>
      <c r="Z112" s="47" t="s">
        <v>191</v>
      </c>
      <c r="AA112" s="52">
        <f t="shared" si="185"/>
        <v>305.85599999999999</v>
      </c>
      <c r="AB112" s="52">
        <f>305</f>
        <v>305</v>
      </c>
      <c r="AC112" s="52">
        <f t="shared" si="173"/>
        <v>0.85599999999999998</v>
      </c>
      <c r="AD112" s="52">
        <f>-2.91</f>
        <v>-2.91</v>
      </c>
      <c r="AE112" s="47" t="s">
        <v>191</v>
      </c>
      <c r="AF112" s="69"/>
      <c r="AG112" s="103" t="str">
        <f t="shared" si="92"/>
        <v xml:space="preserve">A1 </v>
      </c>
      <c r="AH112" s="75" t="s">
        <v>58</v>
      </c>
      <c r="AI112" s="76"/>
      <c r="AJ112" s="103"/>
      <c r="AK112" s="73"/>
      <c r="AL112" s="47">
        <v>0.108</v>
      </c>
      <c r="AM112" s="47">
        <f t="shared" si="174"/>
        <v>1825</v>
      </c>
      <c r="AN112" s="47"/>
      <c r="AO112" s="269" t="s">
        <v>17</v>
      </c>
      <c r="AP112" s="110"/>
      <c r="AQ112" s="73"/>
      <c r="AR112" s="25"/>
    </row>
    <row r="113" spans="1:44" ht="25.2" customHeight="1" x14ac:dyDescent="0.15">
      <c r="A113" s="85" t="s">
        <v>898</v>
      </c>
      <c r="B113" s="47" t="s">
        <v>210</v>
      </c>
      <c r="C113" s="47"/>
      <c r="D113" s="47" t="s">
        <v>893</v>
      </c>
      <c r="E113" s="47" t="s">
        <v>146</v>
      </c>
      <c r="F113" s="47" t="s">
        <v>43</v>
      </c>
      <c r="G113" s="47"/>
      <c r="H113" s="47"/>
      <c r="I113" s="111">
        <v>1</v>
      </c>
      <c r="J113" s="114">
        <f t="shared" ref="J113:J114" si="191">IF(AC113="N/A","N/A",IF(K113="","N/A",K113))</f>
        <v>96.550617599999995</v>
      </c>
      <c r="K113" s="152" cm="1">
        <f t="array" ref="K113">IF(AC113="N/A","",_xlfn.IFS(Y113="m2",((AA113/(Z113/AL113))*I113),Y113="m3",((AA113/(Z113/AL113))*I113),Y113="kg",(((AA113*AM113)/(1/AL113))*I113),Y113="ton",(((AA113/1000*AM113)/(1/AL113))*I113),Y113="N/A",""))</f>
        <v>96.550617599999995</v>
      </c>
      <c r="L113" s="114">
        <f t="shared" ref="L113:L114" si="192">IF(M113="","N/A",M113)</f>
        <v>96.381899999999987</v>
      </c>
      <c r="M113" s="152" cm="1">
        <f t="array" ref="M113">(_xlfn.IFS(Y113="m2",((AB113/(Z113/AL113))*I113),Y113="m3",((AB113/(Z113/AL113))*I113),Y113="kg",(((AB113*AM113)/(1/AL113))*I113),Y113="ton",(((AB113/1000*AM113)/(1/AL113))*I113),Y113="N/A",""))</f>
        <v>96.381899999999987</v>
      </c>
      <c r="N113" s="52">
        <f t="shared" ref="N113:N114" si="193">IF(O113="","N/A",O113)</f>
        <v>0.1687176</v>
      </c>
      <c r="O113" s="148" cm="1">
        <f t="array" ref="O113">IF(AC113="N/A","",(_xlfn.IFS(Y113="m2",((AC113/(Z113/AL113))*I113),Y113="m3",((AC113/(Z113/AL113))*I113),Y113="kg",(((AC113*AM113)/(1/AL113))*I113),Y113="ton",(((AC113/1000*AM113)/(1/AL113))*I113),Y113="N/A","")))</f>
        <v>0.1687176</v>
      </c>
      <c r="P113" s="52" t="str">
        <f t="shared" ref="P113:P114" si="194">IF(Q113="","N/A",Q113)</f>
        <v>N/A</v>
      </c>
      <c r="Q113" s="155" t="str" cm="1">
        <f t="array" ref="Q113">IF(AE113="N/A","",_xlfn.IFS(Y113="m2",((AE113/(Z113/AL113))*I113),Y113="m3",((AE113/(Z113/AL113))*I113),Y113="kg",(((AE113*AM113)/(1/AL113))*I113),Y113="ton",(((AE113/1000*AM113)/(1/AL113))*I113),Y113="N/A",""))</f>
        <v/>
      </c>
      <c r="R113" s="221" t="s">
        <v>5</v>
      </c>
      <c r="S113" s="47"/>
      <c r="T113" s="47">
        <v>2023</v>
      </c>
      <c r="U113" s="47" t="s">
        <v>14</v>
      </c>
      <c r="V113" s="47">
        <v>150</v>
      </c>
      <c r="W113" s="47"/>
      <c r="X113" s="47" t="s">
        <v>896</v>
      </c>
      <c r="Y113" s="47" t="s">
        <v>234</v>
      </c>
      <c r="Z113" s="47" t="s">
        <v>191</v>
      </c>
      <c r="AA113" s="52">
        <f t="shared" ref="AA113" si="195">IF(AC113="N/A","N/A",SUM(AB113:AC113))</f>
        <v>489.85599999999999</v>
      </c>
      <c r="AB113" s="52">
        <f>489</f>
        <v>489</v>
      </c>
      <c r="AC113" s="52">
        <f t="shared" si="173"/>
        <v>0.85599999999999998</v>
      </c>
      <c r="AD113" s="52">
        <f>-2.91</f>
        <v>-2.91</v>
      </c>
      <c r="AE113" s="47" t="s">
        <v>191</v>
      </c>
      <c r="AF113" s="69"/>
      <c r="AG113" s="103" t="str">
        <f t="shared" ref="AG113" si="196">AH113&amp;" "&amp;AI113</f>
        <v xml:space="preserve">A1 </v>
      </c>
      <c r="AH113" s="75" t="s">
        <v>58</v>
      </c>
      <c r="AI113" s="76"/>
      <c r="AJ113" s="103"/>
      <c r="AK113" s="73"/>
      <c r="AL113" s="47">
        <v>0.108</v>
      </c>
      <c r="AM113" s="47">
        <f t="shared" si="174"/>
        <v>1825</v>
      </c>
      <c r="AN113" s="47"/>
      <c r="AO113" s="269" t="s">
        <v>17</v>
      </c>
      <c r="AP113" s="110"/>
      <c r="AQ113" s="73"/>
      <c r="AR113" s="25"/>
    </row>
    <row r="114" spans="1:44" ht="25.2" customHeight="1" x14ac:dyDescent="0.15">
      <c r="A114" s="85" t="s">
        <v>900</v>
      </c>
      <c r="B114" s="47" t="s">
        <v>210</v>
      </c>
      <c r="C114" s="47"/>
      <c r="D114" s="47" t="s">
        <v>893</v>
      </c>
      <c r="E114" s="47" t="s">
        <v>146</v>
      </c>
      <c r="F114" s="47" t="s">
        <v>43</v>
      </c>
      <c r="G114" s="47"/>
      <c r="H114" s="47"/>
      <c r="I114" s="111">
        <v>1</v>
      </c>
      <c r="J114" s="114">
        <f t="shared" si="191"/>
        <v>28.1569176</v>
      </c>
      <c r="K114" s="152" cm="1">
        <f t="array" ref="K114">IF(AC114="N/A","",_xlfn.IFS(Y114="m2",((AA114/(Z114/AL114))*I114),Y114="m3",((AA114/(Z114/AL114))*I114),Y114="kg",(((AA114*AM114)/(1/AL114))*I114),Y114="ton",(((AA114/1000*AM114)/(1/AL114))*I114),Y114="N/A",""))</f>
        <v>28.1569176</v>
      </c>
      <c r="L114" s="114">
        <f t="shared" si="192"/>
        <v>27.988199999999996</v>
      </c>
      <c r="M114" s="152" cm="1">
        <f t="array" ref="M114">(_xlfn.IFS(Y114="m2",((AB114/(Z114/AL114))*I114),Y114="m3",((AB114/(Z114/AL114))*I114),Y114="kg",(((AB114*AM114)/(1/AL114))*I114),Y114="ton",(((AB114/1000*AM114)/(1/AL114))*I114),Y114="N/A",""))</f>
        <v>27.988199999999996</v>
      </c>
      <c r="N114" s="52">
        <f t="shared" si="193"/>
        <v>0.1687176</v>
      </c>
      <c r="O114" s="148" cm="1">
        <f t="array" ref="O114">IF(AC114="N/A","",(_xlfn.IFS(Y114="m2",((AC114/(Z114/AL114))*I114),Y114="m3",((AC114/(Z114/AL114))*I114),Y114="kg",(((AC114*AM114)/(1/AL114))*I114),Y114="ton",(((AC114/1000*AM114)/(1/AL114))*I114),Y114="N/A","")))</f>
        <v>0.1687176</v>
      </c>
      <c r="P114" s="52" t="str">
        <f t="shared" si="194"/>
        <v>N/A</v>
      </c>
      <c r="Q114" s="155" t="str" cm="1">
        <f t="array" ref="Q114">IF(AE114="N/A","",_xlfn.IFS(Y114="m2",((AE114/(Z114/AL114))*I114),Y114="m3",((AE114/(Z114/AL114))*I114),Y114="kg",(((AE114*AM114)/(1/AL114))*I114),Y114="ton",(((AE114/1000*AM114)/(1/AL114))*I114),Y114="N/A",""))</f>
        <v/>
      </c>
      <c r="R114" s="221" t="s">
        <v>5</v>
      </c>
      <c r="S114" s="47"/>
      <c r="T114" s="47">
        <v>2023</v>
      </c>
      <c r="U114" s="47" t="s">
        <v>14</v>
      </c>
      <c r="V114" s="47">
        <v>150</v>
      </c>
      <c r="W114" s="47"/>
      <c r="X114" s="47" t="s">
        <v>899</v>
      </c>
      <c r="Y114" s="47" t="s">
        <v>234</v>
      </c>
      <c r="Z114" s="47" t="s">
        <v>191</v>
      </c>
      <c r="AA114" s="52">
        <f t="shared" ref="AA114:AA115" si="197">IF(AC114="N/A","N/A",SUM(AB114:AC114))</f>
        <v>142.85599999999999</v>
      </c>
      <c r="AB114" s="52">
        <v>142</v>
      </c>
      <c r="AC114" s="52">
        <f t="shared" si="173"/>
        <v>0.85599999999999998</v>
      </c>
      <c r="AD114" s="52">
        <f>-2.91</f>
        <v>-2.91</v>
      </c>
      <c r="AE114" s="47" t="s">
        <v>191</v>
      </c>
      <c r="AF114" s="69"/>
      <c r="AG114" s="103" t="str">
        <f t="shared" si="92"/>
        <v xml:space="preserve">A1 </v>
      </c>
      <c r="AH114" s="75" t="s">
        <v>58</v>
      </c>
      <c r="AI114" s="76"/>
      <c r="AJ114" s="103"/>
      <c r="AK114" s="73"/>
      <c r="AL114" s="47">
        <v>0.108</v>
      </c>
      <c r="AM114" s="47">
        <f t="shared" si="174"/>
        <v>1825</v>
      </c>
      <c r="AN114" s="47"/>
      <c r="AO114" s="269" t="s">
        <v>17</v>
      </c>
      <c r="AP114" s="110"/>
      <c r="AQ114" s="73"/>
      <c r="AR114" s="25"/>
    </row>
    <row r="115" spans="1:44" ht="25.2" customHeight="1" x14ac:dyDescent="0.15">
      <c r="A115" s="85" t="s">
        <v>901</v>
      </c>
      <c r="B115" s="47" t="s">
        <v>210</v>
      </c>
      <c r="C115" s="47"/>
      <c r="D115" s="47" t="s">
        <v>893</v>
      </c>
      <c r="E115" s="47" t="s">
        <v>146</v>
      </c>
      <c r="F115" s="47" t="s">
        <v>43</v>
      </c>
      <c r="G115" s="47"/>
      <c r="H115" s="47"/>
      <c r="I115" s="111">
        <v>1</v>
      </c>
      <c r="J115" s="114">
        <f t="shared" ref="J115:J116" si="198">IF(AC115="N/A","N/A",IF(K115="","N/A",K115))</f>
        <v>35.843817600000001</v>
      </c>
      <c r="K115" s="152" cm="1">
        <f t="array" ref="K115">IF(AC115="N/A","",_xlfn.IFS(Y115="m2",((AA115/(Z115/AL115))*I115),Y115="m3",((AA115/(Z115/AL115))*I115),Y115="kg",(((AA115*AM115)/(1/AL115))*I115),Y115="ton",(((AA115/1000*AM115)/(1/AL115))*I115),Y115="N/A",""))</f>
        <v>35.843817600000001</v>
      </c>
      <c r="L115" s="114">
        <f t="shared" ref="L115:L116" si="199">IF(M115="","N/A",M115)</f>
        <v>35.6751</v>
      </c>
      <c r="M115" s="152" cm="1">
        <f t="array" ref="M115">(_xlfn.IFS(Y115="m2",((AB115/(Z115/AL115))*I115),Y115="m3",((AB115/(Z115/AL115))*I115),Y115="kg",(((AB115*AM115)/(1/AL115))*I115),Y115="ton",(((AB115/1000*AM115)/(1/AL115))*I115),Y115="N/A",""))</f>
        <v>35.6751</v>
      </c>
      <c r="N115" s="52">
        <f t="shared" ref="N115:N116" si="200">IF(O115="","N/A",O115)</f>
        <v>0.1687176</v>
      </c>
      <c r="O115" s="148" cm="1">
        <f t="array" ref="O115">IF(AC115="N/A","",(_xlfn.IFS(Y115="m2",((AC115/(Z115/AL115))*I115),Y115="m3",((AC115/(Z115/AL115))*I115),Y115="kg",(((AC115*AM115)/(1/AL115))*I115),Y115="ton",(((AC115/1000*AM115)/(1/AL115))*I115),Y115="N/A","")))</f>
        <v>0.1687176</v>
      </c>
      <c r="P115" s="52" t="str">
        <f t="shared" ref="P115:P116" si="201">IF(Q115="","N/A",Q115)</f>
        <v>N/A</v>
      </c>
      <c r="Q115" s="155" t="str" cm="1">
        <f t="array" ref="Q115">IF(AE115="N/A","",_xlfn.IFS(Y115="m2",((AE115/(Z115/AL115))*I115),Y115="m3",((AE115/(Z115/AL115))*I115),Y115="kg",(((AE115*AM115)/(1/AL115))*I115),Y115="ton",(((AE115/1000*AM115)/(1/AL115))*I115),Y115="N/A",""))</f>
        <v/>
      </c>
      <c r="R115" s="221" t="s">
        <v>5</v>
      </c>
      <c r="S115" s="47"/>
      <c r="T115" s="47">
        <v>2023</v>
      </c>
      <c r="U115" s="47" t="s">
        <v>14</v>
      </c>
      <c r="V115" s="47">
        <v>150</v>
      </c>
      <c r="W115" s="47"/>
      <c r="X115" s="47" t="s">
        <v>899</v>
      </c>
      <c r="Y115" s="47" t="s">
        <v>234</v>
      </c>
      <c r="Z115" s="47" t="s">
        <v>191</v>
      </c>
      <c r="AA115" s="52">
        <f t="shared" si="197"/>
        <v>181.85599999999999</v>
      </c>
      <c r="AB115" s="52">
        <v>181</v>
      </c>
      <c r="AC115" s="52">
        <f t="shared" si="173"/>
        <v>0.85599999999999998</v>
      </c>
      <c r="AD115" s="52">
        <f>-2.91</f>
        <v>-2.91</v>
      </c>
      <c r="AE115" s="47" t="s">
        <v>191</v>
      </c>
      <c r="AF115" s="69"/>
      <c r="AG115" s="103" t="str">
        <f t="shared" si="92"/>
        <v xml:space="preserve">A1 </v>
      </c>
      <c r="AH115" s="75" t="s">
        <v>58</v>
      </c>
      <c r="AI115" s="76"/>
      <c r="AJ115" s="103"/>
      <c r="AK115" s="73"/>
      <c r="AL115" s="47">
        <v>0.108</v>
      </c>
      <c r="AM115" s="47">
        <f t="shared" si="174"/>
        <v>1825</v>
      </c>
      <c r="AN115" s="47"/>
      <c r="AO115" s="269" t="s">
        <v>17</v>
      </c>
      <c r="AP115" s="110"/>
      <c r="AQ115" s="73"/>
      <c r="AR115" s="25"/>
    </row>
    <row r="116" spans="1:44" ht="25.2" customHeight="1" x14ac:dyDescent="0.15">
      <c r="A116" s="47" t="s">
        <v>903</v>
      </c>
      <c r="B116" s="47" t="s">
        <v>210</v>
      </c>
      <c r="C116" s="47"/>
      <c r="D116" s="47" t="s">
        <v>893</v>
      </c>
      <c r="E116" s="47" t="s">
        <v>146</v>
      </c>
      <c r="F116" s="47" t="s">
        <v>43</v>
      </c>
      <c r="G116" s="47"/>
      <c r="H116" s="47"/>
      <c r="I116" s="111">
        <v>1</v>
      </c>
      <c r="J116" s="114">
        <f t="shared" si="198"/>
        <v>43.484374799999998</v>
      </c>
      <c r="K116" s="152" cm="1">
        <f t="array" ref="K116">IF(AC116="N/A","",_xlfn.IFS(Y116="m2",((AA116/(Z116/AL116))*I116),Y116="m3",((AA116/(Z116/AL116))*I116),Y116="kg",(((AA116*AM116)/(1/AL116))*I116),Y116="ton",(((AA116/1000*AM116)/(1/AL116))*I116),Y116="N/A",""))</f>
        <v>43.484374799999998</v>
      </c>
      <c r="L116" s="114">
        <f t="shared" si="199"/>
        <v>43.329599999999999</v>
      </c>
      <c r="M116" s="152" cm="1">
        <f t="array" ref="M116">(_xlfn.IFS(Y116="m2",((AB116/(Z116/AL116))*I116),Y116="m3",((AB116/(Z116/AL116))*I116),Y116="kg",(((AB116*AM116)/(1/AL116))*I116),Y116="ton",(((AB116/1000*AM116)/(1/AL116))*I116),Y116="N/A",""))</f>
        <v>43.329599999999999</v>
      </c>
      <c r="N116" s="52">
        <f t="shared" si="200"/>
        <v>0.15477479999999999</v>
      </c>
      <c r="O116" s="148" cm="1">
        <f t="array" ref="O116">IF(AC116="N/A","",(_xlfn.IFS(Y116="m2",((AC116/(Z116/AL116))*I116),Y116="m3",((AC116/(Z116/AL116))*I116),Y116="kg",(((AC116*AM116)/(1/AL116))*I116),Y116="ton",(((AC116/1000*AM116)/(1/AL116))*I116),Y116="N/A","")))</f>
        <v>0.15477479999999999</v>
      </c>
      <c r="P116" s="52" t="str">
        <f t="shared" si="201"/>
        <v>N/A</v>
      </c>
      <c r="Q116" s="155" t="str" cm="1">
        <f t="array" ref="Q116">IF(AE116="N/A","",_xlfn.IFS(Y116="m2",((AE116/(Z116/AL116))*I116),Y116="m3",((AE116/(Z116/AL116))*I116),Y116="kg",(((AE116*AM116)/(1/AL116))*I116),Y116="ton",(((AE116/1000*AM116)/(1/AL116))*I116),Y116="N/A",""))</f>
        <v/>
      </c>
      <c r="R116" s="221" t="s">
        <v>5</v>
      </c>
      <c r="S116" s="47" t="s">
        <v>377</v>
      </c>
      <c r="T116" s="47">
        <v>2026</v>
      </c>
      <c r="U116" s="47" t="s">
        <v>14</v>
      </c>
      <c r="V116" s="47">
        <v>150</v>
      </c>
      <c r="W116" s="47"/>
      <c r="X116" s="47" t="s">
        <v>902</v>
      </c>
      <c r="Y116" s="47" t="s">
        <v>234</v>
      </c>
      <c r="Z116" s="47" t="s">
        <v>191</v>
      </c>
      <c r="AA116" s="52">
        <f t="shared" ref="AA116" si="202">IF(AC116="N/A","N/A",SUM(AB116:AC116))</f>
        <v>236.84299999999999</v>
      </c>
      <c r="AB116" s="52">
        <v>236</v>
      </c>
      <c r="AC116" s="52">
        <f>0.704+0.139</f>
        <v>0.84299999999999997</v>
      </c>
      <c r="AD116" s="52">
        <f>-3.19</f>
        <v>-3.19</v>
      </c>
      <c r="AE116" s="47" t="s">
        <v>191</v>
      </c>
      <c r="AF116" s="69"/>
      <c r="AG116" s="103" t="str">
        <f t="shared" si="92"/>
        <v xml:space="preserve">A1 </v>
      </c>
      <c r="AH116" s="75" t="s">
        <v>58</v>
      </c>
      <c r="AI116" s="76"/>
      <c r="AJ116" s="103"/>
      <c r="AK116" s="73"/>
      <c r="AL116" s="47">
        <v>0.108</v>
      </c>
      <c r="AM116" s="47">
        <f>(1600+1800)/2</f>
        <v>1700</v>
      </c>
      <c r="AN116" s="47"/>
      <c r="AO116" s="269" t="s">
        <v>17</v>
      </c>
      <c r="AP116" s="110"/>
      <c r="AQ116" s="73"/>
      <c r="AR116" s="25"/>
    </row>
    <row r="117" spans="1:44" ht="25.2" customHeight="1" x14ac:dyDescent="0.15">
      <c r="A117" s="85" t="s">
        <v>904</v>
      </c>
      <c r="B117" s="47" t="s">
        <v>210</v>
      </c>
      <c r="C117" s="47"/>
      <c r="D117" s="47" t="s">
        <v>893</v>
      </c>
      <c r="E117" s="47" t="s">
        <v>146</v>
      </c>
      <c r="F117" s="47" t="s">
        <v>43</v>
      </c>
      <c r="G117" s="47"/>
      <c r="H117" s="47"/>
      <c r="I117" s="111">
        <v>1</v>
      </c>
      <c r="J117" s="114">
        <f t="shared" ref="J117:J118" si="203">IF(AC117="N/A","N/A",IF(K117="","N/A",K117))</f>
        <v>23.655574799999997</v>
      </c>
      <c r="K117" s="152" cm="1">
        <f t="array" ref="K117">IF(AC117="N/A","",_xlfn.IFS(Y117="m2",((AA117/(Z117/AL117))*I117),Y117="m3",((AA117/(Z117/AL117))*I117),Y117="kg",(((AA117*AM117)/(1/AL117))*I117),Y117="ton",(((AA117/1000*AM117)/(1/AL117))*I117),Y117="N/A",""))</f>
        <v>23.655574799999997</v>
      </c>
      <c r="L117" s="114">
        <f t="shared" ref="L117:L118" si="204">IF(M117="","N/A",M117)</f>
        <v>23.500799999999998</v>
      </c>
      <c r="M117" s="152" cm="1">
        <f t="array" ref="M117">(_xlfn.IFS(Y117="m2",((AB117/(Z117/AL117))*I117),Y117="m3",((AB117/(Z117/AL117))*I117),Y117="kg",(((AB117*AM117)/(1/AL117))*I117),Y117="ton",(((AB117/1000*AM117)/(1/AL117))*I117),Y117="N/A",""))</f>
        <v>23.500799999999998</v>
      </c>
      <c r="N117" s="52">
        <f t="shared" ref="N117:N118" si="205">IF(O117="","N/A",O117)</f>
        <v>0.15477479999999999</v>
      </c>
      <c r="O117" s="148" cm="1">
        <f t="array" ref="O117">IF(AC117="N/A","",(_xlfn.IFS(Y117="m2",((AC117/(Z117/AL117))*I117),Y117="m3",((AC117/(Z117/AL117))*I117),Y117="kg",(((AC117*AM117)/(1/AL117))*I117),Y117="ton",(((AC117/1000*AM117)/(1/AL117))*I117),Y117="N/A","")))</f>
        <v>0.15477479999999999</v>
      </c>
      <c r="P117" s="52" t="str">
        <f t="shared" ref="P117:P118" si="206">IF(Q117="","N/A",Q117)</f>
        <v>N/A</v>
      </c>
      <c r="Q117" s="155" t="str" cm="1">
        <f t="array" ref="Q117">IF(AE117="N/A","",_xlfn.IFS(Y117="m2",((AE117/(Z117/AL117))*I117),Y117="m3",((AE117/(Z117/AL117))*I117),Y117="kg",(((AE117*AM117)/(1/AL117))*I117),Y117="ton",(((AE117/1000*AM117)/(1/AL117))*I117),Y117="N/A",""))</f>
        <v/>
      </c>
      <c r="R117" s="221" t="s">
        <v>5</v>
      </c>
      <c r="S117" s="47" t="s">
        <v>377</v>
      </c>
      <c r="T117" s="47">
        <v>2026</v>
      </c>
      <c r="U117" s="47" t="s">
        <v>14</v>
      </c>
      <c r="V117" s="47">
        <v>150</v>
      </c>
      <c r="W117" s="47"/>
      <c r="X117" s="47" t="s">
        <v>905</v>
      </c>
      <c r="Y117" s="47" t="s">
        <v>234</v>
      </c>
      <c r="Z117" s="47" t="s">
        <v>191</v>
      </c>
      <c r="AA117" s="52">
        <f t="shared" ref="AA117" si="207">IF(AC117="N/A","N/A",SUM(AB117:AC117))</f>
        <v>128.84299999999999</v>
      </c>
      <c r="AB117" s="52">
        <v>128</v>
      </c>
      <c r="AC117" s="52">
        <f>0.704+0.139</f>
        <v>0.84299999999999997</v>
      </c>
      <c r="AD117" s="52">
        <v>-3.19</v>
      </c>
      <c r="AE117" s="47" t="s">
        <v>191</v>
      </c>
      <c r="AF117" s="69"/>
      <c r="AG117" s="103"/>
      <c r="AH117" s="75" t="s">
        <v>58</v>
      </c>
      <c r="AI117" s="76"/>
      <c r="AJ117" s="103"/>
      <c r="AK117" s="73"/>
      <c r="AL117" s="47">
        <v>0.108</v>
      </c>
      <c r="AM117" s="47">
        <f>(1600+1800)/2</f>
        <v>1700</v>
      </c>
      <c r="AN117" s="47"/>
      <c r="AO117" s="269" t="s">
        <v>17</v>
      </c>
      <c r="AP117" s="110"/>
      <c r="AQ117" s="73"/>
      <c r="AR117" s="25"/>
    </row>
    <row r="118" spans="1:44" ht="25.2" customHeight="1" x14ac:dyDescent="0.15">
      <c r="A118" s="47" t="s">
        <v>907</v>
      </c>
      <c r="B118" s="47" t="s">
        <v>210</v>
      </c>
      <c r="C118" s="47"/>
      <c r="D118" s="47" t="s">
        <v>893</v>
      </c>
      <c r="E118" s="47" t="s">
        <v>146</v>
      </c>
      <c r="F118" s="47" t="s">
        <v>43</v>
      </c>
      <c r="G118" s="47"/>
      <c r="H118" s="47"/>
      <c r="I118" s="111">
        <v>1</v>
      </c>
      <c r="J118" s="114">
        <f t="shared" si="203"/>
        <v>41.958323999999998</v>
      </c>
      <c r="K118" s="152" cm="1">
        <f t="array" ref="K118">IF(AC118="N/A","",_xlfn.IFS(Y118="m2",((AA118/(Z118/AL118))*I118),Y118="m3",((AA118/(Z118/AL118))*I118),Y118="kg",(((AA118*AM118)/(1/AL118))*I118),Y118="ton",(((AA118/1000*AM118)/(1/AL118))*I118),Y118="N/A",""))</f>
        <v>41.958323999999998</v>
      </c>
      <c r="L118" s="114">
        <f t="shared" si="204"/>
        <v>41.795999999999999</v>
      </c>
      <c r="M118" s="152" cm="1">
        <f t="array" ref="M118">(_xlfn.IFS(Y118="m2",((AB118/(Z118/AL118))*I118),Y118="m3",((AB118/(Z118/AL118))*I118),Y118="kg",(((AB118*AM118)/(1/AL118))*I118),Y118="ton",(((AB118/1000*AM118)/(1/AL118))*I118),Y118="N/A",""))</f>
        <v>41.795999999999999</v>
      </c>
      <c r="N118" s="52">
        <f t="shared" si="205"/>
        <v>0.162324</v>
      </c>
      <c r="O118" s="148" cm="1">
        <f t="array" ref="O118">IF(AC118="N/A","",(_xlfn.IFS(Y118="m2",((AC118/(Z118/AL118))*I118),Y118="m3",((AC118/(Z118/AL118))*I118),Y118="kg",(((AC118*AM118)/(1/AL118))*I118),Y118="ton",(((AC118/1000*AM118)/(1/AL118))*I118),Y118="N/A","")))</f>
        <v>0.162324</v>
      </c>
      <c r="P118" s="52" t="str">
        <f t="shared" si="206"/>
        <v>N/A</v>
      </c>
      <c r="Q118" s="155" t="str" cm="1">
        <f t="array" ref="Q118">IF(AE118="N/A","",_xlfn.IFS(Y118="m2",((AE118/(Z118/AL118))*I118),Y118="m3",((AE118/(Z118/AL118))*I118),Y118="kg",(((AE118*AM118)/(1/AL118))*I118),Y118="ton",(((AE118/1000*AM118)/(1/AL118))*I118),Y118="N/A",""))</f>
        <v/>
      </c>
      <c r="R118" s="221" t="s">
        <v>5</v>
      </c>
      <c r="S118" s="47"/>
      <c r="T118" s="47">
        <v>2025</v>
      </c>
      <c r="U118" s="47" t="s">
        <v>14</v>
      </c>
      <c r="V118" s="47">
        <v>150</v>
      </c>
      <c r="W118" s="47"/>
      <c r="X118" s="47" t="s">
        <v>906</v>
      </c>
      <c r="Y118" s="47" t="s">
        <v>234</v>
      </c>
      <c r="Z118" s="47" t="s">
        <v>191</v>
      </c>
      <c r="AA118" s="52">
        <f t="shared" ref="AA118" si="208">IF(AC118="N/A","N/A",SUM(AB118:AC118))</f>
        <v>215.83500000000001</v>
      </c>
      <c r="AB118" s="52">
        <v>215</v>
      </c>
      <c r="AC118" s="52">
        <f>0.703+0.132</f>
        <v>0.83499999999999996</v>
      </c>
      <c r="AD118" s="52">
        <v>-3.59</v>
      </c>
      <c r="AE118" s="47" t="s">
        <v>191</v>
      </c>
      <c r="AF118" s="69"/>
      <c r="AG118" s="103" t="str">
        <f t="shared" si="92"/>
        <v xml:space="preserve">A1 </v>
      </c>
      <c r="AH118" s="75" t="s">
        <v>58</v>
      </c>
      <c r="AI118" s="76"/>
      <c r="AJ118" s="103"/>
      <c r="AK118" s="73"/>
      <c r="AL118" s="47">
        <v>0.108</v>
      </c>
      <c r="AM118" s="47">
        <f>(1600+2000)/2</f>
        <v>1800</v>
      </c>
      <c r="AN118" s="47"/>
      <c r="AO118" s="269" t="s">
        <v>17</v>
      </c>
      <c r="AP118" s="110"/>
      <c r="AQ118" s="73"/>
      <c r="AR118" s="25"/>
    </row>
    <row r="119" spans="1:44" ht="25.2" customHeight="1" x14ac:dyDescent="0.15">
      <c r="A119" s="47" t="s">
        <v>912</v>
      </c>
      <c r="B119" s="47" t="s">
        <v>210</v>
      </c>
      <c r="C119" s="47"/>
      <c r="D119" s="47" t="s">
        <v>893</v>
      </c>
      <c r="E119" s="47" t="s">
        <v>146</v>
      </c>
      <c r="F119" s="47" t="s">
        <v>43</v>
      </c>
      <c r="G119" s="47"/>
      <c r="H119" s="47"/>
      <c r="I119" s="111">
        <v>1</v>
      </c>
      <c r="J119" s="114">
        <f t="shared" ref="J119:J120" si="209">IF(AC119="N/A","N/A",IF(K119="","N/A",K119))</f>
        <v>22.907123999999996</v>
      </c>
      <c r="K119" s="152" cm="1">
        <f t="array" ref="K119">IF(AC119="N/A","",_xlfn.IFS(Y119="m2",((AA119/(Z119/AL119))*I119),Y119="m3",((AA119/(Z119/AL119))*I119),Y119="kg",(((AA119*AM119)/(1/AL119))*I119),Y119="ton",(((AA119/1000*AM119)/(1/AL119))*I119),Y119="N/A",""))</f>
        <v>22.907123999999996</v>
      </c>
      <c r="L119" s="114">
        <f t="shared" ref="L119:L120" si="210">IF(M119="","N/A",M119)</f>
        <v>22.744800000000001</v>
      </c>
      <c r="M119" s="152" cm="1">
        <f t="array" ref="M119">(_xlfn.IFS(Y119="m2",((AB119/(Z119/AL119))*I119),Y119="m3",((AB119/(Z119/AL119))*I119),Y119="kg",(((AB119*AM119)/(1/AL119))*I119),Y119="ton",(((AB119/1000*AM119)/(1/AL119))*I119),Y119="N/A",""))</f>
        <v>22.744800000000001</v>
      </c>
      <c r="N119" s="52">
        <f t="shared" ref="N119:N120" si="211">IF(O119="","N/A",O119)</f>
        <v>0.162324</v>
      </c>
      <c r="O119" s="148" cm="1">
        <f t="array" ref="O119">IF(AC119="N/A","",(_xlfn.IFS(Y119="m2",((AC119/(Z119/AL119))*I119),Y119="m3",((AC119/(Z119/AL119))*I119),Y119="kg",(((AC119*AM119)/(1/AL119))*I119),Y119="ton",(((AC119/1000*AM119)/(1/AL119))*I119),Y119="N/A","")))</f>
        <v>0.162324</v>
      </c>
      <c r="P119" s="52" t="str">
        <f t="shared" ref="P119:P120" si="212">IF(Q119="","N/A",Q119)</f>
        <v>N/A</v>
      </c>
      <c r="Q119" s="155" t="str" cm="1">
        <f t="array" ref="Q119">IF(AE119="N/A","",_xlfn.IFS(Y119="m2",((AE119/(Z119/AL119))*I119),Y119="m3",((AE119/(Z119/AL119))*I119),Y119="kg",(((AE119*AM119)/(1/AL119))*I119),Y119="ton",(((AE119/1000*AM119)/(1/AL119))*I119),Y119="N/A",""))</f>
        <v/>
      </c>
      <c r="R119" s="221" t="s">
        <v>5</v>
      </c>
      <c r="S119" s="47"/>
      <c r="T119" s="47">
        <v>2025</v>
      </c>
      <c r="U119" s="47" t="s">
        <v>14</v>
      </c>
      <c r="V119" s="47">
        <v>150</v>
      </c>
      <c r="W119" s="47"/>
      <c r="X119" s="47" t="s">
        <v>913</v>
      </c>
      <c r="Y119" s="47" t="s">
        <v>234</v>
      </c>
      <c r="Z119" s="47" t="s">
        <v>191</v>
      </c>
      <c r="AA119" s="52">
        <f t="shared" ref="AA119:AA120" si="213">IF(AC119="N/A","N/A",SUM(AB119:AC119))</f>
        <v>117.83499999999999</v>
      </c>
      <c r="AB119" s="52">
        <v>117</v>
      </c>
      <c r="AC119" s="52">
        <f>0.703+0.132</f>
        <v>0.83499999999999996</v>
      </c>
      <c r="AD119" s="52">
        <v>-3.59</v>
      </c>
      <c r="AE119" s="47" t="s">
        <v>191</v>
      </c>
      <c r="AF119" s="69"/>
      <c r="AG119" s="103" t="str">
        <f t="shared" ref="AG119" si="214">AH119&amp;" "&amp;AI119</f>
        <v xml:space="preserve">A1 </v>
      </c>
      <c r="AH119" s="75" t="s">
        <v>58</v>
      </c>
      <c r="AI119" s="76"/>
      <c r="AJ119" s="103"/>
      <c r="AK119" s="73"/>
      <c r="AL119" s="47">
        <v>0.108</v>
      </c>
      <c r="AM119" s="47">
        <f>(1600+2000)/2</f>
        <v>1800</v>
      </c>
      <c r="AN119" s="47"/>
      <c r="AO119" s="269" t="s">
        <v>17</v>
      </c>
      <c r="AP119" s="110"/>
      <c r="AQ119" s="73"/>
      <c r="AR119" s="25"/>
    </row>
    <row r="120" spans="1:44" ht="25.2" customHeight="1" x14ac:dyDescent="0.15">
      <c r="A120" s="47" t="s">
        <v>914</v>
      </c>
      <c r="B120" s="47" t="s">
        <v>210</v>
      </c>
      <c r="C120" s="47"/>
      <c r="D120" s="47" t="s">
        <v>893</v>
      </c>
      <c r="E120" s="47" t="s">
        <v>146</v>
      </c>
      <c r="F120" s="47" t="s">
        <v>43</v>
      </c>
      <c r="G120" s="47"/>
      <c r="H120" s="47"/>
      <c r="I120" s="111">
        <v>1</v>
      </c>
      <c r="J120" s="114">
        <f t="shared" si="209"/>
        <v>39.821479199999999</v>
      </c>
      <c r="K120" s="152" cm="1">
        <f t="array" ref="K120">IF(AC120="N/A","",_xlfn.IFS(Y120="m2",((AA120/(Z120/AL120))*I120),Y120="m3",((AA120/(Z120/AL120))*I120),Y120="kg",(((AA120*AM120)/(1/AL120))*I120),Y120="ton",(((AA120/1000*AM120)/(1/AL120))*I120),Y120="N/A",""))</f>
        <v>39.821479199999999</v>
      </c>
      <c r="L120" s="114">
        <f t="shared" si="210"/>
        <v>39.657599999999995</v>
      </c>
      <c r="M120" s="152" cm="1">
        <f t="array" ref="M120">(_xlfn.IFS(Y120="m2",((AB120/(Z120/AL120))*I120),Y120="m3",((AB120/(Z120/AL120))*I120),Y120="kg",(((AB120*AM120)/(1/AL120))*I120),Y120="ton",(((AB120/1000*AM120)/(1/AL120))*I120),Y120="N/A",""))</f>
        <v>39.657599999999995</v>
      </c>
      <c r="N120" s="52">
        <f t="shared" si="211"/>
        <v>0.1638792</v>
      </c>
      <c r="O120" s="148" cm="1">
        <f t="array" ref="O120">IF(AC120="N/A","",(_xlfn.IFS(Y120="m2",((AC120/(Z120/AL120))*I120),Y120="m3",((AC120/(Z120/AL120))*I120),Y120="kg",(((AC120*AM120)/(1/AL120))*I120),Y120="ton",(((AC120/1000*AM120)/(1/AL120))*I120),Y120="N/A","")))</f>
        <v>0.1638792</v>
      </c>
      <c r="P120" s="52" t="str">
        <f t="shared" si="212"/>
        <v>N/A</v>
      </c>
      <c r="Q120" s="155" t="str" cm="1">
        <f t="array" ref="Q120">IF(AE120="N/A","",_xlfn.IFS(Y120="m2",((AE120/(Z120/AL120))*I120),Y120="m3",((AE120/(Z120/AL120))*I120),Y120="kg",(((AE120*AM120)/(1/AL120))*I120),Y120="ton",(((AE120/1000*AM120)/(1/AL120))*I120),Y120="N/A",""))</f>
        <v/>
      </c>
      <c r="R120" s="221" t="s">
        <v>5</v>
      </c>
      <c r="S120" s="47" t="s">
        <v>377</v>
      </c>
      <c r="T120" s="47">
        <v>2026</v>
      </c>
      <c r="U120" s="47" t="s">
        <v>14</v>
      </c>
      <c r="V120" s="47">
        <v>150</v>
      </c>
      <c r="W120" s="47"/>
      <c r="X120" s="47" t="s">
        <v>916</v>
      </c>
      <c r="Y120" s="47" t="s">
        <v>234</v>
      </c>
      <c r="Z120" s="47" t="s">
        <v>191</v>
      </c>
      <c r="AA120" s="52">
        <f t="shared" si="213"/>
        <v>204.84299999999999</v>
      </c>
      <c r="AB120" s="52">
        <v>204</v>
      </c>
      <c r="AC120" s="52">
        <f>0.704+0.139</f>
        <v>0.84299999999999997</v>
      </c>
      <c r="AD120" s="52">
        <f>-3.19</f>
        <v>-3.19</v>
      </c>
      <c r="AE120" s="47" t="s">
        <v>191</v>
      </c>
      <c r="AF120" s="69"/>
      <c r="AG120" s="103" t="str">
        <f t="shared" si="92"/>
        <v xml:space="preserve">A1 </v>
      </c>
      <c r="AH120" s="75" t="s">
        <v>58</v>
      </c>
      <c r="AI120" s="76"/>
      <c r="AJ120" s="103"/>
      <c r="AK120" s="73"/>
      <c r="AL120" s="47">
        <v>0.108</v>
      </c>
      <c r="AM120" s="47">
        <f>(1700+1900)/2</f>
        <v>1800</v>
      </c>
      <c r="AN120" s="47"/>
      <c r="AO120" s="269" t="s">
        <v>17</v>
      </c>
      <c r="AP120" s="110"/>
      <c r="AQ120" s="73"/>
      <c r="AR120" s="25"/>
    </row>
    <row r="121" spans="1:44" ht="25.2" customHeight="1" x14ac:dyDescent="0.15">
      <c r="A121" s="85" t="s">
        <v>915</v>
      </c>
      <c r="B121" s="47" t="s">
        <v>210</v>
      </c>
      <c r="C121" s="47"/>
      <c r="D121" s="47" t="s">
        <v>893</v>
      </c>
      <c r="E121" s="47" t="s">
        <v>146</v>
      </c>
      <c r="F121" s="47" t="s">
        <v>43</v>
      </c>
      <c r="G121" s="47"/>
      <c r="H121" s="47"/>
      <c r="I121" s="111">
        <v>1</v>
      </c>
      <c r="J121" s="114">
        <f t="shared" ref="J121:J122" si="215">IF(AC121="N/A","N/A",IF(K121="","N/A",K121))</f>
        <v>19.7982792</v>
      </c>
      <c r="K121" s="152" cm="1">
        <f t="array" ref="K121">IF(AC121="N/A","",_xlfn.IFS(Y121="m2",((AA121/(Z121/AL121))*I121),Y121="m3",((AA121/(Z121/AL121))*I121),Y121="kg",(((AA121*AM121)/(1/AL121))*I121),Y121="ton",(((AA121/1000*AM121)/(1/AL121))*I121),Y121="N/A",""))</f>
        <v>19.7982792</v>
      </c>
      <c r="L121" s="114">
        <f t="shared" ref="L121:L122" si="216">IF(M121="","N/A",M121)</f>
        <v>19.634399999999999</v>
      </c>
      <c r="M121" s="152" cm="1">
        <f t="array" ref="M121">(_xlfn.IFS(Y121="m2",((AB121/(Z121/AL121))*I121),Y121="m3",((AB121/(Z121/AL121))*I121),Y121="kg",(((AB121*AM121)/(1/AL121))*I121),Y121="ton",(((AB121/1000*AM121)/(1/AL121))*I121),Y121="N/A",""))</f>
        <v>19.634399999999999</v>
      </c>
      <c r="N121" s="52">
        <f t="shared" ref="N121:N122" si="217">IF(O121="","N/A",O121)</f>
        <v>0.1638792</v>
      </c>
      <c r="O121" s="148" cm="1">
        <f t="array" ref="O121">IF(AC121="N/A","",(_xlfn.IFS(Y121="m2",((AC121/(Z121/AL121))*I121),Y121="m3",((AC121/(Z121/AL121))*I121),Y121="kg",(((AC121*AM121)/(1/AL121))*I121),Y121="ton",(((AC121/1000*AM121)/(1/AL121))*I121),Y121="N/A","")))</f>
        <v>0.1638792</v>
      </c>
      <c r="P121" s="52" t="str">
        <f t="shared" ref="P121:P122" si="218">IF(Q121="","N/A",Q121)</f>
        <v>N/A</v>
      </c>
      <c r="Q121" s="155" t="str" cm="1">
        <f t="array" ref="Q121">IF(AE121="N/A","",_xlfn.IFS(Y121="m2",((AE121/(Z121/AL121))*I121),Y121="m3",((AE121/(Z121/AL121))*I121),Y121="kg",(((AE121*AM121)/(1/AL121))*I121),Y121="ton",(((AE121/1000*AM121)/(1/AL121))*I121),Y121="N/A",""))</f>
        <v/>
      </c>
      <c r="R121" s="221" t="s">
        <v>5</v>
      </c>
      <c r="S121" s="47" t="s">
        <v>377</v>
      </c>
      <c r="T121" s="47">
        <v>2026</v>
      </c>
      <c r="U121" s="47" t="s">
        <v>14</v>
      </c>
      <c r="V121" s="47">
        <v>150</v>
      </c>
      <c r="W121" s="47"/>
      <c r="X121" s="47" t="s">
        <v>917</v>
      </c>
      <c r="Y121" s="47" t="s">
        <v>234</v>
      </c>
      <c r="Z121" s="47" t="s">
        <v>191</v>
      </c>
      <c r="AA121" s="52">
        <f t="shared" ref="AA121" si="219">IF(AC121="N/A","N/A",SUM(AB121:AC121))</f>
        <v>101.843</v>
      </c>
      <c r="AB121" s="52">
        <v>101</v>
      </c>
      <c r="AC121" s="52">
        <f>0.704+0.139</f>
        <v>0.84299999999999997</v>
      </c>
      <c r="AD121" s="52">
        <f>-3.19</f>
        <v>-3.19</v>
      </c>
      <c r="AE121" s="47" t="s">
        <v>191</v>
      </c>
      <c r="AF121" s="69"/>
      <c r="AG121" s="103" t="str">
        <f t="shared" si="92"/>
        <v xml:space="preserve">A1 </v>
      </c>
      <c r="AH121" s="75" t="s">
        <v>58</v>
      </c>
      <c r="AI121" s="76"/>
      <c r="AJ121" s="103"/>
      <c r="AK121" s="73"/>
      <c r="AL121" s="47">
        <v>0.108</v>
      </c>
      <c r="AM121" s="47">
        <f>(1700+1900)/2</f>
        <v>1800</v>
      </c>
      <c r="AN121" s="47"/>
      <c r="AO121" s="269" t="s">
        <v>17</v>
      </c>
      <c r="AP121" s="110"/>
      <c r="AQ121" s="73"/>
      <c r="AR121" s="25"/>
    </row>
    <row r="122" spans="1:44" ht="25.2" customHeight="1" x14ac:dyDescent="0.15">
      <c r="A122" s="47" t="s">
        <v>918</v>
      </c>
      <c r="B122" s="47" t="s">
        <v>210</v>
      </c>
      <c r="C122" s="47"/>
      <c r="D122" s="47" t="s">
        <v>893</v>
      </c>
      <c r="E122" s="47" t="s">
        <v>146</v>
      </c>
      <c r="F122" s="47" t="s">
        <v>43</v>
      </c>
      <c r="G122" s="47"/>
      <c r="H122" s="47"/>
      <c r="I122" s="111">
        <v>1</v>
      </c>
      <c r="J122" s="114">
        <f t="shared" si="215"/>
        <v>42.541524000000003</v>
      </c>
      <c r="K122" s="152" cm="1">
        <f t="array" ref="K122">IF(AC122="N/A","",_xlfn.IFS(Y122="m2",((AA122/(Z122/AL122))*I122),Y122="m3",((AA122/(Z122/AL122))*I122),Y122="kg",(((AA122*AM122)/(1/AL122))*I122),Y122="ton",(((AA122/1000*AM122)/(1/AL122))*I122),Y122="N/A",""))</f>
        <v>42.541524000000003</v>
      </c>
      <c r="L122" s="114">
        <f t="shared" si="216"/>
        <v>42.379199999999997</v>
      </c>
      <c r="M122" s="152" cm="1">
        <f t="array" ref="M122">(_xlfn.IFS(Y122="m2",((AB122/(Z122/AL122))*I122),Y122="m3",((AB122/(Z122/AL122))*I122),Y122="kg",(((AB122*AM122)/(1/AL122))*I122),Y122="ton",(((AB122/1000*AM122)/(1/AL122))*I122),Y122="N/A",""))</f>
        <v>42.379199999999997</v>
      </c>
      <c r="N122" s="52">
        <f t="shared" si="217"/>
        <v>0.162324</v>
      </c>
      <c r="O122" s="148" cm="1">
        <f t="array" ref="O122">IF(AC122="N/A","",(_xlfn.IFS(Y122="m2",((AC122/(Z122/AL122))*I122),Y122="m3",((AC122/(Z122/AL122))*I122),Y122="kg",(((AC122*AM122)/(1/AL122))*I122),Y122="ton",(((AC122/1000*AM122)/(1/AL122))*I122),Y122="N/A","")))</f>
        <v>0.162324</v>
      </c>
      <c r="P122" s="52" t="str">
        <f t="shared" si="218"/>
        <v>N/A</v>
      </c>
      <c r="Q122" s="155" t="str" cm="1">
        <f t="array" ref="Q122">IF(AE122="N/A","",_xlfn.IFS(Y122="m2",((AE122/(Z122/AL122))*I122),Y122="m3",((AE122/(Z122/AL122))*I122),Y122="kg",(((AE122*AM122)/(1/AL122))*I122),Y122="ton",(((AE122/1000*AM122)/(1/AL122))*I122),Y122="N/A",""))</f>
        <v/>
      </c>
      <c r="R122" s="221" t="s">
        <v>5</v>
      </c>
      <c r="S122" s="47"/>
      <c r="T122" s="47">
        <v>2025</v>
      </c>
      <c r="U122" s="47" t="s">
        <v>14</v>
      </c>
      <c r="V122" s="47">
        <v>150</v>
      </c>
      <c r="W122" s="47"/>
      <c r="X122" s="47" t="s">
        <v>920</v>
      </c>
      <c r="Y122" s="47" t="s">
        <v>234</v>
      </c>
      <c r="Z122" s="47" t="s">
        <v>191</v>
      </c>
      <c r="AA122" s="52">
        <f t="shared" ref="AA122:AA123" si="220">IF(AC122="N/A","N/A",SUM(AB122:AC122))</f>
        <v>218.83500000000001</v>
      </c>
      <c r="AB122" s="52">
        <v>218</v>
      </c>
      <c r="AC122" s="52">
        <f>0.703+0.132</f>
        <v>0.83499999999999996</v>
      </c>
      <c r="AD122" s="52">
        <v>-3.59</v>
      </c>
      <c r="AE122" s="47" t="s">
        <v>191</v>
      </c>
      <c r="AF122" s="69"/>
      <c r="AG122" s="103" t="str">
        <f t="shared" si="92"/>
        <v xml:space="preserve">A1 </v>
      </c>
      <c r="AH122" s="75" t="s">
        <v>58</v>
      </c>
      <c r="AI122" s="76"/>
      <c r="AJ122" s="103"/>
      <c r="AK122" s="73"/>
      <c r="AL122" s="47">
        <v>0.108</v>
      </c>
      <c r="AM122" s="47">
        <f>(1600+2000)/2</f>
        <v>1800</v>
      </c>
      <c r="AN122" s="47"/>
      <c r="AO122" s="269" t="s">
        <v>17</v>
      </c>
      <c r="AP122" s="110"/>
      <c r="AQ122" s="73"/>
      <c r="AR122" s="25"/>
    </row>
    <row r="123" spans="1:44" ht="25.2" customHeight="1" x14ac:dyDescent="0.15">
      <c r="A123" s="47" t="s">
        <v>919</v>
      </c>
      <c r="B123" s="47" t="s">
        <v>210</v>
      </c>
      <c r="C123" s="47"/>
      <c r="D123" s="47" t="s">
        <v>893</v>
      </c>
      <c r="E123" s="47" t="s">
        <v>146</v>
      </c>
      <c r="F123" s="47" t="s">
        <v>43</v>
      </c>
      <c r="G123" s="47"/>
      <c r="H123" s="47"/>
      <c r="I123" s="111">
        <v>1</v>
      </c>
      <c r="J123" s="114">
        <f t="shared" ref="J123" si="221">IF(AC123="N/A","N/A",IF(K123="","N/A",K123))</f>
        <v>24.073523999999999</v>
      </c>
      <c r="K123" s="152" cm="1">
        <f t="array" ref="K123">IF(AC123="N/A","",_xlfn.IFS(Y123="m2",((AA123/(Z123/AL123))*I123),Y123="m3",((AA123/(Z123/AL123))*I123),Y123="kg",(((AA123*AM123)/(1/AL123))*I123),Y123="ton",(((AA123/1000*AM123)/(1/AL123))*I123),Y123="N/A",""))</f>
        <v>24.073523999999999</v>
      </c>
      <c r="L123" s="114">
        <f t="shared" ref="L123:L124" si="222">IF(M123="","N/A",M123)</f>
        <v>23.911200000000001</v>
      </c>
      <c r="M123" s="152" cm="1">
        <f t="array" ref="M123">(_xlfn.IFS(Y123="m2",((AB123/(Z123/AL123))*I123),Y123="m3",((AB123/(Z123/AL123))*I123),Y123="kg",(((AB123*AM123)/(1/AL123))*I123),Y123="ton",(((AB123/1000*AM123)/(1/AL123))*I123),Y123="N/A",""))</f>
        <v>23.911200000000001</v>
      </c>
      <c r="N123" s="52">
        <f t="shared" ref="N123:N124" si="223">IF(O123="","N/A",O123)</f>
        <v>0.162324</v>
      </c>
      <c r="O123" s="148" cm="1">
        <f t="array" ref="O123">IF(AC123="N/A","",(_xlfn.IFS(Y123="m2",((AC123/(Z123/AL123))*I123),Y123="m3",((AC123/(Z123/AL123))*I123),Y123="kg",(((AC123*AM123)/(1/AL123))*I123),Y123="ton",(((AC123/1000*AM123)/(1/AL123))*I123),Y123="N/A","")))</f>
        <v>0.162324</v>
      </c>
      <c r="P123" s="52" t="str">
        <f t="shared" ref="P123:P124" si="224">IF(Q123="","N/A",Q123)</f>
        <v>N/A</v>
      </c>
      <c r="Q123" s="155" t="str" cm="1">
        <f t="array" ref="Q123">IF(AE123="N/A","",_xlfn.IFS(Y123="m2",((AE123/(Z123/AL123))*I123),Y123="m3",((AE123/(Z123/AL123))*I123),Y123="kg",(((AE123*AM123)/(1/AL123))*I123),Y123="ton",(((AE123/1000*AM123)/(1/AL123))*I123),Y123="N/A",""))</f>
        <v/>
      </c>
      <c r="R123" s="221" t="s">
        <v>5</v>
      </c>
      <c r="S123" s="47"/>
      <c r="T123" s="47">
        <v>2025</v>
      </c>
      <c r="U123" s="47" t="s">
        <v>14</v>
      </c>
      <c r="V123" s="47">
        <v>150</v>
      </c>
      <c r="W123" s="47"/>
      <c r="X123" s="47" t="s">
        <v>921</v>
      </c>
      <c r="Y123" s="47" t="s">
        <v>234</v>
      </c>
      <c r="Z123" s="47" t="s">
        <v>191</v>
      </c>
      <c r="AA123" s="52">
        <f t="shared" si="220"/>
        <v>123.83499999999999</v>
      </c>
      <c r="AB123" s="52">
        <v>123</v>
      </c>
      <c r="AC123" s="52">
        <f>0.703+0.132</f>
        <v>0.83499999999999996</v>
      </c>
      <c r="AD123" s="52">
        <v>-3.59</v>
      </c>
      <c r="AE123" s="47" t="s">
        <v>191</v>
      </c>
      <c r="AF123" s="69"/>
      <c r="AG123" s="103" t="str">
        <f t="shared" si="92"/>
        <v xml:space="preserve">A1 </v>
      </c>
      <c r="AH123" s="75" t="s">
        <v>58</v>
      </c>
      <c r="AI123" s="76"/>
      <c r="AJ123" s="103"/>
      <c r="AK123" s="73"/>
      <c r="AL123" s="47">
        <v>0.108</v>
      </c>
      <c r="AM123" s="47">
        <f>(1600+2000)/2</f>
        <v>1800</v>
      </c>
      <c r="AN123" s="47"/>
      <c r="AO123" s="269" t="s">
        <v>17</v>
      </c>
      <c r="AP123" s="110"/>
      <c r="AQ123" s="73"/>
      <c r="AR123" s="25"/>
    </row>
    <row r="124" spans="1:44" ht="25.2" customHeight="1" x14ac:dyDescent="0.15">
      <c r="A124" s="47" t="s">
        <v>922</v>
      </c>
      <c r="B124" s="47" t="s">
        <v>210</v>
      </c>
      <c r="C124" s="47"/>
      <c r="D124" s="47" t="s">
        <v>893</v>
      </c>
      <c r="E124" s="47" t="s">
        <v>146</v>
      </c>
      <c r="F124" s="47" t="s">
        <v>43</v>
      </c>
      <c r="G124" s="47"/>
      <c r="H124" s="47"/>
      <c r="I124" s="111">
        <v>1</v>
      </c>
      <c r="J124" s="114">
        <f t="shared" ref="J124:J150" si="225">IF(AC124="N/A","N/A",IF(K124="","N/A",K124))</f>
        <v>32.289327</v>
      </c>
      <c r="K124" s="152" cm="1">
        <f t="array" ref="K124">IF(AC124="N/A","",_xlfn.IFS(Y124="m2",((AA124/(Z124/AL124))*I124),Y124="m3",((AA124/(Z124/AL124))*I124),Y124="kg",(((AA124*AM124)/(1/AL124))*I124),Y124="ton",(((AA124/1000*AM124)/(1/AL124))*I124),Y124="N/A",""))</f>
        <v>32.289327</v>
      </c>
      <c r="L124" s="114">
        <f t="shared" si="222"/>
        <v>32.130000000000003</v>
      </c>
      <c r="M124" s="152" cm="1">
        <f t="array" ref="M124">(_xlfn.IFS(Y124="m2",((AB124/(Z124/AL124))*I124),Y124="m3",((AB124/(Z124/AL124))*I124),Y124="kg",(((AB124*AM124)/(1/AL124))*I124),Y124="ton",(((AB124/1000*AM124)/(1/AL124))*I124),Y124="N/A",""))</f>
        <v>32.130000000000003</v>
      </c>
      <c r="N124" s="52">
        <f t="shared" si="223"/>
        <v>0.159327</v>
      </c>
      <c r="O124" s="148" cm="1">
        <f t="array" ref="O124">IF(AC124="N/A","",(_xlfn.IFS(Y124="m2",((AC124/(Z124/AL124))*I124),Y124="m3",((AC124/(Z124/AL124))*I124),Y124="kg",(((AC124*AM124)/(1/AL124))*I124),Y124="ton",(((AC124/1000*AM124)/(1/AL124))*I124),Y124="N/A","")))</f>
        <v>0.159327</v>
      </c>
      <c r="P124" s="52" t="str">
        <f t="shared" si="224"/>
        <v>N/A</v>
      </c>
      <c r="Q124" s="155" t="str" cm="1">
        <f t="array" ref="Q124">IF(AE124="N/A","",_xlfn.IFS(Y124="m2",((AE124/(Z124/AL124))*I124),Y124="m3",((AE124/(Z124/AL124))*I124),Y124="kg",(((AE124*AM124)/(1/AL124))*I124),Y124="ton",(((AE124/1000*AM124)/(1/AL124))*I124),Y124="N/A",""))</f>
        <v/>
      </c>
      <c r="R124" s="221" t="s">
        <v>5</v>
      </c>
      <c r="S124" s="47" t="s">
        <v>377</v>
      </c>
      <c r="T124" s="47">
        <v>2026</v>
      </c>
      <c r="U124" s="47" t="s">
        <v>14</v>
      </c>
      <c r="V124" s="47">
        <v>150</v>
      </c>
      <c r="W124" s="47"/>
      <c r="X124" s="47" t="s">
        <v>924</v>
      </c>
      <c r="Y124" s="47" t="s">
        <v>234</v>
      </c>
      <c r="Z124" s="47" t="s">
        <v>191</v>
      </c>
      <c r="AA124" s="52">
        <f t="shared" ref="AA124:AA153" si="226">IF(AC124="N/A","N/A",SUM(AB124:AC124))</f>
        <v>170.84299999999999</v>
      </c>
      <c r="AB124" s="52">
        <v>170</v>
      </c>
      <c r="AC124" s="52">
        <f>0.704+0.139</f>
        <v>0.84299999999999997</v>
      </c>
      <c r="AD124" s="52">
        <v>-3.19</v>
      </c>
      <c r="AE124" s="47" t="s">
        <v>191</v>
      </c>
      <c r="AF124" s="69"/>
      <c r="AG124" s="103" t="str">
        <f t="shared" si="92"/>
        <v xml:space="preserve">A1 </v>
      </c>
      <c r="AH124" s="75" t="s">
        <v>58</v>
      </c>
      <c r="AI124" s="76"/>
      <c r="AJ124" s="103"/>
      <c r="AK124" s="73"/>
      <c r="AL124" s="47">
        <v>0.108</v>
      </c>
      <c r="AM124" s="47">
        <f>(1600+1900)/2</f>
        <v>1750</v>
      </c>
      <c r="AN124" s="47"/>
      <c r="AO124" s="269" t="s">
        <v>17</v>
      </c>
      <c r="AP124" s="110"/>
      <c r="AQ124" s="73"/>
      <c r="AR124" s="25"/>
    </row>
    <row r="125" spans="1:44" ht="25.2" customHeight="1" x14ac:dyDescent="0.15">
      <c r="A125" s="85" t="s">
        <v>923</v>
      </c>
      <c r="B125" s="47" t="s">
        <v>210</v>
      </c>
      <c r="C125" s="47"/>
      <c r="D125" s="47" t="s">
        <v>893</v>
      </c>
      <c r="E125" s="47" t="s">
        <v>146</v>
      </c>
      <c r="F125" s="47" t="s">
        <v>43</v>
      </c>
      <c r="G125" s="47"/>
      <c r="H125" s="47"/>
      <c r="I125" s="111">
        <v>1</v>
      </c>
      <c r="J125" s="114">
        <f t="shared" si="225"/>
        <v>13.880727</v>
      </c>
      <c r="K125" s="152" cm="1">
        <f t="array" ref="K125">IF(AC125="N/A","",_xlfn.IFS(Y125="m2",((AA125/(Z125/AL125))*I125),Y125="m3",((AA125/(Z125/AL125))*I125),Y125="kg",(((AA125*AM125)/(1/AL125))*I125),Y125="ton",(((AA125/1000*AM125)/(1/AL125))*I125),Y125="N/A",""))</f>
        <v>13.880727</v>
      </c>
      <c r="L125" s="114">
        <f t="shared" ref="L125:L126" si="227">IF(M125="","N/A",M125)</f>
        <v>13.721399999999999</v>
      </c>
      <c r="M125" s="152" cm="1">
        <f t="array" ref="M125">(_xlfn.IFS(Y125="m2",((AB125/(Z125/AL125))*I125),Y125="m3",((AB125/(Z125/AL125))*I125),Y125="kg",(((AB125*AM125)/(1/AL125))*I125),Y125="ton",(((AB125/1000*AM125)/(1/AL125))*I125),Y125="N/A",""))</f>
        <v>13.721399999999999</v>
      </c>
      <c r="N125" s="52">
        <f t="shared" ref="N125:N126" si="228">IF(O125="","N/A",O125)</f>
        <v>0.159327</v>
      </c>
      <c r="O125" s="148" cm="1">
        <f t="array" ref="O125">IF(AC125="N/A","",(_xlfn.IFS(Y125="m2",((AC125/(Z125/AL125))*I125),Y125="m3",((AC125/(Z125/AL125))*I125),Y125="kg",(((AC125*AM125)/(1/AL125))*I125),Y125="ton",(((AC125/1000*AM125)/(1/AL125))*I125),Y125="N/A","")))</f>
        <v>0.159327</v>
      </c>
      <c r="P125" s="52" t="str">
        <f t="shared" ref="P125:P126" si="229">IF(Q125="","N/A",Q125)</f>
        <v>N/A</v>
      </c>
      <c r="Q125" s="155" t="str" cm="1">
        <f t="array" ref="Q125">IF(AE125="N/A","",_xlfn.IFS(Y125="m2",((AE125/(Z125/AL125))*I125),Y125="m3",((AE125/(Z125/AL125))*I125),Y125="kg",(((AE125*AM125)/(1/AL125))*I125),Y125="ton",(((AE125/1000*AM125)/(1/AL125))*I125),Y125="N/A",""))</f>
        <v/>
      </c>
      <c r="R125" s="221" t="s">
        <v>5</v>
      </c>
      <c r="S125" s="47" t="s">
        <v>377</v>
      </c>
      <c r="T125" s="47">
        <v>2026</v>
      </c>
      <c r="U125" s="47" t="s">
        <v>14</v>
      </c>
      <c r="V125" s="47">
        <v>150</v>
      </c>
      <c r="W125" s="47"/>
      <c r="X125" s="47" t="s">
        <v>925</v>
      </c>
      <c r="Y125" s="47" t="s">
        <v>234</v>
      </c>
      <c r="Z125" s="47" t="s">
        <v>191</v>
      </c>
      <c r="AA125" s="52">
        <f t="shared" si="226"/>
        <v>73.442999999999998</v>
      </c>
      <c r="AB125" s="52">
        <v>72.599999999999994</v>
      </c>
      <c r="AC125" s="52">
        <f>0.704+0.139</f>
        <v>0.84299999999999997</v>
      </c>
      <c r="AD125" s="52">
        <v>-3.19</v>
      </c>
      <c r="AE125" s="47" t="s">
        <v>191</v>
      </c>
      <c r="AF125" s="69"/>
      <c r="AG125" s="103" t="str">
        <f t="shared" si="92"/>
        <v xml:space="preserve">A1 </v>
      </c>
      <c r="AH125" s="75" t="s">
        <v>58</v>
      </c>
      <c r="AI125" s="76"/>
      <c r="AJ125" s="103"/>
      <c r="AK125" s="73"/>
      <c r="AL125" s="47">
        <v>0.108</v>
      </c>
      <c r="AM125" s="47">
        <f>(1600+1900)/2</f>
        <v>1750</v>
      </c>
      <c r="AN125" s="47"/>
      <c r="AO125" s="269" t="s">
        <v>17</v>
      </c>
      <c r="AP125" s="110"/>
      <c r="AQ125" s="73"/>
      <c r="AR125" s="25"/>
    </row>
    <row r="126" spans="1:44" ht="25.2" customHeight="1" x14ac:dyDescent="0.15">
      <c r="A126" s="47" t="s">
        <v>926</v>
      </c>
      <c r="B126" s="47" t="s">
        <v>210</v>
      </c>
      <c r="C126" s="47"/>
      <c r="D126" s="47" t="s">
        <v>893</v>
      </c>
      <c r="E126" s="47" t="s">
        <v>146</v>
      </c>
      <c r="F126" s="47" t="s">
        <v>43</v>
      </c>
      <c r="G126" s="47"/>
      <c r="H126" s="47"/>
      <c r="I126" s="111">
        <v>1</v>
      </c>
      <c r="J126" s="114">
        <f t="shared" si="225"/>
        <v>62.058117599999989</v>
      </c>
      <c r="K126" s="152" cm="1">
        <f t="array" ref="K126">IF(AC126="N/A","",_xlfn.IFS(Y126="m2",((AA126/(Z126/AL126))*I126),Y126="m3",((AA126/(Z126/AL126))*I126),Y126="kg",(((AA126*AM126)/(1/AL126))*I126),Y126="ton",(((AA126/1000*AM126)/(1/AL126))*I126),Y126="N/A",""))</f>
        <v>62.058117599999989</v>
      </c>
      <c r="L126" s="114">
        <f t="shared" si="227"/>
        <v>61.889399999999995</v>
      </c>
      <c r="M126" s="152" cm="1">
        <f t="array" ref="M126">(_xlfn.IFS(Y126="m2",((AB126/(Z126/AL126))*I126),Y126="m3",((AB126/(Z126/AL126))*I126),Y126="kg",(((AB126*AM126)/(1/AL126))*I126),Y126="ton",(((AB126/1000*AM126)/(1/AL126))*I126),Y126="N/A",""))</f>
        <v>61.889399999999995</v>
      </c>
      <c r="N126" s="52">
        <f t="shared" si="228"/>
        <v>0.1687176</v>
      </c>
      <c r="O126" s="148" cm="1">
        <f t="array" ref="O126">IF(AC126="N/A","",(_xlfn.IFS(Y126="m2",((AC126/(Z126/AL126))*I126),Y126="m3",((AC126/(Z126/AL126))*I126),Y126="kg",(((AC126*AM126)/(1/AL126))*I126),Y126="ton",(((AC126/1000*AM126)/(1/AL126))*I126),Y126="N/A","")))</f>
        <v>0.1687176</v>
      </c>
      <c r="P126" s="52" t="str">
        <f t="shared" si="229"/>
        <v>N/A</v>
      </c>
      <c r="Q126" s="155" t="str" cm="1">
        <f t="array" ref="Q126">IF(AE126="N/A","",_xlfn.IFS(Y126="m2",((AE126/(Z126/AL126))*I126),Y126="m3",((AE126/(Z126/AL126))*I126),Y126="kg",(((AE126*AM126)/(1/AL126))*I126),Y126="ton",(((AE126/1000*AM126)/(1/AL126))*I126),Y126="N/A",""))</f>
        <v/>
      </c>
      <c r="R126" s="221" t="s">
        <v>5</v>
      </c>
      <c r="S126" s="47"/>
      <c r="T126" s="47">
        <v>2023</v>
      </c>
      <c r="U126" s="47" t="s">
        <v>14</v>
      </c>
      <c r="V126" s="47">
        <v>150</v>
      </c>
      <c r="W126" s="47"/>
      <c r="X126" s="47" t="s">
        <v>928</v>
      </c>
      <c r="Y126" s="47" t="s">
        <v>234</v>
      </c>
      <c r="Z126" s="47" t="s">
        <v>191</v>
      </c>
      <c r="AA126" s="52">
        <f t="shared" si="226"/>
        <v>314.85599999999999</v>
      </c>
      <c r="AB126" s="52">
        <v>314</v>
      </c>
      <c r="AC126" s="52">
        <f>0.7+0.156</f>
        <v>0.85599999999999998</v>
      </c>
      <c r="AD126" s="52">
        <f>-2.91</f>
        <v>-2.91</v>
      </c>
      <c r="AE126" s="47" t="s">
        <v>191</v>
      </c>
      <c r="AF126" s="69"/>
      <c r="AG126" s="103" t="str">
        <f t="shared" si="92"/>
        <v xml:space="preserve">A1 </v>
      </c>
      <c r="AH126" s="75" t="s">
        <v>58</v>
      </c>
      <c r="AI126" s="76"/>
      <c r="AJ126" s="103"/>
      <c r="AK126" s="73"/>
      <c r="AL126" s="47">
        <v>0.108</v>
      </c>
      <c r="AM126" s="47">
        <f>(1600+2050)/2</f>
        <v>1825</v>
      </c>
      <c r="AN126" s="47"/>
      <c r="AO126" s="269" t="s">
        <v>17</v>
      </c>
      <c r="AP126" s="110"/>
      <c r="AQ126" s="73"/>
      <c r="AR126" s="25"/>
    </row>
    <row r="127" spans="1:44" ht="25.2" customHeight="1" x14ac:dyDescent="0.15">
      <c r="A127" s="85" t="s">
        <v>927</v>
      </c>
      <c r="B127" s="47" t="s">
        <v>210</v>
      </c>
      <c r="C127" s="47"/>
      <c r="D127" s="47" t="s">
        <v>893</v>
      </c>
      <c r="E127" s="47" t="s">
        <v>146</v>
      </c>
      <c r="F127" s="47" t="s">
        <v>43</v>
      </c>
      <c r="G127" s="47"/>
      <c r="H127" s="47"/>
      <c r="I127" s="111">
        <v>1</v>
      </c>
      <c r="J127" s="114">
        <f t="shared" si="225"/>
        <v>98.521617599999985</v>
      </c>
      <c r="K127" s="152" cm="1">
        <f t="array" ref="K127">IF(AC127="N/A","",_xlfn.IFS(Y127="m2",((AA127/(Z127/AL127))*I127),Y127="m3",((AA127/(Z127/AL127))*I127),Y127="kg",(((AA127*AM127)/(1/AL127))*I127),Y127="ton",(((AA127/1000*AM127)/(1/AL127))*I127),Y127="N/A",""))</f>
        <v>98.521617599999985</v>
      </c>
      <c r="L127" s="114">
        <f t="shared" ref="L127:L128" si="230">IF(M127="","N/A",M127)</f>
        <v>98.352899999999991</v>
      </c>
      <c r="M127" s="152" cm="1">
        <f t="array" ref="M127">(_xlfn.IFS(Y127="m2",((AB127/(Z127/AL127))*I127),Y127="m3",((AB127/(Z127/AL127))*I127),Y127="kg",(((AB127*AM127)/(1/AL127))*I127),Y127="ton",(((AB127/1000*AM127)/(1/AL127))*I127),Y127="N/A",""))</f>
        <v>98.352899999999991</v>
      </c>
      <c r="N127" s="52">
        <f t="shared" ref="N127:N128" si="231">IF(O127="","N/A",O127)</f>
        <v>0.1687176</v>
      </c>
      <c r="O127" s="148" cm="1">
        <f t="array" ref="O127">IF(AC127="N/A","",(_xlfn.IFS(Y127="m2",((AC127/(Z127/AL127))*I127),Y127="m3",((AC127/(Z127/AL127))*I127),Y127="kg",(((AC127*AM127)/(1/AL127))*I127),Y127="ton",(((AC127/1000*AM127)/(1/AL127))*I127),Y127="N/A","")))</f>
        <v>0.1687176</v>
      </c>
      <c r="P127" s="52" t="str">
        <f t="shared" ref="P127:P128" si="232">IF(Q127="","N/A",Q127)</f>
        <v>N/A</v>
      </c>
      <c r="Q127" s="155" t="str" cm="1">
        <f t="array" ref="Q127">IF(AE127="N/A","",_xlfn.IFS(Y127="m2",((AE127/(Z127/AL127))*I127),Y127="m3",((AE127/(Z127/AL127))*I127),Y127="kg",(((AE127*AM127)/(1/AL127))*I127),Y127="ton",(((AE127/1000*AM127)/(1/AL127))*I127),Y127="N/A",""))</f>
        <v/>
      </c>
      <c r="R127" s="221" t="s">
        <v>5</v>
      </c>
      <c r="S127" s="47"/>
      <c r="T127" s="47">
        <v>2023</v>
      </c>
      <c r="U127" s="47" t="s">
        <v>14</v>
      </c>
      <c r="V127" s="47">
        <v>150</v>
      </c>
      <c r="W127" s="47"/>
      <c r="X127" s="47" t="s">
        <v>928</v>
      </c>
      <c r="Y127" s="47" t="s">
        <v>234</v>
      </c>
      <c r="Z127" s="47" t="s">
        <v>191</v>
      </c>
      <c r="AA127" s="52">
        <f t="shared" si="226"/>
        <v>499.85599999999999</v>
      </c>
      <c r="AB127" s="52">
        <v>499</v>
      </c>
      <c r="AC127" s="52">
        <f>0.7+0.156</f>
        <v>0.85599999999999998</v>
      </c>
      <c r="AD127" s="52">
        <f>-2.91</f>
        <v>-2.91</v>
      </c>
      <c r="AE127" s="47" t="s">
        <v>191</v>
      </c>
      <c r="AF127" s="69"/>
      <c r="AG127" s="103" t="str">
        <f t="shared" si="92"/>
        <v xml:space="preserve">A1 </v>
      </c>
      <c r="AH127" s="75" t="s">
        <v>58</v>
      </c>
      <c r="AI127" s="76"/>
      <c r="AJ127" s="103"/>
      <c r="AK127" s="73"/>
      <c r="AL127" s="47">
        <v>0.108</v>
      </c>
      <c r="AM127" s="47">
        <f>(1600+2050)/2</f>
        <v>1825</v>
      </c>
      <c r="AN127" s="47"/>
      <c r="AO127" s="269" t="s">
        <v>17</v>
      </c>
      <c r="AP127" s="110"/>
      <c r="AQ127" s="73"/>
      <c r="AR127" s="25"/>
    </row>
    <row r="128" spans="1:44" ht="25.2" customHeight="1" x14ac:dyDescent="0.15">
      <c r="A128" s="85" t="s">
        <v>929</v>
      </c>
      <c r="B128" s="47" t="s">
        <v>210</v>
      </c>
      <c r="C128" s="47"/>
      <c r="D128" s="47" t="s">
        <v>893</v>
      </c>
      <c r="E128" s="47" t="s">
        <v>146</v>
      </c>
      <c r="F128" s="47" t="s">
        <v>43</v>
      </c>
      <c r="G128" s="47"/>
      <c r="H128" s="47"/>
      <c r="I128" s="111">
        <v>1</v>
      </c>
      <c r="J128" s="114">
        <f t="shared" si="225"/>
        <v>31.704717600000002</v>
      </c>
      <c r="K128" s="152" cm="1">
        <f t="array" ref="K128">IF(AC128="N/A","",_xlfn.IFS(Y128="m2",((AA128/(Z128/AL128))*I128),Y128="m3",((AA128/(Z128/AL128))*I128),Y128="kg",(((AA128*AM128)/(1/AL128))*I128),Y128="ton",(((AA128/1000*AM128)/(1/AL128))*I128),Y128="N/A",""))</f>
        <v>31.704717600000002</v>
      </c>
      <c r="L128" s="114">
        <f t="shared" si="230"/>
        <v>31.535999999999998</v>
      </c>
      <c r="M128" s="152" cm="1">
        <f t="array" ref="M128">(_xlfn.IFS(Y128="m2",((AB128/(Z128/AL128))*I128),Y128="m3",((AB128/(Z128/AL128))*I128),Y128="kg",(((AB128*AM128)/(1/AL128))*I128),Y128="ton",(((AB128/1000*AM128)/(1/AL128))*I128),Y128="N/A",""))</f>
        <v>31.535999999999998</v>
      </c>
      <c r="N128" s="52">
        <f t="shared" si="231"/>
        <v>0.1687176</v>
      </c>
      <c r="O128" s="148" cm="1">
        <f t="array" ref="O128">IF(AC128="N/A","",(_xlfn.IFS(Y128="m2",((AC128/(Z128/AL128))*I128),Y128="m3",((AC128/(Z128/AL128))*I128),Y128="kg",(((AC128*AM128)/(1/AL128))*I128),Y128="ton",(((AC128/1000*AM128)/(1/AL128))*I128),Y128="N/A","")))</f>
        <v>0.1687176</v>
      </c>
      <c r="P128" s="52" t="str">
        <f t="shared" si="232"/>
        <v>N/A</v>
      </c>
      <c r="Q128" s="155" t="str" cm="1">
        <f t="array" ref="Q128">IF(AE128="N/A","",_xlfn.IFS(Y128="m2",((AE128/(Z128/AL128))*I128),Y128="m3",((AE128/(Z128/AL128))*I128),Y128="kg",(((AE128*AM128)/(1/AL128))*I128),Y128="ton",(((AE128/1000*AM128)/(1/AL128))*I128),Y128="N/A",""))</f>
        <v/>
      </c>
      <c r="R128" s="221" t="s">
        <v>5</v>
      </c>
      <c r="S128" s="47"/>
      <c r="T128" s="47">
        <v>2023</v>
      </c>
      <c r="U128" s="47" t="s">
        <v>14</v>
      </c>
      <c r="V128" s="47">
        <v>150</v>
      </c>
      <c r="W128" s="47"/>
      <c r="X128" s="47" t="s">
        <v>931</v>
      </c>
      <c r="Y128" s="47" t="s">
        <v>234</v>
      </c>
      <c r="Z128" s="47" t="s">
        <v>191</v>
      </c>
      <c r="AA128" s="52">
        <f t="shared" si="226"/>
        <v>160.85599999999999</v>
      </c>
      <c r="AB128" s="52">
        <v>160</v>
      </c>
      <c r="AC128" s="52">
        <f>0.7+0.156</f>
        <v>0.85599999999999998</v>
      </c>
      <c r="AD128" s="52">
        <v>-2.91</v>
      </c>
      <c r="AE128" s="47" t="s">
        <v>191</v>
      </c>
      <c r="AF128" s="69"/>
      <c r="AG128" s="103" t="str">
        <f t="shared" si="92"/>
        <v xml:space="preserve">A1 </v>
      </c>
      <c r="AH128" s="75" t="s">
        <v>58</v>
      </c>
      <c r="AI128" s="76"/>
      <c r="AJ128" s="103"/>
      <c r="AK128" s="73"/>
      <c r="AL128" s="47">
        <v>0.108</v>
      </c>
      <c r="AM128" s="47">
        <f>(1600+2050)/2</f>
        <v>1825</v>
      </c>
      <c r="AN128" s="47"/>
      <c r="AO128" s="269" t="s">
        <v>17</v>
      </c>
      <c r="AP128" s="110"/>
      <c r="AQ128" s="73"/>
      <c r="AR128" s="25"/>
    </row>
    <row r="129" spans="1:44" ht="25.2" customHeight="1" x14ac:dyDescent="0.15">
      <c r="A129" s="85" t="s">
        <v>930</v>
      </c>
      <c r="B129" s="47" t="s">
        <v>210</v>
      </c>
      <c r="C129" s="47"/>
      <c r="D129" s="47" t="s">
        <v>893</v>
      </c>
      <c r="E129" s="47" t="s">
        <v>146</v>
      </c>
      <c r="F129" s="47" t="s">
        <v>43</v>
      </c>
      <c r="G129" s="47"/>
      <c r="H129" s="47"/>
      <c r="I129" s="111">
        <v>1</v>
      </c>
      <c r="J129" s="114">
        <f t="shared" si="225"/>
        <v>39.391617600000004</v>
      </c>
      <c r="K129" s="152" cm="1">
        <f t="array" ref="K129">IF(AC129="N/A","",_xlfn.IFS(Y129="m2",((AA129/(Z129/AL129))*I129),Y129="m3",((AA129/(Z129/AL129))*I129),Y129="kg",(((AA129*AM129)/(1/AL129))*I129),Y129="ton",(((AA129/1000*AM129)/(1/AL129))*I129),Y129="N/A",""))</f>
        <v>39.391617600000004</v>
      </c>
      <c r="L129" s="114">
        <f t="shared" ref="L129:L130" si="233">IF(M129="","N/A",M129)</f>
        <v>39.222900000000003</v>
      </c>
      <c r="M129" s="152" cm="1">
        <f t="array" ref="M129">(_xlfn.IFS(Y129="m2",((AB129/(Z129/AL129))*I129),Y129="m3",((AB129/(Z129/AL129))*I129),Y129="kg",(((AB129*AM129)/(1/AL129))*I129),Y129="ton",(((AB129/1000*AM129)/(1/AL129))*I129),Y129="N/A",""))</f>
        <v>39.222900000000003</v>
      </c>
      <c r="N129" s="52">
        <f t="shared" ref="N129:N130" si="234">IF(O129="","N/A",O129)</f>
        <v>0.1687176</v>
      </c>
      <c r="O129" s="148" cm="1">
        <f t="array" ref="O129">IF(AC129="N/A","",(_xlfn.IFS(Y129="m2",((AC129/(Z129/AL129))*I129),Y129="m3",((AC129/(Z129/AL129))*I129),Y129="kg",(((AC129*AM129)/(1/AL129))*I129),Y129="ton",(((AC129/1000*AM129)/(1/AL129))*I129),Y129="N/A","")))</f>
        <v>0.1687176</v>
      </c>
      <c r="P129" s="52" t="str">
        <f t="shared" ref="P129:P130" si="235">IF(Q129="","N/A",Q129)</f>
        <v>N/A</v>
      </c>
      <c r="Q129" s="155" t="str" cm="1">
        <f t="array" ref="Q129">IF(AE129="N/A","",_xlfn.IFS(Y129="m2",((AE129/(Z129/AL129))*I129),Y129="m3",((AE129/(Z129/AL129))*I129),Y129="kg",(((AE129*AM129)/(1/AL129))*I129),Y129="ton",(((AE129/1000*AM129)/(1/AL129))*I129),Y129="N/A",""))</f>
        <v/>
      </c>
      <c r="R129" s="221" t="s">
        <v>5</v>
      </c>
      <c r="S129" s="47"/>
      <c r="T129" s="47">
        <v>2023</v>
      </c>
      <c r="U129" s="47" t="s">
        <v>14</v>
      </c>
      <c r="V129" s="47">
        <v>150</v>
      </c>
      <c r="W129" s="47"/>
      <c r="X129" s="47" t="s">
        <v>931</v>
      </c>
      <c r="Y129" s="47" t="s">
        <v>234</v>
      </c>
      <c r="Z129" s="47" t="s">
        <v>191</v>
      </c>
      <c r="AA129" s="52">
        <f t="shared" si="226"/>
        <v>199.85599999999999</v>
      </c>
      <c r="AB129" s="52">
        <v>199</v>
      </c>
      <c r="AC129" s="52">
        <f>0.7+0.156</f>
        <v>0.85599999999999998</v>
      </c>
      <c r="AD129" s="52">
        <v>-2.91</v>
      </c>
      <c r="AE129" s="47" t="s">
        <v>191</v>
      </c>
      <c r="AF129" s="69"/>
      <c r="AG129" s="103" t="str">
        <f t="shared" si="92"/>
        <v xml:space="preserve">A1 </v>
      </c>
      <c r="AH129" s="75" t="s">
        <v>58</v>
      </c>
      <c r="AI129" s="76"/>
      <c r="AJ129" s="103"/>
      <c r="AK129" s="73"/>
      <c r="AL129" s="47">
        <v>0.108</v>
      </c>
      <c r="AM129" s="47">
        <f>(1600+2050)/2</f>
        <v>1825</v>
      </c>
      <c r="AN129" s="47"/>
      <c r="AO129" s="269" t="s">
        <v>17</v>
      </c>
      <c r="AP129" s="110"/>
      <c r="AQ129" s="73"/>
      <c r="AR129" s="25"/>
    </row>
    <row r="130" spans="1:44" ht="25.2" customHeight="1" x14ac:dyDescent="0.15">
      <c r="A130" s="85" t="s">
        <v>932</v>
      </c>
      <c r="B130" s="47" t="s">
        <v>210</v>
      </c>
      <c r="C130" s="47"/>
      <c r="D130" s="47" t="s">
        <v>893</v>
      </c>
      <c r="E130" s="47" t="s">
        <v>146</v>
      </c>
      <c r="F130" s="47" t="s">
        <v>43</v>
      </c>
      <c r="G130" s="47"/>
      <c r="H130" s="47"/>
      <c r="I130" s="111">
        <v>1</v>
      </c>
      <c r="J130" s="114">
        <f t="shared" si="225"/>
        <v>37.392326999999995</v>
      </c>
      <c r="K130" s="152" cm="1">
        <f t="array" ref="K130">IF(AC130="N/A","",_xlfn.IFS(Y130="m2",((AA130/(Z130/AL130))*I130),Y130="m3",((AA130/(Z130/AL130))*I130),Y130="kg",(((AA130*AM130)/(1/AL130))*I130),Y130="ton",(((AA130/1000*AM130)/(1/AL130))*I130),Y130="N/A",""))</f>
        <v>37.392326999999995</v>
      </c>
      <c r="L130" s="114">
        <f t="shared" si="233"/>
        <v>37.232999999999997</v>
      </c>
      <c r="M130" s="152" cm="1">
        <f t="array" ref="M130">(_xlfn.IFS(Y130="m2",((AB130/(Z130/AL130))*I130),Y130="m3",((AB130/(Z130/AL130))*I130),Y130="kg",(((AB130*AM130)/(1/AL130))*I130),Y130="ton",(((AB130/1000*AM130)/(1/AL130))*I130),Y130="N/A",""))</f>
        <v>37.232999999999997</v>
      </c>
      <c r="N130" s="52">
        <f t="shared" si="234"/>
        <v>0.159327</v>
      </c>
      <c r="O130" s="148" cm="1">
        <f t="array" ref="O130">IF(AC130="N/A","",(_xlfn.IFS(Y130="m2",((AC130/(Z130/AL130))*I130),Y130="m3",((AC130/(Z130/AL130))*I130),Y130="kg",(((AC130*AM130)/(1/AL130))*I130),Y130="ton",(((AC130/1000*AM130)/(1/AL130))*I130),Y130="N/A","")))</f>
        <v>0.159327</v>
      </c>
      <c r="P130" s="52" t="str">
        <f t="shared" si="235"/>
        <v>N/A</v>
      </c>
      <c r="Q130" s="155" t="str" cm="1">
        <f t="array" ref="Q130">IF(AE130="N/A","",_xlfn.IFS(Y130="m2",((AE130/(Z130/AL130))*I130),Y130="m3",((AE130/(Z130/AL130))*I130),Y130="kg",(((AE130*AM130)/(1/AL130))*I130),Y130="ton",(((AE130/1000*AM130)/(1/AL130))*I130),Y130="N/A",""))</f>
        <v/>
      </c>
      <c r="R130" s="221" t="s">
        <v>5</v>
      </c>
      <c r="S130" s="47" t="s">
        <v>377</v>
      </c>
      <c r="T130" s="47">
        <v>2026</v>
      </c>
      <c r="U130" s="47" t="s">
        <v>14</v>
      </c>
      <c r="V130" s="47">
        <v>150</v>
      </c>
      <c r="W130" s="47"/>
      <c r="X130" s="47" t="s">
        <v>934</v>
      </c>
      <c r="Y130" s="47" t="s">
        <v>234</v>
      </c>
      <c r="Z130" s="47" t="s">
        <v>191</v>
      </c>
      <c r="AA130" s="52">
        <f t="shared" si="226"/>
        <v>197.84299999999999</v>
      </c>
      <c r="AB130" s="52">
        <f>197</f>
        <v>197</v>
      </c>
      <c r="AC130" s="52">
        <f>0.704+0.139</f>
        <v>0.84299999999999997</v>
      </c>
      <c r="AD130" s="52">
        <v>-3.19</v>
      </c>
      <c r="AE130" s="47" t="s">
        <v>191</v>
      </c>
      <c r="AF130" s="69"/>
      <c r="AG130" s="103" t="str">
        <f t="shared" si="92"/>
        <v xml:space="preserve">A1 </v>
      </c>
      <c r="AH130" s="75" t="s">
        <v>58</v>
      </c>
      <c r="AI130" s="76"/>
      <c r="AJ130" s="103"/>
      <c r="AK130" s="73"/>
      <c r="AL130" s="47">
        <v>0.108</v>
      </c>
      <c r="AM130" s="47">
        <f>(1500+2000)/2</f>
        <v>1750</v>
      </c>
      <c r="AN130" s="47"/>
      <c r="AO130" s="269" t="s">
        <v>17</v>
      </c>
      <c r="AP130" s="110"/>
      <c r="AQ130" s="73"/>
      <c r="AR130" s="25"/>
    </row>
    <row r="131" spans="1:44" ht="25.2" customHeight="1" x14ac:dyDescent="0.15">
      <c r="A131" s="85" t="s">
        <v>933</v>
      </c>
      <c r="B131" s="47" t="s">
        <v>210</v>
      </c>
      <c r="C131" s="47"/>
      <c r="D131" s="47" t="s">
        <v>893</v>
      </c>
      <c r="E131" s="47" t="s">
        <v>146</v>
      </c>
      <c r="F131" s="47" t="s">
        <v>43</v>
      </c>
      <c r="G131" s="47"/>
      <c r="H131" s="47"/>
      <c r="I131" s="111">
        <v>1</v>
      </c>
      <c r="J131" s="114">
        <f t="shared" si="225"/>
        <v>18.927026999999999</v>
      </c>
      <c r="K131" s="152" cm="1">
        <f t="array" ref="K131">IF(AC131="N/A","",_xlfn.IFS(Y131="m2",((AA131/(Z131/AL131))*I131),Y131="m3",((AA131/(Z131/AL131))*I131),Y131="kg",(((AA131*AM131)/(1/AL131))*I131),Y131="ton",(((AA131/1000*AM131)/(1/AL131))*I131),Y131="N/A",""))</f>
        <v>18.927026999999999</v>
      </c>
      <c r="L131" s="114">
        <f t="shared" ref="L131:L132" si="236">IF(M131="","N/A",M131)</f>
        <v>18.767700000000001</v>
      </c>
      <c r="M131" s="152" cm="1">
        <f t="array" ref="M131">(_xlfn.IFS(Y131="m2",((AB131/(Z131/AL131))*I131),Y131="m3",((AB131/(Z131/AL131))*I131),Y131="kg",(((AB131*AM131)/(1/AL131))*I131),Y131="ton",(((AB131/1000*AM131)/(1/AL131))*I131),Y131="N/A",""))</f>
        <v>18.767700000000001</v>
      </c>
      <c r="N131" s="52">
        <f t="shared" ref="N131:N132" si="237">IF(O131="","N/A",O131)</f>
        <v>0.159327</v>
      </c>
      <c r="O131" s="148" cm="1">
        <f t="array" ref="O131">IF(AC131="N/A","",(_xlfn.IFS(Y131="m2",((AC131/(Z131/AL131))*I131),Y131="m3",((AC131/(Z131/AL131))*I131),Y131="kg",(((AC131*AM131)/(1/AL131))*I131),Y131="ton",(((AC131/1000*AM131)/(1/AL131))*I131),Y131="N/A","")))</f>
        <v>0.159327</v>
      </c>
      <c r="P131" s="52" t="str">
        <f t="shared" ref="P131:P132" si="238">IF(Q131="","N/A",Q131)</f>
        <v>N/A</v>
      </c>
      <c r="Q131" s="155" t="str" cm="1">
        <f t="array" ref="Q131">IF(AE131="N/A","",_xlfn.IFS(Y131="m2",((AE131/(Z131/AL131))*I131),Y131="m3",((AE131/(Z131/AL131))*I131),Y131="kg",(((AE131*AM131)/(1/AL131))*I131),Y131="ton",(((AE131/1000*AM131)/(1/AL131))*I131),Y131="N/A",""))</f>
        <v/>
      </c>
      <c r="R131" s="221" t="s">
        <v>5</v>
      </c>
      <c r="S131" s="47" t="s">
        <v>377</v>
      </c>
      <c r="T131" s="47">
        <v>2026</v>
      </c>
      <c r="U131" s="47" t="s">
        <v>14</v>
      </c>
      <c r="V131" s="47">
        <v>150</v>
      </c>
      <c r="W131" s="47"/>
      <c r="X131" s="47" t="s">
        <v>935</v>
      </c>
      <c r="Y131" s="47" t="s">
        <v>234</v>
      </c>
      <c r="Z131" s="47" t="s">
        <v>191</v>
      </c>
      <c r="AA131" s="52">
        <f t="shared" si="226"/>
        <v>100.143</v>
      </c>
      <c r="AB131" s="52">
        <v>99.3</v>
      </c>
      <c r="AC131" s="52">
        <f>0.704+0.139</f>
        <v>0.84299999999999997</v>
      </c>
      <c r="AD131" s="52">
        <v>-3.19</v>
      </c>
      <c r="AE131" s="47" t="s">
        <v>191</v>
      </c>
      <c r="AF131" s="69"/>
      <c r="AG131" s="103" t="str">
        <f t="shared" si="92"/>
        <v xml:space="preserve">A1 </v>
      </c>
      <c r="AH131" s="75" t="s">
        <v>58</v>
      </c>
      <c r="AI131" s="76"/>
      <c r="AJ131" s="103"/>
      <c r="AK131" s="73"/>
      <c r="AL131" s="47">
        <v>0.108</v>
      </c>
      <c r="AM131" s="47">
        <f>(1500+2000)/2</f>
        <v>1750</v>
      </c>
      <c r="AN131" s="47"/>
      <c r="AO131" s="269" t="s">
        <v>17</v>
      </c>
      <c r="AP131" s="110"/>
      <c r="AQ131" s="73"/>
      <c r="AR131" s="25"/>
    </row>
    <row r="132" spans="1:44" ht="25.2" customHeight="1" x14ac:dyDescent="0.15">
      <c r="A132" s="85" t="s">
        <v>936</v>
      </c>
      <c r="B132" s="47" t="s">
        <v>210</v>
      </c>
      <c r="C132" s="47"/>
      <c r="D132" s="47" t="s">
        <v>893</v>
      </c>
      <c r="E132" s="47" t="s">
        <v>146</v>
      </c>
      <c r="F132" s="47" t="s">
        <v>43</v>
      </c>
      <c r="G132" s="47"/>
      <c r="H132" s="47"/>
      <c r="I132" s="111">
        <v>1</v>
      </c>
      <c r="J132" s="114">
        <f t="shared" si="225"/>
        <v>36.5075748</v>
      </c>
      <c r="K132" s="152" cm="1">
        <f t="array" ref="K132">IF(AC132="N/A","",_xlfn.IFS(Y132="m2",((AA132/(Z132/AL132))*I132),Y132="m3",((AA132/(Z132/AL132))*I132),Y132="kg",(((AA132*AM132)/(1/AL132))*I132),Y132="ton",(((AA132/1000*AM132)/(1/AL132))*I132),Y132="N/A",""))</f>
        <v>36.5075748</v>
      </c>
      <c r="L132" s="114">
        <f t="shared" si="236"/>
        <v>36.352800000000002</v>
      </c>
      <c r="M132" s="152" cm="1">
        <f t="array" ref="M132">(_xlfn.IFS(Y132="m2",((AB132/(Z132/AL132))*I132),Y132="m3",((AB132/(Z132/AL132))*I132),Y132="kg",(((AB132*AM132)/(1/AL132))*I132),Y132="ton",(((AB132/1000*AM132)/(1/AL132))*I132),Y132="N/A",""))</f>
        <v>36.352800000000002</v>
      </c>
      <c r="N132" s="52">
        <f t="shared" si="237"/>
        <v>0.15477479999999999</v>
      </c>
      <c r="O132" s="148" cm="1">
        <f t="array" ref="O132">IF(AC132="N/A","",(_xlfn.IFS(Y132="m2",((AC132/(Z132/AL132))*I132),Y132="m3",((AC132/(Z132/AL132))*I132),Y132="kg",(((AC132*AM132)/(1/AL132))*I132),Y132="ton",(((AC132/1000*AM132)/(1/AL132))*I132),Y132="N/A","")))</f>
        <v>0.15477479999999999</v>
      </c>
      <c r="P132" s="52" t="str">
        <f t="shared" si="238"/>
        <v>N/A</v>
      </c>
      <c r="Q132" s="155" t="str" cm="1">
        <f t="array" ref="Q132">IF(AE132="N/A","",_xlfn.IFS(Y132="m2",((AE132/(Z132/AL132))*I132),Y132="m3",((AE132/(Z132/AL132))*I132),Y132="kg",(((AE132*AM132)/(1/AL132))*I132),Y132="ton",(((AE132/1000*AM132)/(1/AL132))*I132),Y132="N/A",""))</f>
        <v/>
      </c>
      <c r="R132" s="221" t="s">
        <v>5</v>
      </c>
      <c r="S132" s="47" t="s">
        <v>377</v>
      </c>
      <c r="T132" s="47">
        <v>2026</v>
      </c>
      <c r="U132" s="47" t="s">
        <v>14</v>
      </c>
      <c r="V132" s="47">
        <v>150</v>
      </c>
      <c r="W132" s="47"/>
      <c r="X132" s="47" t="s">
        <v>938</v>
      </c>
      <c r="Y132" s="47" t="s">
        <v>234</v>
      </c>
      <c r="Z132" s="47" t="s">
        <v>191</v>
      </c>
      <c r="AA132" s="52">
        <f t="shared" si="226"/>
        <v>198.84299999999999</v>
      </c>
      <c r="AB132" s="52">
        <v>198</v>
      </c>
      <c r="AC132" s="52">
        <f>0.704+0.139</f>
        <v>0.84299999999999997</v>
      </c>
      <c r="AD132" s="52">
        <v>-3.19</v>
      </c>
      <c r="AE132" s="47" t="s">
        <v>191</v>
      </c>
      <c r="AF132" s="69"/>
      <c r="AG132" s="103" t="str">
        <f t="shared" si="92"/>
        <v xml:space="preserve">A1 </v>
      </c>
      <c r="AH132" s="75" t="s">
        <v>58</v>
      </c>
      <c r="AI132" s="76"/>
      <c r="AJ132" s="103"/>
      <c r="AK132" s="73"/>
      <c r="AL132" s="47">
        <v>0.108</v>
      </c>
      <c r="AM132" s="47">
        <f>(1500+1900)/2</f>
        <v>1700</v>
      </c>
      <c r="AN132" s="47"/>
      <c r="AO132" s="269" t="s">
        <v>17</v>
      </c>
      <c r="AP132" s="110"/>
      <c r="AQ132" s="73"/>
      <c r="AR132" s="25"/>
    </row>
    <row r="133" spans="1:44" ht="25.2" customHeight="1" x14ac:dyDescent="0.15">
      <c r="A133" s="85" t="s">
        <v>937</v>
      </c>
      <c r="B133" s="47" t="s">
        <v>210</v>
      </c>
      <c r="C133" s="47"/>
      <c r="D133" s="47" t="s">
        <v>893</v>
      </c>
      <c r="E133" s="47" t="s">
        <v>146</v>
      </c>
      <c r="F133" s="47" t="s">
        <v>43</v>
      </c>
      <c r="G133" s="47"/>
      <c r="H133" s="47"/>
      <c r="I133" s="111">
        <v>1</v>
      </c>
      <c r="J133" s="114">
        <f t="shared" si="225"/>
        <v>18.6983748</v>
      </c>
      <c r="K133" s="152" cm="1">
        <f t="array" ref="K133">IF(AC133="N/A","",_xlfn.IFS(Y133="m2",((AA133/(Z133/AL133))*I133),Y133="m3",((AA133/(Z133/AL133))*I133),Y133="kg",(((AA133*AM133)/(1/AL133))*I133),Y133="ton",(((AA133/1000*AM133)/(1/AL133))*I133),Y133="N/A",""))</f>
        <v>18.6983748</v>
      </c>
      <c r="L133" s="114">
        <f t="shared" ref="L133:L134" si="239">IF(M133="","N/A",M133)</f>
        <v>18.543600000000001</v>
      </c>
      <c r="M133" s="152" cm="1">
        <f t="array" ref="M133">(_xlfn.IFS(Y133="m2",((AB133/(Z133/AL133))*I133),Y133="m3",((AB133/(Z133/AL133))*I133),Y133="kg",(((AB133*AM133)/(1/AL133))*I133),Y133="ton",(((AB133/1000*AM133)/(1/AL133))*I133),Y133="N/A",""))</f>
        <v>18.543600000000001</v>
      </c>
      <c r="N133" s="52">
        <f t="shared" ref="N133:N134" si="240">IF(O133="","N/A",O133)</f>
        <v>0.15477479999999999</v>
      </c>
      <c r="O133" s="148" cm="1">
        <f t="array" ref="O133">IF(AC133="N/A","",(_xlfn.IFS(Y133="m2",((AC133/(Z133/AL133))*I133),Y133="m3",((AC133/(Z133/AL133))*I133),Y133="kg",(((AC133*AM133)/(1/AL133))*I133),Y133="ton",(((AC133/1000*AM133)/(1/AL133))*I133),Y133="N/A","")))</f>
        <v>0.15477479999999999</v>
      </c>
      <c r="P133" s="52" t="str">
        <f t="shared" ref="P133:P134" si="241">IF(Q133="","N/A",Q133)</f>
        <v>N/A</v>
      </c>
      <c r="Q133" s="155" t="str" cm="1">
        <f t="array" ref="Q133">IF(AE133="N/A","",_xlfn.IFS(Y133="m2",((AE133/(Z133/AL133))*I133),Y133="m3",((AE133/(Z133/AL133))*I133),Y133="kg",(((AE133*AM133)/(1/AL133))*I133),Y133="ton",(((AE133/1000*AM133)/(1/AL133))*I133),Y133="N/A",""))</f>
        <v/>
      </c>
      <c r="R133" s="221" t="s">
        <v>5</v>
      </c>
      <c r="S133" s="47" t="s">
        <v>377</v>
      </c>
      <c r="T133" s="47">
        <v>2026</v>
      </c>
      <c r="U133" s="47" t="s">
        <v>14</v>
      </c>
      <c r="V133" s="47">
        <v>150</v>
      </c>
      <c r="W133" s="47"/>
      <c r="X133" s="47" t="s">
        <v>939</v>
      </c>
      <c r="Y133" s="47" t="s">
        <v>234</v>
      </c>
      <c r="Z133" s="47" t="s">
        <v>191</v>
      </c>
      <c r="AA133" s="52">
        <f t="shared" si="226"/>
        <v>101.843</v>
      </c>
      <c r="AB133" s="52">
        <v>101</v>
      </c>
      <c r="AC133" s="52">
        <f>0.704+0.139</f>
        <v>0.84299999999999997</v>
      </c>
      <c r="AD133" s="52">
        <v>-3.19</v>
      </c>
      <c r="AE133" s="47" t="s">
        <v>191</v>
      </c>
      <c r="AF133" s="69"/>
      <c r="AG133" s="103" t="str">
        <f t="shared" si="92"/>
        <v xml:space="preserve">A1 </v>
      </c>
      <c r="AH133" s="75" t="s">
        <v>58</v>
      </c>
      <c r="AI133" s="76"/>
      <c r="AJ133" s="103"/>
      <c r="AK133" s="73"/>
      <c r="AL133" s="47">
        <v>0.108</v>
      </c>
      <c r="AM133" s="47">
        <f>(1500+1900)/2</f>
        <v>1700</v>
      </c>
      <c r="AN133" s="47"/>
      <c r="AO133" s="269" t="s">
        <v>17</v>
      </c>
      <c r="AP133" s="110"/>
      <c r="AQ133" s="73"/>
      <c r="AR133" s="25"/>
    </row>
    <row r="134" spans="1:44" ht="25.2" customHeight="1" x14ac:dyDescent="0.15">
      <c r="A134" s="47" t="s">
        <v>941</v>
      </c>
      <c r="B134" s="47" t="s">
        <v>210</v>
      </c>
      <c r="C134" s="47"/>
      <c r="D134" s="47" t="s">
        <v>893</v>
      </c>
      <c r="E134" s="47" t="s">
        <v>146</v>
      </c>
      <c r="F134" s="47" t="s">
        <v>43</v>
      </c>
      <c r="G134" s="47"/>
      <c r="H134" s="47"/>
      <c r="I134" s="111">
        <v>1</v>
      </c>
      <c r="J134" s="114">
        <f t="shared" si="225"/>
        <v>32.238324000000006</v>
      </c>
      <c r="K134" s="152" cm="1">
        <f t="array" ref="K134">IF(AC134="N/A","",_xlfn.IFS(Y134="m2",((AA134/(Z134/AL134))*I134),Y134="m3",((AA134/(Z134/AL134))*I134),Y134="kg",(((AA134*AM134)/(1/AL134))*I134),Y134="ton",(((AA134/1000*AM134)/(1/AL134))*I134),Y134="N/A",""))</f>
        <v>32.238324000000006</v>
      </c>
      <c r="L134" s="114">
        <f t="shared" si="239"/>
        <v>32.076000000000001</v>
      </c>
      <c r="M134" s="152" cm="1">
        <f t="array" ref="M134">(_xlfn.IFS(Y134="m2",((AB134/(Z134/AL134))*I134),Y134="m3",((AB134/(Z134/AL134))*I134),Y134="kg",(((AB134*AM134)/(1/AL134))*I134),Y134="ton",(((AB134/1000*AM134)/(1/AL134))*I134),Y134="N/A",""))</f>
        <v>32.076000000000001</v>
      </c>
      <c r="N134" s="52">
        <f t="shared" si="240"/>
        <v>0.162324</v>
      </c>
      <c r="O134" s="148" cm="1">
        <f t="array" ref="O134">IF(AC134="N/A","",(_xlfn.IFS(Y134="m2",((AC134/(Z134/AL134))*I134),Y134="m3",((AC134/(Z134/AL134))*I134),Y134="kg",(((AC134*AM134)/(1/AL134))*I134),Y134="ton",(((AC134/1000*AM134)/(1/AL134))*I134),Y134="N/A","")))</f>
        <v>0.162324</v>
      </c>
      <c r="P134" s="52" t="str">
        <f t="shared" si="241"/>
        <v>N/A</v>
      </c>
      <c r="Q134" s="155" t="str" cm="1">
        <f t="array" ref="Q134">IF(AE134="N/A","",_xlfn.IFS(Y134="m2",((AE134/(Z134/AL134))*I134),Y134="m3",((AE134/(Z134/AL134))*I134),Y134="kg",(((AE134*AM134)/(1/AL134))*I134),Y134="ton",(((AE134/1000*AM134)/(1/AL134))*I134),Y134="N/A",""))</f>
        <v/>
      </c>
      <c r="R134" s="221" t="s">
        <v>5</v>
      </c>
      <c r="S134" s="47"/>
      <c r="T134" s="47">
        <v>2025</v>
      </c>
      <c r="U134" s="47" t="s">
        <v>14</v>
      </c>
      <c r="V134" s="47">
        <v>150</v>
      </c>
      <c r="W134" s="47"/>
      <c r="X134" s="47" t="s">
        <v>940</v>
      </c>
      <c r="Y134" s="47" t="s">
        <v>234</v>
      </c>
      <c r="Z134" s="47" t="s">
        <v>191</v>
      </c>
      <c r="AA134" s="52">
        <f t="shared" si="226"/>
        <v>165.83500000000001</v>
      </c>
      <c r="AB134" s="52">
        <v>165</v>
      </c>
      <c r="AC134" s="52">
        <f>0.703+0.132</f>
        <v>0.83499999999999996</v>
      </c>
      <c r="AD134" s="52">
        <v>-3.59</v>
      </c>
      <c r="AE134" s="47" t="s">
        <v>191</v>
      </c>
      <c r="AF134" s="69"/>
      <c r="AG134" s="103" t="str">
        <f t="shared" ref="AG134:AG197" si="242">AH134&amp;" "&amp;AI134</f>
        <v xml:space="preserve">A1 </v>
      </c>
      <c r="AH134" s="75" t="s">
        <v>58</v>
      </c>
      <c r="AI134" s="76"/>
      <c r="AJ134" s="103"/>
      <c r="AK134" s="73"/>
      <c r="AL134" s="47">
        <v>0.108</v>
      </c>
      <c r="AM134" s="47">
        <f>(1600+2000)/2</f>
        <v>1800</v>
      </c>
      <c r="AN134" s="47"/>
      <c r="AO134" s="269" t="s">
        <v>17</v>
      </c>
      <c r="AP134" s="110"/>
      <c r="AQ134" s="73"/>
      <c r="AR134" s="25"/>
    </row>
    <row r="135" spans="1:44" ht="25.2" customHeight="1" x14ac:dyDescent="0.15">
      <c r="A135" s="47" t="s">
        <v>942</v>
      </c>
      <c r="B135" s="47" t="s">
        <v>210</v>
      </c>
      <c r="C135" s="47"/>
      <c r="D135" s="47" t="s">
        <v>893</v>
      </c>
      <c r="E135" s="47" t="s">
        <v>146</v>
      </c>
      <c r="F135" s="47" t="s">
        <v>43</v>
      </c>
      <c r="G135" s="47"/>
      <c r="H135" s="47"/>
      <c r="I135" s="111">
        <v>1</v>
      </c>
      <c r="J135" s="114">
        <f t="shared" si="225"/>
        <v>14.839523999999999</v>
      </c>
      <c r="K135" s="152" cm="1">
        <f t="array" ref="K135">IF(AC135="N/A","",_xlfn.IFS(Y135="m2",((AA135/(Z135/AL135))*I135),Y135="m3",((AA135/(Z135/AL135))*I135),Y135="kg",(((AA135*AM135)/(1/AL135))*I135),Y135="ton",(((AA135/1000*AM135)/(1/AL135))*I135),Y135="N/A",""))</f>
        <v>14.839523999999999</v>
      </c>
      <c r="L135" s="114">
        <f t="shared" ref="L135" si="243">IF(M135="","N/A",M135)</f>
        <v>14.677200000000001</v>
      </c>
      <c r="M135" s="152" cm="1">
        <f t="array" ref="M135">(_xlfn.IFS(Y135="m2",((AB135/(Z135/AL135))*I135),Y135="m3",((AB135/(Z135/AL135))*I135),Y135="kg",(((AB135*AM135)/(1/AL135))*I135),Y135="ton",(((AB135/1000*AM135)/(1/AL135))*I135),Y135="N/A",""))</f>
        <v>14.677200000000001</v>
      </c>
      <c r="N135" s="52">
        <f t="shared" ref="N135" si="244">IF(O135="","N/A",O135)</f>
        <v>0.162324</v>
      </c>
      <c r="O135" s="148" cm="1">
        <f t="array" ref="O135">IF(AC135="N/A","",(_xlfn.IFS(Y135="m2",((AC135/(Z135/AL135))*I135),Y135="m3",((AC135/(Z135/AL135))*I135),Y135="kg",(((AC135*AM135)/(1/AL135))*I135),Y135="ton",(((AC135/1000*AM135)/(1/AL135))*I135),Y135="N/A","")))</f>
        <v>0.162324</v>
      </c>
      <c r="P135" s="52" t="str">
        <f t="shared" ref="P135" si="245">IF(Q135="","N/A",Q135)</f>
        <v>N/A</v>
      </c>
      <c r="Q135" s="155" t="str" cm="1">
        <f t="array" ref="Q135">IF(AE135="N/A","",_xlfn.IFS(Y135="m2",((AE135/(Z135/AL135))*I135),Y135="m3",((AE135/(Z135/AL135))*I135),Y135="kg",(((AE135*AM135)/(1/AL135))*I135),Y135="ton",(((AE135/1000*AM135)/(1/AL135))*I135),Y135="N/A",""))</f>
        <v/>
      </c>
      <c r="R135" s="221" t="s">
        <v>5</v>
      </c>
      <c r="S135" s="47"/>
      <c r="T135" s="47">
        <v>2025</v>
      </c>
      <c r="U135" s="47" t="s">
        <v>14</v>
      </c>
      <c r="V135" s="47">
        <v>150</v>
      </c>
      <c r="W135" s="47"/>
      <c r="X135" s="47" t="s">
        <v>943</v>
      </c>
      <c r="Y135" s="47" t="s">
        <v>234</v>
      </c>
      <c r="Z135" s="47" t="s">
        <v>191</v>
      </c>
      <c r="AA135" s="52">
        <f t="shared" si="226"/>
        <v>76.334999999999994</v>
      </c>
      <c r="AB135" s="52">
        <v>75.5</v>
      </c>
      <c r="AC135" s="52">
        <f>0.703+0.132</f>
        <v>0.83499999999999996</v>
      </c>
      <c r="AD135" s="52">
        <v>-3.59</v>
      </c>
      <c r="AE135" s="47" t="s">
        <v>191</v>
      </c>
      <c r="AF135" s="69"/>
      <c r="AG135" s="103" t="str">
        <f t="shared" si="242"/>
        <v xml:space="preserve">A1 </v>
      </c>
      <c r="AH135" s="75" t="s">
        <v>58</v>
      </c>
      <c r="AI135" s="76"/>
      <c r="AJ135" s="103"/>
      <c r="AK135" s="73"/>
      <c r="AL135" s="47">
        <v>0.108</v>
      </c>
      <c r="AM135" s="47">
        <f>(1600+2000)/2</f>
        <v>1800</v>
      </c>
      <c r="AN135" s="47"/>
      <c r="AO135" s="269" t="s">
        <v>17</v>
      </c>
      <c r="AP135" s="110"/>
      <c r="AQ135" s="73"/>
      <c r="AR135" s="25"/>
    </row>
    <row r="136" spans="1:44" ht="25.2" customHeight="1" x14ac:dyDescent="0.15">
      <c r="A136" s="85" t="s">
        <v>946</v>
      </c>
      <c r="B136" s="47" t="s">
        <v>210</v>
      </c>
      <c r="C136" s="47"/>
      <c r="D136" s="47" t="s">
        <v>944</v>
      </c>
      <c r="E136" s="47" t="s">
        <v>146</v>
      </c>
      <c r="F136" s="47" t="s">
        <v>43</v>
      </c>
      <c r="G136" s="47"/>
      <c r="H136" s="47"/>
      <c r="I136" s="111">
        <v>1</v>
      </c>
      <c r="J136" s="114">
        <f t="shared" si="225"/>
        <v>18.433622790000001</v>
      </c>
      <c r="K136" s="152" cm="1">
        <f t="array" ref="K136">IF(AC136="N/A","",_xlfn.IFS(Y136="m2",((AA136/(Z136/AL136))*I136),Y136="m3",((AA136/(Z136/AL136))*I136),Y136="kg",(((AA136*AM136)/(1/AL136))*I136),Y136="ton",(((AA136/1000*AM136)/(1/AL136))*I136),Y136="N/A",""))</f>
        <v>18.433622790000001</v>
      </c>
      <c r="L136" s="114">
        <f t="shared" ref="L136:L137" si="246">IF(M136="","N/A",M136)</f>
        <v>18.288180000000001</v>
      </c>
      <c r="M136" s="152" cm="1">
        <f t="array" ref="M136">(_xlfn.IFS(Y136="m2",((AB136/(Z136/AL136))*I136),Y136="m3",((AB136/(Z136/AL136))*I136),Y136="kg",(((AB136*AM136)/(1/AL136))*I136),Y136="ton",(((AB136/1000*AM136)/(1/AL136))*I136),Y136="N/A",""))</f>
        <v>18.288180000000001</v>
      </c>
      <c r="N136" s="52">
        <f t="shared" ref="N136:N137" si="247">IF(O136="","N/A",O136)</f>
        <v>0.14544279000000002</v>
      </c>
      <c r="O136" s="148" cm="1">
        <f t="array" ref="O136">IF(AC136="N/A","",(_xlfn.IFS(Y136="m2",((AC136/(Z136/AL136))*I136),Y136="m3",((AC136/(Z136/AL136))*I136),Y136="kg",(((AC136*AM136)/(1/AL136))*I136),Y136="ton",(((AC136/1000*AM136)/(1/AL136))*I136),Y136="N/A","")))</f>
        <v>0.14544279000000002</v>
      </c>
      <c r="P136" s="52" t="str">
        <f t="shared" ref="P136:P137" si="248">IF(Q136="","N/A",Q136)</f>
        <v>N/A</v>
      </c>
      <c r="Q136" s="155" t="str" cm="1">
        <f t="array" ref="Q136">IF(AE136="N/A","",_xlfn.IFS(Y136="m2",((AE136/(Z136/AL136))*I136),Y136="m3",((AE136/(Z136/AL136))*I136),Y136="kg",(((AE136*AM136)/(1/AL136))*I136),Y136="ton",(((AE136/1000*AM136)/(1/AL136))*I136),Y136="N/A",""))</f>
        <v/>
      </c>
      <c r="R136" s="221" t="s">
        <v>5</v>
      </c>
      <c r="S136" s="47" t="s">
        <v>377</v>
      </c>
      <c r="T136" s="47">
        <v>2026</v>
      </c>
      <c r="U136" s="47" t="s">
        <v>14</v>
      </c>
      <c r="V136" s="47">
        <v>150</v>
      </c>
      <c r="W136" s="47"/>
      <c r="X136" s="47" t="s">
        <v>945</v>
      </c>
      <c r="Y136" s="47" t="s">
        <v>234</v>
      </c>
      <c r="Z136" s="47" t="s">
        <v>191</v>
      </c>
      <c r="AA136" s="52">
        <f t="shared" si="226"/>
        <v>106.843</v>
      </c>
      <c r="AB136" s="52">
        <v>106</v>
      </c>
      <c r="AC136" s="52">
        <f>0.704+0.139</f>
        <v>0.84299999999999997</v>
      </c>
      <c r="AD136" s="52">
        <v>-2.97</v>
      </c>
      <c r="AE136" s="47" t="s">
        <v>191</v>
      </c>
      <c r="AF136" s="69"/>
      <c r="AG136" s="103" t="str">
        <f t="shared" si="242"/>
        <v xml:space="preserve">A1 </v>
      </c>
      <c r="AH136" s="75" t="s">
        <v>58</v>
      </c>
      <c r="AI136" s="76"/>
      <c r="AJ136" s="103"/>
      <c r="AK136" s="73"/>
      <c r="AL136" s="47">
        <v>0.108</v>
      </c>
      <c r="AM136" s="116">
        <f>(1575+1620)/2</f>
        <v>1597.5</v>
      </c>
      <c r="AN136" s="47"/>
      <c r="AO136" s="269" t="s">
        <v>17</v>
      </c>
      <c r="AP136" s="110"/>
      <c r="AQ136" s="73"/>
      <c r="AR136" s="25"/>
    </row>
    <row r="137" spans="1:44" ht="25.2" customHeight="1" x14ac:dyDescent="0.15">
      <c r="A137" s="85" t="s">
        <v>947</v>
      </c>
      <c r="B137" s="47" t="s">
        <v>210</v>
      </c>
      <c r="C137" s="47"/>
      <c r="D137" s="47" t="s">
        <v>944</v>
      </c>
      <c r="E137" s="47" t="s">
        <v>146</v>
      </c>
      <c r="F137" s="47" t="s">
        <v>43</v>
      </c>
      <c r="G137" s="47"/>
      <c r="H137" s="47"/>
      <c r="I137" s="111">
        <v>1</v>
      </c>
      <c r="J137" s="114">
        <f t="shared" si="225"/>
        <v>20.4818031</v>
      </c>
      <c r="K137" s="152" cm="1">
        <f t="array" ref="K137">IF(AC137="N/A","",_xlfn.IFS(Y137="m2",((AA137/(Z137/AL137))*I137),Y137="m3",((AA137/(Z137/AL137))*I137),Y137="kg",(((AA137*AM137)/(1/AL137))*I137),Y137="ton",(((AA137/1000*AM137)/(1/AL137))*I137),Y137="N/A",""))</f>
        <v>20.4818031</v>
      </c>
      <c r="L137" s="114">
        <f t="shared" si="246"/>
        <v>20.3202</v>
      </c>
      <c r="M137" s="152" cm="1">
        <f t="array" ref="M137">(_xlfn.IFS(Y137="m2",((AB137/(Z137/AL137))*I137),Y137="m3",((AB137/(Z137/AL137))*I137),Y137="kg",(((AB137*AM137)/(1/AL137))*I137),Y137="ton",(((AB137/1000*AM137)/(1/AL137))*I137),Y137="N/A",""))</f>
        <v>20.3202</v>
      </c>
      <c r="N137" s="52">
        <f t="shared" si="247"/>
        <v>0.16160309999999997</v>
      </c>
      <c r="O137" s="148" cm="1">
        <f t="array" ref="O137">IF(AC137="N/A","",(_xlfn.IFS(Y137="m2",((AC137/(Z137/AL137))*I137),Y137="m3",((AC137/(Z137/AL137))*I137),Y137="kg",(((AC137*AM137)/(1/AL137))*I137),Y137="ton",(((AC137/1000*AM137)/(1/AL137))*I137),Y137="N/A","")))</f>
        <v>0.16160309999999997</v>
      </c>
      <c r="P137" s="52" t="str">
        <f t="shared" si="248"/>
        <v>N/A</v>
      </c>
      <c r="Q137" s="155" t="str" cm="1">
        <f t="array" ref="Q137">IF(AE137="N/A","",_xlfn.IFS(Y137="m2",((AE137/(Z137/AL137))*I137),Y137="m3",((AE137/(Z137/AL137))*I137),Y137="kg",(((AE137*AM137)/(1/AL137))*I137),Y137="ton",(((AE137/1000*AM137)/(1/AL137))*I137),Y137="N/A",""))</f>
        <v/>
      </c>
      <c r="R137" s="221" t="s">
        <v>5</v>
      </c>
      <c r="S137" s="47" t="s">
        <v>377</v>
      </c>
      <c r="T137" s="47">
        <v>2027</v>
      </c>
      <c r="U137" s="47" t="s">
        <v>14</v>
      </c>
      <c r="V137" s="47">
        <v>150</v>
      </c>
      <c r="W137" s="47"/>
      <c r="X137" s="47" t="s">
        <v>948</v>
      </c>
      <c r="Y137" s="47" t="s">
        <v>234</v>
      </c>
      <c r="Z137" s="47" t="s">
        <v>191</v>
      </c>
      <c r="AA137" s="52">
        <f t="shared" si="226"/>
        <v>106.843</v>
      </c>
      <c r="AB137" s="52">
        <v>106</v>
      </c>
      <c r="AC137" s="52">
        <f>0.704+0.139</f>
        <v>0.84299999999999997</v>
      </c>
      <c r="AD137" s="52">
        <v>-2.97</v>
      </c>
      <c r="AE137" s="47" t="s">
        <v>191</v>
      </c>
      <c r="AF137" s="69"/>
      <c r="AG137" s="103" t="str">
        <f t="shared" si="242"/>
        <v xml:space="preserve">A1 </v>
      </c>
      <c r="AH137" s="75" t="s">
        <v>58</v>
      </c>
      <c r="AI137" s="76"/>
      <c r="AJ137" s="103"/>
      <c r="AK137" s="73"/>
      <c r="AL137" s="47">
        <v>0.108</v>
      </c>
      <c r="AM137" s="47">
        <f>(1750+1800)/2</f>
        <v>1775</v>
      </c>
      <c r="AN137" s="47"/>
      <c r="AO137" s="269" t="s">
        <v>17</v>
      </c>
      <c r="AP137" s="110"/>
      <c r="AQ137" s="73"/>
      <c r="AR137" s="25"/>
    </row>
    <row r="138" spans="1:44" ht="25.2" customHeight="1" x14ac:dyDescent="0.15">
      <c r="A138" s="85" t="s">
        <v>949</v>
      </c>
      <c r="B138" s="47" t="s">
        <v>210</v>
      </c>
      <c r="C138" s="47"/>
      <c r="D138" s="47" t="s">
        <v>944</v>
      </c>
      <c r="E138" s="47" t="s">
        <v>146</v>
      </c>
      <c r="F138" s="47" t="s">
        <v>43</v>
      </c>
      <c r="G138" s="47"/>
      <c r="H138" s="47"/>
      <c r="I138" s="111">
        <v>1</v>
      </c>
      <c r="J138" s="114">
        <f t="shared" si="225"/>
        <v>25.721051849999998</v>
      </c>
      <c r="K138" s="152" cm="1">
        <f t="array" ref="K138">IF(AC138="N/A","",_xlfn.IFS(Y138="m2",((AA138/(Z138/AL138))*I138),Y138="m3",((AA138/(Z138/AL138))*I138),Y138="kg",(((AA138*AM138)/(1/AL138))*I138),Y138="ton",(((AA138/1000*AM138)/(1/AL138))*I138),Y138="N/A",""))</f>
        <v>25.721051849999998</v>
      </c>
      <c r="L138" s="114">
        <f t="shared" ref="L138:L139" si="249">IF(M138="","N/A",M138)</f>
        <v>25.587900000000001</v>
      </c>
      <c r="M138" s="152" cm="1">
        <f t="array" ref="M138">(_xlfn.IFS(Y138="m2",((AB138/(Z138/AL138))*I138),Y138="m3",((AB138/(Z138/AL138))*I138),Y138="kg",(((AB138*AM138)/(1/AL138))*I138),Y138="ton",(((AB138/1000*AM138)/(1/AL138))*I138),Y138="N/A",""))</f>
        <v>25.587900000000001</v>
      </c>
      <c r="N138" s="52">
        <f t="shared" ref="N138:N139" si="250">IF(O138="","N/A",O138)</f>
        <v>0.13315184999999999</v>
      </c>
      <c r="O138" s="148" cm="1">
        <f t="array" ref="O138">IF(AC138="N/A","",(_xlfn.IFS(Y138="m2",((AC138/(Z138/AL138))*I138),Y138="m3",((AC138/(Z138/AL138))*I138),Y138="kg",(((AC138*AM138)/(1/AL138))*I138),Y138="ton",(((AC138/1000*AM138)/(1/AL138))*I138),Y138="N/A","")))</f>
        <v>0.13315184999999999</v>
      </c>
      <c r="P138" s="52" t="str">
        <f t="shared" ref="P138:P139" si="251">IF(Q138="","N/A",Q138)</f>
        <v>N/A</v>
      </c>
      <c r="Q138" s="155" t="str" cm="1">
        <f t="array" ref="Q138">IF(AE138="N/A","",_xlfn.IFS(Y138="m2",((AE138/(Z138/AL138))*I138),Y138="m3",((AE138/(Z138/AL138))*I138),Y138="kg",(((AE138*AM138)/(1/AL138))*I138),Y138="ton",(((AE138/1000*AM138)/(1/AL138))*I138),Y138="N/A",""))</f>
        <v/>
      </c>
      <c r="R138" s="221" t="s">
        <v>5</v>
      </c>
      <c r="S138" s="47" t="s">
        <v>377</v>
      </c>
      <c r="T138" s="47">
        <v>2026</v>
      </c>
      <c r="U138" s="47" t="s">
        <v>14</v>
      </c>
      <c r="V138" s="47">
        <v>150</v>
      </c>
      <c r="W138" s="47"/>
      <c r="X138" s="47" t="s">
        <v>951</v>
      </c>
      <c r="Y138" s="47" t="s">
        <v>234</v>
      </c>
      <c r="Z138" s="47" t="s">
        <v>191</v>
      </c>
      <c r="AA138" s="52">
        <f t="shared" si="226"/>
        <v>162.84299999999999</v>
      </c>
      <c r="AB138" s="52">
        <v>162</v>
      </c>
      <c r="AC138" s="52">
        <f>0.704+0.139</f>
        <v>0.84299999999999997</v>
      </c>
      <c r="AD138" s="52">
        <v>-2.97</v>
      </c>
      <c r="AE138" s="47" t="s">
        <v>191</v>
      </c>
      <c r="AF138" s="69"/>
      <c r="AG138" s="103" t="str">
        <f t="shared" si="242"/>
        <v xml:space="preserve">A1 </v>
      </c>
      <c r="AH138" s="75" t="s">
        <v>58</v>
      </c>
      <c r="AI138" s="76"/>
      <c r="AJ138" s="103"/>
      <c r="AK138" s="73"/>
      <c r="AL138" s="47">
        <v>0.108</v>
      </c>
      <c r="AM138" s="116">
        <f>(1440+1485)/2</f>
        <v>1462.5</v>
      </c>
      <c r="AN138" s="47"/>
      <c r="AO138" s="269" t="s">
        <v>17</v>
      </c>
      <c r="AP138" s="110"/>
      <c r="AQ138" s="73"/>
      <c r="AR138" s="25"/>
    </row>
    <row r="139" spans="1:44" ht="25.2" customHeight="1" x14ac:dyDescent="0.15">
      <c r="A139" s="85" t="s">
        <v>953</v>
      </c>
      <c r="B139" s="47" t="s">
        <v>210</v>
      </c>
      <c r="C139" s="47"/>
      <c r="D139" s="47" t="s">
        <v>944</v>
      </c>
      <c r="E139" s="47" t="s">
        <v>146</v>
      </c>
      <c r="F139" s="47" t="s">
        <v>43</v>
      </c>
      <c r="G139" s="47"/>
      <c r="H139" s="47"/>
      <c r="I139" s="111">
        <v>1</v>
      </c>
      <c r="J139" s="114">
        <f t="shared" si="225"/>
        <v>23.690942100000001</v>
      </c>
      <c r="K139" s="152" cm="1">
        <f t="array" ref="K139">IF(AC139="N/A","",_xlfn.IFS(Y139="m2",((AA139/(Z139/AL139))*I139),Y139="m3",((AA139/(Z139/AL139))*I139),Y139="kg",(((AA139*AM139)/(1/AL139))*I139),Y139="ton",(((AA139/1000*AM139)/(1/AL139))*I139),Y139="N/A",""))</f>
        <v>23.690942100000001</v>
      </c>
      <c r="L139" s="114">
        <f t="shared" si="249"/>
        <v>23.552099999999999</v>
      </c>
      <c r="M139" s="152" cm="1">
        <f t="array" ref="M139">(_xlfn.IFS(Y139="m2",((AB139/(Z139/AL139))*I139),Y139="m3",((AB139/(Z139/AL139))*I139),Y139="kg",(((AB139*AM139)/(1/AL139))*I139),Y139="ton",(((AB139/1000*AM139)/(1/AL139))*I139),Y139="N/A",""))</f>
        <v>23.552099999999999</v>
      </c>
      <c r="N139" s="52">
        <f t="shared" si="250"/>
        <v>0.1388421</v>
      </c>
      <c r="O139" s="148" cm="1">
        <f t="array" ref="O139">IF(AC139="N/A","",(_xlfn.IFS(Y139="m2",((AC139/(Z139/AL139))*I139),Y139="m3",((AC139/(Z139/AL139))*I139),Y139="kg",(((AC139*AM139)/(1/AL139))*I139),Y139="ton",(((AC139/1000*AM139)/(1/AL139))*I139),Y139="N/A","")))</f>
        <v>0.1388421</v>
      </c>
      <c r="P139" s="52" t="str">
        <f t="shared" si="251"/>
        <v>N/A</v>
      </c>
      <c r="Q139" s="155" t="str" cm="1">
        <f t="array" ref="Q139">IF(AE139="N/A","",_xlfn.IFS(Y139="m2",((AE139/(Z139/AL139))*I139),Y139="m3",((AE139/(Z139/AL139))*I139),Y139="kg",(((AE139*AM139)/(1/AL139))*I139),Y139="ton",(((AE139/1000*AM139)/(1/AL139))*I139),Y139="N/A",""))</f>
        <v/>
      </c>
      <c r="R139" s="221" t="s">
        <v>5</v>
      </c>
      <c r="S139" s="47" t="s">
        <v>377</v>
      </c>
      <c r="T139" s="47">
        <v>2026</v>
      </c>
      <c r="U139" s="47" t="s">
        <v>14</v>
      </c>
      <c r="V139" s="47">
        <v>150</v>
      </c>
      <c r="W139" s="47"/>
      <c r="X139" s="47" t="s">
        <v>952</v>
      </c>
      <c r="Y139" s="47" t="s">
        <v>234</v>
      </c>
      <c r="Z139" s="47" t="s">
        <v>191</v>
      </c>
      <c r="AA139" s="52">
        <f t="shared" si="226"/>
        <v>143.84299999999999</v>
      </c>
      <c r="AB139" s="52">
        <v>143</v>
      </c>
      <c r="AC139" s="52">
        <f>0.704+0.139</f>
        <v>0.84299999999999997</v>
      </c>
      <c r="AD139" s="52">
        <v>-3.39</v>
      </c>
      <c r="AE139" s="47" t="s">
        <v>191</v>
      </c>
      <c r="AF139" s="69"/>
      <c r="AG139" s="103" t="str">
        <f t="shared" si="242"/>
        <v xml:space="preserve">A1 </v>
      </c>
      <c r="AH139" s="75" t="s">
        <v>58</v>
      </c>
      <c r="AI139" s="76"/>
      <c r="AJ139" s="103"/>
      <c r="AK139" s="73"/>
      <c r="AL139" s="47">
        <v>0.108</v>
      </c>
      <c r="AM139" s="47">
        <f>(1500+1550)/2</f>
        <v>1525</v>
      </c>
      <c r="AN139" s="47"/>
      <c r="AO139" s="269" t="s">
        <v>17</v>
      </c>
      <c r="AP139" s="110"/>
      <c r="AQ139" s="73"/>
      <c r="AR139" s="25"/>
    </row>
    <row r="140" spans="1:44" ht="25.2" customHeight="1" x14ac:dyDescent="0.15">
      <c r="A140" s="85" t="s">
        <v>955</v>
      </c>
      <c r="B140" s="47" t="s">
        <v>210</v>
      </c>
      <c r="C140" s="47"/>
      <c r="D140" s="47" t="s">
        <v>944</v>
      </c>
      <c r="E140" s="47" t="s">
        <v>146</v>
      </c>
      <c r="F140" s="47" t="s">
        <v>43</v>
      </c>
      <c r="G140" s="47"/>
      <c r="H140" s="47"/>
      <c r="I140" s="111">
        <v>1</v>
      </c>
      <c r="J140" s="114">
        <f t="shared" si="225"/>
        <v>39.226717800000003</v>
      </c>
      <c r="K140" s="152" cm="1">
        <f t="array" ref="K140">IF(AC140="N/A","",_xlfn.IFS(Y140="m2",((AA140/(Z140/AL140))*I140),Y140="m3",((AA140/(Z140/AL140))*I140),Y140="kg",(((AA140*AM140)/(1/AL140))*I140),Y140="ton",(((AA140/1000*AM140)/(1/AL140))*I140),Y140="N/A",""))</f>
        <v>39.226717800000003</v>
      </c>
      <c r="L140" s="114">
        <f t="shared" ref="L140:L141" si="252">IF(M140="","N/A",M140)</f>
        <v>39.074399999999997</v>
      </c>
      <c r="M140" s="152" cm="1">
        <f t="array" ref="M140">(_xlfn.IFS(Y140="m2",((AB140/(Z140/AL140))*I140),Y140="m3",((AB140/(Z140/AL140))*I140),Y140="kg",(((AB140*AM140)/(1/AL140))*I140),Y140="ton",(((AB140/1000*AM140)/(1/AL140))*I140),Y140="N/A",""))</f>
        <v>39.074399999999997</v>
      </c>
      <c r="N140" s="52">
        <f t="shared" ref="N140:N141" si="253">IF(O140="","N/A",O140)</f>
        <v>0.1523178</v>
      </c>
      <c r="O140" s="148" cm="1">
        <f t="array" ref="O140">IF(AC140="N/A","",(_xlfn.IFS(Y140="m2",((AC140/(Z140/AL140))*I140),Y140="m3",((AC140/(Z140/AL140))*I140),Y140="kg",(((AC140*AM140)/(1/AL140))*I140),Y140="ton",(((AC140/1000*AM140)/(1/AL140))*I140),Y140="N/A","")))</f>
        <v>0.1523178</v>
      </c>
      <c r="P140" s="52" t="str">
        <f t="shared" ref="P140:P141" si="254">IF(Q140="","N/A",Q140)</f>
        <v>N/A</v>
      </c>
      <c r="Q140" s="155" t="str" cm="1">
        <f t="array" ref="Q140">IF(AE140="N/A","",_xlfn.IFS(Y140="m2",((AE140/(Z140/AL140))*I140),Y140="m3",((AE140/(Z140/AL140))*I140),Y140="kg",(((AE140*AM140)/(1/AL140))*I140),Y140="ton",(((AE140/1000*AM140)/(1/AL140))*I140),Y140="N/A",""))</f>
        <v/>
      </c>
      <c r="R140" s="221" t="s">
        <v>5</v>
      </c>
      <c r="S140" s="47" t="s">
        <v>377</v>
      </c>
      <c r="T140" s="47">
        <v>2027</v>
      </c>
      <c r="U140" s="47" t="s">
        <v>14</v>
      </c>
      <c r="V140" s="47">
        <v>150</v>
      </c>
      <c r="W140" s="47"/>
      <c r="X140" s="47" t="s">
        <v>954</v>
      </c>
      <c r="Y140" s="47" t="s">
        <v>234</v>
      </c>
      <c r="Z140" s="47" t="s">
        <v>191</v>
      </c>
      <c r="AA140" s="52">
        <f t="shared" si="226"/>
        <v>216.84200000000001</v>
      </c>
      <c r="AB140" s="52">
        <v>216</v>
      </c>
      <c r="AC140" s="52">
        <f>0.703+0.139</f>
        <v>0.84199999999999997</v>
      </c>
      <c r="AD140" s="52">
        <v>-2.64</v>
      </c>
      <c r="AE140" s="47" t="s">
        <v>191</v>
      </c>
      <c r="AF140" s="69"/>
      <c r="AG140" s="103" t="str">
        <f t="shared" si="242"/>
        <v xml:space="preserve">A1 </v>
      </c>
      <c r="AH140" s="75" t="s">
        <v>58</v>
      </c>
      <c r="AI140" s="76"/>
      <c r="AJ140" s="103"/>
      <c r="AK140" s="73"/>
      <c r="AL140" s="47">
        <v>0.108</v>
      </c>
      <c r="AM140" s="47">
        <f>(1650+1700)/2</f>
        <v>1675</v>
      </c>
      <c r="AN140" s="47"/>
      <c r="AO140" s="269" t="s">
        <v>17</v>
      </c>
      <c r="AP140" s="110"/>
      <c r="AQ140" s="73"/>
      <c r="AR140" s="25"/>
    </row>
    <row r="141" spans="1:44" ht="25.2" customHeight="1" x14ac:dyDescent="0.15">
      <c r="A141" s="85" t="s">
        <v>957</v>
      </c>
      <c r="B141" s="47" t="s">
        <v>210</v>
      </c>
      <c r="C141" s="47"/>
      <c r="D141" s="47" t="s">
        <v>944</v>
      </c>
      <c r="E141" s="47" t="s">
        <v>146</v>
      </c>
      <c r="F141" s="47" t="s">
        <v>43</v>
      </c>
      <c r="G141" s="47"/>
      <c r="H141" s="47"/>
      <c r="I141" s="111">
        <v>1</v>
      </c>
      <c r="J141" s="114">
        <f t="shared" si="225"/>
        <v>40.10511284999999</v>
      </c>
      <c r="K141" s="152" cm="1">
        <f t="array" ref="K141">IF(AC141="N/A","",_xlfn.IFS(Y141="m2",((AA141/(Z141/AL141))*I141),Y141="m3",((AA141/(Z141/AL141))*I141),Y141="kg",(((AA141*AM141)/(1/AL141))*I141),Y141="ton",(((AA141/1000*AM141)/(1/AL141))*I141),Y141="N/A",""))</f>
        <v>40.10511284999999</v>
      </c>
      <c r="L141" s="114">
        <f t="shared" si="252"/>
        <v>39.949199999999998</v>
      </c>
      <c r="M141" s="152" cm="1">
        <f t="array" ref="M141">(_xlfn.IFS(Y141="m2",((AB141/(Z141/AL141))*I141),Y141="m3",((AB141/(Z141/AL141))*I141),Y141="kg",(((AB141*AM141)/(1/AL141))*I141),Y141="ton",(((AB141/1000*AM141)/(1/AL141))*I141),Y141="N/A",""))</f>
        <v>39.949199999999998</v>
      </c>
      <c r="N141" s="52">
        <f t="shared" si="253"/>
        <v>0.15591284999999999</v>
      </c>
      <c r="O141" s="148" cm="1">
        <f t="array" ref="O141">IF(AC141="N/A","",(_xlfn.IFS(Y141="m2",((AC141/(Z141/AL141))*I141),Y141="m3",((AC141/(Z141/AL141))*I141),Y141="kg",(((AC141*AM141)/(1/AL141))*I141),Y141="ton",(((AC141/1000*AM141)/(1/AL141))*I141),Y141="N/A","")))</f>
        <v>0.15591284999999999</v>
      </c>
      <c r="P141" s="52" t="str">
        <f t="shared" si="254"/>
        <v>N/A</v>
      </c>
      <c r="Q141" s="155" t="str" cm="1">
        <f t="array" ref="Q141">IF(AE141="N/A","",_xlfn.IFS(Y141="m2",((AE141/(Z141/AL141))*I141),Y141="m3",((AE141/(Z141/AL141))*I141),Y141="kg",(((AE141*AM141)/(1/AL141))*I141),Y141="ton",(((AE141/1000*AM141)/(1/AL141))*I141),Y141="N/A",""))</f>
        <v/>
      </c>
      <c r="R141" s="221" t="s">
        <v>5</v>
      </c>
      <c r="S141" s="47" t="s">
        <v>377</v>
      </c>
      <c r="T141" s="47">
        <v>2026</v>
      </c>
      <c r="U141" s="47" t="s">
        <v>14</v>
      </c>
      <c r="V141" s="47">
        <v>150</v>
      </c>
      <c r="W141" s="47"/>
      <c r="X141" s="47" t="s">
        <v>956</v>
      </c>
      <c r="Y141" s="47" t="s">
        <v>234</v>
      </c>
      <c r="Z141" s="47" t="s">
        <v>191</v>
      </c>
      <c r="AA141" s="52">
        <f t="shared" si="226"/>
        <v>216.84299999999999</v>
      </c>
      <c r="AB141" s="52">
        <v>216</v>
      </c>
      <c r="AC141" s="52">
        <f t="shared" ref="AC141:AC147" si="255">0.704+0.139</f>
        <v>0.84299999999999997</v>
      </c>
      <c r="AD141" s="52">
        <v>-3.39</v>
      </c>
      <c r="AE141" s="47" t="s">
        <v>191</v>
      </c>
      <c r="AF141" s="69"/>
      <c r="AG141" s="103" t="str">
        <f t="shared" si="242"/>
        <v xml:space="preserve">A1 </v>
      </c>
      <c r="AH141" s="75" t="s">
        <v>58</v>
      </c>
      <c r="AI141" s="76"/>
      <c r="AJ141" s="103"/>
      <c r="AK141" s="73"/>
      <c r="AL141" s="47">
        <v>0.108</v>
      </c>
      <c r="AM141" s="116">
        <f>(1675+1750)/2</f>
        <v>1712.5</v>
      </c>
      <c r="AN141" s="47"/>
      <c r="AO141" s="269" t="s">
        <v>17</v>
      </c>
      <c r="AP141" s="110"/>
      <c r="AQ141" s="73"/>
      <c r="AR141" s="25"/>
    </row>
    <row r="142" spans="1:44" ht="25.2" customHeight="1" x14ac:dyDescent="0.15">
      <c r="A142" s="85" t="s">
        <v>950</v>
      </c>
      <c r="B142" s="47" t="s">
        <v>210</v>
      </c>
      <c r="C142" s="47"/>
      <c r="D142" s="47" t="s">
        <v>944</v>
      </c>
      <c r="E142" s="47" t="s">
        <v>146</v>
      </c>
      <c r="F142" s="47" t="s">
        <v>43</v>
      </c>
      <c r="G142" s="47"/>
      <c r="H142" s="47"/>
      <c r="I142" s="111">
        <v>1</v>
      </c>
      <c r="J142" s="114">
        <f t="shared" si="225"/>
        <v>28.578946499999997</v>
      </c>
      <c r="K142" s="152" cm="1">
        <f t="array" ref="K142">IF(AC142="N/A","",_xlfn.IFS(Y142="m2",((AA142/(Z142/AL142))*I142),Y142="m3",((AA142/(Z142/AL142))*I142),Y142="kg",(((AA142*AM142)/(1/AL142))*I142),Y142="ton",(((AA142/1000*AM142)/(1/AL142))*I142),Y142="N/A",""))</f>
        <v>28.578946499999997</v>
      </c>
      <c r="L142" s="114">
        <f t="shared" ref="L142:L143" si="256">IF(M142="","N/A",M142)</f>
        <v>28.431000000000001</v>
      </c>
      <c r="M142" s="152" cm="1">
        <f t="array" ref="M142">(_xlfn.IFS(Y142="m2",((AB142/(Z142/AL142))*I142),Y142="m3",((AB142/(Z142/AL142))*I142),Y142="kg",(((AB142*AM142)/(1/AL142))*I142),Y142="ton",(((AB142/1000*AM142)/(1/AL142))*I142),Y142="N/A",""))</f>
        <v>28.431000000000001</v>
      </c>
      <c r="N142" s="52">
        <f t="shared" ref="N142:N143" si="257">IF(O142="","N/A",O142)</f>
        <v>0.14794649999999998</v>
      </c>
      <c r="O142" s="148" cm="1">
        <f t="array" ref="O142">IF(AC142="N/A","",(_xlfn.IFS(Y142="m2",((AC142/(Z142/AL142))*I142),Y142="m3",((AC142/(Z142/AL142))*I142),Y142="kg",(((AC142*AM142)/(1/AL142))*I142),Y142="ton",(((AC142/1000*AM142)/(1/AL142))*I142),Y142="N/A","")))</f>
        <v>0.14794649999999998</v>
      </c>
      <c r="P142" s="52" t="str">
        <f t="shared" ref="P142:P143" si="258">IF(Q142="","N/A",Q142)</f>
        <v>N/A</v>
      </c>
      <c r="Q142" s="155" t="str" cm="1">
        <f t="array" ref="Q142">IF(AE142="N/A","",_xlfn.IFS(Y142="m2",((AE142/(Z142/AL142))*I142),Y142="m3",((AE142/(Z142/AL142))*I142),Y142="kg",(((AE142*AM142)/(1/AL142))*I142),Y142="ton",(((AE142/1000*AM142)/(1/AL142))*I142),Y142="N/A",""))</f>
        <v/>
      </c>
      <c r="R142" s="221" t="s">
        <v>5</v>
      </c>
      <c r="S142" s="47" t="s">
        <v>377</v>
      </c>
      <c r="T142" s="47">
        <v>2027</v>
      </c>
      <c r="U142" s="47" t="s">
        <v>14</v>
      </c>
      <c r="V142" s="47">
        <v>150</v>
      </c>
      <c r="W142" s="47"/>
      <c r="X142" s="47" t="s">
        <v>958</v>
      </c>
      <c r="Y142" s="47" t="s">
        <v>234</v>
      </c>
      <c r="Z142" s="47" t="s">
        <v>191</v>
      </c>
      <c r="AA142" s="52">
        <f t="shared" si="226"/>
        <v>162.84299999999999</v>
      </c>
      <c r="AB142" s="52">
        <v>162</v>
      </c>
      <c r="AC142" s="52">
        <f t="shared" si="255"/>
        <v>0.84299999999999997</v>
      </c>
      <c r="AD142" s="52">
        <v>-2.97</v>
      </c>
      <c r="AE142" s="47" t="s">
        <v>191</v>
      </c>
      <c r="AF142" s="69"/>
      <c r="AG142" s="103" t="str">
        <f t="shared" si="242"/>
        <v xml:space="preserve">A1 </v>
      </c>
      <c r="AH142" s="75" t="s">
        <v>58</v>
      </c>
      <c r="AI142" s="76"/>
      <c r="AJ142" s="103"/>
      <c r="AK142" s="73"/>
      <c r="AL142" s="47">
        <v>0.108</v>
      </c>
      <c r="AM142" s="47">
        <f>(1600+1650)/2</f>
        <v>1625</v>
      </c>
      <c r="AN142" s="47"/>
      <c r="AO142" s="269" t="s">
        <v>17</v>
      </c>
      <c r="AP142" s="110"/>
      <c r="AQ142" s="73"/>
      <c r="AR142" s="25"/>
    </row>
    <row r="143" spans="1:44" ht="25.2" customHeight="1" x14ac:dyDescent="0.15">
      <c r="A143" s="85" t="s">
        <v>960</v>
      </c>
      <c r="B143" s="47" t="s">
        <v>210</v>
      </c>
      <c r="C143" s="47"/>
      <c r="D143" s="47" t="s">
        <v>944</v>
      </c>
      <c r="E143" s="47" t="s">
        <v>146</v>
      </c>
      <c r="F143" s="47" t="s">
        <v>43</v>
      </c>
      <c r="G143" s="47"/>
      <c r="H143" s="47"/>
      <c r="I143" s="111">
        <v>1</v>
      </c>
      <c r="J143" s="114">
        <f t="shared" si="225"/>
        <v>20.429415809999998</v>
      </c>
      <c r="K143" s="152" cm="1">
        <f t="array" ref="K143">IF(AC143="N/A","",_xlfn.IFS(Y143="m2",((AA143/(Z143/AL143))*I143),Y143="m3",((AA143/(Z143/AL143))*I143),Y143="kg",(((AA143*AM143)/(1/AL143))*I143),Y143="ton",(((AA143/1000*AM143)/(1/AL143))*I143),Y143="N/A",""))</f>
        <v>20.429415809999998</v>
      </c>
      <c r="L143" s="114">
        <f t="shared" si="256"/>
        <v>20.288069999999998</v>
      </c>
      <c r="M143" s="152" cm="1">
        <f t="array" ref="M143">(_xlfn.IFS(Y143="m2",((AB143/(Z143/AL143))*I143),Y143="m3",((AB143/(Z143/AL143))*I143),Y143="kg",(((AB143*AM143)/(1/AL143))*I143),Y143="ton",(((AB143/1000*AM143)/(1/AL143))*I143),Y143="N/A",""))</f>
        <v>20.288069999999998</v>
      </c>
      <c r="N143" s="52">
        <f t="shared" si="257"/>
        <v>0.14134580999999999</v>
      </c>
      <c r="O143" s="148" cm="1">
        <f t="array" ref="O143">IF(AC143="N/A","",(_xlfn.IFS(Y143="m2",((AC143/(Z143/AL143))*I143),Y143="m3",((AC143/(Z143/AL143))*I143),Y143="kg",(((AC143*AM143)/(1/AL143))*I143),Y143="ton",(((AC143/1000*AM143)/(1/AL143))*I143),Y143="N/A","")))</f>
        <v>0.14134580999999999</v>
      </c>
      <c r="P143" s="52" t="str">
        <f t="shared" si="258"/>
        <v>N/A</v>
      </c>
      <c r="Q143" s="155" t="str" cm="1">
        <f t="array" ref="Q143">IF(AE143="N/A","",_xlfn.IFS(Y143="m2",((AE143/(Z143/AL143))*I143),Y143="m3",((AE143/(Z143/AL143))*I143),Y143="kg",(((AE143*AM143)/(1/AL143))*I143),Y143="ton",(((AE143/1000*AM143)/(1/AL143))*I143),Y143="N/A",""))</f>
        <v/>
      </c>
      <c r="R143" s="221" t="s">
        <v>5</v>
      </c>
      <c r="S143" s="47" t="s">
        <v>377</v>
      </c>
      <c r="T143" s="47">
        <v>2026</v>
      </c>
      <c r="U143" s="47" t="s">
        <v>14</v>
      </c>
      <c r="V143" s="47">
        <v>150</v>
      </c>
      <c r="W143" s="47"/>
      <c r="X143" s="47" t="s">
        <v>959</v>
      </c>
      <c r="Y143" s="47" t="s">
        <v>234</v>
      </c>
      <c r="Z143" s="47" t="s">
        <v>191</v>
      </c>
      <c r="AA143" s="52">
        <f t="shared" si="226"/>
        <v>121.843</v>
      </c>
      <c r="AB143" s="52">
        <v>121</v>
      </c>
      <c r="AC143" s="52">
        <f t="shared" si="255"/>
        <v>0.84299999999999997</v>
      </c>
      <c r="AD143" s="52">
        <v>-2.97</v>
      </c>
      <c r="AE143" s="47" t="s">
        <v>191</v>
      </c>
      <c r="AF143" s="69"/>
      <c r="AG143" s="103" t="str">
        <f t="shared" si="242"/>
        <v xml:space="preserve">A1 </v>
      </c>
      <c r="AH143" s="75" t="s">
        <v>58</v>
      </c>
      <c r="AI143" s="76"/>
      <c r="AJ143" s="103"/>
      <c r="AK143" s="73"/>
      <c r="AL143" s="47">
        <v>0.108</v>
      </c>
      <c r="AM143" s="116">
        <f>(1530+1575)/2</f>
        <v>1552.5</v>
      </c>
      <c r="AN143" s="47"/>
      <c r="AO143" s="269" t="s">
        <v>17</v>
      </c>
      <c r="AP143" s="110"/>
      <c r="AQ143" s="73"/>
      <c r="AR143" s="25"/>
    </row>
    <row r="144" spans="1:44" ht="25.2" customHeight="1" x14ac:dyDescent="0.15">
      <c r="A144" s="85" t="s">
        <v>961</v>
      </c>
      <c r="B144" s="47" t="s">
        <v>210</v>
      </c>
      <c r="C144" s="47"/>
      <c r="D144" s="47" t="s">
        <v>944</v>
      </c>
      <c r="E144" s="47" t="s">
        <v>146</v>
      </c>
      <c r="F144" s="47" t="s">
        <v>43</v>
      </c>
      <c r="G144" s="47"/>
      <c r="H144" s="47"/>
      <c r="I144" s="111">
        <v>1</v>
      </c>
      <c r="J144" s="114">
        <f t="shared" si="225"/>
        <v>15.707544300000002</v>
      </c>
      <c r="K144" s="152" cm="1">
        <f t="array" ref="K144">IF(AC144="N/A","",_xlfn.IFS(Y144="m2",((AA144/(Z144/AL144))*I144),Y144="m3",((AA144/(Z144/AL144))*I144),Y144="kg",(((AA144*AM144)/(1/AL144))*I144),Y144="ton",(((AA144/1000*AM144)/(1/AL144))*I144),Y144="N/A",""))</f>
        <v>15.707544300000002</v>
      </c>
      <c r="L144" s="114">
        <f t="shared" ref="L144:L145" si="259">IF(M144="","N/A",M144)</f>
        <v>15.564149999999998</v>
      </c>
      <c r="M144" s="152" cm="1">
        <f t="array" ref="M144">(_xlfn.IFS(Y144="m2",((AB144/(Z144/AL144))*I144),Y144="m3",((AB144/(Z144/AL144))*I144),Y144="kg",(((AB144*AM144)/(1/AL144))*I144),Y144="ton",(((AB144/1000*AM144)/(1/AL144))*I144),Y144="N/A",""))</f>
        <v>15.564149999999998</v>
      </c>
      <c r="N144" s="52">
        <f t="shared" ref="N144:N145" si="260">IF(O144="","N/A",O144)</f>
        <v>0.1433943</v>
      </c>
      <c r="O144" s="148" cm="1">
        <f t="array" ref="O144">IF(AC144="N/A","",(_xlfn.IFS(Y144="m2",((AC144/(Z144/AL144))*I144),Y144="m3",((AC144/(Z144/AL144))*I144),Y144="kg",(((AC144*AM144)/(1/AL144))*I144),Y144="ton",(((AC144/1000*AM144)/(1/AL144))*I144),Y144="N/A","")))</f>
        <v>0.1433943</v>
      </c>
      <c r="P144" s="52" t="str">
        <f t="shared" ref="P144:P145" si="261">IF(Q144="","N/A",Q144)</f>
        <v>N/A</v>
      </c>
      <c r="Q144" s="155" t="str" cm="1">
        <f t="array" ref="Q144">IF(AE144="N/A","",_xlfn.IFS(Y144="m2",((AE144/(Z144/AL144))*I144),Y144="m3",((AE144/(Z144/AL144))*I144),Y144="kg",(((AE144*AM144)/(1/AL144))*I144),Y144="ton",(((AE144/1000*AM144)/(1/AL144))*I144),Y144="N/A",""))</f>
        <v/>
      </c>
      <c r="R144" s="221" t="s">
        <v>5</v>
      </c>
      <c r="S144" s="47" t="s">
        <v>377</v>
      </c>
      <c r="T144" s="47">
        <v>2026</v>
      </c>
      <c r="U144" s="47" t="s">
        <v>14</v>
      </c>
      <c r="V144" s="47">
        <v>150</v>
      </c>
      <c r="W144" s="47"/>
      <c r="X144" s="47" t="s">
        <v>962</v>
      </c>
      <c r="Y144" s="47" t="s">
        <v>234</v>
      </c>
      <c r="Z144" s="47" t="s">
        <v>191</v>
      </c>
      <c r="AA144" s="52">
        <f t="shared" si="226"/>
        <v>92.343000000000004</v>
      </c>
      <c r="AB144" s="52">
        <v>91.5</v>
      </c>
      <c r="AC144" s="52">
        <f t="shared" si="255"/>
        <v>0.84299999999999997</v>
      </c>
      <c r="AD144" s="52">
        <v>-3.39</v>
      </c>
      <c r="AE144" s="47" t="s">
        <v>191</v>
      </c>
      <c r="AF144" s="69"/>
      <c r="AG144" s="103" t="str">
        <f t="shared" si="242"/>
        <v xml:space="preserve">A1 </v>
      </c>
      <c r="AH144" s="75" t="s">
        <v>58</v>
      </c>
      <c r="AI144" s="76"/>
      <c r="AJ144" s="103"/>
      <c r="AK144" s="73"/>
      <c r="AL144" s="47">
        <v>0.108</v>
      </c>
      <c r="AM144" s="47">
        <f>(1550+1600)/2</f>
        <v>1575</v>
      </c>
      <c r="AN144" s="47"/>
      <c r="AO144" s="269" t="s">
        <v>17</v>
      </c>
      <c r="AP144" s="110"/>
      <c r="AQ144" s="73"/>
      <c r="AR144" s="25"/>
    </row>
    <row r="145" spans="1:44" ht="25.2" customHeight="1" x14ac:dyDescent="0.15">
      <c r="A145" s="85" t="s">
        <v>964</v>
      </c>
      <c r="B145" s="47" t="s">
        <v>210</v>
      </c>
      <c r="C145" s="47"/>
      <c r="D145" s="47" t="s">
        <v>944</v>
      </c>
      <c r="E145" s="47" t="s">
        <v>146</v>
      </c>
      <c r="F145" s="47" t="s">
        <v>43</v>
      </c>
      <c r="G145" s="47"/>
      <c r="H145" s="47"/>
      <c r="I145" s="111">
        <v>1</v>
      </c>
      <c r="J145" s="114">
        <f t="shared" si="225"/>
        <v>17.452827000000003</v>
      </c>
      <c r="K145" s="152" cm="1">
        <f t="array" ref="K145">IF(AC145="N/A","",_xlfn.IFS(Y145="m2",((AA145/(Z145/AL145))*I145),Y145="m3",((AA145/(Z145/AL145))*I145),Y145="kg",(((AA145*AM145)/(1/AL145))*I145),Y145="ton",(((AA145/1000*AM145)/(1/AL145))*I145),Y145="N/A",""))</f>
        <v>17.452827000000003</v>
      </c>
      <c r="L145" s="114">
        <f t="shared" si="259"/>
        <v>17.293499999999998</v>
      </c>
      <c r="M145" s="152" cm="1">
        <f t="array" ref="M145">(_xlfn.IFS(Y145="m2",((AB145/(Z145/AL145))*I145),Y145="m3",((AB145/(Z145/AL145))*I145),Y145="kg",(((AB145*AM145)/(1/AL145))*I145),Y145="ton",(((AB145/1000*AM145)/(1/AL145))*I145),Y145="N/A",""))</f>
        <v>17.293499999999998</v>
      </c>
      <c r="N145" s="52">
        <f t="shared" si="260"/>
        <v>0.159327</v>
      </c>
      <c r="O145" s="148" cm="1">
        <f t="array" ref="O145">IF(AC145="N/A","",(_xlfn.IFS(Y145="m2",((AC145/(Z145/AL145))*I145),Y145="m3",((AC145/(Z145/AL145))*I145),Y145="kg",(((AC145*AM145)/(1/AL145))*I145),Y145="ton",(((AC145/1000*AM145)/(1/AL145))*I145),Y145="N/A","")))</f>
        <v>0.159327</v>
      </c>
      <c r="P145" s="52" t="str">
        <f t="shared" si="261"/>
        <v>N/A</v>
      </c>
      <c r="Q145" s="155" t="str" cm="1">
        <f t="array" ref="Q145">IF(AE145="N/A","",_xlfn.IFS(Y145="m2",((AE145/(Z145/AL145))*I145),Y145="m3",((AE145/(Z145/AL145))*I145),Y145="kg",(((AE145*AM145)/(1/AL145))*I145),Y145="ton",(((AE145/1000*AM145)/(1/AL145))*I145),Y145="N/A",""))</f>
        <v/>
      </c>
      <c r="R145" s="221" t="s">
        <v>5</v>
      </c>
      <c r="S145" s="47" t="s">
        <v>377</v>
      </c>
      <c r="T145" s="47">
        <v>2026</v>
      </c>
      <c r="U145" s="47" t="s">
        <v>14</v>
      </c>
      <c r="V145" s="47">
        <v>150</v>
      </c>
      <c r="W145" s="47"/>
      <c r="X145" s="47" t="s">
        <v>963</v>
      </c>
      <c r="Y145" s="47" t="s">
        <v>234</v>
      </c>
      <c r="Z145" s="47" t="s">
        <v>191</v>
      </c>
      <c r="AA145" s="52">
        <f t="shared" si="226"/>
        <v>92.343000000000004</v>
      </c>
      <c r="AB145" s="52">
        <v>91.5</v>
      </c>
      <c r="AC145" s="52">
        <f t="shared" si="255"/>
        <v>0.84299999999999997</v>
      </c>
      <c r="AD145" s="52">
        <v>-3.39</v>
      </c>
      <c r="AE145" s="47" t="s">
        <v>191</v>
      </c>
      <c r="AF145" s="69"/>
      <c r="AG145" s="103" t="str">
        <f t="shared" si="242"/>
        <v xml:space="preserve">A1 </v>
      </c>
      <c r="AH145" s="75" t="s">
        <v>58</v>
      </c>
      <c r="AI145" s="76"/>
      <c r="AJ145" s="103"/>
      <c r="AK145" s="73"/>
      <c r="AL145" s="47">
        <v>0.108</v>
      </c>
      <c r="AM145" s="47">
        <f>(1725+1775)/2</f>
        <v>1750</v>
      </c>
      <c r="AN145" s="47"/>
      <c r="AO145" s="269" t="s">
        <v>17</v>
      </c>
      <c r="AP145" s="110"/>
      <c r="AQ145" s="73"/>
      <c r="AR145" s="25"/>
    </row>
    <row r="146" spans="1:44" ht="25.2" customHeight="1" x14ac:dyDescent="0.15">
      <c r="A146" s="85" t="s">
        <v>965</v>
      </c>
      <c r="B146" s="47" t="s">
        <v>210</v>
      </c>
      <c r="C146" s="47"/>
      <c r="D146" s="47" t="s">
        <v>944</v>
      </c>
      <c r="E146" s="47" t="s">
        <v>146</v>
      </c>
      <c r="F146" s="47" t="s">
        <v>43</v>
      </c>
      <c r="G146" s="47"/>
      <c r="H146" s="47"/>
      <c r="I146" s="111">
        <v>1</v>
      </c>
      <c r="J146" s="114">
        <f t="shared" si="225"/>
        <v>30.210326999999996</v>
      </c>
      <c r="K146" s="152" cm="1">
        <f t="array" ref="K146">IF(AC146="N/A","",_xlfn.IFS(Y146="m2",((AA146/(Z146/AL146))*I146),Y146="m3",((AA146/(Z146/AL146))*I146),Y146="kg",(((AA146*AM146)/(1/AL146))*I146),Y146="ton",(((AA146/1000*AM146)/(1/AL146))*I146),Y146="N/A",""))</f>
        <v>30.210326999999996</v>
      </c>
      <c r="L146" s="114">
        <f t="shared" ref="L146:L147" si="262">IF(M146="","N/A",M146)</f>
        <v>30.050999999999998</v>
      </c>
      <c r="M146" s="152" cm="1">
        <f t="array" ref="M146">(_xlfn.IFS(Y146="m2",((AB146/(Z146/AL146))*I146),Y146="m3",((AB146/(Z146/AL146))*I146),Y146="kg",(((AB146*AM146)/(1/AL146))*I146),Y146="ton",(((AB146/1000*AM146)/(1/AL146))*I146),Y146="N/A",""))</f>
        <v>30.050999999999998</v>
      </c>
      <c r="N146" s="52">
        <f t="shared" ref="N146:N147" si="263">IF(O146="","N/A",O146)</f>
        <v>0.159327</v>
      </c>
      <c r="O146" s="148" cm="1">
        <f t="array" ref="O146">IF(AC146="N/A","",(_xlfn.IFS(Y146="m2",((AC146/(Z146/AL146))*I146),Y146="m3",((AC146/(Z146/AL146))*I146),Y146="kg",(((AC146*AM146)/(1/AL146))*I146),Y146="ton",(((AC146/1000*AM146)/(1/AL146))*I146),Y146="N/A","")))</f>
        <v>0.159327</v>
      </c>
      <c r="P146" s="52" t="str">
        <f t="shared" ref="P146:P147" si="264">IF(Q146="","N/A",Q146)</f>
        <v>N/A</v>
      </c>
      <c r="Q146" s="155" t="str" cm="1">
        <f t="array" ref="Q146">IF(AE146="N/A","",_xlfn.IFS(Y146="m2",((AE146/(Z146/AL146))*I146),Y146="m3",((AE146/(Z146/AL146))*I146),Y146="kg",(((AE146*AM146)/(1/AL146))*I146),Y146="ton",(((AE146/1000*AM146)/(1/AL146))*I146),Y146="N/A",""))</f>
        <v/>
      </c>
      <c r="R146" s="221" t="s">
        <v>5</v>
      </c>
      <c r="S146" s="47" t="s">
        <v>377</v>
      </c>
      <c r="T146" s="47">
        <v>2026</v>
      </c>
      <c r="U146" s="47" t="s">
        <v>14</v>
      </c>
      <c r="V146" s="47">
        <v>150</v>
      </c>
      <c r="W146" s="47"/>
      <c r="X146" s="47" t="s">
        <v>963</v>
      </c>
      <c r="Y146" s="47" t="s">
        <v>234</v>
      </c>
      <c r="Z146" s="47" t="s">
        <v>191</v>
      </c>
      <c r="AA146" s="52">
        <f t="shared" si="226"/>
        <v>159.84299999999999</v>
      </c>
      <c r="AB146" s="52">
        <v>159</v>
      </c>
      <c r="AC146" s="52">
        <f t="shared" si="255"/>
        <v>0.84299999999999997</v>
      </c>
      <c r="AD146" s="52">
        <v>-3.39</v>
      </c>
      <c r="AE146" s="47" t="s">
        <v>191</v>
      </c>
      <c r="AF146" s="69"/>
      <c r="AG146" s="103" t="str">
        <f t="shared" ref="AG146" si="265">AH146&amp;" "&amp;AI146</f>
        <v xml:space="preserve">A1 </v>
      </c>
      <c r="AH146" s="75" t="s">
        <v>58</v>
      </c>
      <c r="AI146" s="76"/>
      <c r="AJ146" s="103"/>
      <c r="AK146" s="73"/>
      <c r="AL146" s="47">
        <v>0.108</v>
      </c>
      <c r="AM146" s="47">
        <f>(1725+1775)/2</f>
        <v>1750</v>
      </c>
      <c r="AN146" s="47"/>
      <c r="AO146" s="269" t="s">
        <v>17</v>
      </c>
      <c r="AP146" s="110"/>
      <c r="AQ146" s="73"/>
      <c r="AR146" s="25"/>
    </row>
    <row r="147" spans="1:44" ht="25.2" customHeight="1" x14ac:dyDescent="0.15">
      <c r="A147" s="85" t="s">
        <v>966</v>
      </c>
      <c r="B147" s="47" t="s">
        <v>210</v>
      </c>
      <c r="C147" s="47"/>
      <c r="D147" s="47" t="s">
        <v>944</v>
      </c>
      <c r="E147" s="47" t="s">
        <v>146</v>
      </c>
      <c r="F147" s="47" t="s">
        <v>43</v>
      </c>
      <c r="G147" s="47"/>
      <c r="H147" s="47"/>
      <c r="I147" s="111">
        <v>1</v>
      </c>
      <c r="J147" s="114">
        <f t="shared" si="225"/>
        <v>22.699350900000002</v>
      </c>
      <c r="K147" s="152" cm="1">
        <f t="array" ref="K147">IF(AC147="N/A","",_xlfn.IFS(Y147="m2",((AA147/(Z147/AL147))*I147),Y147="m3",((AA147/(Z147/AL147))*I147),Y147="kg",(((AA147*AM147)/(1/AL147))*I147),Y147="ton",(((AA147/1000*AM147)/(1/AL147))*I147),Y147="N/A",""))</f>
        <v>22.699350900000002</v>
      </c>
      <c r="L147" s="114">
        <f t="shared" si="262"/>
        <v>22.542299999999997</v>
      </c>
      <c r="M147" s="152" cm="1">
        <f t="array" ref="M147">(_xlfn.IFS(Y147="m2",((AB147/(Z147/AL147))*I147),Y147="m3",((AB147/(Z147/AL147))*I147),Y147="kg",(((AB147*AM147)/(1/AL147))*I147),Y147="ton",(((AB147/1000*AM147)/(1/AL147))*I147),Y147="N/A",""))</f>
        <v>22.542299999999997</v>
      </c>
      <c r="N147" s="52">
        <f t="shared" si="263"/>
        <v>0.15705089999999999</v>
      </c>
      <c r="O147" s="148" cm="1">
        <f t="array" ref="O147">IF(AC147="N/A","",(_xlfn.IFS(Y147="m2",((AC147/(Z147/AL147))*I147),Y147="m3",((AC147/(Z147/AL147))*I147),Y147="kg",(((AC147*AM147)/(1/AL147))*I147),Y147="ton",(((AC147/1000*AM147)/(1/AL147))*I147),Y147="N/A","")))</f>
        <v>0.15705089999999999</v>
      </c>
      <c r="P147" s="52" t="str">
        <f t="shared" si="264"/>
        <v>N/A</v>
      </c>
      <c r="Q147" s="155" t="str" cm="1">
        <f t="array" ref="Q147">IF(AE147="N/A","",_xlfn.IFS(Y147="m2",((AE147/(Z147/AL147))*I147),Y147="m3",((AE147/(Z147/AL147))*I147),Y147="kg",(((AE147*AM147)/(1/AL147))*I147),Y147="ton",(((AE147/1000*AM147)/(1/AL147))*I147),Y147="N/A",""))</f>
        <v/>
      </c>
      <c r="R147" s="221" t="s">
        <v>5</v>
      </c>
      <c r="S147" s="47" t="s">
        <v>377</v>
      </c>
      <c r="T147" s="47">
        <v>2027</v>
      </c>
      <c r="U147" s="47" t="s">
        <v>14</v>
      </c>
      <c r="V147" s="47">
        <v>150</v>
      </c>
      <c r="W147" s="47"/>
      <c r="X147" s="47" t="s">
        <v>967</v>
      </c>
      <c r="Y147" s="47" t="s">
        <v>234</v>
      </c>
      <c r="Z147" s="47" t="s">
        <v>191</v>
      </c>
      <c r="AA147" s="52">
        <f t="shared" si="226"/>
        <v>121.843</v>
      </c>
      <c r="AB147" s="52">
        <v>121</v>
      </c>
      <c r="AC147" s="52">
        <f t="shared" si="255"/>
        <v>0.84299999999999997</v>
      </c>
      <c r="AD147" s="52">
        <v>-2.97</v>
      </c>
      <c r="AE147" s="47" t="s">
        <v>191</v>
      </c>
      <c r="AF147" s="69"/>
      <c r="AG147" s="103" t="str">
        <f t="shared" si="242"/>
        <v xml:space="preserve">A1 </v>
      </c>
      <c r="AH147" s="75" t="s">
        <v>58</v>
      </c>
      <c r="AI147" s="76"/>
      <c r="AJ147" s="103"/>
      <c r="AK147" s="73"/>
      <c r="AL147" s="47">
        <v>0.108</v>
      </c>
      <c r="AM147" s="47">
        <f>(1700+1750)/2</f>
        <v>1725</v>
      </c>
      <c r="AN147" s="47"/>
      <c r="AO147" s="269" t="s">
        <v>17</v>
      </c>
      <c r="AP147" s="110"/>
      <c r="AQ147" s="73"/>
      <c r="AR147" s="25"/>
    </row>
    <row r="148" spans="1:44" ht="25.2" customHeight="1" x14ac:dyDescent="0.15">
      <c r="A148" s="85" t="s">
        <v>969</v>
      </c>
      <c r="B148" s="47" t="s">
        <v>210</v>
      </c>
      <c r="C148" s="47"/>
      <c r="D148" s="47" t="s">
        <v>944</v>
      </c>
      <c r="E148" s="47" t="s">
        <v>146</v>
      </c>
      <c r="F148" s="47" t="s">
        <v>43</v>
      </c>
      <c r="G148" s="47"/>
      <c r="H148" s="47"/>
      <c r="I148" s="111">
        <v>1</v>
      </c>
      <c r="J148" s="114">
        <f t="shared" si="225"/>
        <v>21.399897599999999</v>
      </c>
      <c r="K148" s="152" cm="1">
        <f t="array" ref="K148">IF(AC148="N/A","",_xlfn.IFS(Y148="m2",((AA148/(Z148/AL148))*I148),Y148="m3",((AA148/(Z148/AL148))*I148),Y148="kg",(((AA148*AM148)/(1/AL148))*I148),Y148="ton",(((AA148/1000*AM148)/(1/AL148))*I148),Y148="N/A",""))</f>
        <v>21.399897599999999</v>
      </c>
      <c r="L148" s="114">
        <f t="shared" ref="L148" si="266">IF(M148="","N/A",M148)</f>
        <v>21.2544</v>
      </c>
      <c r="M148" s="152" cm="1">
        <f t="array" ref="M148">(_xlfn.IFS(Y148="m2",((AB148/(Z148/AL148))*I148),Y148="m3",((AB148/(Z148/AL148))*I148),Y148="kg",(((AB148*AM148)/(1/AL148))*I148),Y148="ton",(((AB148/1000*AM148)/(1/AL148))*I148),Y148="N/A",""))</f>
        <v>21.2544</v>
      </c>
      <c r="N148" s="52">
        <f t="shared" ref="N148" si="267">IF(O148="","N/A",O148)</f>
        <v>0.14549759999999998</v>
      </c>
      <c r="O148" s="148" cm="1">
        <f t="array" ref="O148">IF(AC148="N/A","",(_xlfn.IFS(Y148="m2",((AC148/(Z148/AL148))*I148),Y148="m3",((AC148/(Z148/AL148))*I148),Y148="kg",(((AC148*AM148)/(1/AL148))*I148),Y148="ton",(((AC148/1000*AM148)/(1/AL148))*I148),Y148="N/A","")))</f>
        <v>0.14549759999999998</v>
      </c>
      <c r="P148" s="52" t="str">
        <f t="shared" ref="P148" si="268">IF(Q148="","N/A",Q148)</f>
        <v>N/A</v>
      </c>
      <c r="Q148" s="155" t="str" cm="1">
        <f t="array" ref="Q148">IF(AE148="N/A","",_xlfn.IFS(Y148="m2",((AE148/(Z148/AL148))*I148),Y148="m3",((AE148/(Z148/AL148))*I148),Y148="kg",(((AE148*AM148)/(1/AL148))*I148),Y148="ton",(((AE148/1000*AM148)/(1/AL148))*I148),Y148="N/A",""))</f>
        <v/>
      </c>
      <c r="R148" s="221" t="s">
        <v>5</v>
      </c>
      <c r="S148" s="47" t="s">
        <v>377</v>
      </c>
      <c r="T148" s="47">
        <v>2027</v>
      </c>
      <c r="U148" s="47" t="s">
        <v>14</v>
      </c>
      <c r="V148" s="47">
        <v>150</v>
      </c>
      <c r="W148" s="47"/>
      <c r="X148" s="47" t="s">
        <v>968</v>
      </c>
      <c r="Y148" s="47" t="s">
        <v>234</v>
      </c>
      <c r="Z148" s="47" t="s">
        <v>191</v>
      </c>
      <c r="AA148" s="52">
        <f t="shared" si="226"/>
        <v>123.842</v>
      </c>
      <c r="AB148" s="52">
        <v>123</v>
      </c>
      <c r="AC148" s="52">
        <f>0.703+0.139</f>
        <v>0.84199999999999997</v>
      </c>
      <c r="AD148" s="52">
        <v>-2.64</v>
      </c>
      <c r="AE148" s="47" t="s">
        <v>191</v>
      </c>
      <c r="AF148" s="69"/>
      <c r="AG148" s="103" t="str">
        <f t="shared" si="242"/>
        <v xml:space="preserve">A1 </v>
      </c>
      <c r="AH148" s="75" t="s">
        <v>58</v>
      </c>
      <c r="AI148" s="76"/>
      <c r="AJ148" s="103"/>
      <c r="AK148" s="73"/>
      <c r="AL148" s="47">
        <v>0.108</v>
      </c>
      <c r="AM148" s="47">
        <f>(1400+1800)/2</f>
        <v>1600</v>
      </c>
      <c r="AN148" s="47"/>
      <c r="AO148" s="269" t="s">
        <v>17</v>
      </c>
      <c r="AP148" s="110"/>
      <c r="AQ148" s="73"/>
      <c r="AR148" s="25"/>
    </row>
    <row r="149" spans="1:44" ht="25.2" customHeight="1" x14ac:dyDescent="0.15">
      <c r="A149" s="85" t="s">
        <v>970</v>
      </c>
      <c r="B149" s="47" t="s">
        <v>210</v>
      </c>
      <c r="C149" s="47"/>
      <c r="D149" s="47" t="s">
        <v>944</v>
      </c>
      <c r="E149" s="47" t="s">
        <v>146</v>
      </c>
      <c r="F149" s="47" t="s">
        <v>43</v>
      </c>
      <c r="G149" s="47"/>
      <c r="H149" s="47"/>
      <c r="I149" s="111">
        <v>1</v>
      </c>
      <c r="J149" s="114">
        <f t="shared" si="225"/>
        <v>37.124697600000005</v>
      </c>
      <c r="K149" s="152" cm="1">
        <f t="array" ref="K149">IF(AC149="N/A","",_xlfn.IFS(Y149="m2",((AA149/(Z149/AL149))*I149),Y149="m3",((AA149/(Z149/AL149))*I149),Y149="kg",(((AA149*AM149)/(1/AL149))*I149),Y149="ton",(((AA149/1000*AM149)/(1/AL149))*I149),Y149="N/A",""))</f>
        <v>37.124697600000005</v>
      </c>
      <c r="L149" s="114">
        <f t="shared" ref="L149:L150" si="269">IF(M149="","N/A",M149)</f>
        <v>36.979199999999999</v>
      </c>
      <c r="M149" s="152" cm="1">
        <f t="array" ref="M149">(_xlfn.IFS(Y149="m2",((AB149/(Z149/AL149))*I149),Y149="m3",((AB149/(Z149/AL149))*I149),Y149="kg",(((AB149*AM149)/(1/AL149))*I149),Y149="ton",(((AB149/1000*AM149)/(1/AL149))*I149),Y149="N/A",""))</f>
        <v>36.979199999999999</v>
      </c>
      <c r="N149" s="52">
        <f t="shared" ref="N149:N150" si="270">IF(O149="","N/A",O149)</f>
        <v>0.14549759999999998</v>
      </c>
      <c r="O149" s="148" cm="1">
        <f t="array" ref="O149">IF(AC149="N/A","",(_xlfn.IFS(Y149="m2",((AC149/(Z149/AL149))*I149),Y149="m3",((AC149/(Z149/AL149))*I149),Y149="kg",(((AC149*AM149)/(1/AL149))*I149),Y149="ton",(((AC149/1000*AM149)/(1/AL149))*I149),Y149="N/A","")))</f>
        <v>0.14549759999999998</v>
      </c>
      <c r="P149" s="52" t="str">
        <f t="shared" ref="P149:P150" si="271">IF(Q149="","N/A",Q149)</f>
        <v>N/A</v>
      </c>
      <c r="Q149" s="155" t="str" cm="1">
        <f t="array" ref="Q149">IF(AE149="N/A","",_xlfn.IFS(Y149="m2",((AE149/(Z149/AL149))*I149),Y149="m3",((AE149/(Z149/AL149))*I149),Y149="kg",(((AE149*AM149)/(1/AL149))*I149),Y149="ton",(((AE149/1000*AM149)/(1/AL149))*I149),Y149="N/A",""))</f>
        <v/>
      </c>
      <c r="R149" s="221" t="s">
        <v>5</v>
      </c>
      <c r="S149" s="47" t="s">
        <v>377</v>
      </c>
      <c r="T149" s="47">
        <v>2027</v>
      </c>
      <c r="U149" s="47" t="s">
        <v>14</v>
      </c>
      <c r="V149" s="47">
        <v>150</v>
      </c>
      <c r="W149" s="47"/>
      <c r="X149" s="47" t="s">
        <v>968</v>
      </c>
      <c r="Y149" s="47" t="s">
        <v>234</v>
      </c>
      <c r="Z149" s="47" t="s">
        <v>191</v>
      </c>
      <c r="AA149" s="52">
        <f t="shared" si="226"/>
        <v>214.84200000000001</v>
      </c>
      <c r="AB149" s="52">
        <v>214</v>
      </c>
      <c r="AC149" s="52">
        <f>0.703+0.139</f>
        <v>0.84199999999999997</v>
      </c>
      <c r="AD149" s="52">
        <v>-2.64</v>
      </c>
      <c r="AE149" s="47" t="s">
        <v>191</v>
      </c>
      <c r="AF149" s="69"/>
      <c r="AG149" s="103" t="str">
        <f t="shared" ref="AG149" si="272">AH149&amp;" "&amp;AI149</f>
        <v xml:space="preserve">A1 </v>
      </c>
      <c r="AH149" s="75" t="s">
        <v>58</v>
      </c>
      <c r="AI149" s="76"/>
      <c r="AJ149" s="103"/>
      <c r="AK149" s="73"/>
      <c r="AL149" s="47">
        <v>0.108</v>
      </c>
      <c r="AM149" s="47">
        <f>(1400+1800)/2</f>
        <v>1600</v>
      </c>
      <c r="AN149" s="47"/>
      <c r="AO149" s="269" t="s">
        <v>17</v>
      </c>
      <c r="AP149" s="110"/>
      <c r="AQ149" s="73"/>
      <c r="AR149" s="25"/>
    </row>
    <row r="150" spans="1:44" ht="25.2" customHeight="1" x14ac:dyDescent="0.15">
      <c r="A150" s="85" t="s">
        <v>971</v>
      </c>
      <c r="B150" s="47" t="s">
        <v>210</v>
      </c>
      <c r="C150" s="47"/>
      <c r="D150" s="47" t="s">
        <v>944</v>
      </c>
      <c r="E150" s="47" t="s">
        <v>146</v>
      </c>
      <c r="F150" s="47" t="s">
        <v>43</v>
      </c>
      <c r="G150" s="47"/>
      <c r="H150" s="47"/>
      <c r="I150" s="111">
        <v>1</v>
      </c>
      <c r="J150" s="114">
        <f t="shared" si="225"/>
        <v>13.215797999999998</v>
      </c>
      <c r="K150" s="152" cm="1">
        <f t="array" ref="K150">IF(AC150="N/A","",_xlfn.IFS(Y150="m2",((AA150/(Z150/AL150))*I150),Y150="m3",((AA150/(Z150/AL150))*I150),Y150="kg",(((AA150*AM150)/(1/AL150))*I150),Y150="ton",(((AA150/1000*AM150)/(1/AL150))*I150),Y150="N/A",""))</f>
        <v>13.215797999999998</v>
      </c>
      <c r="L150" s="114">
        <f t="shared" si="269"/>
        <v>13.215797999999998</v>
      </c>
      <c r="M150" s="152" cm="1">
        <f t="array" ref="M150">(_xlfn.IFS(Y150="m2",((AB150/(Z150/AL150))*I150),Y150="m3",((AB150/(Z150/AL150))*I150),Y150="kg",(((AB150*AM150)/(1/AL150))*I150),Y150="ton",(((AB150/1000*AM150)/(1/AL150))*I150),Y150="N/A",""))</f>
        <v>13.215797999999998</v>
      </c>
      <c r="N150" s="52">
        <f t="shared" si="270"/>
        <v>0</v>
      </c>
      <c r="O150" s="148" cm="1">
        <f t="array" ref="O150">IF(AC150="N/A","",(_xlfn.IFS(Y150="m2",((AC150/(Z150/AL150))*I150),Y150="m3",((AC150/(Z150/AL150))*I150),Y150="kg",(((AC150*AM150)/(1/AL150))*I150),Y150="ton",(((AC150/1000*AM150)/(1/AL150))*I150),Y150="N/A","")))</f>
        <v>0</v>
      </c>
      <c r="P150" s="52" t="str">
        <f t="shared" si="271"/>
        <v>N/A</v>
      </c>
      <c r="Q150" s="155" t="str" cm="1">
        <f t="array" ref="Q150">IF(AE150="N/A","",_xlfn.IFS(Y150="m2",((AE150/(Z150/AL150))*I150),Y150="m3",((AE150/(Z150/AL150))*I150),Y150="kg",(((AE150*AM150)/(1/AL150))*I150),Y150="ton",(((AE150/1000*AM150)/(1/AL150))*I150),Y150="N/A",""))</f>
        <v/>
      </c>
      <c r="R150" s="221" t="s">
        <v>5</v>
      </c>
      <c r="S150" s="47" t="s">
        <v>377</v>
      </c>
      <c r="T150" s="47">
        <v>2026</v>
      </c>
      <c r="U150" s="47" t="s">
        <v>14</v>
      </c>
      <c r="V150" s="47">
        <v>150</v>
      </c>
      <c r="W150" s="47"/>
      <c r="X150" s="47" t="s">
        <v>972</v>
      </c>
      <c r="Y150" s="47" t="s">
        <v>234</v>
      </c>
      <c r="Z150" s="47" t="s">
        <v>191</v>
      </c>
      <c r="AA150" s="52">
        <f t="shared" si="226"/>
        <v>76.599999999999994</v>
      </c>
      <c r="AB150" s="52">
        <v>76.599999999999994</v>
      </c>
      <c r="AC150" s="52"/>
      <c r="AD150" s="52"/>
      <c r="AE150" s="47" t="s">
        <v>191</v>
      </c>
      <c r="AF150" s="69"/>
      <c r="AG150" s="103" t="str">
        <f t="shared" si="242"/>
        <v xml:space="preserve">A1 </v>
      </c>
      <c r="AH150" s="232" t="s">
        <v>58</v>
      </c>
      <c r="AI150" s="231"/>
      <c r="AJ150" s="47"/>
      <c r="AK150" s="73"/>
      <c r="AL150" s="47">
        <v>0.108</v>
      </c>
      <c r="AM150" s="116">
        <f>(1575+1620)/2</f>
        <v>1597.5</v>
      </c>
      <c r="AN150" s="47"/>
      <c r="AO150" s="269" t="s">
        <v>17</v>
      </c>
      <c r="AP150" s="110"/>
      <c r="AQ150" s="73"/>
      <c r="AR150" s="25"/>
    </row>
    <row r="151" spans="1:44" ht="25.2" customHeight="1" x14ac:dyDescent="0.15">
      <c r="A151" s="47" t="s">
        <v>1115</v>
      </c>
      <c r="B151" s="47" t="s">
        <v>210</v>
      </c>
      <c r="C151" s="47"/>
      <c r="D151" s="47" t="s">
        <v>1114</v>
      </c>
      <c r="E151" s="47" t="s">
        <v>191</v>
      </c>
      <c r="F151" s="47" t="s">
        <v>259</v>
      </c>
      <c r="G151" s="47"/>
      <c r="H151" s="47"/>
      <c r="I151" s="111">
        <v>1</v>
      </c>
      <c r="J151" s="114">
        <f t="shared" ref="J151" si="273">IF(AC151="N/A","N/A",IF(K151="","N/A",K151))</f>
        <v>8.4996922999999995</v>
      </c>
      <c r="K151" s="152" cm="1">
        <f t="array" ref="K151">IF(AC151="N/A","",_xlfn.IFS(Y151="m2",((AA151/(Z151/AL151))*I151),Y151="m3",((AA151/(Z151/AL151))*I151),Y151="kg",(((AA151*AM151)/(1/AL151))*I151),Y151="ton",(((AA151/1000*AM151)/(1/AL151))*I151),Y151="N/A",""))</f>
        <v>8.4996922999999995</v>
      </c>
      <c r="L151" s="114">
        <f t="shared" ref="L151" si="274">IF(M151="","N/A",M151)</f>
        <v>7.1349</v>
      </c>
      <c r="M151" s="152" cm="1">
        <f t="array" ref="M151">(_xlfn.IFS(Y151="m2",((AB151/(Z151/AL151))*I151),Y151="m3",((AB151/(Z151/AL151))*I151),Y151="kg",(((AB151*AM151)/(1/AL151))*I151),Y151="ton",(((AB151/1000*AM151)/(1/AL151))*I151),Y151="N/A",""))</f>
        <v>7.1349</v>
      </c>
      <c r="N151" s="52">
        <f t="shared" ref="N151" si="275">IF(O151="","N/A",O151)</f>
        <v>1.3647923</v>
      </c>
      <c r="O151" s="148" cm="1">
        <f t="array" ref="O151">IF(AC151="N/A","",(_xlfn.IFS(Y151="m2",((AC151/(Z151/AL151))*I151),Y151="m3",((AC151/(Z151/AL151))*I151),Y151="kg",(((AC151*AM151)/(1/AL151))*I151),Y151="ton",(((AC151/1000*AM151)/(1/AL151))*I151),Y151="N/A","")))</f>
        <v>1.3647923</v>
      </c>
      <c r="P151" s="52">
        <f t="shared" ref="P151" si="276">IF(Q151="","N/A",Q151)</f>
        <v>-0.44713552999999995</v>
      </c>
      <c r="Q151" s="155" cm="1">
        <f t="array" ref="Q151">IF(AE151="N/A","",_xlfn.IFS(Y151="m2",((AE151/(Z151/AL151))*I151),Y151="m3",((AE151/(Z151/AL151))*I151),Y151="kg",(((AE151*AM151)/(1/AL151))*I151),Y151="ton",(((AE151/1000*AM151)/(1/AL151))*I151),Y151="N/A",""))</f>
        <v>-0.44713552999999995</v>
      </c>
      <c r="R151" s="221" t="s">
        <v>5</v>
      </c>
      <c r="S151" s="47"/>
      <c r="T151" s="47">
        <v>2027</v>
      </c>
      <c r="U151" s="47" t="s">
        <v>28</v>
      </c>
      <c r="V151" s="47"/>
      <c r="W151" s="47"/>
      <c r="X151" s="47"/>
      <c r="Y151" s="47" t="s">
        <v>61</v>
      </c>
      <c r="Z151" s="47" t="s">
        <v>191</v>
      </c>
      <c r="AA151" s="52">
        <f t="shared" si="226"/>
        <v>4.9998190000000005</v>
      </c>
      <c r="AB151" s="52">
        <f>3.75+0.105+0.342</f>
        <v>4.1970000000000001</v>
      </c>
      <c r="AC151" s="52">
        <f>0.000819+0.802</f>
        <v>0.80281900000000006</v>
      </c>
      <c r="AD151" s="52">
        <v>-1.05</v>
      </c>
      <c r="AE151" s="52">
        <f>0.00091+0.0000691+-0.264</f>
        <v>-0.2630209</v>
      </c>
      <c r="AF151" s="69"/>
      <c r="AG151" s="103" t="str">
        <f t="shared" si="242"/>
        <v>B s1
d0</v>
      </c>
      <c r="AH151" s="122" t="s">
        <v>178</v>
      </c>
      <c r="AI151" s="124" t="s">
        <v>176</v>
      </c>
      <c r="AJ151" s="73"/>
      <c r="AK151" s="73"/>
      <c r="AL151" s="47">
        <v>0.01</v>
      </c>
      <c r="AM151" s="47">
        <f>1.7*1/AL151</f>
        <v>170</v>
      </c>
      <c r="AN151" s="47"/>
      <c r="AO151" s="269" t="s">
        <v>17</v>
      </c>
      <c r="AP151" s="110"/>
      <c r="AQ151" s="73"/>
      <c r="AR151" s="25"/>
    </row>
    <row r="152" spans="1:44" ht="25.2" customHeight="1" x14ac:dyDescent="0.15">
      <c r="A152" s="47" t="s">
        <v>1119</v>
      </c>
      <c r="B152" s="47" t="s">
        <v>210</v>
      </c>
      <c r="C152" s="47"/>
      <c r="D152" s="47" t="s">
        <v>1116</v>
      </c>
      <c r="E152" s="47" t="s">
        <v>143</v>
      </c>
      <c r="F152" s="47" t="s">
        <v>339</v>
      </c>
      <c r="G152" s="47"/>
      <c r="H152" s="47"/>
      <c r="I152" s="111">
        <v>1</v>
      </c>
      <c r="J152" s="114">
        <f t="shared" ref="J152:J153" si="277">IF(AC152="N/A","N/A",IF(K152="","N/A",K152))</f>
        <v>28.741824000000005</v>
      </c>
      <c r="K152" s="152" cm="1">
        <f t="array" ref="K152">IF(AC152="N/A","",_xlfn.IFS(Y152="m2",((AA152/(Z152/AL152))*I152),Y152="m3",((AA152/(Z152/AL152))*I152),Y152="kg",(((AA152*AM152)/(1/AL152))*I152),Y152="ton",(((AA152/1000*AM152)/(1/AL152))*I152),Y152="N/A",""))</f>
        <v>28.741824000000005</v>
      </c>
      <c r="L152" s="114">
        <f t="shared" ref="L152:L153" si="278">IF(M152="","N/A",M152)</f>
        <v>28.728000000000002</v>
      </c>
      <c r="M152" s="152" cm="1">
        <f t="array" ref="M152">(_xlfn.IFS(Y152="m2",((AB152/(Z152/AL152))*I152),Y152="m3",((AB152/(Z152/AL152))*I152),Y152="kg",(((AB152*AM152)/(1/AL152))*I152),Y152="ton",(((AB152/1000*AM152)/(1/AL152))*I152),Y152="N/A",""))</f>
        <v>28.728000000000002</v>
      </c>
      <c r="N152" s="52">
        <f t="shared" ref="N152:N153" si="279">IF(O152="","N/A",O152)</f>
        <v>1.3823999999999999E-2</v>
      </c>
      <c r="O152" s="148" cm="1">
        <f t="array" ref="O152">IF(AC152="N/A","",(_xlfn.IFS(Y152="m2",((AC152/(Z152/AL152))*I152),Y152="m3",((AC152/(Z152/AL152))*I152),Y152="kg",(((AC152*AM152)/(1/AL152))*I152),Y152="ton",(((AC152/1000*AM152)/(1/AL152))*I152),Y152="N/A","")))</f>
        <v>1.3823999999999999E-2</v>
      </c>
      <c r="P152" s="52" t="str">
        <f t="shared" ref="P152:P153" si="280">IF(Q152="","N/A",Q152)</f>
        <v>N/A</v>
      </c>
      <c r="Q152" s="155" t="str" cm="1">
        <f t="array" ref="Q152">IF(AE152="N/A","",_xlfn.IFS(Y152="m2",((AE152/(Z152/AL152))*I152),Y152="m3",((AE152/(Z152/AL152))*I152),Y152="kg",(((AE152*AM152)/(1/AL152))*I152),Y152="ton",(((AE152/1000*AM152)/(1/AL152))*I152),Y152="N/A",""))</f>
        <v/>
      </c>
      <c r="R152" s="186" t="s">
        <v>5</v>
      </c>
      <c r="S152" s="47"/>
      <c r="T152" s="47">
        <v>2023</v>
      </c>
      <c r="U152" s="47" t="s">
        <v>14</v>
      </c>
      <c r="V152" s="47">
        <v>50</v>
      </c>
      <c r="W152" s="47"/>
      <c r="X152" s="47" t="s">
        <v>1117</v>
      </c>
      <c r="Y152" s="47" t="s">
        <v>61</v>
      </c>
      <c r="Z152" s="47" t="s">
        <v>191</v>
      </c>
      <c r="AA152" s="52">
        <f t="shared" si="226"/>
        <v>3.9919200000000004</v>
      </c>
      <c r="AB152" s="47">
        <v>3.99</v>
      </c>
      <c r="AC152" s="52">
        <f>0.00192</f>
        <v>1.92E-3</v>
      </c>
      <c r="AD152" s="52">
        <v>-2.69</v>
      </c>
      <c r="AE152" s="47" t="s">
        <v>191</v>
      </c>
      <c r="AF152" s="69"/>
      <c r="AG152" s="103" t="str">
        <f t="shared" si="242"/>
        <v xml:space="preserve">A1 </v>
      </c>
      <c r="AH152" s="122" t="s">
        <v>58</v>
      </c>
      <c r="AI152" s="267"/>
      <c r="AJ152" s="73"/>
      <c r="AK152" s="73"/>
      <c r="AL152" s="47">
        <v>1E-3</v>
      </c>
      <c r="AM152" s="47">
        <v>7200</v>
      </c>
      <c r="AN152" s="47"/>
      <c r="AO152" s="269" t="s">
        <v>17</v>
      </c>
      <c r="AP152" s="110"/>
      <c r="AQ152" s="73"/>
      <c r="AR152" s="25"/>
    </row>
    <row r="153" spans="1:44" ht="25.2" customHeight="1" x14ac:dyDescent="0.15">
      <c r="A153" s="47" t="s">
        <v>1118</v>
      </c>
      <c r="B153" s="47" t="s">
        <v>210</v>
      </c>
      <c r="C153" s="47"/>
      <c r="D153" s="47" t="s">
        <v>1116</v>
      </c>
      <c r="E153" s="47" t="s">
        <v>143</v>
      </c>
      <c r="F153" s="47" t="s">
        <v>339</v>
      </c>
      <c r="G153" s="47"/>
      <c r="H153" s="47"/>
      <c r="I153" s="111">
        <v>1</v>
      </c>
      <c r="J153" s="114">
        <f t="shared" si="277"/>
        <v>22.045824</v>
      </c>
      <c r="K153" s="152" cm="1">
        <f t="array" ref="K153">IF(AC153="N/A","",_xlfn.IFS(Y153="m2",((AA153/(Z153/AL153))*I153),Y153="m3",((AA153/(Z153/AL153))*I153),Y153="kg",(((AA153*AM153)/(1/AL153))*I153),Y153="ton",(((AA153/1000*AM153)/(1/AL153))*I153),Y153="N/A",""))</f>
        <v>22.045824</v>
      </c>
      <c r="L153" s="114">
        <f t="shared" si="278"/>
        <v>22.032</v>
      </c>
      <c r="M153" s="152" cm="1">
        <f t="array" ref="M153">(_xlfn.IFS(Y153="m2",((AB153/(Z153/AL153))*I153),Y153="m3",((AB153/(Z153/AL153))*I153),Y153="kg",(((AB153*AM153)/(1/AL153))*I153),Y153="ton",(((AB153/1000*AM153)/(1/AL153))*I153),Y153="N/A",""))</f>
        <v>22.032</v>
      </c>
      <c r="N153" s="52">
        <f t="shared" si="279"/>
        <v>1.3823999999999999E-2</v>
      </c>
      <c r="O153" s="148" cm="1">
        <f t="array" ref="O153">IF(AC153="N/A","",(_xlfn.IFS(Y153="m2",((AC153/(Z153/AL153))*I153),Y153="m3",((AC153/(Z153/AL153))*I153),Y153="kg",(((AC153*AM153)/(1/AL153))*I153),Y153="ton",(((AC153/1000*AM153)/(1/AL153))*I153),Y153="N/A","")))</f>
        <v>1.3823999999999999E-2</v>
      </c>
      <c r="P153" s="52" t="str">
        <f t="shared" si="280"/>
        <v>N/A</v>
      </c>
      <c r="Q153" s="155" t="str" cm="1">
        <f t="array" ref="Q153">IF(AE153="N/A","",_xlfn.IFS(Y153="m2",((AE153/(Z153/AL153))*I153),Y153="m3",((AE153/(Z153/AL153))*I153),Y153="kg",(((AE153*AM153)/(1/AL153))*I153),Y153="ton",(((AE153/1000*AM153)/(1/AL153))*I153),Y153="N/A",""))</f>
        <v/>
      </c>
      <c r="R153" s="186" t="s">
        <v>5</v>
      </c>
      <c r="S153" s="47"/>
      <c r="T153" s="47">
        <v>2023</v>
      </c>
      <c r="U153" s="47" t="s">
        <v>14</v>
      </c>
      <c r="V153" s="47">
        <v>50</v>
      </c>
      <c r="W153" s="47"/>
      <c r="X153" s="47" t="s">
        <v>1120</v>
      </c>
      <c r="Y153" s="47" t="s">
        <v>61</v>
      </c>
      <c r="Z153" s="47" t="s">
        <v>191</v>
      </c>
      <c r="AA153" s="52">
        <f t="shared" si="226"/>
        <v>3.0619200000000002</v>
      </c>
      <c r="AB153" s="47">
        <v>3.06</v>
      </c>
      <c r="AC153" s="52">
        <f>0.00192</f>
        <v>1.92E-3</v>
      </c>
      <c r="AD153" s="52">
        <v>-2.27</v>
      </c>
      <c r="AE153" s="47" t="s">
        <v>191</v>
      </c>
      <c r="AF153" s="69"/>
      <c r="AG153" s="103" t="str">
        <f t="shared" si="242"/>
        <v xml:space="preserve">A1 </v>
      </c>
      <c r="AH153" s="122" t="s">
        <v>58</v>
      </c>
      <c r="AI153" s="267"/>
      <c r="AJ153" s="73"/>
      <c r="AK153" s="73"/>
      <c r="AL153" s="47">
        <v>1E-3</v>
      </c>
      <c r="AM153" s="47">
        <v>7200</v>
      </c>
      <c r="AN153" s="47"/>
      <c r="AO153" s="269" t="s">
        <v>17</v>
      </c>
      <c r="AP153" s="110"/>
      <c r="AQ153" s="73"/>
      <c r="AR153" s="25"/>
    </row>
    <row r="154" spans="1:44" ht="25.2" customHeight="1" x14ac:dyDescent="0.15">
      <c r="A154" s="47"/>
      <c r="B154" s="47"/>
      <c r="C154" s="47"/>
      <c r="D154" s="47"/>
      <c r="E154" s="47"/>
      <c r="F154" s="47"/>
      <c r="G154" s="47"/>
      <c r="H154" s="47"/>
      <c r="I154" s="111"/>
      <c r="J154" s="52"/>
      <c r="K154" s="148"/>
      <c r="L154" s="52"/>
      <c r="M154" s="148"/>
      <c r="N154" s="52"/>
      <c r="O154" s="148"/>
      <c r="P154" s="52"/>
      <c r="Q154" s="15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52"/>
      <c r="AD154" s="52"/>
      <c r="AE154" s="47"/>
      <c r="AF154" s="69"/>
      <c r="AG154" s="103" t="str">
        <f t="shared" si="242"/>
        <v xml:space="preserve"> </v>
      </c>
      <c r="AH154" s="122"/>
      <c r="AI154" s="267"/>
      <c r="AJ154" s="73"/>
      <c r="AK154" s="73"/>
      <c r="AL154" s="47"/>
      <c r="AM154" s="47"/>
      <c r="AN154" s="47"/>
      <c r="AO154" s="47"/>
      <c r="AP154" s="47"/>
      <c r="AQ154" s="47"/>
      <c r="AR154" s="25"/>
    </row>
    <row r="155" spans="1:44" ht="25.2" customHeight="1" x14ac:dyDescent="0.15">
      <c r="A155" s="186"/>
      <c r="B155" s="47"/>
      <c r="C155" s="47"/>
      <c r="D155" s="47"/>
      <c r="E155" s="47"/>
      <c r="F155" s="47"/>
      <c r="G155" s="47"/>
      <c r="H155" s="47"/>
      <c r="I155" s="111"/>
      <c r="J155" s="52"/>
      <c r="K155" s="148"/>
      <c r="L155" s="52"/>
      <c r="M155" s="148"/>
      <c r="N155" s="52"/>
      <c r="O155" s="148"/>
      <c r="P155" s="52"/>
      <c r="Q155" s="15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52"/>
      <c r="AD155" s="52"/>
      <c r="AE155" s="47"/>
      <c r="AF155" s="69"/>
      <c r="AG155" s="103" t="str">
        <f t="shared" si="242"/>
        <v xml:space="preserve"> </v>
      </c>
      <c r="AH155" s="122"/>
      <c r="AI155" s="267"/>
      <c r="AJ155" s="73"/>
      <c r="AK155" s="73"/>
      <c r="AL155" s="47"/>
      <c r="AM155" s="47"/>
      <c r="AN155" s="47"/>
      <c r="AO155" s="47"/>
      <c r="AP155" s="47"/>
      <c r="AQ155" s="47"/>
      <c r="AR155" s="25"/>
    </row>
    <row r="156" spans="1:44" ht="25.2" customHeight="1" x14ac:dyDescent="0.15">
      <c r="A156" s="186"/>
      <c r="B156" s="47"/>
      <c r="C156" s="47"/>
      <c r="D156" s="47"/>
      <c r="E156" s="47"/>
      <c r="F156" s="47"/>
      <c r="G156" s="47"/>
      <c r="H156" s="47"/>
      <c r="I156" s="111"/>
      <c r="J156" s="52"/>
      <c r="K156" s="148"/>
      <c r="L156" s="52"/>
      <c r="M156" s="148"/>
      <c r="N156" s="52"/>
      <c r="O156" s="148"/>
      <c r="P156" s="52"/>
      <c r="Q156" s="15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52"/>
      <c r="AD156" s="52"/>
      <c r="AE156" s="47"/>
      <c r="AF156" s="69"/>
      <c r="AG156" s="103" t="str">
        <f t="shared" si="242"/>
        <v xml:space="preserve"> </v>
      </c>
      <c r="AH156" s="122"/>
      <c r="AI156" s="267"/>
      <c r="AJ156" s="73"/>
      <c r="AK156" s="73"/>
      <c r="AL156" s="47"/>
      <c r="AM156" s="47"/>
      <c r="AN156" s="47"/>
      <c r="AO156" s="47"/>
      <c r="AP156" s="47"/>
      <c r="AQ156" s="47"/>
      <c r="AR156" s="25"/>
    </row>
    <row r="157" spans="1:44" ht="25.2" customHeight="1" x14ac:dyDescent="0.15">
      <c r="A157" s="47"/>
      <c r="B157" s="47"/>
      <c r="C157" s="47"/>
      <c r="D157" s="47"/>
      <c r="E157" s="47"/>
      <c r="F157" s="47"/>
      <c r="G157" s="47"/>
      <c r="H157" s="47"/>
      <c r="I157" s="111"/>
      <c r="J157" s="52"/>
      <c r="K157" s="148"/>
      <c r="L157" s="52"/>
      <c r="M157" s="148"/>
      <c r="N157" s="52"/>
      <c r="O157" s="148"/>
      <c r="P157" s="52"/>
      <c r="Q157" s="15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52"/>
      <c r="AD157" s="52"/>
      <c r="AE157" s="47"/>
      <c r="AF157" s="69"/>
      <c r="AG157" s="103" t="str">
        <f t="shared" si="242"/>
        <v xml:space="preserve"> </v>
      </c>
      <c r="AH157" s="122"/>
      <c r="AI157" s="267"/>
      <c r="AJ157" s="73"/>
      <c r="AK157" s="73"/>
      <c r="AL157" s="47"/>
      <c r="AM157" s="47"/>
      <c r="AN157" s="47"/>
      <c r="AO157" s="47"/>
      <c r="AP157" s="47"/>
      <c r="AQ157" s="47"/>
      <c r="AR157" s="25"/>
    </row>
    <row r="158" spans="1:44" ht="25.2" customHeight="1" x14ac:dyDescent="0.15">
      <c r="A158" s="47"/>
      <c r="B158" s="47"/>
      <c r="C158" s="47"/>
      <c r="D158" s="47"/>
      <c r="E158" s="47"/>
      <c r="F158" s="47"/>
      <c r="G158" s="47"/>
      <c r="H158" s="47"/>
      <c r="I158" s="111"/>
      <c r="J158" s="52"/>
      <c r="K158" s="148"/>
      <c r="L158" s="52"/>
      <c r="M158" s="148"/>
      <c r="N158" s="52"/>
      <c r="O158" s="148"/>
      <c r="P158" s="52"/>
      <c r="Q158" s="15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52"/>
      <c r="AD158" s="52"/>
      <c r="AE158" s="47"/>
      <c r="AF158" s="69"/>
      <c r="AG158" s="103" t="str">
        <f t="shared" si="242"/>
        <v xml:space="preserve"> </v>
      </c>
      <c r="AH158" s="111"/>
      <c r="AI158" s="224"/>
      <c r="AJ158" s="73"/>
      <c r="AK158" s="73"/>
      <c r="AL158" s="47"/>
      <c r="AM158" s="47"/>
      <c r="AN158" s="47"/>
      <c r="AO158" s="47"/>
      <c r="AP158" s="47"/>
      <c r="AQ158" s="47"/>
      <c r="AR158" s="25"/>
    </row>
    <row r="159" spans="1:44" ht="25.2" customHeight="1" x14ac:dyDescent="0.15">
      <c r="A159" s="47"/>
      <c r="B159" s="47"/>
      <c r="C159" s="47"/>
      <c r="D159" s="47"/>
      <c r="E159" s="47"/>
      <c r="F159" s="47"/>
      <c r="G159" s="47"/>
      <c r="H159" s="47"/>
      <c r="I159" s="111"/>
      <c r="J159" s="52"/>
      <c r="K159" s="148"/>
      <c r="L159" s="52"/>
      <c r="M159" s="148"/>
      <c r="N159" s="52"/>
      <c r="O159" s="148"/>
      <c r="P159" s="52"/>
      <c r="Q159" s="15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52"/>
      <c r="AD159" s="52"/>
      <c r="AE159" s="47"/>
      <c r="AF159" s="69"/>
      <c r="AG159" s="103" t="str">
        <f t="shared" si="242"/>
        <v xml:space="preserve"> </v>
      </c>
      <c r="AH159" s="111"/>
      <c r="AI159" s="224"/>
      <c r="AJ159" s="73"/>
      <c r="AK159" s="73"/>
      <c r="AL159" s="47"/>
      <c r="AM159" s="47"/>
      <c r="AN159" s="47"/>
      <c r="AO159" s="47"/>
      <c r="AP159" s="47"/>
      <c r="AQ159" s="47"/>
      <c r="AR159" s="25"/>
    </row>
    <row r="160" spans="1:44" ht="25.2" customHeight="1" x14ac:dyDescent="0.15">
      <c r="A160" s="47"/>
      <c r="B160" s="47"/>
      <c r="C160" s="47"/>
      <c r="D160" s="47"/>
      <c r="E160" s="47"/>
      <c r="F160" s="47"/>
      <c r="G160" s="47"/>
      <c r="H160" s="47"/>
      <c r="I160" s="111"/>
      <c r="J160" s="52"/>
      <c r="K160" s="148"/>
      <c r="L160" s="52"/>
      <c r="M160" s="148"/>
      <c r="N160" s="52"/>
      <c r="O160" s="148"/>
      <c r="P160" s="52"/>
      <c r="Q160" s="15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52"/>
      <c r="AD160" s="52"/>
      <c r="AE160" s="47"/>
      <c r="AF160" s="69"/>
      <c r="AG160" s="103" t="str">
        <f t="shared" si="242"/>
        <v xml:space="preserve"> </v>
      </c>
      <c r="AH160" s="111"/>
      <c r="AI160" s="224"/>
      <c r="AJ160" s="73"/>
      <c r="AK160" s="73"/>
      <c r="AL160" s="47"/>
      <c r="AM160" s="47"/>
      <c r="AN160" s="47"/>
      <c r="AO160" s="47"/>
      <c r="AP160" s="47"/>
      <c r="AQ160" s="47"/>
      <c r="AR160" s="25"/>
    </row>
    <row r="161" spans="1:44" ht="25.2" customHeight="1" x14ac:dyDescent="0.15">
      <c r="A161" s="47"/>
      <c r="B161" s="47"/>
      <c r="C161" s="47"/>
      <c r="D161" s="47"/>
      <c r="E161" s="47"/>
      <c r="F161" s="47"/>
      <c r="G161" s="47"/>
      <c r="H161" s="47"/>
      <c r="I161" s="111"/>
      <c r="J161" s="52"/>
      <c r="K161" s="148"/>
      <c r="L161" s="52"/>
      <c r="M161" s="148"/>
      <c r="N161" s="52"/>
      <c r="O161" s="148"/>
      <c r="P161" s="52"/>
      <c r="Q161" s="15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52"/>
      <c r="AD161" s="52"/>
      <c r="AE161" s="47"/>
      <c r="AF161" s="69"/>
      <c r="AG161" s="103" t="str">
        <f t="shared" si="242"/>
        <v xml:space="preserve"> </v>
      </c>
      <c r="AH161" s="225"/>
      <c r="AI161" s="226"/>
      <c r="AJ161" s="47"/>
      <c r="AK161" s="73"/>
      <c r="AL161" s="47"/>
      <c r="AM161" s="47"/>
      <c r="AN161" s="47"/>
      <c r="AO161" s="47"/>
      <c r="AP161" s="47"/>
      <c r="AQ161" s="47"/>
      <c r="AR161" s="25"/>
    </row>
    <row r="162" spans="1:44" ht="25.2" customHeight="1" x14ac:dyDescent="0.15">
      <c r="A162" s="47"/>
      <c r="B162" s="47"/>
      <c r="C162" s="47"/>
      <c r="D162" s="47"/>
      <c r="E162" s="47"/>
      <c r="F162" s="47"/>
      <c r="G162" s="47"/>
      <c r="H162" s="47"/>
      <c r="I162" s="111"/>
      <c r="J162" s="52"/>
      <c r="K162" s="148"/>
      <c r="L162" s="52"/>
      <c r="M162" s="148"/>
      <c r="N162" s="52"/>
      <c r="O162" s="148"/>
      <c r="P162" s="52"/>
      <c r="Q162" s="15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52"/>
      <c r="AD162" s="52"/>
      <c r="AE162" s="47"/>
      <c r="AF162" s="69"/>
      <c r="AG162" s="103" t="str">
        <f t="shared" si="242"/>
        <v xml:space="preserve"> </v>
      </c>
      <c r="AH162" s="111"/>
      <c r="AI162" s="224"/>
      <c r="AJ162" s="47"/>
      <c r="AK162" s="73"/>
      <c r="AL162" s="47"/>
      <c r="AM162" s="47"/>
      <c r="AN162" s="47"/>
      <c r="AO162" s="47"/>
      <c r="AP162" s="47"/>
      <c r="AQ162" s="47"/>
      <c r="AR162" s="25"/>
    </row>
    <row r="163" spans="1:44" ht="25.2" customHeight="1" x14ac:dyDescent="0.15">
      <c r="A163" s="47"/>
      <c r="B163" s="47"/>
      <c r="C163" s="47"/>
      <c r="D163" s="47"/>
      <c r="E163" s="47"/>
      <c r="F163" s="47"/>
      <c r="G163" s="47"/>
      <c r="H163" s="47"/>
      <c r="I163" s="111"/>
      <c r="J163" s="52"/>
      <c r="K163" s="148"/>
      <c r="L163" s="52"/>
      <c r="M163" s="148"/>
      <c r="N163" s="52"/>
      <c r="O163" s="148"/>
      <c r="P163" s="52"/>
      <c r="Q163" s="15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52"/>
      <c r="AD163" s="52"/>
      <c r="AE163" s="47"/>
      <c r="AF163" s="69"/>
      <c r="AG163" s="103" t="str">
        <f t="shared" si="242"/>
        <v xml:space="preserve"> </v>
      </c>
      <c r="AH163" s="111"/>
      <c r="AI163" s="224"/>
      <c r="AJ163" s="47"/>
      <c r="AK163" s="73"/>
      <c r="AL163" s="47"/>
      <c r="AM163" s="47"/>
      <c r="AN163" s="47"/>
      <c r="AO163" s="47"/>
      <c r="AP163" s="47"/>
      <c r="AQ163" s="47"/>
      <c r="AR163" s="25"/>
    </row>
    <row r="164" spans="1:44" ht="25.2" customHeight="1" x14ac:dyDescent="0.15">
      <c r="A164" s="47"/>
      <c r="B164" s="47"/>
      <c r="C164" s="47"/>
      <c r="D164" s="47"/>
      <c r="E164" s="47"/>
      <c r="F164" s="47"/>
      <c r="G164" s="47"/>
      <c r="H164" s="47"/>
      <c r="I164" s="111"/>
      <c r="J164" s="52"/>
      <c r="K164" s="148"/>
      <c r="L164" s="52"/>
      <c r="M164" s="148"/>
      <c r="N164" s="52"/>
      <c r="O164" s="148"/>
      <c r="P164" s="52"/>
      <c r="Q164" s="15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52"/>
      <c r="AD164" s="52"/>
      <c r="AE164" s="47"/>
      <c r="AF164" s="69"/>
      <c r="AG164" s="103" t="str">
        <f t="shared" si="242"/>
        <v xml:space="preserve"> </v>
      </c>
      <c r="AH164" s="111"/>
      <c r="AI164" s="224"/>
      <c r="AJ164" s="47"/>
      <c r="AK164" s="73"/>
      <c r="AL164" s="47"/>
      <c r="AM164" s="47"/>
      <c r="AN164" s="47"/>
      <c r="AO164" s="47"/>
      <c r="AP164" s="47"/>
      <c r="AQ164" s="47"/>
      <c r="AR164" s="25"/>
    </row>
    <row r="165" spans="1:44" ht="25.2" customHeight="1" x14ac:dyDescent="0.15">
      <c r="A165" s="47"/>
      <c r="B165" s="47"/>
      <c r="C165" s="47"/>
      <c r="D165" s="47"/>
      <c r="E165" s="47"/>
      <c r="F165" s="47"/>
      <c r="G165" s="47"/>
      <c r="H165" s="47"/>
      <c r="I165" s="111"/>
      <c r="J165" s="52"/>
      <c r="K165" s="148"/>
      <c r="L165" s="52"/>
      <c r="M165" s="148"/>
      <c r="N165" s="52"/>
      <c r="O165" s="148"/>
      <c r="P165" s="52"/>
      <c r="Q165" s="15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52"/>
      <c r="AD165" s="52"/>
      <c r="AE165" s="47"/>
      <c r="AF165" s="69"/>
      <c r="AG165" s="103" t="str">
        <f t="shared" si="242"/>
        <v xml:space="preserve"> </v>
      </c>
      <c r="AH165" s="111"/>
      <c r="AI165" s="224"/>
      <c r="AJ165" s="47"/>
      <c r="AK165" s="73"/>
      <c r="AL165" s="47"/>
      <c r="AM165" s="47"/>
      <c r="AN165" s="47"/>
      <c r="AO165" s="47"/>
      <c r="AP165" s="47"/>
      <c r="AQ165" s="47"/>
      <c r="AR165" s="25"/>
    </row>
    <row r="166" spans="1:44" ht="25.2" customHeight="1" x14ac:dyDescent="0.15">
      <c r="A166" s="47"/>
      <c r="B166" s="47"/>
      <c r="C166" s="47"/>
      <c r="D166" s="47"/>
      <c r="E166" s="47"/>
      <c r="F166" s="47"/>
      <c r="G166" s="47"/>
      <c r="H166" s="47"/>
      <c r="I166" s="111"/>
      <c r="J166" s="52"/>
      <c r="K166" s="148"/>
      <c r="L166" s="52"/>
      <c r="M166" s="148"/>
      <c r="N166" s="52"/>
      <c r="O166" s="148"/>
      <c r="P166" s="52"/>
      <c r="Q166" s="15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52"/>
      <c r="AD166" s="52"/>
      <c r="AE166" s="47"/>
      <c r="AF166" s="69"/>
      <c r="AG166" s="103" t="str">
        <f t="shared" si="242"/>
        <v xml:space="preserve"> </v>
      </c>
      <c r="AH166" s="111"/>
      <c r="AI166" s="224"/>
      <c r="AJ166" s="47"/>
      <c r="AK166" s="73"/>
      <c r="AL166" s="47"/>
      <c r="AM166" s="47"/>
      <c r="AN166" s="47"/>
      <c r="AO166" s="47"/>
      <c r="AP166" s="47"/>
      <c r="AQ166" s="47"/>
      <c r="AR166" s="25"/>
    </row>
    <row r="167" spans="1:44" ht="25.2" customHeight="1" x14ac:dyDescent="0.15">
      <c r="A167" s="47"/>
      <c r="B167" s="47"/>
      <c r="C167" s="47"/>
      <c r="D167" s="47"/>
      <c r="E167" s="47"/>
      <c r="F167" s="47"/>
      <c r="G167" s="47"/>
      <c r="H167" s="47"/>
      <c r="I167" s="111"/>
      <c r="J167" s="52"/>
      <c r="K167" s="148"/>
      <c r="L167" s="52"/>
      <c r="M167" s="148"/>
      <c r="N167" s="52"/>
      <c r="O167" s="148"/>
      <c r="P167" s="52"/>
      <c r="Q167" s="15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52"/>
      <c r="AD167" s="52"/>
      <c r="AE167" s="47"/>
      <c r="AF167" s="69"/>
      <c r="AG167" s="103" t="str">
        <f t="shared" si="242"/>
        <v xml:space="preserve"> </v>
      </c>
      <c r="AH167" s="111"/>
      <c r="AI167" s="224"/>
      <c r="AJ167" s="47"/>
      <c r="AK167" s="73"/>
      <c r="AL167" s="47"/>
      <c r="AM167" s="47"/>
      <c r="AN167" s="47"/>
      <c r="AO167" s="47"/>
      <c r="AP167" s="47"/>
      <c r="AQ167" s="47"/>
      <c r="AR167" s="25"/>
    </row>
    <row r="168" spans="1:44" ht="25.2" customHeight="1" x14ac:dyDescent="0.15">
      <c r="A168" s="47"/>
      <c r="B168" s="47"/>
      <c r="C168" s="47"/>
      <c r="D168" s="47"/>
      <c r="E168" s="47"/>
      <c r="F168" s="47"/>
      <c r="G168" s="47"/>
      <c r="H168" s="47"/>
      <c r="I168" s="111"/>
      <c r="J168" s="52"/>
      <c r="K168" s="148"/>
      <c r="L168" s="52"/>
      <c r="M168" s="148"/>
      <c r="N168" s="52"/>
      <c r="O168" s="148"/>
      <c r="P168" s="52"/>
      <c r="Q168" s="15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52"/>
      <c r="AD168" s="52"/>
      <c r="AE168" s="47"/>
      <c r="AF168" s="69"/>
      <c r="AG168" s="103" t="str">
        <f t="shared" si="242"/>
        <v xml:space="preserve"> </v>
      </c>
      <c r="AH168" s="111"/>
      <c r="AI168" s="224"/>
      <c r="AJ168" s="47"/>
      <c r="AK168" s="73"/>
      <c r="AL168" s="47"/>
      <c r="AM168" s="47"/>
      <c r="AN168" s="47"/>
      <c r="AO168" s="47"/>
      <c r="AP168" s="47"/>
      <c r="AQ168" s="47"/>
      <c r="AR168" s="25"/>
    </row>
    <row r="169" spans="1:44" ht="25.2" customHeight="1" x14ac:dyDescent="0.15">
      <c r="A169" s="47"/>
      <c r="B169" s="47"/>
      <c r="C169" s="47"/>
      <c r="D169" s="47"/>
      <c r="E169" s="47"/>
      <c r="F169" s="47"/>
      <c r="G169" s="47"/>
      <c r="H169" s="47"/>
      <c r="I169" s="111"/>
      <c r="J169" s="52"/>
      <c r="K169" s="148"/>
      <c r="L169" s="52"/>
      <c r="M169" s="148"/>
      <c r="N169" s="52"/>
      <c r="O169" s="148"/>
      <c r="P169" s="52"/>
      <c r="Q169" s="15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52"/>
      <c r="AD169" s="52"/>
      <c r="AE169" s="47"/>
      <c r="AF169" s="69"/>
      <c r="AG169" s="103" t="str">
        <f t="shared" si="242"/>
        <v xml:space="preserve"> </v>
      </c>
      <c r="AH169" s="111"/>
      <c r="AI169" s="224"/>
      <c r="AJ169" s="47"/>
      <c r="AK169" s="73"/>
      <c r="AL169" s="47"/>
      <c r="AM169" s="47"/>
      <c r="AN169" s="47"/>
      <c r="AO169" s="47"/>
      <c r="AP169" s="47"/>
      <c r="AQ169" s="47"/>
      <c r="AR169" s="25"/>
    </row>
    <row r="170" spans="1:44" ht="25.2" customHeight="1" x14ac:dyDescent="0.15">
      <c r="A170" s="47"/>
      <c r="B170" s="47"/>
      <c r="C170" s="47"/>
      <c r="D170" s="47"/>
      <c r="E170" s="47"/>
      <c r="F170" s="47"/>
      <c r="G170" s="47"/>
      <c r="H170" s="47"/>
      <c r="I170" s="111"/>
      <c r="J170" s="52"/>
      <c r="K170" s="148"/>
      <c r="L170" s="52"/>
      <c r="M170" s="148"/>
      <c r="N170" s="52"/>
      <c r="O170" s="148"/>
      <c r="P170" s="52"/>
      <c r="Q170" s="15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52"/>
      <c r="AD170" s="52"/>
      <c r="AE170" s="47"/>
      <c r="AF170" s="69"/>
      <c r="AG170" s="103" t="str">
        <f t="shared" si="242"/>
        <v xml:space="preserve"> </v>
      </c>
      <c r="AH170" s="111"/>
      <c r="AI170" s="224"/>
      <c r="AJ170" s="47"/>
      <c r="AK170" s="73"/>
      <c r="AL170" s="47"/>
      <c r="AM170" s="47"/>
      <c r="AN170" s="47"/>
      <c r="AO170" s="47"/>
      <c r="AP170" s="47"/>
      <c r="AQ170" s="47"/>
      <c r="AR170" s="25"/>
    </row>
    <row r="171" spans="1:44" ht="25.2" customHeight="1" x14ac:dyDescent="0.15">
      <c r="A171" s="47"/>
      <c r="B171" s="47"/>
      <c r="C171" s="47"/>
      <c r="D171" s="47"/>
      <c r="E171" s="47"/>
      <c r="F171" s="47"/>
      <c r="G171" s="47"/>
      <c r="H171" s="47"/>
      <c r="I171" s="111"/>
      <c r="J171" s="52"/>
      <c r="K171" s="148"/>
      <c r="L171" s="52"/>
      <c r="M171" s="148"/>
      <c r="N171" s="52"/>
      <c r="O171" s="148"/>
      <c r="P171" s="52"/>
      <c r="Q171" s="15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52"/>
      <c r="AD171" s="52"/>
      <c r="AE171" s="47"/>
      <c r="AF171" s="69"/>
      <c r="AG171" s="103" t="str">
        <f t="shared" si="242"/>
        <v xml:space="preserve"> </v>
      </c>
      <c r="AH171" s="111"/>
      <c r="AI171" s="224"/>
      <c r="AJ171" s="47"/>
      <c r="AK171" s="73"/>
      <c r="AL171" s="47"/>
      <c r="AM171" s="47"/>
      <c r="AN171" s="47"/>
      <c r="AO171" s="47"/>
      <c r="AP171" s="47"/>
      <c r="AQ171" s="47"/>
      <c r="AR171" s="25"/>
    </row>
    <row r="172" spans="1:44" ht="25.2" customHeight="1" x14ac:dyDescent="0.15">
      <c r="A172" s="47"/>
      <c r="B172" s="47"/>
      <c r="C172" s="47"/>
      <c r="D172" s="47"/>
      <c r="E172" s="47"/>
      <c r="F172" s="47"/>
      <c r="G172" s="47"/>
      <c r="H172" s="47"/>
      <c r="I172" s="111"/>
      <c r="J172" s="52"/>
      <c r="K172" s="148"/>
      <c r="L172" s="52"/>
      <c r="M172" s="148"/>
      <c r="N172" s="52"/>
      <c r="O172" s="148"/>
      <c r="P172" s="52"/>
      <c r="Q172" s="15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52"/>
      <c r="AD172" s="52"/>
      <c r="AE172" s="47"/>
      <c r="AF172" s="69"/>
      <c r="AG172" s="103" t="str">
        <f t="shared" si="242"/>
        <v xml:space="preserve"> </v>
      </c>
      <c r="AH172" s="111"/>
      <c r="AI172" s="224"/>
      <c r="AJ172" s="47"/>
      <c r="AK172" s="73"/>
      <c r="AL172" s="47"/>
      <c r="AM172" s="47"/>
      <c r="AN172" s="47"/>
      <c r="AO172" s="47"/>
      <c r="AP172" s="47"/>
      <c r="AQ172" s="47"/>
      <c r="AR172" s="25"/>
    </row>
    <row r="173" spans="1:44" ht="25.2" customHeight="1" x14ac:dyDescent="0.15">
      <c r="A173" s="47"/>
      <c r="B173" s="47"/>
      <c r="C173" s="47"/>
      <c r="D173" s="47"/>
      <c r="E173" s="47"/>
      <c r="F173" s="47"/>
      <c r="G173" s="47"/>
      <c r="H173" s="47"/>
      <c r="I173" s="111"/>
      <c r="J173" s="52"/>
      <c r="K173" s="148"/>
      <c r="L173" s="52"/>
      <c r="M173" s="148"/>
      <c r="N173" s="52"/>
      <c r="O173" s="148"/>
      <c r="P173" s="52"/>
      <c r="Q173" s="15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52"/>
      <c r="AD173" s="52"/>
      <c r="AE173" s="47"/>
      <c r="AF173" s="69"/>
      <c r="AG173" s="103" t="str">
        <f t="shared" si="242"/>
        <v xml:space="preserve"> </v>
      </c>
      <c r="AH173" s="111"/>
      <c r="AI173" s="224"/>
      <c r="AJ173" s="47"/>
      <c r="AK173" s="73"/>
      <c r="AL173" s="47"/>
      <c r="AM173" s="47"/>
      <c r="AN173" s="47"/>
      <c r="AO173" s="47"/>
      <c r="AP173" s="47"/>
      <c r="AQ173" s="47"/>
      <c r="AR173" s="25"/>
    </row>
    <row r="174" spans="1:44" ht="25.2" customHeight="1" x14ac:dyDescent="0.15">
      <c r="A174" s="47"/>
      <c r="B174" s="47"/>
      <c r="C174" s="47"/>
      <c r="D174" s="47"/>
      <c r="E174" s="47"/>
      <c r="F174" s="47"/>
      <c r="G174" s="47"/>
      <c r="H174" s="47"/>
      <c r="I174" s="111"/>
      <c r="J174" s="52"/>
      <c r="K174" s="148"/>
      <c r="L174" s="52"/>
      <c r="M174" s="148"/>
      <c r="N174" s="52"/>
      <c r="O174" s="148"/>
      <c r="P174" s="52"/>
      <c r="Q174" s="15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52"/>
      <c r="AD174" s="52"/>
      <c r="AE174" s="47"/>
      <c r="AF174" s="69"/>
      <c r="AG174" s="103" t="str">
        <f t="shared" si="242"/>
        <v xml:space="preserve"> </v>
      </c>
      <c r="AH174" s="111"/>
      <c r="AI174" s="224"/>
      <c r="AJ174" s="47"/>
      <c r="AK174" s="73"/>
      <c r="AL174" s="47"/>
      <c r="AM174" s="47"/>
      <c r="AN174" s="47"/>
      <c r="AO174" s="47"/>
      <c r="AP174" s="47"/>
      <c r="AQ174" s="47"/>
      <c r="AR174" s="25"/>
    </row>
    <row r="175" spans="1:44" ht="25.2" customHeight="1" x14ac:dyDescent="0.15">
      <c r="A175" s="47"/>
      <c r="B175" s="47"/>
      <c r="C175" s="47"/>
      <c r="D175" s="47"/>
      <c r="E175" s="47"/>
      <c r="F175" s="47"/>
      <c r="G175" s="47"/>
      <c r="H175" s="47"/>
      <c r="I175" s="111"/>
      <c r="J175" s="52"/>
      <c r="K175" s="148"/>
      <c r="L175" s="52"/>
      <c r="M175" s="148"/>
      <c r="N175" s="52"/>
      <c r="O175" s="148"/>
      <c r="P175" s="52"/>
      <c r="Q175" s="15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52"/>
      <c r="AD175" s="52"/>
      <c r="AE175" s="47"/>
      <c r="AF175" s="69"/>
      <c r="AG175" s="103" t="str">
        <f t="shared" si="242"/>
        <v xml:space="preserve"> </v>
      </c>
      <c r="AH175" s="111"/>
      <c r="AI175" s="224"/>
      <c r="AJ175" s="47"/>
      <c r="AK175" s="73"/>
      <c r="AL175" s="47"/>
      <c r="AM175" s="47"/>
      <c r="AN175" s="47"/>
      <c r="AO175" s="47"/>
      <c r="AP175" s="47"/>
      <c r="AQ175" s="47"/>
      <c r="AR175" s="25"/>
    </row>
    <row r="176" spans="1:44" ht="25.2" customHeight="1" x14ac:dyDescent="0.15">
      <c r="A176" s="47"/>
      <c r="B176" s="47"/>
      <c r="C176" s="47"/>
      <c r="D176" s="47"/>
      <c r="E176" s="47"/>
      <c r="F176" s="47"/>
      <c r="G176" s="47"/>
      <c r="H176" s="47"/>
      <c r="I176" s="111"/>
      <c r="J176" s="52"/>
      <c r="K176" s="148"/>
      <c r="L176" s="52"/>
      <c r="M176" s="148"/>
      <c r="N176" s="52"/>
      <c r="O176" s="148"/>
      <c r="P176" s="52"/>
      <c r="Q176" s="15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52"/>
      <c r="AD176" s="52"/>
      <c r="AE176" s="47"/>
      <c r="AF176" s="69"/>
      <c r="AG176" s="103" t="str">
        <f t="shared" si="242"/>
        <v xml:space="preserve"> </v>
      </c>
      <c r="AH176" s="111"/>
      <c r="AI176" s="224"/>
      <c r="AJ176" s="47"/>
      <c r="AK176" s="73"/>
      <c r="AL176" s="47"/>
      <c r="AM176" s="47"/>
      <c r="AN176" s="47"/>
      <c r="AO176" s="47"/>
      <c r="AP176" s="47"/>
      <c r="AQ176" s="47"/>
      <c r="AR176" s="25"/>
    </row>
    <row r="177" spans="1:44" ht="25.2" customHeight="1" x14ac:dyDescent="0.15">
      <c r="A177" s="47"/>
      <c r="B177" s="47"/>
      <c r="C177" s="47"/>
      <c r="D177" s="47"/>
      <c r="E177" s="47"/>
      <c r="F177" s="47"/>
      <c r="G177" s="47"/>
      <c r="H177" s="47"/>
      <c r="I177" s="111"/>
      <c r="J177" s="52"/>
      <c r="K177" s="148"/>
      <c r="L177" s="52"/>
      <c r="M177" s="148"/>
      <c r="N177" s="52"/>
      <c r="O177" s="148"/>
      <c r="P177" s="52"/>
      <c r="Q177" s="15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52"/>
      <c r="AD177" s="52"/>
      <c r="AE177" s="47"/>
      <c r="AF177" s="69"/>
      <c r="AG177" s="103" t="str">
        <f t="shared" si="242"/>
        <v xml:space="preserve"> </v>
      </c>
      <c r="AH177" s="111"/>
      <c r="AI177" s="224"/>
      <c r="AJ177" s="47"/>
      <c r="AK177" s="73"/>
      <c r="AL177" s="47"/>
      <c r="AM177" s="47"/>
      <c r="AN177" s="47"/>
      <c r="AO177" s="47"/>
      <c r="AP177" s="47"/>
      <c r="AQ177" s="47"/>
      <c r="AR177" s="25"/>
    </row>
    <row r="178" spans="1:44" ht="25.2" customHeight="1" x14ac:dyDescent="0.15">
      <c r="A178" s="47"/>
      <c r="B178" s="47"/>
      <c r="C178" s="47"/>
      <c r="D178" s="47"/>
      <c r="E178" s="47"/>
      <c r="F178" s="47"/>
      <c r="G178" s="47"/>
      <c r="H178" s="47"/>
      <c r="I178" s="111"/>
      <c r="J178" s="52"/>
      <c r="K178" s="148"/>
      <c r="L178" s="52"/>
      <c r="M178" s="148"/>
      <c r="N178" s="52"/>
      <c r="O178" s="148"/>
      <c r="P178" s="52"/>
      <c r="Q178" s="15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52"/>
      <c r="AD178" s="52"/>
      <c r="AE178" s="47"/>
      <c r="AF178" s="69"/>
      <c r="AG178" s="103" t="str">
        <f t="shared" si="242"/>
        <v xml:space="preserve"> </v>
      </c>
      <c r="AH178" s="111"/>
      <c r="AI178" s="224"/>
      <c r="AJ178" s="47"/>
      <c r="AK178" s="73"/>
      <c r="AL178" s="47"/>
      <c r="AM178" s="47"/>
      <c r="AN178" s="47"/>
      <c r="AO178" s="47"/>
      <c r="AP178" s="47"/>
      <c r="AQ178" s="47"/>
      <c r="AR178" s="25"/>
    </row>
    <row r="179" spans="1:44" ht="25.2" customHeight="1" x14ac:dyDescent="0.15">
      <c r="A179" s="47"/>
      <c r="B179" s="47"/>
      <c r="C179" s="47"/>
      <c r="D179" s="47"/>
      <c r="E179" s="47"/>
      <c r="F179" s="47"/>
      <c r="G179" s="47"/>
      <c r="H179" s="47"/>
      <c r="I179" s="111"/>
      <c r="J179" s="52"/>
      <c r="K179" s="148"/>
      <c r="L179" s="52"/>
      <c r="M179" s="148"/>
      <c r="N179" s="52"/>
      <c r="O179" s="148"/>
      <c r="P179" s="52"/>
      <c r="Q179" s="15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52"/>
      <c r="AD179" s="52"/>
      <c r="AE179" s="47"/>
      <c r="AF179" s="69"/>
      <c r="AG179" s="103" t="str">
        <f t="shared" si="242"/>
        <v xml:space="preserve"> </v>
      </c>
      <c r="AH179" s="111"/>
      <c r="AI179" s="224"/>
      <c r="AJ179" s="47"/>
      <c r="AK179" s="73"/>
      <c r="AL179" s="47"/>
      <c r="AM179" s="47"/>
      <c r="AN179" s="47"/>
      <c r="AO179" s="47"/>
      <c r="AP179" s="47"/>
      <c r="AQ179" s="47"/>
      <c r="AR179" s="25"/>
    </row>
    <row r="180" spans="1:44" ht="25.2" customHeight="1" x14ac:dyDescent="0.15">
      <c r="A180" s="47"/>
      <c r="B180" s="47"/>
      <c r="C180" s="47"/>
      <c r="D180" s="47"/>
      <c r="E180" s="47"/>
      <c r="F180" s="47"/>
      <c r="G180" s="47"/>
      <c r="H180" s="47"/>
      <c r="I180" s="111"/>
      <c r="J180" s="52"/>
      <c r="K180" s="148"/>
      <c r="L180" s="52"/>
      <c r="M180" s="148"/>
      <c r="N180" s="52"/>
      <c r="O180" s="148"/>
      <c r="P180" s="52"/>
      <c r="Q180" s="15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52"/>
      <c r="AD180" s="52"/>
      <c r="AE180" s="47"/>
      <c r="AF180" s="69"/>
      <c r="AG180" s="103" t="str">
        <f t="shared" si="242"/>
        <v xml:space="preserve"> </v>
      </c>
      <c r="AH180" s="111"/>
      <c r="AI180" s="224"/>
      <c r="AJ180" s="47"/>
      <c r="AK180" s="73"/>
      <c r="AL180" s="47"/>
      <c r="AM180" s="47"/>
      <c r="AN180" s="47"/>
      <c r="AO180" s="47"/>
      <c r="AP180" s="47"/>
      <c r="AQ180" s="47"/>
      <c r="AR180" s="25"/>
    </row>
    <row r="181" spans="1:44" ht="25.2" customHeight="1" x14ac:dyDescent="0.15">
      <c r="A181" s="47"/>
      <c r="B181" s="47"/>
      <c r="C181" s="47"/>
      <c r="D181" s="47"/>
      <c r="E181" s="47"/>
      <c r="F181" s="47"/>
      <c r="G181" s="47"/>
      <c r="H181" s="47"/>
      <c r="I181" s="111"/>
      <c r="J181" s="52"/>
      <c r="K181" s="148"/>
      <c r="L181" s="52"/>
      <c r="M181" s="148"/>
      <c r="N181" s="52"/>
      <c r="O181" s="148"/>
      <c r="P181" s="52"/>
      <c r="Q181" s="15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52"/>
      <c r="AD181" s="52"/>
      <c r="AE181" s="47"/>
      <c r="AF181" s="69"/>
      <c r="AG181" s="103" t="str">
        <f t="shared" si="242"/>
        <v xml:space="preserve"> </v>
      </c>
      <c r="AH181" s="111"/>
      <c r="AI181" s="224"/>
      <c r="AJ181" s="47"/>
      <c r="AK181" s="73"/>
      <c r="AL181" s="47"/>
      <c r="AM181" s="47"/>
      <c r="AN181" s="47"/>
      <c r="AO181" s="47"/>
      <c r="AP181" s="47"/>
      <c r="AQ181" s="47"/>
      <c r="AR181" s="25"/>
    </row>
    <row r="182" spans="1:44" ht="25.2" customHeight="1" x14ac:dyDescent="0.15">
      <c r="A182" s="47"/>
      <c r="B182" s="47"/>
      <c r="C182" s="47"/>
      <c r="D182" s="47"/>
      <c r="E182" s="47"/>
      <c r="F182" s="47"/>
      <c r="G182" s="47"/>
      <c r="H182" s="47"/>
      <c r="I182" s="111"/>
      <c r="J182" s="52"/>
      <c r="K182" s="148"/>
      <c r="L182" s="52"/>
      <c r="M182" s="148"/>
      <c r="N182" s="52"/>
      <c r="O182" s="148"/>
      <c r="P182" s="52"/>
      <c r="Q182" s="15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52"/>
      <c r="AD182" s="52"/>
      <c r="AE182" s="47"/>
      <c r="AF182" s="69"/>
      <c r="AG182" s="103" t="str">
        <f t="shared" si="242"/>
        <v xml:space="preserve"> </v>
      </c>
      <c r="AH182" s="111"/>
      <c r="AI182" s="224"/>
      <c r="AJ182" s="47"/>
      <c r="AK182" s="73"/>
      <c r="AL182" s="47"/>
      <c r="AM182" s="47"/>
      <c r="AN182" s="47"/>
      <c r="AO182" s="47"/>
      <c r="AP182" s="47"/>
      <c r="AQ182" s="47"/>
      <c r="AR182" s="25"/>
    </row>
    <row r="183" spans="1:44" ht="25.2" customHeight="1" x14ac:dyDescent="0.15">
      <c r="A183" s="47"/>
      <c r="B183" s="47"/>
      <c r="C183" s="47"/>
      <c r="D183" s="47"/>
      <c r="E183" s="47"/>
      <c r="F183" s="47"/>
      <c r="G183" s="47"/>
      <c r="H183" s="47"/>
      <c r="I183" s="111"/>
      <c r="J183" s="52"/>
      <c r="K183" s="148"/>
      <c r="L183" s="52"/>
      <c r="M183" s="148"/>
      <c r="N183" s="52"/>
      <c r="O183" s="148"/>
      <c r="P183" s="52"/>
      <c r="Q183" s="15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52"/>
      <c r="AD183" s="52"/>
      <c r="AE183" s="47"/>
      <c r="AF183" s="69"/>
      <c r="AG183" s="103" t="str">
        <f t="shared" si="242"/>
        <v xml:space="preserve"> </v>
      </c>
      <c r="AH183" s="111"/>
      <c r="AI183" s="224"/>
      <c r="AJ183" s="47"/>
      <c r="AK183" s="73"/>
      <c r="AL183" s="47"/>
      <c r="AM183" s="47"/>
      <c r="AN183" s="47"/>
      <c r="AO183" s="47"/>
      <c r="AP183" s="47"/>
      <c r="AQ183" s="47"/>
      <c r="AR183" s="25"/>
    </row>
    <row r="184" spans="1:44" ht="25.2" customHeight="1" x14ac:dyDescent="0.15">
      <c r="A184" s="47"/>
      <c r="B184" s="47"/>
      <c r="C184" s="47"/>
      <c r="D184" s="47"/>
      <c r="E184" s="47"/>
      <c r="F184" s="47"/>
      <c r="G184" s="47"/>
      <c r="H184" s="47"/>
      <c r="I184" s="111"/>
      <c r="J184" s="52"/>
      <c r="K184" s="148"/>
      <c r="L184" s="52"/>
      <c r="M184" s="148"/>
      <c r="N184" s="52"/>
      <c r="O184" s="148"/>
      <c r="P184" s="52"/>
      <c r="Q184" s="15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52"/>
      <c r="AD184" s="52"/>
      <c r="AE184" s="47"/>
      <c r="AF184" s="69"/>
      <c r="AG184" s="103" t="str">
        <f t="shared" si="242"/>
        <v xml:space="preserve"> </v>
      </c>
      <c r="AH184" s="111"/>
      <c r="AI184" s="224"/>
      <c r="AJ184" s="47"/>
      <c r="AK184" s="73"/>
      <c r="AL184" s="47"/>
      <c r="AM184" s="47"/>
      <c r="AN184" s="47"/>
      <c r="AO184" s="47"/>
      <c r="AP184" s="47"/>
      <c r="AQ184" s="47"/>
      <c r="AR184" s="25"/>
    </row>
    <row r="185" spans="1:44" ht="25.2" customHeight="1" x14ac:dyDescent="0.15">
      <c r="A185" s="47"/>
      <c r="B185" s="47"/>
      <c r="C185" s="47"/>
      <c r="D185" s="47"/>
      <c r="E185" s="47"/>
      <c r="F185" s="47"/>
      <c r="G185" s="47"/>
      <c r="H185" s="47"/>
      <c r="I185" s="111"/>
      <c r="J185" s="52"/>
      <c r="K185" s="148"/>
      <c r="L185" s="52"/>
      <c r="M185" s="148"/>
      <c r="N185" s="52"/>
      <c r="O185" s="148"/>
      <c r="P185" s="52"/>
      <c r="Q185" s="15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52"/>
      <c r="AD185" s="52"/>
      <c r="AE185" s="47"/>
      <c r="AF185" s="69"/>
      <c r="AG185" s="103" t="str">
        <f t="shared" si="242"/>
        <v xml:space="preserve"> </v>
      </c>
      <c r="AH185" s="111"/>
      <c r="AI185" s="224"/>
      <c r="AJ185" s="47"/>
      <c r="AK185" s="73"/>
      <c r="AL185" s="47"/>
      <c r="AM185" s="47"/>
      <c r="AN185" s="47"/>
      <c r="AO185" s="47"/>
      <c r="AP185" s="47"/>
      <c r="AQ185" s="47"/>
      <c r="AR185" s="25"/>
    </row>
    <row r="186" spans="1:44" ht="25.2" customHeight="1" x14ac:dyDescent="0.15">
      <c r="A186" s="47"/>
      <c r="B186" s="47"/>
      <c r="C186" s="47"/>
      <c r="D186" s="47"/>
      <c r="E186" s="47"/>
      <c r="F186" s="47"/>
      <c r="G186" s="47"/>
      <c r="H186" s="47"/>
      <c r="I186" s="111"/>
      <c r="J186" s="52"/>
      <c r="K186" s="148"/>
      <c r="L186" s="52"/>
      <c r="M186" s="148"/>
      <c r="N186" s="52"/>
      <c r="O186" s="148"/>
      <c r="P186" s="52"/>
      <c r="Q186" s="15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52"/>
      <c r="AD186" s="52"/>
      <c r="AE186" s="47"/>
      <c r="AF186" s="69"/>
      <c r="AG186" s="103" t="str">
        <f t="shared" si="242"/>
        <v xml:space="preserve"> </v>
      </c>
      <c r="AH186" s="111"/>
      <c r="AI186" s="224"/>
      <c r="AJ186" s="47"/>
      <c r="AK186" s="73"/>
      <c r="AL186" s="47"/>
      <c r="AM186" s="47"/>
      <c r="AN186" s="47"/>
      <c r="AO186" s="47"/>
      <c r="AP186" s="47"/>
      <c r="AQ186" s="47"/>
      <c r="AR186" s="25"/>
    </row>
    <row r="187" spans="1:44" ht="25.2" customHeight="1" x14ac:dyDescent="0.15">
      <c r="A187" s="47"/>
      <c r="B187" s="47"/>
      <c r="C187" s="47"/>
      <c r="D187" s="47"/>
      <c r="E187" s="47"/>
      <c r="F187" s="47"/>
      <c r="G187" s="47"/>
      <c r="H187" s="47"/>
      <c r="I187" s="111"/>
      <c r="J187" s="52"/>
      <c r="K187" s="148"/>
      <c r="L187" s="52"/>
      <c r="M187" s="148"/>
      <c r="N187" s="52"/>
      <c r="O187" s="148"/>
      <c r="P187" s="52"/>
      <c r="Q187" s="15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52"/>
      <c r="AD187" s="52"/>
      <c r="AE187" s="47"/>
      <c r="AF187" s="69"/>
      <c r="AG187" s="103" t="str">
        <f t="shared" si="242"/>
        <v xml:space="preserve"> </v>
      </c>
      <c r="AH187" s="111"/>
      <c r="AI187" s="224"/>
      <c r="AJ187" s="47"/>
      <c r="AK187" s="73"/>
      <c r="AL187" s="47"/>
      <c r="AM187" s="47"/>
      <c r="AN187" s="47"/>
      <c r="AO187" s="47"/>
      <c r="AP187" s="47"/>
      <c r="AQ187" s="47"/>
      <c r="AR187" s="25"/>
    </row>
    <row r="188" spans="1:44" ht="25.2" customHeight="1" x14ac:dyDescent="0.15">
      <c r="A188" s="47"/>
      <c r="B188" s="47"/>
      <c r="C188" s="47"/>
      <c r="D188" s="47"/>
      <c r="E188" s="47"/>
      <c r="F188" s="47"/>
      <c r="G188" s="47"/>
      <c r="H188" s="47"/>
      <c r="I188" s="111"/>
      <c r="J188" s="52"/>
      <c r="K188" s="148"/>
      <c r="L188" s="52"/>
      <c r="M188" s="148"/>
      <c r="N188" s="52"/>
      <c r="O188" s="148"/>
      <c r="P188" s="52"/>
      <c r="Q188" s="15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52"/>
      <c r="AD188" s="52"/>
      <c r="AE188" s="47"/>
      <c r="AF188" s="69"/>
      <c r="AG188" s="103" t="str">
        <f t="shared" si="242"/>
        <v xml:space="preserve"> </v>
      </c>
      <c r="AH188" s="111"/>
      <c r="AI188" s="224"/>
      <c r="AJ188" s="47"/>
      <c r="AK188" s="73"/>
      <c r="AL188" s="47"/>
      <c r="AM188" s="47"/>
      <c r="AN188" s="47"/>
      <c r="AO188" s="47"/>
      <c r="AP188" s="47"/>
      <c r="AQ188" s="47"/>
      <c r="AR188" s="25"/>
    </row>
    <row r="189" spans="1:44" ht="25.2" customHeight="1" x14ac:dyDescent="0.15">
      <c r="A189" s="47"/>
      <c r="B189" s="47"/>
      <c r="C189" s="47"/>
      <c r="D189" s="47"/>
      <c r="E189" s="47"/>
      <c r="F189" s="47"/>
      <c r="G189" s="47"/>
      <c r="H189" s="47"/>
      <c r="I189" s="111"/>
      <c r="J189" s="52"/>
      <c r="K189" s="148"/>
      <c r="L189" s="52"/>
      <c r="M189" s="148"/>
      <c r="N189" s="52"/>
      <c r="O189" s="148"/>
      <c r="P189" s="52"/>
      <c r="Q189" s="15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52"/>
      <c r="AD189" s="52"/>
      <c r="AE189" s="47"/>
      <c r="AF189" s="69"/>
      <c r="AG189" s="103" t="str">
        <f t="shared" si="242"/>
        <v xml:space="preserve"> </v>
      </c>
      <c r="AH189" s="111"/>
      <c r="AI189" s="224"/>
      <c r="AJ189" s="47"/>
      <c r="AK189" s="73"/>
      <c r="AL189" s="47"/>
      <c r="AM189" s="47"/>
      <c r="AN189" s="47"/>
      <c r="AO189" s="47"/>
      <c r="AP189" s="47"/>
      <c r="AQ189" s="47"/>
      <c r="AR189" s="25"/>
    </row>
    <row r="190" spans="1:44" ht="25.2" customHeight="1" x14ac:dyDescent="0.15">
      <c r="A190" s="47"/>
      <c r="B190" s="47"/>
      <c r="C190" s="47"/>
      <c r="D190" s="47"/>
      <c r="E190" s="47"/>
      <c r="F190" s="47"/>
      <c r="G190" s="47"/>
      <c r="H190" s="47"/>
      <c r="I190" s="111"/>
      <c r="J190" s="52"/>
      <c r="K190" s="148"/>
      <c r="L190" s="52"/>
      <c r="M190" s="148"/>
      <c r="N190" s="52"/>
      <c r="O190" s="148"/>
      <c r="P190" s="52"/>
      <c r="Q190" s="15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52"/>
      <c r="AD190" s="52"/>
      <c r="AE190" s="47"/>
      <c r="AF190" s="69"/>
      <c r="AG190" s="103" t="str">
        <f t="shared" si="242"/>
        <v xml:space="preserve"> </v>
      </c>
      <c r="AH190" s="111"/>
      <c r="AI190" s="224"/>
      <c r="AJ190" s="47"/>
      <c r="AK190" s="73"/>
      <c r="AL190" s="47"/>
      <c r="AM190" s="47"/>
      <c r="AN190" s="47"/>
      <c r="AO190" s="47"/>
      <c r="AP190" s="47"/>
      <c r="AQ190" s="47"/>
      <c r="AR190" s="25"/>
    </row>
    <row r="191" spans="1:44" ht="25.2" customHeight="1" x14ac:dyDescent="0.15">
      <c r="A191" s="47"/>
      <c r="B191" s="47"/>
      <c r="C191" s="47"/>
      <c r="D191" s="47"/>
      <c r="E191" s="47"/>
      <c r="F191" s="47"/>
      <c r="G191" s="47"/>
      <c r="H191" s="47"/>
      <c r="I191" s="111"/>
      <c r="J191" s="52"/>
      <c r="K191" s="148"/>
      <c r="L191" s="52"/>
      <c r="M191" s="148"/>
      <c r="N191" s="52"/>
      <c r="O191" s="148"/>
      <c r="P191" s="52"/>
      <c r="Q191" s="15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52"/>
      <c r="AD191" s="52"/>
      <c r="AE191" s="47"/>
      <c r="AF191" s="69"/>
      <c r="AG191" s="103" t="str">
        <f t="shared" si="242"/>
        <v xml:space="preserve"> </v>
      </c>
      <c r="AH191" s="111"/>
      <c r="AI191" s="224"/>
      <c r="AJ191" s="47"/>
      <c r="AK191" s="73"/>
      <c r="AL191" s="47"/>
      <c r="AM191" s="47"/>
      <c r="AN191" s="47"/>
      <c r="AO191" s="47"/>
      <c r="AP191" s="47"/>
      <c r="AQ191" s="47"/>
      <c r="AR191" s="25"/>
    </row>
    <row r="192" spans="1:44" ht="25.2" customHeight="1" x14ac:dyDescent="0.15">
      <c r="A192" s="47"/>
      <c r="B192" s="47"/>
      <c r="C192" s="47"/>
      <c r="D192" s="47"/>
      <c r="E192" s="47"/>
      <c r="F192" s="47"/>
      <c r="G192" s="47"/>
      <c r="H192" s="47"/>
      <c r="I192" s="111"/>
      <c r="J192" s="52"/>
      <c r="K192" s="148"/>
      <c r="L192" s="52"/>
      <c r="M192" s="148"/>
      <c r="N192" s="52"/>
      <c r="O192" s="148"/>
      <c r="P192" s="52"/>
      <c r="Q192" s="15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52"/>
      <c r="AD192" s="52"/>
      <c r="AE192" s="47"/>
      <c r="AF192" s="69"/>
      <c r="AG192" s="103" t="str">
        <f t="shared" si="242"/>
        <v xml:space="preserve"> </v>
      </c>
      <c r="AH192" s="111"/>
      <c r="AI192" s="224"/>
      <c r="AJ192" s="47"/>
      <c r="AK192" s="73"/>
      <c r="AL192" s="47"/>
      <c r="AM192" s="47"/>
      <c r="AN192" s="47"/>
      <c r="AO192" s="47"/>
      <c r="AP192" s="47"/>
      <c r="AQ192" s="47"/>
      <c r="AR192" s="25"/>
    </row>
    <row r="193" spans="1:44" ht="25.2" customHeight="1" x14ac:dyDescent="0.15">
      <c r="A193" s="47"/>
      <c r="B193" s="47"/>
      <c r="C193" s="47"/>
      <c r="D193" s="47"/>
      <c r="E193" s="47"/>
      <c r="F193" s="47"/>
      <c r="G193" s="47"/>
      <c r="H193" s="47"/>
      <c r="I193" s="111"/>
      <c r="J193" s="52"/>
      <c r="K193" s="148"/>
      <c r="L193" s="52"/>
      <c r="M193" s="148"/>
      <c r="N193" s="52"/>
      <c r="O193" s="148"/>
      <c r="P193" s="52"/>
      <c r="Q193" s="15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52"/>
      <c r="AD193" s="52"/>
      <c r="AE193" s="47"/>
      <c r="AF193" s="69"/>
      <c r="AG193" s="103" t="str">
        <f t="shared" si="242"/>
        <v xml:space="preserve"> </v>
      </c>
      <c r="AH193" s="111"/>
      <c r="AI193" s="224"/>
      <c r="AJ193" s="47"/>
      <c r="AK193" s="73"/>
      <c r="AL193" s="47"/>
      <c r="AM193" s="47"/>
      <c r="AN193" s="47"/>
      <c r="AO193" s="47"/>
      <c r="AP193" s="47"/>
      <c r="AQ193" s="47"/>
      <c r="AR193" s="25"/>
    </row>
    <row r="194" spans="1:44" ht="25.2" customHeight="1" x14ac:dyDescent="0.15">
      <c r="A194" s="47"/>
      <c r="B194" s="47"/>
      <c r="C194" s="47"/>
      <c r="D194" s="47"/>
      <c r="E194" s="47"/>
      <c r="F194" s="47"/>
      <c r="G194" s="47"/>
      <c r="H194" s="47"/>
      <c r="I194" s="111"/>
      <c r="J194" s="52"/>
      <c r="K194" s="148"/>
      <c r="L194" s="52"/>
      <c r="M194" s="148"/>
      <c r="N194" s="52"/>
      <c r="O194" s="148"/>
      <c r="P194" s="52"/>
      <c r="Q194" s="15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52"/>
      <c r="AD194" s="52"/>
      <c r="AE194" s="47"/>
      <c r="AF194" s="69"/>
      <c r="AG194" s="103" t="str">
        <f t="shared" si="242"/>
        <v xml:space="preserve"> </v>
      </c>
      <c r="AH194" s="111"/>
      <c r="AI194" s="224"/>
      <c r="AJ194" s="47"/>
      <c r="AK194" s="73"/>
      <c r="AL194" s="47"/>
      <c r="AM194" s="47"/>
      <c r="AN194" s="47"/>
      <c r="AO194" s="47"/>
      <c r="AP194" s="47"/>
      <c r="AQ194" s="47"/>
      <c r="AR194" s="25"/>
    </row>
    <row r="195" spans="1:44" ht="25.2" customHeight="1" x14ac:dyDescent="0.15">
      <c r="A195" s="47"/>
      <c r="B195" s="47"/>
      <c r="C195" s="47"/>
      <c r="D195" s="47"/>
      <c r="E195" s="47"/>
      <c r="F195" s="47"/>
      <c r="G195" s="47"/>
      <c r="H195" s="47"/>
      <c r="I195" s="111"/>
      <c r="J195" s="52"/>
      <c r="K195" s="148"/>
      <c r="L195" s="52"/>
      <c r="M195" s="148"/>
      <c r="N195" s="52"/>
      <c r="O195" s="148"/>
      <c r="P195" s="52"/>
      <c r="Q195" s="15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52"/>
      <c r="AD195" s="52"/>
      <c r="AE195" s="47"/>
      <c r="AF195" s="69"/>
      <c r="AG195" s="103" t="str">
        <f t="shared" si="242"/>
        <v xml:space="preserve"> </v>
      </c>
      <c r="AH195" s="111"/>
      <c r="AI195" s="224"/>
      <c r="AJ195" s="47"/>
      <c r="AK195" s="73"/>
      <c r="AL195" s="47"/>
      <c r="AM195" s="47"/>
      <c r="AN195" s="47"/>
      <c r="AO195" s="47"/>
      <c r="AP195" s="47"/>
      <c r="AQ195" s="47"/>
      <c r="AR195" s="25"/>
    </row>
    <row r="196" spans="1:44" ht="25.2" customHeight="1" x14ac:dyDescent="0.15">
      <c r="A196" s="47"/>
      <c r="B196" s="47"/>
      <c r="C196" s="47"/>
      <c r="D196" s="47"/>
      <c r="E196" s="47"/>
      <c r="F196" s="47"/>
      <c r="G196" s="47"/>
      <c r="H196" s="47"/>
      <c r="I196" s="111"/>
      <c r="J196" s="52"/>
      <c r="K196" s="148"/>
      <c r="L196" s="52"/>
      <c r="M196" s="148"/>
      <c r="N196" s="52"/>
      <c r="O196" s="148"/>
      <c r="P196" s="52"/>
      <c r="Q196" s="15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52"/>
      <c r="AD196" s="52"/>
      <c r="AE196" s="47"/>
      <c r="AF196" s="69"/>
      <c r="AG196" s="103" t="str">
        <f t="shared" si="242"/>
        <v xml:space="preserve"> </v>
      </c>
      <c r="AH196" s="111"/>
      <c r="AI196" s="224"/>
      <c r="AJ196" s="47"/>
      <c r="AK196" s="73"/>
      <c r="AL196" s="47"/>
      <c r="AM196" s="47"/>
      <c r="AN196" s="47"/>
      <c r="AO196" s="47"/>
      <c r="AP196" s="47"/>
      <c r="AQ196" s="47"/>
      <c r="AR196" s="25"/>
    </row>
    <row r="197" spans="1:44" ht="25.2" customHeight="1" x14ac:dyDescent="0.15">
      <c r="A197" s="47"/>
      <c r="B197" s="47"/>
      <c r="C197" s="47"/>
      <c r="D197" s="47"/>
      <c r="E197" s="47"/>
      <c r="F197" s="47"/>
      <c r="G197" s="47"/>
      <c r="H197" s="47"/>
      <c r="I197" s="111"/>
      <c r="J197" s="52"/>
      <c r="K197" s="148"/>
      <c r="L197" s="52"/>
      <c r="M197" s="148"/>
      <c r="N197" s="52"/>
      <c r="O197" s="148"/>
      <c r="P197" s="52"/>
      <c r="Q197" s="15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52"/>
      <c r="AD197" s="52"/>
      <c r="AE197" s="47"/>
      <c r="AF197" s="69"/>
      <c r="AG197" s="103" t="str">
        <f t="shared" si="242"/>
        <v xml:space="preserve"> </v>
      </c>
      <c r="AH197" s="111"/>
      <c r="AI197" s="224"/>
      <c r="AJ197" s="47"/>
      <c r="AK197" s="73"/>
      <c r="AL197" s="47"/>
      <c r="AM197" s="47"/>
      <c r="AN197" s="47"/>
      <c r="AO197" s="47"/>
      <c r="AP197" s="47"/>
      <c r="AQ197" s="47"/>
      <c r="AR197" s="25"/>
    </row>
    <row r="198" spans="1:44" ht="25.2" customHeight="1" x14ac:dyDescent="0.15">
      <c r="A198" s="47"/>
      <c r="B198" s="47"/>
      <c r="C198" s="47"/>
      <c r="D198" s="47"/>
      <c r="E198" s="47"/>
      <c r="F198" s="47"/>
      <c r="G198" s="47"/>
      <c r="H198" s="47"/>
      <c r="I198" s="111"/>
      <c r="J198" s="52"/>
      <c r="K198" s="148"/>
      <c r="L198" s="52"/>
      <c r="M198" s="148"/>
      <c r="N198" s="52"/>
      <c r="O198" s="148"/>
      <c r="P198" s="52"/>
      <c r="Q198" s="15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52"/>
      <c r="AD198" s="52"/>
      <c r="AE198" s="47"/>
      <c r="AF198" s="69"/>
      <c r="AG198" s="103" t="str">
        <f t="shared" ref="AG198:AG234" si="281">AH198&amp;" "&amp;AI198</f>
        <v xml:space="preserve"> </v>
      </c>
      <c r="AH198" s="111"/>
      <c r="AI198" s="224"/>
      <c r="AJ198" s="47"/>
      <c r="AK198" s="73"/>
      <c r="AL198" s="47"/>
      <c r="AM198" s="47"/>
      <c r="AN198" s="47"/>
      <c r="AO198" s="47"/>
      <c r="AP198" s="47"/>
      <c r="AQ198" s="47"/>
      <c r="AR198" s="25"/>
    </row>
    <row r="199" spans="1:44" ht="25.2" customHeight="1" x14ac:dyDescent="0.15">
      <c r="A199" s="47"/>
      <c r="B199" s="47"/>
      <c r="C199" s="47"/>
      <c r="D199" s="47"/>
      <c r="E199" s="47"/>
      <c r="F199" s="47"/>
      <c r="G199" s="47"/>
      <c r="H199" s="47"/>
      <c r="I199" s="111"/>
      <c r="J199" s="52"/>
      <c r="K199" s="148"/>
      <c r="L199" s="52"/>
      <c r="M199" s="148"/>
      <c r="N199" s="52"/>
      <c r="O199" s="148"/>
      <c r="P199" s="52"/>
      <c r="Q199" s="15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52"/>
      <c r="AD199" s="52"/>
      <c r="AE199" s="47"/>
      <c r="AF199" s="69"/>
      <c r="AG199" s="103" t="str">
        <f t="shared" si="281"/>
        <v xml:space="preserve"> </v>
      </c>
      <c r="AH199" s="111"/>
      <c r="AI199" s="224"/>
      <c r="AJ199" s="47"/>
      <c r="AK199" s="73"/>
      <c r="AL199" s="47"/>
      <c r="AM199" s="47"/>
      <c r="AN199" s="47"/>
      <c r="AO199" s="47"/>
      <c r="AP199" s="47"/>
      <c r="AQ199" s="47"/>
      <c r="AR199" s="25"/>
    </row>
    <row r="200" spans="1:44" ht="25.2" customHeight="1" x14ac:dyDescent="0.15">
      <c r="A200" s="47"/>
      <c r="B200" s="47"/>
      <c r="C200" s="47"/>
      <c r="D200" s="47"/>
      <c r="E200" s="47"/>
      <c r="F200" s="47"/>
      <c r="G200" s="47"/>
      <c r="H200" s="47"/>
      <c r="I200" s="111"/>
      <c r="J200" s="52"/>
      <c r="K200" s="148"/>
      <c r="L200" s="52"/>
      <c r="M200" s="148"/>
      <c r="N200" s="52"/>
      <c r="O200" s="148"/>
      <c r="P200" s="52"/>
      <c r="Q200" s="15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52"/>
      <c r="AD200" s="52"/>
      <c r="AE200" s="47"/>
      <c r="AF200" s="69"/>
      <c r="AG200" s="103" t="str">
        <f t="shared" si="281"/>
        <v xml:space="preserve"> </v>
      </c>
      <c r="AH200" s="111"/>
      <c r="AI200" s="224"/>
      <c r="AJ200" s="47"/>
      <c r="AK200" s="73"/>
      <c r="AL200" s="47"/>
      <c r="AM200" s="47"/>
      <c r="AN200" s="47"/>
      <c r="AO200" s="47"/>
      <c r="AP200" s="47"/>
      <c r="AQ200" s="47"/>
      <c r="AR200" s="25"/>
    </row>
    <row r="201" spans="1:44" ht="25.2" customHeight="1" x14ac:dyDescent="0.15">
      <c r="A201" s="47"/>
      <c r="B201" s="47"/>
      <c r="C201" s="47"/>
      <c r="D201" s="47"/>
      <c r="E201" s="47"/>
      <c r="F201" s="47"/>
      <c r="G201" s="47"/>
      <c r="H201" s="47"/>
      <c r="I201" s="111"/>
      <c r="J201" s="52"/>
      <c r="K201" s="148"/>
      <c r="L201" s="52"/>
      <c r="M201" s="148"/>
      <c r="N201" s="52"/>
      <c r="O201" s="148"/>
      <c r="P201" s="52"/>
      <c r="Q201" s="15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52"/>
      <c r="AD201" s="52"/>
      <c r="AE201" s="47"/>
      <c r="AF201" s="69"/>
      <c r="AG201" s="103" t="str">
        <f t="shared" si="281"/>
        <v xml:space="preserve"> </v>
      </c>
      <c r="AH201" s="111"/>
      <c r="AI201" s="224"/>
      <c r="AJ201" s="47"/>
      <c r="AK201" s="73"/>
      <c r="AL201" s="47"/>
      <c r="AM201" s="47"/>
      <c r="AN201" s="47"/>
      <c r="AO201" s="47"/>
      <c r="AP201" s="47"/>
      <c r="AQ201" s="47"/>
      <c r="AR201" s="25"/>
    </row>
    <row r="202" spans="1:44" ht="25.2" customHeight="1" x14ac:dyDescent="0.15">
      <c r="A202" s="47"/>
      <c r="B202" s="47"/>
      <c r="C202" s="47"/>
      <c r="D202" s="47"/>
      <c r="E202" s="47"/>
      <c r="F202" s="47"/>
      <c r="G202" s="47"/>
      <c r="H202" s="47"/>
      <c r="I202" s="111"/>
      <c r="J202" s="52"/>
      <c r="K202" s="148"/>
      <c r="L202" s="52"/>
      <c r="M202" s="148"/>
      <c r="N202" s="52"/>
      <c r="O202" s="148"/>
      <c r="P202" s="52"/>
      <c r="Q202" s="15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52"/>
      <c r="AD202" s="52"/>
      <c r="AE202" s="47"/>
      <c r="AF202" s="69"/>
      <c r="AG202" s="103" t="str">
        <f t="shared" si="281"/>
        <v xml:space="preserve"> </v>
      </c>
      <c r="AH202" s="111"/>
      <c r="AI202" s="224"/>
      <c r="AJ202" s="47"/>
      <c r="AK202" s="73"/>
      <c r="AL202" s="47"/>
      <c r="AM202" s="47"/>
      <c r="AN202" s="47"/>
      <c r="AO202" s="47"/>
      <c r="AP202" s="47"/>
      <c r="AQ202" s="47"/>
      <c r="AR202" s="25"/>
    </row>
    <row r="203" spans="1:44" ht="25.2" customHeight="1" x14ac:dyDescent="0.15">
      <c r="A203" s="47"/>
      <c r="B203" s="47"/>
      <c r="C203" s="47"/>
      <c r="D203" s="47"/>
      <c r="E203" s="47"/>
      <c r="F203" s="47"/>
      <c r="G203" s="47"/>
      <c r="H203" s="47"/>
      <c r="I203" s="111"/>
      <c r="J203" s="52"/>
      <c r="K203" s="148"/>
      <c r="L203" s="52"/>
      <c r="M203" s="148"/>
      <c r="N203" s="52"/>
      <c r="O203" s="148"/>
      <c r="P203" s="52"/>
      <c r="Q203" s="15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52"/>
      <c r="AD203" s="52"/>
      <c r="AE203" s="47"/>
      <c r="AF203" s="69"/>
      <c r="AG203" s="103" t="str">
        <f t="shared" si="281"/>
        <v xml:space="preserve"> </v>
      </c>
      <c r="AH203" s="111"/>
      <c r="AI203" s="224"/>
      <c r="AJ203" s="47"/>
      <c r="AK203" s="73"/>
      <c r="AL203" s="47"/>
      <c r="AM203" s="47"/>
      <c r="AN203" s="47"/>
      <c r="AO203" s="47"/>
      <c r="AP203" s="47"/>
      <c r="AQ203" s="47"/>
      <c r="AR203" s="25"/>
    </row>
    <row r="204" spans="1:44" ht="25.2" customHeight="1" x14ac:dyDescent="0.15">
      <c r="A204" s="47"/>
      <c r="B204" s="47"/>
      <c r="C204" s="47"/>
      <c r="D204" s="47"/>
      <c r="E204" s="47"/>
      <c r="F204" s="47"/>
      <c r="G204" s="47"/>
      <c r="H204" s="47"/>
      <c r="I204" s="111"/>
      <c r="J204" s="52"/>
      <c r="K204" s="148"/>
      <c r="L204" s="52"/>
      <c r="M204" s="148"/>
      <c r="N204" s="52"/>
      <c r="O204" s="148"/>
      <c r="P204" s="52"/>
      <c r="Q204" s="15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52"/>
      <c r="AD204" s="52"/>
      <c r="AE204" s="47"/>
      <c r="AF204" s="69"/>
      <c r="AG204" s="103" t="str">
        <f t="shared" si="281"/>
        <v xml:space="preserve"> </v>
      </c>
      <c r="AH204" s="111"/>
      <c r="AI204" s="224"/>
      <c r="AJ204" s="47"/>
      <c r="AK204" s="73"/>
      <c r="AL204" s="47"/>
      <c r="AM204" s="47"/>
      <c r="AN204" s="47"/>
      <c r="AO204" s="47"/>
      <c r="AP204" s="47"/>
      <c r="AQ204" s="47"/>
      <c r="AR204" s="25"/>
    </row>
    <row r="205" spans="1:44" ht="25.2" customHeight="1" x14ac:dyDescent="0.15">
      <c r="A205" s="47"/>
      <c r="B205" s="47"/>
      <c r="C205" s="47"/>
      <c r="D205" s="47"/>
      <c r="E205" s="47"/>
      <c r="F205" s="47"/>
      <c r="G205" s="47"/>
      <c r="H205" s="47"/>
      <c r="I205" s="111"/>
      <c r="J205" s="52"/>
      <c r="K205" s="148"/>
      <c r="L205" s="52"/>
      <c r="M205" s="148"/>
      <c r="N205" s="52"/>
      <c r="O205" s="148"/>
      <c r="P205" s="52"/>
      <c r="Q205" s="15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52"/>
      <c r="AD205" s="52"/>
      <c r="AE205" s="47"/>
      <c r="AF205" s="69"/>
      <c r="AG205" s="103" t="str">
        <f t="shared" si="281"/>
        <v xml:space="preserve"> </v>
      </c>
      <c r="AH205" s="111"/>
      <c r="AI205" s="224"/>
      <c r="AJ205" s="47"/>
      <c r="AK205" s="73"/>
      <c r="AL205" s="47"/>
      <c r="AM205" s="47"/>
      <c r="AN205" s="47"/>
      <c r="AO205" s="47"/>
      <c r="AP205" s="47"/>
      <c r="AQ205" s="47"/>
      <c r="AR205" s="25"/>
    </row>
    <row r="206" spans="1:44" ht="25.2" customHeight="1" x14ac:dyDescent="0.15">
      <c r="A206" s="47"/>
      <c r="B206" s="47"/>
      <c r="C206" s="47"/>
      <c r="D206" s="47"/>
      <c r="E206" s="47"/>
      <c r="F206" s="47"/>
      <c r="G206" s="47"/>
      <c r="H206" s="47"/>
      <c r="I206" s="111"/>
      <c r="J206" s="52"/>
      <c r="K206" s="148"/>
      <c r="L206" s="52"/>
      <c r="M206" s="148"/>
      <c r="N206" s="52"/>
      <c r="O206" s="148"/>
      <c r="P206" s="52"/>
      <c r="Q206" s="15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52"/>
      <c r="AD206" s="52"/>
      <c r="AE206" s="47"/>
      <c r="AF206" s="69"/>
      <c r="AG206" s="103" t="str">
        <f t="shared" si="281"/>
        <v xml:space="preserve"> </v>
      </c>
      <c r="AH206" s="111"/>
      <c r="AI206" s="224"/>
      <c r="AJ206" s="47"/>
      <c r="AK206" s="73"/>
      <c r="AL206" s="47"/>
      <c r="AM206" s="47"/>
      <c r="AN206" s="47"/>
      <c r="AO206" s="47"/>
      <c r="AP206" s="47"/>
      <c r="AQ206" s="47"/>
      <c r="AR206" s="25"/>
    </row>
    <row r="207" spans="1:44" ht="25.2" customHeight="1" x14ac:dyDescent="0.15">
      <c r="A207" s="47"/>
      <c r="B207" s="47"/>
      <c r="C207" s="47"/>
      <c r="D207" s="47"/>
      <c r="E207" s="47"/>
      <c r="F207" s="47"/>
      <c r="G207" s="47"/>
      <c r="H207" s="47"/>
      <c r="I207" s="111"/>
      <c r="J207" s="52"/>
      <c r="K207" s="148"/>
      <c r="L207" s="52"/>
      <c r="M207" s="148"/>
      <c r="N207" s="52"/>
      <c r="O207" s="148"/>
      <c r="P207" s="52"/>
      <c r="Q207" s="15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52"/>
      <c r="AD207" s="52"/>
      <c r="AE207" s="47"/>
      <c r="AF207" s="69"/>
      <c r="AG207" s="103" t="str">
        <f t="shared" si="281"/>
        <v xml:space="preserve"> </v>
      </c>
      <c r="AH207" s="111"/>
      <c r="AI207" s="224"/>
      <c r="AJ207" s="47"/>
      <c r="AK207" s="73"/>
      <c r="AL207" s="47"/>
      <c r="AM207" s="47"/>
      <c r="AN207" s="47"/>
      <c r="AO207" s="47"/>
      <c r="AP207" s="47"/>
      <c r="AQ207" s="47"/>
      <c r="AR207" s="25"/>
    </row>
    <row r="208" spans="1:44" ht="25.2" customHeight="1" x14ac:dyDescent="0.15">
      <c r="A208" s="47"/>
      <c r="B208" s="47"/>
      <c r="C208" s="47"/>
      <c r="D208" s="47"/>
      <c r="E208" s="47"/>
      <c r="F208" s="47"/>
      <c r="G208" s="47"/>
      <c r="H208" s="47"/>
      <c r="I208" s="111"/>
      <c r="J208" s="52"/>
      <c r="K208" s="148"/>
      <c r="L208" s="52"/>
      <c r="M208" s="148"/>
      <c r="N208" s="52"/>
      <c r="O208" s="148"/>
      <c r="P208" s="52"/>
      <c r="Q208" s="15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52"/>
      <c r="AD208" s="52"/>
      <c r="AE208" s="47"/>
      <c r="AF208" s="69"/>
      <c r="AG208" s="103" t="str">
        <f t="shared" si="281"/>
        <v xml:space="preserve"> </v>
      </c>
      <c r="AH208" s="111"/>
      <c r="AI208" s="224"/>
      <c r="AJ208" s="47"/>
      <c r="AK208" s="73"/>
      <c r="AL208" s="47"/>
      <c r="AM208" s="47"/>
      <c r="AN208" s="47"/>
      <c r="AO208" s="47"/>
      <c r="AP208" s="47"/>
      <c r="AQ208" s="47"/>
      <c r="AR208" s="25"/>
    </row>
    <row r="209" spans="1:44" ht="25.2" customHeight="1" x14ac:dyDescent="0.15">
      <c r="A209" s="47"/>
      <c r="B209" s="47"/>
      <c r="C209" s="47"/>
      <c r="D209" s="47"/>
      <c r="E209" s="47"/>
      <c r="F209" s="47"/>
      <c r="G209" s="47"/>
      <c r="H209" s="47"/>
      <c r="I209" s="111"/>
      <c r="J209" s="52"/>
      <c r="K209" s="148"/>
      <c r="L209" s="52"/>
      <c r="M209" s="148"/>
      <c r="N209" s="52"/>
      <c r="O209" s="148"/>
      <c r="P209" s="52"/>
      <c r="Q209" s="15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52"/>
      <c r="AD209" s="52"/>
      <c r="AE209" s="47"/>
      <c r="AF209" s="69"/>
      <c r="AG209" s="103" t="str">
        <f t="shared" si="281"/>
        <v xml:space="preserve"> </v>
      </c>
      <c r="AH209" s="111"/>
      <c r="AI209" s="224"/>
      <c r="AJ209" s="47"/>
      <c r="AK209" s="73"/>
      <c r="AL209" s="47"/>
      <c r="AM209" s="47"/>
      <c r="AN209" s="47"/>
      <c r="AO209" s="47"/>
      <c r="AP209" s="47"/>
      <c r="AQ209" s="47"/>
      <c r="AR209" s="25"/>
    </row>
    <row r="210" spans="1:44" ht="25.2" customHeight="1" x14ac:dyDescent="0.15">
      <c r="A210" s="47"/>
      <c r="B210" s="47"/>
      <c r="C210" s="47"/>
      <c r="D210" s="47"/>
      <c r="E210" s="47"/>
      <c r="F210" s="47"/>
      <c r="G210" s="47"/>
      <c r="H210" s="47"/>
      <c r="I210" s="111"/>
      <c r="J210" s="52"/>
      <c r="K210" s="148"/>
      <c r="L210" s="52"/>
      <c r="M210" s="148"/>
      <c r="N210" s="52"/>
      <c r="O210" s="148"/>
      <c r="P210" s="52"/>
      <c r="Q210" s="15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52"/>
      <c r="AD210" s="52"/>
      <c r="AE210" s="47"/>
      <c r="AF210" s="69"/>
      <c r="AG210" s="103" t="str">
        <f t="shared" si="281"/>
        <v xml:space="preserve"> </v>
      </c>
      <c r="AH210" s="111"/>
      <c r="AI210" s="224"/>
      <c r="AJ210" s="47"/>
      <c r="AK210" s="73"/>
      <c r="AL210" s="47"/>
      <c r="AM210" s="47"/>
      <c r="AN210" s="47"/>
      <c r="AO210" s="47"/>
      <c r="AP210" s="47"/>
      <c r="AQ210" s="47"/>
      <c r="AR210" s="25"/>
    </row>
    <row r="211" spans="1:44" ht="25.2" customHeight="1" x14ac:dyDescent="0.15">
      <c r="A211" s="47"/>
      <c r="B211" s="47"/>
      <c r="C211" s="47"/>
      <c r="D211" s="47"/>
      <c r="E211" s="47"/>
      <c r="F211" s="47"/>
      <c r="G211" s="47"/>
      <c r="H211" s="47"/>
      <c r="I211" s="111"/>
      <c r="J211" s="52"/>
      <c r="K211" s="148"/>
      <c r="L211" s="52"/>
      <c r="M211" s="148"/>
      <c r="N211" s="52"/>
      <c r="O211" s="148"/>
      <c r="P211" s="52"/>
      <c r="Q211" s="15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52"/>
      <c r="AD211" s="52"/>
      <c r="AE211" s="47"/>
      <c r="AF211" s="69"/>
      <c r="AG211" s="103" t="str">
        <f t="shared" si="281"/>
        <v xml:space="preserve"> </v>
      </c>
      <c r="AH211" s="111"/>
      <c r="AI211" s="224"/>
      <c r="AJ211" s="47"/>
      <c r="AK211" s="73"/>
      <c r="AL211" s="47"/>
      <c r="AM211" s="47"/>
      <c r="AN211" s="47"/>
      <c r="AO211" s="47"/>
      <c r="AP211" s="47"/>
      <c r="AQ211" s="47"/>
      <c r="AR211" s="25"/>
    </row>
    <row r="212" spans="1:44" ht="25.2" customHeight="1" x14ac:dyDescent="0.15">
      <c r="A212" s="47"/>
      <c r="B212" s="47"/>
      <c r="C212" s="47"/>
      <c r="D212" s="47"/>
      <c r="E212" s="47"/>
      <c r="F212" s="47"/>
      <c r="G212" s="47"/>
      <c r="H212" s="47"/>
      <c r="I212" s="111"/>
      <c r="J212" s="52"/>
      <c r="K212" s="148"/>
      <c r="L212" s="52"/>
      <c r="M212" s="148"/>
      <c r="N212" s="52"/>
      <c r="O212" s="148"/>
      <c r="P212" s="52"/>
      <c r="Q212" s="15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52"/>
      <c r="AD212" s="52"/>
      <c r="AE212" s="47"/>
      <c r="AF212" s="69"/>
      <c r="AG212" s="103" t="str">
        <f t="shared" si="281"/>
        <v xml:space="preserve"> </v>
      </c>
      <c r="AH212" s="111"/>
      <c r="AI212" s="224"/>
      <c r="AJ212" s="47"/>
      <c r="AK212" s="73"/>
      <c r="AL212" s="47"/>
      <c r="AM212" s="47"/>
      <c r="AN212" s="47"/>
      <c r="AO212" s="47"/>
      <c r="AP212" s="47"/>
      <c r="AQ212" s="47"/>
      <c r="AR212" s="25"/>
    </row>
    <row r="213" spans="1:44" ht="25.2" customHeight="1" x14ac:dyDescent="0.15">
      <c r="A213" s="47"/>
      <c r="B213" s="47"/>
      <c r="C213" s="47"/>
      <c r="D213" s="47"/>
      <c r="E213" s="47"/>
      <c r="F213" s="47"/>
      <c r="G213" s="47"/>
      <c r="H213" s="47"/>
      <c r="I213" s="111"/>
      <c r="J213" s="52"/>
      <c r="K213" s="148"/>
      <c r="L213" s="52"/>
      <c r="M213" s="148"/>
      <c r="N213" s="52"/>
      <c r="O213" s="148"/>
      <c r="P213" s="52"/>
      <c r="Q213" s="15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52"/>
      <c r="AD213" s="52"/>
      <c r="AE213" s="47"/>
      <c r="AF213" s="69"/>
      <c r="AG213" s="103" t="str">
        <f t="shared" si="281"/>
        <v xml:space="preserve"> </v>
      </c>
      <c r="AH213" s="111"/>
      <c r="AI213" s="224"/>
      <c r="AJ213" s="47"/>
      <c r="AK213" s="73"/>
      <c r="AL213" s="47"/>
      <c r="AM213" s="47"/>
      <c r="AN213" s="47"/>
      <c r="AO213" s="47"/>
      <c r="AP213" s="47"/>
      <c r="AQ213" s="47"/>
      <c r="AR213" s="25"/>
    </row>
    <row r="214" spans="1:44" ht="25.2" customHeight="1" x14ac:dyDescent="0.15">
      <c r="A214" s="47"/>
      <c r="B214" s="47"/>
      <c r="C214" s="47"/>
      <c r="D214" s="47"/>
      <c r="E214" s="47"/>
      <c r="F214" s="47"/>
      <c r="G214" s="47"/>
      <c r="H214" s="47"/>
      <c r="I214" s="111"/>
      <c r="J214" s="52"/>
      <c r="K214" s="148"/>
      <c r="L214" s="52"/>
      <c r="M214" s="148"/>
      <c r="N214" s="52"/>
      <c r="O214" s="148"/>
      <c r="P214" s="52"/>
      <c r="Q214" s="15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52"/>
      <c r="AD214" s="52"/>
      <c r="AE214" s="47"/>
      <c r="AF214" s="69"/>
      <c r="AG214" s="103" t="str">
        <f t="shared" si="281"/>
        <v xml:space="preserve"> </v>
      </c>
      <c r="AH214" s="111"/>
      <c r="AI214" s="224"/>
      <c r="AJ214" s="47"/>
      <c r="AK214" s="73"/>
      <c r="AL214" s="47"/>
      <c r="AM214" s="47"/>
      <c r="AN214" s="47"/>
      <c r="AO214" s="47"/>
      <c r="AP214" s="47"/>
      <c r="AQ214" s="47"/>
      <c r="AR214" s="25"/>
    </row>
    <row r="215" spans="1:44" ht="25.2" customHeight="1" x14ac:dyDescent="0.15">
      <c r="A215" s="47"/>
      <c r="B215" s="47"/>
      <c r="C215" s="47"/>
      <c r="D215" s="47"/>
      <c r="E215" s="47"/>
      <c r="F215" s="47"/>
      <c r="G215" s="47"/>
      <c r="H215" s="47"/>
      <c r="I215" s="111"/>
      <c r="J215" s="52"/>
      <c r="K215" s="148"/>
      <c r="L215" s="52"/>
      <c r="M215" s="148"/>
      <c r="N215" s="52"/>
      <c r="O215" s="148"/>
      <c r="P215" s="52"/>
      <c r="Q215" s="15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52"/>
      <c r="AD215" s="52"/>
      <c r="AE215" s="47"/>
      <c r="AF215" s="69"/>
      <c r="AG215" s="103" t="str">
        <f t="shared" si="281"/>
        <v xml:space="preserve"> </v>
      </c>
      <c r="AH215" s="111"/>
      <c r="AI215" s="224"/>
      <c r="AJ215" s="47"/>
      <c r="AK215" s="73"/>
      <c r="AL215" s="47"/>
      <c r="AM215" s="47"/>
      <c r="AN215" s="47"/>
      <c r="AO215" s="47"/>
      <c r="AP215" s="47"/>
      <c r="AQ215" s="47"/>
      <c r="AR215" s="25"/>
    </row>
    <row r="216" spans="1:44" ht="25.2" customHeight="1" x14ac:dyDescent="0.15">
      <c r="A216" s="47"/>
      <c r="B216" s="47"/>
      <c r="C216" s="47"/>
      <c r="D216" s="47"/>
      <c r="E216" s="47"/>
      <c r="F216" s="47"/>
      <c r="G216" s="47"/>
      <c r="H216" s="47"/>
      <c r="I216" s="111"/>
      <c r="J216" s="52"/>
      <c r="K216" s="148"/>
      <c r="L216" s="52"/>
      <c r="M216" s="148"/>
      <c r="N216" s="52"/>
      <c r="O216" s="148"/>
      <c r="P216" s="52"/>
      <c r="Q216" s="15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52"/>
      <c r="AD216" s="52"/>
      <c r="AE216" s="47"/>
      <c r="AF216" s="69"/>
      <c r="AG216" s="103" t="str">
        <f t="shared" si="281"/>
        <v xml:space="preserve"> </v>
      </c>
      <c r="AH216" s="47"/>
      <c r="AI216" s="223"/>
      <c r="AJ216" s="47"/>
      <c r="AK216" s="73"/>
      <c r="AL216" s="47"/>
      <c r="AM216" s="47"/>
      <c r="AN216" s="47"/>
      <c r="AO216" s="47"/>
      <c r="AP216" s="47"/>
      <c r="AQ216" s="47"/>
      <c r="AR216" s="25"/>
    </row>
    <row r="217" spans="1:44" ht="25.2" customHeight="1" x14ac:dyDescent="0.15">
      <c r="A217" s="47"/>
      <c r="B217" s="47"/>
      <c r="C217" s="47"/>
      <c r="D217" s="47"/>
      <c r="E217" s="47"/>
      <c r="F217" s="47"/>
      <c r="G217" s="47"/>
      <c r="H217" s="47"/>
      <c r="I217" s="111"/>
      <c r="J217" s="52"/>
      <c r="K217" s="148"/>
      <c r="L217" s="52"/>
      <c r="M217" s="148"/>
      <c r="N217" s="52"/>
      <c r="O217" s="148"/>
      <c r="P217" s="52"/>
      <c r="Q217" s="15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52"/>
      <c r="AD217" s="52"/>
      <c r="AE217" s="47"/>
      <c r="AF217" s="69"/>
      <c r="AG217" s="103" t="str">
        <f t="shared" si="281"/>
        <v xml:space="preserve"> </v>
      </c>
      <c r="AH217" s="47"/>
      <c r="AI217" s="223"/>
      <c r="AJ217" s="47"/>
      <c r="AK217" s="73"/>
      <c r="AL217" s="47"/>
      <c r="AM217" s="47"/>
      <c r="AN217" s="47"/>
      <c r="AO217" s="47"/>
      <c r="AP217" s="47"/>
      <c r="AQ217" s="47"/>
      <c r="AR217" s="25"/>
    </row>
    <row r="218" spans="1:44" ht="25.2" customHeight="1" x14ac:dyDescent="0.15">
      <c r="A218" s="47"/>
      <c r="B218" s="47"/>
      <c r="C218" s="47"/>
      <c r="D218" s="47"/>
      <c r="E218" s="47"/>
      <c r="F218" s="47"/>
      <c r="G218" s="47"/>
      <c r="H218" s="47"/>
      <c r="I218" s="111"/>
      <c r="J218" s="52"/>
      <c r="K218" s="148"/>
      <c r="L218" s="52"/>
      <c r="M218" s="148"/>
      <c r="N218" s="52"/>
      <c r="O218" s="148"/>
      <c r="P218" s="52"/>
      <c r="Q218" s="15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52"/>
      <c r="AD218" s="52"/>
      <c r="AE218" s="47"/>
      <c r="AF218" s="69"/>
      <c r="AG218" s="103" t="str">
        <f t="shared" si="281"/>
        <v xml:space="preserve"> </v>
      </c>
      <c r="AH218" s="47"/>
      <c r="AI218" s="223"/>
      <c r="AJ218" s="47"/>
      <c r="AK218" s="73"/>
      <c r="AL218" s="47"/>
      <c r="AM218" s="47"/>
      <c r="AN218" s="47"/>
      <c r="AO218" s="47"/>
      <c r="AP218" s="47"/>
      <c r="AQ218" s="47"/>
      <c r="AR218" s="25"/>
    </row>
    <row r="219" spans="1:44" ht="25.2" customHeight="1" x14ac:dyDescent="0.15">
      <c r="A219" s="47"/>
      <c r="B219" s="47"/>
      <c r="C219" s="47"/>
      <c r="D219" s="47"/>
      <c r="E219" s="47"/>
      <c r="F219" s="47"/>
      <c r="G219" s="47"/>
      <c r="H219" s="47"/>
      <c r="I219" s="111"/>
      <c r="J219" s="52"/>
      <c r="K219" s="148"/>
      <c r="L219" s="52"/>
      <c r="M219" s="148"/>
      <c r="N219" s="52"/>
      <c r="O219" s="148"/>
      <c r="P219" s="52"/>
      <c r="Q219" s="15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52"/>
      <c r="AD219" s="52"/>
      <c r="AE219" s="47"/>
      <c r="AF219" s="69"/>
      <c r="AG219" s="103" t="str">
        <f t="shared" si="281"/>
        <v xml:space="preserve"> </v>
      </c>
      <c r="AH219" s="47"/>
      <c r="AI219" s="223"/>
      <c r="AJ219" s="47"/>
      <c r="AK219" s="73"/>
      <c r="AL219" s="47"/>
      <c r="AM219" s="47"/>
      <c r="AN219" s="47"/>
      <c r="AO219" s="47"/>
      <c r="AP219" s="47"/>
      <c r="AQ219" s="47"/>
      <c r="AR219" s="25"/>
    </row>
    <row r="220" spans="1:44" ht="25.2" customHeight="1" x14ac:dyDescent="0.15">
      <c r="A220" s="47"/>
      <c r="B220" s="47"/>
      <c r="C220" s="47"/>
      <c r="D220" s="47"/>
      <c r="E220" s="47"/>
      <c r="F220" s="47"/>
      <c r="G220" s="47"/>
      <c r="H220" s="47"/>
      <c r="I220" s="111"/>
      <c r="J220" s="52"/>
      <c r="K220" s="148"/>
      <c r="L220" s="52"/>
      <c r="M220" s="148"/>
      <c r="N220" s="52"/>
      <c r="O220" s="148"/>
      <c r="P220" s="52"/>
      <c r="Q220" s="15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52"/>
      <c r="AD220" s="52"/>
      <c r="AE220" s="47"/>
      <c r="AF220" s="69"/>
      <c r="AG220" s="103" t="str">
        <f t="shared" si="281"/>
        <v xml:space="preserve"> </v>
      </c>
      <c r="AH220" s="47"/>
      <c r="AI220" s="223"/>
      <c r="AJ220" s="47"/>
      <c r="AK220" s="73"/>
      <c r="AL220" s="47"/>
      <c r="AM220" s="47"/>
      <c r="AN220" s="47"/>
      <c r="AO220" s="47"/>
      <c r="AP220" s="47"/>
      <c r="AQ220" s="47"/>
      <c r="AR220" s="25"/>
    </row>
    <row r="221" spans="1:44" ht="25.2" customHeight="1" x14ac:dyDescent="0.15">
      <c r="A221" s="47"/>
      <c r="B221" s="47"/>
      <c r="C221" s="47"/>
      <c r="D221" s="47"/>
      <c r="E221" s="47"/>
      <c r="F221" s="47"/>
      <c r="G221" s="47"/>
      <c r="H221" s="47"/>
      <c r="I221" s="111"/>
      <c r="J221" s="52"/>
      <c r="K221" s="148"/>
      <c r="L221" s="52"/>
      <c r="M221" s="148"/>
      <c r="N221" s="52"/>
      <c r="O221" s="148"/>
      <c r="P221" s="52"/>
      <c r="Q221" s="15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52"/>
      <c r="AD221" s="52"/>
      <c r="AE221" s="47"/>
      <c r="AF221" s="69"/>
      <c r="AG221" s="103" t="str">
        <f t="shared" si="281"/>
        <v xml:space="preserve"> </v>
      </c>
      <c r="AH221" s="47"/>
      <c r="AI221" s="223"/>
      <c r="AJ221" s="47"/>
      <c r="AK221" s="73"/>
      <c r="AL221" s="47"/>
      <c r="AM221" s="47"/>
      <c r="AN221" s="47"/>
      <c r="AO221" s="47"/>
      <c r="AP221" s="47"/>
      <c r="AQ221" s="47"/>
      <c r="AR221" s="25"/>
    </row>
    <row r="222" spans="1:44" ht="25.2" customHeight="1" x14ac:dyDescent="0.15">
      <c r="A222" s="47"/>
      <c r="B222" s="47"/>
      <c r="C222" s="47"/>
      <c r="D222" s="47"/>
      <c r="E222" s="47"/>
      <c r="F222" s="47"/>
      <c r="G222" s="47"/>
      <c r="H222" s="47"/>
      <c r="I222" s="111"/>
      <c r="J222" s="52"/>
      <c r="K222" s="148"/>
      <c r="L222" s="52"/>
      <c r="M222" s="148"/>
      <c r="N222" s="52"/>
      <c r="O222" s="148"/>
      <c r="P222" s="52"/>
      <c r="Q222" s="155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52"/>
      <c r="AD222" s="52"/>
      <c r="AE222" s="47"/>
      <c r="AF222" s="69"/>
      <c r="AG222" s="103" t="str">
        <f t="shared" si="281"/>
        <v xml:space="preserve"> </v>
      </c>
      <c r="AH222" s="47"/>
      <c r="AI222" s="223"/>
      <c r="AJ222" s="47"/>
      <c r="AK222" s="73"/>
      <c r="AL222" s="47"/>
      <c r="AM222" s="47"/>
      <c r="AN222" s="47"/>
      <c r="AO222" s="47"/>
      <c r="AP222" s="47"/>
      <c r="AQ222" s="47"/>
      <c r="AR222" s="25"/>
    </row>
    <row r="223" spans="1:44" ht="25.2" customHeight="1" x14ac:dyDescent="0.15">
      <c r="A223" s="47"/>
      <c r="B223" s="47"/>
      <c r="C223" s="47"/>
      <c r="D223" s="47"/>
      <c r="E223" s="47"/>
      <c r="F223" s="47"/>
      <c r="G223" s="47"/>
      <c r="H223" s="47"/>
      <c r="I223" s="111"/>
      <c r="J223" s="52"/>
      <c r="K223" s="148"/>
      <c r="L223" s="52"/>
      <c r="M223" s="148"/>
      <c r="N223" s="52"/>
      <c r="O223" s="148"/>
      <c r="P223" s="52"/>
      <c r="Q223" s="15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52"/>
      <c r="AD223" s="52"/>
      <c r="AE223" s="47"/>
      <c r="AF223" s="69"/>
      <c r="AG223" s="103" t="str">
        <f t="shared" si="281"/>
        <v xml:space="preserve"> </v>
      </c>
      <c r="AH223" s="47"/>
      <c r="AI223" s="223"/>
      <c r="AJ223" s="47"/>
      <c r="AK223" s="73"/>
      <c r="AL223" s="47"/>
      <c r="AM223" s="47"/>
      <c r="AN223" s="47"/>
      <c r="AO223" s="47"/>
      <c r="AP223" s="47"/>
      <c r="AQ223" s="47"/>
      <c r="AR223" s="25"/>
    </row>
    <row r="224" spans="1:44" ht="25.2" customHeight="1" x14ac:dyDescent="0.15">
      <c r="A224" s="47"/>
      <c r="B224" s="47"/>
      <c r="C224" s="47"/>
      <c r="D224" s="47"/>
      <c r="E224" s="47"/>
      <c r="F224" s="47"/>
      <c r="G224" s="47"/>
      <c r="H224" s="47"/>
      <c r="I224" s="111"/>
      <c r="J224" s="52"/>
      <c r="K224" s="148"/>
      <c r="L224" s="52"/>
      <c r="M224" s="148"/>
      <c r="N224" s="52"/>
      <c r="O224" s="148"/>
      <c r="P224" s="52"/>
      <c r="Q224" s="155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52"/>
      <c r="AD224" s="52"/>
      <c r="AE224" s="47"/>
      <c r="AF224" s="69"/>
      <c r="AG224" s="103" t="str">
        <f t="shared" si="281"/>
        <v xml:space="preserve"> </v>
      </c>
      <c r="AH224" s="47"/>
      <c r="AI224" s="223"/>
      <c r="AJ224" s="47"/>
      <c r="AK224" s="73"/>
      <c r="AL224" s="47"/>
      <c r="AM224" s="47"/>
      <c r="AN224" s="47"/>
      <c r="AO224" s="47"/>
      <c r="AP224" s="47"/>
      <c r="AQ224" s="47"/>
      <c r="AR224" s="25"/>
    </row>
    <row r="225" spans="1:44" ht="25.2" customHeight="1" x14ac:dyDescent="0.15">
      <c r="A225" s="47"/>
      <c r="B225" s="47"/>
      <c r="C225" s="47"/>
      <c r="D225" s="47"/>
      <c r="E225" s="47"/>
      <c r="F225" s="47"/>
      <c r="G225" s="47"/>
      <c r="H225" s="47"/>
      <c r="I225" s="111"/>
      <c r="J225" s="52"/>
      <c r="K225" s="148"/>
      <c r="L225" s="52"/>
      <c r="M225" s="148"/>
      <c r="N225" s="52"/>
      <c r="O225" s="148"/>
      <c r="P225" s="52"/>
      <c r="Q225" s="155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52"/>
      <c r="AD225" s="52"/>
      <c r="AE225" s="47"/>
      <c r="AF225" s="69"/>
      <c r="AG225" s="103" t="str">
        <f t="shared" si="281"/>
        <v xml:space="preserve"> </v>
      </c>
      <c r="AH225" s="47"/>
      <c r="AI225" s="223"/>
      <c r="AJ225" s="47"/>
      <c r="AK225" s="73"/>
      <c r="AL225" s="47"/>
      <c r="AM225" s="47"/>
      <c r="AN225" s="47"/>
      <c r="AO225" s="47"/>
      <c r="AP225" s="47"/>
      <c r="AQ225" s="47"/>
      <c r="AR225" s="25"/>
    </row>
    <row r="226" spans="1:44" ht="25.2" customHeight="1" x14ac:dyDescent="0.15">
      <c r="A226" s="47"/>
      <c r="B226" s="47"/>
      <c r="C226" s="47"/>
      <c r="D226" s="47"/>
      <c r="E226" s="47"/>
      <c r="F226" s="47"/>
      <c r="G226" s="47"/>
      <c r="H226" s="47"/>
      <c r="I226" s="111"/>
      <c r="J226" s="52"/>
      <c r="K226" s="148"/>
      <c r="L226" s="52"/>
      <c r="M226" s="148"/>
      <c r="N226" s="52"/>
      <c r="O226" s="148"/>
      <c r="P226" s="52"/>
      <c r="Q226" s="155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52"/>
      <c r="AD226" s="52"/>
      <c r="AE226" s="47"/>
      <c r="AF226" s="69"/>
      <c r="AG226" s="103" t="str">
        <f t="shared" si="281"/>
        <v xml:space="preserve"> </v>
      </c>
      <c r="AH226" s="47"/>
      <c r="AI226" s="223"/>
      <c r="AJ226" s="47"/>
      <c r="AK226" s="73"/>
      <c r="AL226" s="47"/>
      <c r="AM226" s="47"/>
      <c r="AN226" s="47"/>
      <c r="AO226" s="47"/>
      <c r="AP226" s="47"/>
      <c r="AQ226" s="47"/>
      <c r="AR226" s="25"/>
    </row>
    <row r="227" spans="1:44" ht="25.2" customHeight="1" x14ac:dyDescent="0.15">
      <c r="A227" s="47"/>
      <c r="B227" s="47"/>
      <c r="C227" s="47"/>
      <c r="D227" s="47"/>
      <c r="E227" s="47"/>
      <c r="F227" s="47"/>
      <c r="G227" s="47"/>
      <c r="H227" s="47"/>
      <c r="I227" s="111"/>
      <c r="J227" s="52"/>
      <c r="K227" s="148"/>
      <c r="L227" s="52"/>
      <c r="M227" s="148"/>
      <c r="N227" s="52"/>
      <c r="O227" s="148"/>
      <c r="P227" s="52"/>
      <c r="Q227" s="155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52"/>
      <c r="AD227" s="52"/>
      <c r="AE227" s="47"/>
      <c r="AF227" s="69"/>
      <c r="AG227" s="103" t="str">
        <f t="shared" si="281"/>
        <v xml:space="preserve"> </v>
      </c>
      <c r="AJ227" s="47"/>
      <c r="AK227" s="73"/>
      <c r="AL227" s="47"/>
      <c r="AM227" s="47"/>
      <c r="AN227" s="47"/>
      <c r="AO227" s="47"/>
      <c r="AP227" s="47"/>
      <c r="AQ227" s="47"/>
      <c r="AR227" s="25"/>
    </row>
    <row r="228" spans="1:44" ht="25.2" customHeight="1" x14ac:dyDescent="0.15">
      <c r="A228" s="47"/>
      <c r="B228" s="47"/>
      <c r="C228" s="47"/>
      <c r="D228" s="47"/>
      <c r="E228" s="47"/>
      <c r="F228" s="47"/>
      <c r="G228" s="47"/>
      <c r="H228" s="47"/>
      <c r="I228" s="111"/>
      <c r="J228" s="52"/>
      <c r="K228" s="148"/>
      <c r="L228" s="52"/>
      <c r="M228" s="148"/>
      <c r="N228" s="52"/>
      <c r="O228" s="148"/>
      <c r="P228" s="52"/>
      <c r="Q228" s="155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52"/>
      <c r="AD228" s="52"/>
      <c r="AE228" s="47"/>
      <c r="AF228" s="69"/>
      <c r="AG228" s="103" t="str">
        <f t="shared" si="281"/>
        <v xml:space="preserve"> </v>
      </c>
      <c r="AJ228" s="47"/>
      <c r="AK228" s="73"/>
      <c r="AL228" s="47"/>
      <c r="AM228" s="47"/>
      <c r="AN228" s="47"/>
      <c r="AO228" s="47"/>
      <c r="AP228" s="47"/>
      <c r="AQ228" s="47"/>
      <c r="AR228" s="25"/>
    </row>
    <row r="229" spans="1:44" ht="25.2" customHeight="1" x14ac:dyDescent="0.15">
      <c r="A229" s="47"/>
      <c r="B229" s="47"/>
      <c r="C229" s="47"/>
      <c r="D229" s="47"/>
      <c r="E229" s="47"/>
      <c r="F229" s="47"/>
      <c r="G229" s="47"/>
      <c r="H229" s="47"/>
      <c r="I229" s="111"/>
      <c r="J229" s="52"/>
      <c r="K229" s="148"/>
      <c r="L229" s="52"/>
      <c r="M229" s="148"/>
      <c r="N229" s="52"/>
      <c r="O229" s="148"/>
      <c r="P229" s="52"/>
      <c r="Q229" s="155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52"/>
      <c r="AD229" s="52"/>
      <c r="AE229" s="47"/>
      <c r="AF229" s="69"/>
      <c r="AG229" s="103" t="str">
        <f t="shared" si="281"/>
        <v xml:space="preserve"> </v>
      </c>
      <c r="AJ229" s="47"/>
      <c r="AK229" s="73"/>
      <c r="AL229" s="47"/>
      <c r="AM229" s="47"/>
      <c r="AN229" s="47"/>
      <c r="AO229" s="47"/>
      <c r="AP229" s="47"/>
      <c r="AQ229" s="47"/>
      <c r="AR229" s="25"/>
    </row>
    <row r="230" spans="1:44" ht="25.2" customHeight="1" x14ac:dyDescent="0.15">
      <c r="A230" s="47"/>
      <c r="B230" s="47"/>
      <c r="C230" s="47"/>
      <c r="D230" s="47"/>
      <c r="E230" s="47"/>
      <c r="F230" s="47"/>
      <c r="G230" s="47"/>
      <c r="H230" s="47"/>
      <c r="I230" s="111"/>
      <c r="J230" s="52"/>
      <c r="K230" s="148"/>
      <c r="L230" s="52"/>
      <c r="M230" s="148"/>
      <c r="N230" s="52"/>
      <c r="O230" s="148"/>
      <c r="P230" s="52"/>
      <c r="Q230" s="155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52"/>
      <c r="AD230" s="52"/>
      <c r="AE230" s="47"/>
      <c r="AF230" s="69"/>
      <c r="AG230" s="103" t="str">
        <f t="shared" si="281"/>
        <v xml:space="preserve"> </v>
      </c>
      <c r="AJ230" s="47"/>
      <c r="AK230" s="73"/>
      <c r="AL230" s="47"/>
      <c r="AM230" s="47"/>
      <c r="AN230" s="47"/>
      <c r="AO230" s="47"/>
      <c r="AP230" s="47"/>
      <c r="AQ230" s="47"/>
      <c r="AR230" s="25"/>
    </row>
    <row r="231" spans="1:44" ht="25.2" customHeight="1" x14ac:dyDescent="0.15">
      <c r="A231" s="47"/>
      <c r="B231" s="47"/>
      <c r="C231" s="47"/>
      <c r="D231" s="47"/>
      <c r="E231" s="47"/>
      <c r="F231" s="47"/>
      <c r="G231" s="47"/>
      <c r="H231" s="47"/>
      <c r="I231" s="111"/>
      <c r="J231" s="52"/>
      <c r="K231" s="148"/>
      <c r="L231" s="52"/>
      <c r="M231" s="148"/>
      <c r="N231" s="52"/>
      <c r="O231" s="148"/>
      <c r="P231" s="52"/>
      <c r="Q231" s="155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52"/>
      <c r="AD231" s="52"/>
      <c r="AE231" s="47"/>
      <c r="AF231" s="69"/>
      <c r="AG231" s="103" t="str">
        <f t="shared" si="281"/>
        <v xml:space="preserve"> </v>
      </c>
      <c r="AJ231" s="47"/>
      <c r="AK231" s="73"/>
      <c r="AL231" s="47"/>
      <c r="AM231" s="47"/>
      <c r="AN231" s="47"/>
      <c r="AO231" s="47"/>
      <c r="AP231" s="47"/>
      <c r="AQ231" s="47"/>
      <c r="AR231" s="25"/>
    </row>
    <row r="232" spans="1:44" ht="25.2" customHeight="1" x14ac:dyDescent="0.15">
      <c r="A232" s="47"/>
      <c r="B232" s="47"/>
      <c r="C232" s="47"/>
      <c r="D232" s="47"/>
      <c r="E232" s="47"/>
      <c r="F232" s="47"/>
      <c r="G232" s="47"/>
      <c r="H232" s="47"/>
      <c r="I232" s="111"/>
      <c r="J232" s="52"/>
      <c r="K232" s="148"/>
      <c r="L232" s="52"/>
      <c r="M232" s="148"/>
      <c r="N232" s="52"/>
      <c r="O232" s="148"/>
      <c r="P232" s="52"/>
      <c r="Q232" s="155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52"/>
      <c r="AD232" s="52"/>
      <c r="AE232" s="47"/>
      <c r="AF232" s="69"/>
      <c r="AG232" s="103" t="str">
        <f t="shared" si="281"/>
        <v xml:space="preserve"> </v>
      </c>
      <c r="AJ232" s="47"/>
      <c r="AK232" s="73"/>
      <c r="AL232" s="47"/>
      <c r="AM232" s="47"/>
      <c r="AN232" s="47"/>
      <c r="AO232" s="47"/>
      <c r="AP232" s="47"/>
      <c r="AQ232" s="47"/>
      <c r="AR232" s="25"/>
    </row>
    <row r="233" spans="1:44" ht="25.2" customHeight="1" x14ac:dyDescent="0.15">
      <c r="A233" s="47"/>
      <c r="B233" s="47"/>
      <c r="C233" s="47"/>
      <c r="D233" s="47"/>
      <c r="E233" s="47"/>
      <c r="F233" s="47"/>
      <c r="G233" s="47"/>
      <c r="H233" s="47"/>
      <c r="I233" s="111"/>
      <c r="J233" s="52"/>
      <c r="K233" s="148"/>
      <c r="L233" s="52"/>
      <c r="M233" s="148"/>
      <c r="N233" s="52"/>
      <c r="O233" s="148"/>
      <c r="P233" s="52"/>
      <c r="Q233" s="155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52"/>
      <c r="AD233" s="52"/>
      <c r="AE233" s="47"/>
      <c r="AF233" s="69"/>
      <c r="AG233" s="103" t="str">
        <f t="shared" si="281"/>
        <v xml:space="preserve"> </v>
      </c>
      <c r="AJ233" s="47"/>
      <c r="AK233" s="73"/>
      <c r="AL233" s="47"/>
      <c r="AM233" s="47"/>
      <c r="AN233" s="47"/>
      <c r="AO233" s="47"/>
      <c r="AP233" s="47"/>
      <c r="AQ233" s="47"/>
      <c r="AR233" s="25"/>
    </row>
    <row r="234" spans="1:44" ht="25.2" customHeight="1" x14ac:dyDescent="0.15">
      <c r="A234" s="47"/>
      <c r="B234" s="47"/>
      <c r="C234" s="47"/>
      <c r="D234" s="47"/>
      <c r="E234" s="47"/>
      <c r="F234" s="47"/>
      <c r="G234" s="47"/>
      <c r="H234" s="47"/>
      <c r="I234" s="111"/>
      <c r="J234" s="52"/>
      <c r="K234" s="148"/>
      <c r="L234" s="52"/>
      <c r="M234" s="148"/>
      <c r="N234" s="52"/>
      <c r="O234" s="148"/>
      <c r="P234" s="52"/>
      <c r="Q234" s="155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52"/>
      <c r="AD234" s="52"/>
      <c r="AE234" s="47"/>
      <c r="AF234" s="69"/>
      <c r="AG234" s="103" t="str">
        <f t="shared" si="281"/>
        <v xml:space="preserve"> </v>
      </c>
      <c r="AJ234" s="47"/>
      <c r="AK234" s="73"/>
      <c r="AL234" s="47"/>
      <c r="AM234" s="47"/>
      <c r="AN234" s="47"/>
      <c r="AO234" s="47"/>
      <c r="AP234" s="47"/>
      <c r="AQ234" s="47"/>
      <c r="AR234" s="25"/>
    </row>
    <row r="235" spans="1:44" ht="25.2" customHeight="1" x14ac:dyDescent="0.15">
      <c r="A235" s="47"/>
      <c r="B235" s="47"/>
      <c r="C235" s="47"/>
      <c r="D235" s="47"/>
      <c r="E235" s="47"/>
      <c r="F235" s="47"/>
      <c r="G235" s="47"/>
      <c r="H235" s="47"/>
      <c r="I235" s="111"/>
      <c r="J235" s="52"/>
      <c r="K235" s="148"/>
      <c r="L235" s="52"/>
      <c r="M235" s="148"/>
      <c r="N235" s="52"/>
      <c r="O235" s="148"/>
      <c r="P235" s="52"/>
      <c r="Q235" s="155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52"/>
      <c r="AD235" s="52"/>
      <c r="AE235" s="47"/>
      <c r="AF235" s="69"/>
      <c r="AG235" s="223"/>
      <c r="AJ235" s="47"/>
      <c r="AK235" s="73"/>
      <c r="AL235" s="47"/>
      <c r="AM235" s="47"/>
      <c r="AN235" s="47"/>
      <c r="AO235" s="47"/>
      <c r="AP235" s="47"/>
      <c r="AQ235" s="47"/>
      <c r="AR235" s="25"/>
    </row>
    <row r="236" spans="1:44" ht="25.2" customHeight="1" x14ac:dyDescent="0.15">
      <c r="A236" s="47"/>
      <c r="B236" s="47"/>
      <c r="C236" s="47"/>
      <c r="D236" s="47"/>
      <c r="E236" s="47"/>
      <c r="F236" s="47"/>
      <c r="G236" s="47"/>
      <c r="H236" s="47"/>
      <c r="I236" s="111"/>
      <c r="J236" s="52"/>
      <c r="K236" s="148"/>
      <c r="L236" s="52"/>
      <c r="M236" s="148"/>
      <c r="N236" s="52"/>
      <c r="O236" s="148"/>
      <c r="P236" s="52"/>
      <c r="Q236" s="155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52"/>
      <c r="AD236" s="52"/>
      <c r="AE236" s="47"/>
      <c r="AF236" s="69"/>
      <c r="AG236" s="223"/>
      <c r="AJ236" s="47"/>
      <c r="AK236" s="73"/>
      <c r="AL236" s="47"/>
      <c r="AM236" s="47"/>
      <c r="AN236" s="47"/>
      <c r="AO236" s="47"/>
      <c r="AP236" s="47"/>
      <c r="AQ236" s="47"/>
      <c r="AR236" s="25"/>
    </row>
    <row r="237" spans="1:44" ht="25.2" customHeight="1" x14ac:dyDescent="0.15">
      <c r="A237" s="47"/>
      <c r="B237" s="47"/>
      <c r="C237" s="47"/>
      <c r="D237" s="47"/>
      <c r="E237" s="47"/>
      <c r="F237" s="47"/>
      <c r="G237" s="47"/>
      <c r="H237" s="47"/>
      <c r="I237" s="111"/>
      <c r="J237" s="52"/>
      <c r="K237" s="148"/>
      <c r="L237" s="52"/>
      <c r="M237" s="148"/>
      <c r="N237" s="52"/>
      <c r="O237" s="148"/>
      <c r="P237" s="52"/>
      <c r="Q237" s="155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52"/>
      <c r="AD237" s="52"/>
      <c r="AE237" s="47"/>
      <c r="AF237" s="69"/>
      <c r="AG237" s="223"/>
      <c r="AJ237" s="47"/>
      <c r="AK237" s="73"/>
      <c r="AL237" s="47"/>
      <c r="AM237" s="47"/>
      <c r="AN237" s="47"/>
      <c r="AO237" s="47"/>
      <c r="AP237" s="47"/>
      <c r="AQ237" s="47"/>
      <c r="AR237" s="25"/>
    </row>
    <row r="238" spans="1:44" ht="25.2" customHeight="1" x14ac:dyDescent="0.15">
      <c r="A238" s="47"/>
      <c r="B238" s="47"/>
      <c r="C238" s="47"/>
      <c r="D238" s="47"/>
      <c r="E238" s="47"/>
      <c r="F238" s="47"/>
      <c r="G238" s="47"/>
      <c r="H238" s="47"/>
      <c r="I238" s="111"/>
      <c r="J238" s="52"/>
      <c r="K238" s="148"/>
      <c r="L238" s="52"/>
      <c r="M238" s="148"/>
      <c r="N238" s="52"/>
      <c r="O238" s="148"/>
      <c r="P238" s="52"/>
      <c r="Q238" s="155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52"/>
      <c r="AD238" s="52"/>
      <c r="AE238" s="47"/>
      <c r="AF238" s="69"/>
      <c r="AG238" s="223"/>
      <c r="AJ238" s="47"/>
      <c r="AK238" s="73"/>
      <c r="AL238" s="47"/>
      <c r="AM238" s="47"/>
      <c r="AN238" s="47"/>
      <c r="AO238" s="47"/>
      <c r="AP238" s="47"/>
      <c r="AQ238" s="47"/>
      <c r="AR238" s="25"/>
    </row>
    <row r="239" spans="1:44" ht="25.2" customHeight="1" x14ac:dyDescent="0.15">
      <c r="A239" s="47"/>
      <c r="B239" s="47"/>
      <c r="C239" s="47"/>
      <c r="D239" s="47"/>
      <c r="E239" s="47"/>
      <c r="F239" s="47"/>
      <c r="G239" s="47"/>
      <c r="H239" s="47"/>
      <c r="I239" s="111"/>
      <c r="J239" s="52"/>
      <c r="K239" s="148"/>
      <c r="L239" s="52"/>
      <c r="M239" s="148"/>
      <c r="N239" s="52"/>
      <c r="O239" s="148"/>
      <c r="P239" s="52"/>
      <c r="Q239" s="155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52"/>
      <c r="AD239" s="52"/>
      <c r="AE239" s="47"/>
      <c r="AF239" s="69"/>
      <c r="AG239" s="223"/>
      <c r="AJ239" s="47"/>
      <c r="AK239" s="73"/>
      <c r="AL239" s="47"/>
      <c r="AM239" s="47"/>
      <c r="AN239" s="47"/>
      <c r="AO239" s="47"/>
      <c r="AP239" s="47"/>
      <c r="AQ239" s="47"/>
      <c r="AR239" s="25"/>
    </row>
    <row r="240" spans="1:44" ht="25.2" customHeight="1" x14ac:dyDescent="0.15">
      <c r="A240" s="47"/>
      <c r="B240" s="47"/>
      <c r="C240" s="47"/>
      <c r="D240" s="47"/>
      <c r="E240" s="47"/>
      <c r="F240" s="47"/>
      <c r="G240" s="47"/>
      <c r="H240" s="47"/>
      <c r="I240" s="111"/>
      <c r="J240" s="52"/>
      <c r="K240" s="148"/>
      <c r="L240" s="52"/>
      <c r="M240" s="148"/>
      <c r="N240" s="52"/>
      <c r="O240" s="148"/>
      <c r="P240" s="52"/>
      <c r="Q240" s="155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52"/>
      <c r="AD240" s="52"/>
      <c r="AE240" s="47"/>
      <c r="AF240" s="69"/>
      <c r="AG240" s="223"/>
      <c r="AJ240" s="47"/>
      <c r="AK240" s="73"/>
      <c r="AL240" s="47"/>
      <c r="AM240" s="47"/>
      <c r="AN240" s="47"/>
      <c r="AO240" s="47"/>
      <c r="AP240" s="47"/>
      <c r="AQ240" s="47"/>
      <c r="AR240" s="25"/>
    </row>
    <row r="241" spans="1:44" ht="25.2" customHeight="1" x14ac:dyDescent="0.15">
      <c r="A241" s="47"/>
      <c r="B241" s="47"/>
      <c r="C241" s="47"/>
      <c r="D241" s="47"/>
      <c r="E241" s="47"/>
      <c r="F241" s="47"/>
      <c r="G241" s="47"/>
      <c r="H241" s="47"/>
      <c r="I241" s="111"/>
      <c r="J241" s="52"/>
      <c r="K241" s="148"/>
      <c r="L241" s="52"/>
      <c r="M241" s="148"/>
      <c r="N241" s="52"/>
      <c r="O241" s="148"/>
      <c r="P241" s="52"/>
      <c r="Q241" s="155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52"/>
      <c r="AD241" s="52"/>
      <c r="AE241" s="47"/>
      <c r="AF241" s="69"/>
      <c r="AG241" s="223"/>
      <c r="AJ241" s="47"/>
      <c r="AK241" s="73"/>
      <c r="AL241" s="47"/>
      <c r="AM241" s="47"/>
      <c r="AN241" s="47"/>
      <c r="AO241" s="47"/>
      <c r="AP241" s="47"/>
      <c r="AQ241" s="47"/>
      <c r="AR241" s="25"/>
    </row>
    <row r="242" spans="1:44" ht="25.2" customHeight="1" x14ac:dyDescent="0.15">
      <c r="A242" s="47"/>
      <c r="B242" s="47"/>
      <c r="C242" s="47"/>
      <c r="D242" s="47"/>
      <c r="E242" s="47"/>
      <c r="F242" s="47"/>
      <c r="G242" s="47"/>
      <c r="H242" s="47"/>
      <c r="I242" s="111"/>
      <c r="J242" s="52"/>
      <c r="K242" s="148"/>
      <c r="L242" s="52"/>
      <c r="M242" s="148"/>
      <c r="N242" s="52"/>
      <c r="O242" s="148"/>
      <c r="P242" s="52"/>
      <c r="Q242" s="155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52"/>
      <c r="AD242" s="52"/>
      <c r="AE242" s="47"/>
      <c r="AF242" s="69"/>
      <c r="AG242" s="223"/>
      <c r="AJ242" s="47"/>
      <c r="AK242" s="73"/>
      <c r="AL242" s="47"/>
      <c r="AM242" s="47"/>
      <c r="AN242" s="47"/>
      <c r="AO242" s="47"/>
      <c r="AP242" s="47"/>
      <c r="AQ242" s="47"/>
      <c r="AR242" s="25"/>
    </row>
    <row r="243" spans="1:44" ht="25.2" customHeight="1" x14ac:dyDescent="0.15">
      <c r="A243" s="47"/>
      <c r="B243" s="47"/>
      <c r="C243" s="47"/>
      <c r="D243" s="47"/>
      <c r="E243" s="47"/>
      <c r="F243" s="47"/>
      <c r="G243" s="47"/>
      <c r="H243" s="47"/>
      <c r="I243" s="111"/>
      <c r="J243" s="52"/>
      <c r="K243" s="148"/>
      <c r="L243" s="52"/>
      <c r="M243" s="148"/>
      <c r="N243" s="52"/>
      <c r="O243" s="148"/>
      <c r="P243" s="52"/>
      <c r="Q243" s="155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52"/>
      <c r="AD243" s="52"/>
      <c r="AE243" s="47"/>
      <c r="AF243" s="69"/>
      <c r="AG243" s="223"/>
      <c r="AJ243" s="47"/>
      <c r="AK243" s="73"/>
      <c r="AL243" s="47"/>
      <c r="AM243" s="47"/>
      <c r="AN243" s="47"/>
      <c r="AO243" s="47"/>
      <c r="AP243" s="47"/>
      <c r="AQ243" s="47"/>
      <c r="AR243" s="25"/>
    </row>
    <row r="244" spans="1:44" ht="25.2" customHeight="1" x14ac:dyDescent="0.15">
      <c r="A244" s="47"/>
      <c r="B244" s="47"/>
      <c r="C244" s="47"/>
      <c r="D244" s="47"/>
      <c r="E244" s="47"/>
      <c r="F244" s="47"/>
      <c r="G244" s="47"/>
      <c r="H244" s="47"/>
      <c r="I244" s="111"/>
      <c r="J244" s="52"/>
      <c r="K244" s="148"/>
      <c r="L244" s="52"/>
      <c r="M244" s="148"/>
      <c r="N244" s="52"/>
      <c r="O244" s="148"/>
      <c r="P244" s="52"/>
      <c r="Q244" s="155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52"/>
      <c r="AD244" s="52"/>
      <c r="AE244" s="47"/>
      <c r="AF244" s="69"/>
      <c r="AG244" s="223"/>
      <c r="AJ244" s="47"/>
      <c r="AK244" s="73"/>
      <c r="AL244" s="47"/>
      <c r="AM244" s="47"/>
      <c r="AN244" s="47"/>
      <c r="AO244" s="47"/>
      <c r="AP244" s="47"/>
      <c r="AQ244" s="47"/>
      <c r="AR244" s="25"/>
    </row>
    <row r="245" spans="1:44" ht="25.2" customHeight="1" x14ac:dyDescent="0.15">
      <c r="A245" s="47"/>
      <c r="B245" s="47"/>
      <c r="C245" s="47"/>
      <c r="D245" s="47"/>
      <c r="E245" s="47"/>
      <c r="F245" s="47"/>
      <c r="G245" s="47"/>
      <c r="H245" s="47"/>
      <c r="I245" s="111"/>
      <c r="J245" s="52"/>
      <c r="K245" s="148"/>
      <c r="L245" s="52"/>
      <c r="M245" s="148"/>
      <c r="N245" s="52"/>
      <c r="O245" s="148"/>
      <c r="P245" s="52"/>
      <c r="Q245" s="155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52"/>
      <c r="AD245" s="52"/>
      <c r="AE245" s="47"/>
      <c r="AF245" s="69"/>
      <c r="AG245" s="223"/>
      <c r="AJ245" s="47"/>
      <c r="AK245" s="73"/>
      <c r="AL245" s="47"/>
      <c r="AM245" s="47"/>
      <c r="AN245" s="47"/>
      <c r="AO245" s="47"/>
      <c r="AP245" s="47"/>
      <c r="AQ245" s="47"/>
      <c r="AR245" s="25"/>
    </row>
    <row r="246" spans="1:44" ht="25.2" customHeight="1" x14ac:dyDescent="0.15">
      <c r="A246" s="47"/>
      <c r="B246" s="47"/>
      <c r="C246" s="47"/>
      <c r="D246" s="47"/>
      <c r="E246" s="47"/>
      <c r="F246" s="47"/>
      <c r="G246" s="47"/>
      <c r="H246" s="47"/>
      <c r="I246" s="111"/>
      <c r="J246" s="52"/>
      <c r="K246" s="148"/>
      <c r="L246" s="52"/>
      <c r="M246" s="148"/>
      <c r="N246" s="52"/>
      <c r="O246" s="148"/>
      <c r="P246" s="52"/>
      <c r="Q246" s="155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52"/>
      <c r="AD246" s="52"/>
      <c r="AE246" s="47"/>
      <c r="AF246" s="69"/>
      <c r="AG246" s="223"/>
      <c r="AJ246" s="47"/>
      <c r="AK246" s="73"/>
      <c r="AL246" s="47"/>
      <c r="AM246" s="47"/>
      <c r="AN246" s="47"/>
      <c r="AO246" s="47"/>
      <c r="AP246" s="47"/>
      <c r="AQ246" s="47"/>
      <c r="AR246" s="25"/>
    </row>
    <row r="247" spans="1:44" ht="25.2" customHeight="1" x14ac:dyDescent="0.15">
      <c r="A247" s="47"/>
      <c r="B247" s="47"/>
      <c r="C247" s="47"/>
      <c r="D247" s="47"/>
      <c r="E247" s="47"/>
      <c r="F247" s="47"/>
      <c r="G247" s="47"/>
      <c r="H247" s="47"/>
      <c r="I247" s="111"/>
      <c r="J247" s="52"/>
      <c r="K247" s="148"/>
      <c r="L247" s="52"/>
      <c r="M247" s="148"/>
      <c r="N247" s="52"/>
      <c r="O247" s="148"/>
      <c r="P247" s="52"/>
      <c r="Q247" s="155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52"/>
      <c r="AD247" s="52"/>
      <c r="AE247" s="47"/>
      <c r="AF247" s="69"/>
      <c r="AG247" s="223"/>
      <c r="AJ247" s="47"/>
      <c r="AK247" s="73"/>
      <c r="AL247" s="47"/>
      <c r="AM247" s="47"/>
      <c r="AN247" s="47"/>
      <c r="AO247" s="47"/>
      <c r="AP247" s="47"/>
      <c r="AQ247" s="47"/>
      <c r="AR247" s="25"/>
    </row>
    <row r="248" spans="1:44" ht="25.2" customHeight="1" x14ac:dyDescent="0.15">
      <c r="A248" s="47"/>
      <c r="B248" s="47"/>
      <c r="C248" s="47"/>
      <c r="D248" s="47"/>
      <c r="E248" s="47"/>
      <c r="F248" s="47"/>
      <c r="G248" s="47"/>
      <c r="H248" s="47"/>
      <c r="I248" s="111"/>
      <c r="J248" s="52"/>
      <c r="K248" s="148"/>
      <c r="L248" s="52"/>
      <c r="M248" s="148"/>
      <c r="N248" s="52"/>
      <c r="O248" s="148"/>
      <c r="P248" s="52"/>
      <c r="Q248" s="155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52"/>
      <c r="AD248" s="52"/>
      <c r="AE248" s="47"/>
      <c r="AF248" s="69"/>
      <c r="AG248" s="223"/>
      <c r="AJ248" s="47"/>
      <c r="AK248" s="73"/>
      <c r="AL248" s="47"/>
      <c r="AM248" s="47"/>
      <c r="AN248" s="47"/>
      <c r="AO248" s="47"/>
      <c r="AP248" s="47"/>
      <c r="AQ248" s="47"/>
      <c r="AR248" s="25"/>
    </row>
    <row r="249" spans="1:44" ht="25.2" customHeight="1" x14ac:dyDescent="0.15">
      <c r="A249" s="47"/>
      <c r="B249" s="47"/>
      <c r="C249" s="47"/>
      <c r="D249" s="47"/>
      <c r="E249" s="47"/>
      <c r="F249" s="47"/>
      <c r="G249" s="47"/>
      <c r="H249" s="47"/>
      <c r="I249" s="111"/>
      <c r="J249" s="52"/>
      <c r="K249" s="148"/>
      <c r="L249" s="52"/>
      <c r="M249" s="148"/>
      <c r="N249" s="52"/>
      <c r="O249" s="148"/>
      <c r="P249" s="52"/>
      <c r="Q249" s="155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52"/>
      <c r="AD249" s="52"/>
      <c r="AE249" s="47"/>
      <c r="AF249" s="69"/>
      <c r="AG249" s="223"/>
      <c r="AJ249" s="47"/>
      <c r="AK249" s="73"/>
      <c r="AL249" s="47"/>
      <c r="AM249" s="47"/>
      <c r="AN249" s="47"/>
      <c r="AO249" s="47"/>
      <c r="AP249" s="47"/>
      <c r="AQ249" s="47"/>
      <c r="AR249" s="25"/>
    </row>
    <row r="250" spans="1:44" ht="25.2" customHeight="1" x14ac:dyDescent="0.15">
      <c r="A250" s="47"/>
      <c r="B250" s="47"/>
      <c r="C250" s="47"/>
      <c r="D250" s="47"/>
      <c r="E250" s="47"/>
      <c r="F250" s="47"/>
      <c r="G250" s="47"/>
      <c r="H250" s="47"/>
      <c r="I250" s="111"/>
      <c r="J250" s="52"/>
      <c r="K250" s="148"/>
      <c r="L250" s="52"/>
      <c r="M250" s="148"/>
      <c r="N250" s="52"/>
      <c r="O250" s="148"/>
      <c r="P250" s="52"/>
      <c r="Q250" s="155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52"/>
      <c r="AD250" s="52"/>
      <c r="AE250" s="47"/>
      <c r="AF250" s="69"/>
      <c r="AG250" s="223"/>
      <c r="AJ250" s="47"/>
      <c r="AK250" s="73"/>
      <c r="AL250" s="47"/>
      <c r="AM250" s="47"/>
      <c r="AN250" s="47"/>
      <c r="AO250" s="47"/>
      <c r="AP250" s="47"/>
      <c r="AQ250" s="47"/>
      <c r="AR250" s="25"/>
    </row>
    <row r="251" spans="1:44" ht="25.2" customHeight="1" x14ac:dyDescent="0.15">
      <c r="A251" s="47"/>
      <c r="B251" s="47"/>
      <c r="C251" s="47"/>
      <c r="D251" s="47"/>
      <c r="E251" s="47"/>
      <c r="F251" s="47"/>
      <c r="G251" s="47"/>
      <c r="H251" s="47"/>
      <c r="I251" s="111"/>
      <c r="J251" s="52"/>
      <c r="K251" s="148"/>
      <c r="L251" s="52"/>
      <c r="M251" s="148"/>
      <c r="N251" s="52"/>
      <c r="O251" s="148"/>
      <c r="P251" s="52"/>
      <c r="Q251" s="155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52"/>
      <c r="AD251" s="52"/>
      <c r="AE251" s="47"/>
      <c r="AF251" s="69"/>
      <c r="AG251" s="223"/>
      <c r="AJ251" s="47"/>
      <c r="AK251" s="73"/>
      <c r="AL251" s="47"/>
      <c r="AM251" s="47"/>
      <c r="AN251" s="47"/>
      <c r="AO251" s="47"/>
      <c r="AP251" s="47"/>
      <c r="AQ251" s="47"/>
      <c r="AR251" s="25"/>
    </row>
    <row r="252" spans="1:44" ht="25.2" customHeight="1" x14ac:dyDescent="0.15">
      <c r="A252" s="47"/>
      <c r="B252" s="47"/>
      <c r="C252" s="47"/>
      <c r="D252" s="47"/>
      <c r="E252" s="47"/>
      <c r="F252" s="47"/>
      <c r="G252" s="47"/>
      <c r="H252" s="47"/>
      <c r="I252" s="111"/>
      <c r="J252" s="52"/>
      <c r="K252" s="148"/>
      <c r="L252" s="52"/>
      <c r="M252" s="148"/>
      <c r="N252" s="52"/>
      <c r="O252" s="148"/>
      <c r="P252" s="52"/>
      <c r="Q252" s="155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52"/>
      <c r="AD252" s="52"/>
      <c r="AE252" s="47"/>
      <c r="AF252" s="69"/>
      <c r="AG252" s="223"/>
      <c r="AJ252" s="47"/>
      <c r="AK252" s="73"/>
      <c r="AL252" s="47"/>
      <c r="AM252" s="47"/>
      <c r="AN252" s="47"/>
      <c r="AO252" s="47"/>
      <c r="AP252" s="47"/>
      <c r="AQ252" s="47"/>
      <c r="AR252" s="25"/>
    </row>
    <row r="253" spans="1:44" ht="25.2" customHeight="1" x14ac:dyDescent="0.15">
      <c r="A253" s="47"/>
      <c r="B253" s="47"/>
      <c r="C253" s="47"/>
      <c r="D253" s="47"/>
      <c r="E253" s="47"/>
      <c r="F253" s="47"/>
      <c r="G253" s="47"/>
      <c r="H253" s="47"/>
      <c r="I253" s="111"/>
      <c r="J253" s="52"/>
      <c r="K253" s="148"/>
      <c r="L253" s="52"/>
      <c r="M253" s="148"/>
      <c r="N253" s="52"/>
      <c r="O253" s="148"/>
      <c r="P253" s="52"/>
      <c r="Q253" s="155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52"/>
      <c r="AD253" s="52"/>
      <c r="AE253" s="47"/>
      <c r="AF253" s="69"/>
      <c r="AG253" s="223"/>
      <c r="AJ253" s="47"/>
      <c r="AK253" s="73"/>
      <c r="AL253" s="47"/>
      <c r="AM253" s="47"/>
      <c r="AN253" s="47"/>
      <c r="AO253" s="47"/>
      <c r="AP253" s="47"/>
      <c r="AQ253" s="47"/>
      <c r="AR253" s="25"/>
    </row>
    <row r="254" spans="1:44" ht="25.2" customHeight="1" x14ac:dyDescent="0.15">
      <c r="A254" s="47"/>
      <c r="B254" s="47"/>
      <c r="C254" s="47"/>
      <c r="D254" s="47"/>
      <c r="E254" s="47"/>
      <c r="F254" s="47"/>
      <c r="G254" s="47"/>
      <c r="H254" s="47"/>
      <c r="I254" s="111"/>
      <c r="J254" s="52"/>
      <c r="K254" s="148"/>
      <c r="L254" s="52"/>
      <c r="M254" s="148"/>
      <c r="N254" s="52"/>
      <c r="O254" s="148"/>
      <c r="P254" s="52"/>
      <c r="Q254" s="155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52"/>
      <c r="AD254" s="52"/>
      <c r="AE254" s="47"/>
      <c r="AF254" s="69"/>
      <c r="AG254" s="223"/>
      <c r="AJ254" s="47"/>
      <c r="AK254" s="73"/>
      <c r="AL254" s="47"/>
      <c r="AM254" s="47"/>
      <c r="AN254" s="47"/>
      <c r="AO254" s="47"/>
      <c r="AP254" s="47"/>
      <c r="AQ254" s="47"/>
      <c r="AR254" s="25"/>
    </row>
    <row r="255" spans="1:44" ht="25.2" customHeight="1" x14ac:dyDescent="0.15">
      <c r="A255" s="47"/>
      <c r="B255" s="47"/>
      <c r="C255" s="47"/>
      <c r="D255" s="47"/>
      <c r="E255" s="47"/>
      <c r="F255" s="47"/>
      <c r="G255" s="47"/>
      <c r="H255" s="47"/>
      <c r="I255" s="111"/>
      <c r="J255" s="52"/>
      <c r="K255" s="148"/>
      <c r="L255" s="52"/>
      <c r="M255" s="148"/>
      <c r="N255" s="52"/>
      <c r="O255" s="148"/>
      <c r="P255" s="52"/>
      <c r="Q255" s="155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52"/>
      <c r="AD255" s="52"/>
      <c r="AE255" s="47"/>
      <c r="AF255" s="69"/>
      <c r="AG255" s="223"/>
      <c r="AJ255" s="47"/>
      <c r="AK255" s="73"/>
      <c r="AL255" s="47"/>
      <c r="AM255" s="47"/>
      <c r="AN255" s="47"/>
      <c r="AO255" s="47"/>
      <c r="AP255" s="47"/>
      <c r="AQ255" s="47"/>
      <c r="AR255" s="25"/>
    </row>
    <row r="256" spans="1:44" ht="25.2" customHeight="1" x14ac:dyDescent="0.15">
      <c r="A256" s="47"/>
      <c r="B256" s="47"/>
      <c r="C256" s="47"/>
      <c r="D256" s="47"/>
      <c r="E256" s="47"/>
      <c r="F256" s="47"/>
      <c r="G256" s="47"/>
      <c r="H256" s="47"/>
      <c r="I256" s="111"/>
      <c r="J256" s="52"/>
      <c r="K256" s="148"/>
      <c r="L256" s="52"/>
      <c r="M256" s="148"/>
      <c r="N256" s="52"/>
      <c r="O256" s="148"/>
      <c r="P256" s="52"/>
      <c r="Q256" s="155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52"/>
      <c r="AD256" s="52"/>
      <c r="AE256" s="47"/>
      <c r="AF256" s="69"/>
      <c r="AG256" s="223"/>
      <c r="AJ256" s="47"/>
      <c r="AK256" s="73"/>
      <c r="AL256" s="47"/>
      <c r="AM256" s="47"/>
      <c r="AN256" s="47"/>
      <c r="AO256" s="47"/>
      <c r="AP256" s="47"/>
      <c r="AQ256" s="47"/>
      <c r="AR256" s="25"/>
    </row>
    <row r="257" spans="1:44" ht="25.2" customHeight="1" x14ac:dyDescent="0.15">
      <c r="A257" s="47"/>
      <c r="B257" s="47"/>
      <c r="C257" s="47"/>
      <c r="D257" s="47"/>
      <c r="E257" s="47"/>
      <c r="F257" s="47"/>
      <c r="G257" s="47"/>
      <c r="H257" s="47"/>
      <c r="I257" s="111"/>
      <c r="J257" s="52"/>
      <c r="K257" s="148"/>
      <c r="L257" s="52"/>
      <c r="M257" s="148"/>
      <c r="N257" s="52"/>
      <c r="O257" s="148"/>
      <c r="P257" s="52"/>
      <c r="Q257" s="155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52"/>
      <c r="AD257" s="52"/>
      <c r="AE257" s="47"/>
      <c r="AF257" s="69"/>
      <c r="AG257" s="223"/>
      <c r="AJ257" s="47"/>
      <c r="AK257" s="73"/>
      <c r="AL257" s="47"/>
      <c r="AM257" s="47"/>
      <c r="AN257" s="47"/>
      <c r="AO257" s="47"/>
      <c r="AP257" s="47"/>
      <c r="AQ257" s="47"/>
      <c r="AR257" s="25"/>
    </row>
    <row r="258" spans="1:44" ht="25.2" customHeight="1" x14ac:dyDescent="0.15">
      <c r="A258" s="47"/>
      <c r="B258" s="47"/>
      <c r="C258" s="47"/>
      <c r="D258" s="47"/>
      <c r="E258" s="47"/>
      <c r="F258" s="47"/>
      <c r="G258" s="47"/>
      <c r="H258" s="47"/>
      <c r="I258" s="111"/>
      <c r="J258" s="52"/>
      <c r="K258" s="148"/>
      <c r="L258" s="52"/>
      <c r="M258" s="148"/>
      <c r="N258" s="52"/>
      <c r="O258" s="148"/>
      <c r="P258" s="52"/>
      <c r="Q258" s="155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52"/>
      <c r="AD258" s="52"/>
      <c r="AE258" s="47"/>
      <c r="AF258" s="69"/>
      <c r="AG258" s="223"/>
      <c r="AJ258" s="47"/>
      <c r="AK258" s="73"/>
      <c r="AL258" s="47"/>
      <c r="AM258" s="47"/>
      <c r="AN258" s="47"/>
      <c r="AO258" s="47"/>
      <c r="AP258" s="47"/>
      <c r="AQ258" s="47"/>
      <c r="AR258" s="25"/>
    </row>
    <row r="259" spans="1:44" ht="25.2" customHeight="1" x14ac:dyDescent="0.15">
      <c r="A259" s="47"/>
      <c r="B259" s="47"/>
      <c r="C259" s="47"/>
      <c r="D259" s="47"/>
      <c r="E259" s="47"/>
      <c r="F259" s="47"/>
      <c r="G259" s="47"/>
      <c r="H259" s="47"/>
      <c r="I259" s="111"/>
      <c r="J259" s="52"/>
      <c r="K259" s="148"/>
      <c r="L259" s="52"/>
      <c r="M259" s="148"/>
      <c r="N259" s="52"/>
      <c r="O259" s="148"/>
      <c r="P259" s="52"/>
      <c r="Q259" s="155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52"/>
      <c r="AD259" s="52"/>
      <c r="AE259" s="47"/>
      <c r="AF259" s="69"/>
      <c r="AG259" s="223"/>
      <c r="AJ259" s="47"/>
      <c r="AK259" s="73"/>
      <c r="AL259" s="47"/>
      <c r="AM259" s="47"/>
      <c r="AN259" s="47"/>
      <c r="AO259" s="47"/>
      <c r="AP259" s="47"/>
      <c r="AQ259" s="47"/>
      <c r="AR259" s="25"/>
    </row>
    <row r="260" spans="1:44" ht="25.2" customHeight="1" x14ac:dyDescent="0.15">
      <c r="A260" s="47"/>
      <c r="B260" s="47"/>
      <c r="C260" s="47"/>
      <c r="D260" s="47"/>
      <c r="E260" s="47"/>
      <c r="F260" s="47"/>
      <c r="G260" s="47"/>
      <c r="H260" s="47"/>
      <c r="I260" s="111"/>
      <c r="J260" s="52"/>
      <c r="K260" s="148"/>
      <c r="L260" s="52"/>
      <c r="M260" s="148"/>
      <c r="N260" s="52"/>
      <c r="O260" s="148"/>
      <c r="P260" s="52"/>
      <c r="Q260" s="155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52"/>
      <c r="AD260" s="52"/>
      <c r="AE260" s="47"/>
      <c r="AF260" s="69"/>
      <c r="AG260" s="223"/>
      <c r="AJ260" s="47"/>
      <c r="AK260" s="73"/>
      <c r="AL260" s="47"/>
      <c r="AM260" s="47"/>
      <c r="AN260" s="47"/>
      <c r="AO260" s="47"/>
      <c r="AP260" s="47"/>
      <c r="AQ260" s="47"/>
      <c r="AR260" s="25"/>
    </row>
    <row r="261" spans="1:44" ht="25.2" customHeight="1" x14ac:dyDescent="0.15">
      <c r="A261" s="47"/>
      <c r="B261" s="47"/>
      <c r="C261" s="47"/>
      <c r="D261" s="47"/>
      <c r="E261" s="47"/>
      <c r="F261" s="47"/>
      <c r="G261" s="47"/>
      <c r="H261" s="47"/>
      <c r="I261" s="111"/>
      <c r="J261" s="52"/>
      <c r="K261" s="148"/>
      <c r="L261" s="52"/>
      <c r="M261" s="148"/>
      <c r="N261" s="52"/>
      <c r="O261" s="148"/>
      <c r="P261" s="52"/>
      <c r="Q261" s="155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52"/>
      <c r="AD261" s="52"/>
      <c r="AE261" s="47"/>
      <c r="AF261" s="69"/>
      <c r="AG261" s="223"/>
      <c r="AJ261" s="47"/>
      <c r="AK261" s="73"/>
      <c r="AL261" s="47"/>
      <c r="AM261" s="47"/>
      <c r="AN261" s="47"/>
      <c r="AO261" s="47"/>
      <c r="AP261" s="47"/>
      <c r="AQ261" s="47"/>
      <c r="AR261" s="25"/>
    </row>
    <row r="262" spans="1:44" ht="25.2" customHeight="1" x14ac:dyDescent="0.15">
      <c r="A262" s="47"/>
      <c r="B262" s="47"/>
      <c r="C262" s="47"/>
      <c r="D262" s="47"/>
      <c r="E262" s="47"/>
      <c r="F262" s="47"/>
      <c r="G262" s="47"/>
      <c r="H262" s="47"/>
      <c r="I262" s="111"/>
      <c r="J262" s="52"/>
      <c r="K262" s="148"/>
      <c r="L262" s="52"/>
      <c r="M262" s="148"/>
      <c r="N262" s="52"/>
      <c r="O262" s="148"/>
      <c r="P262" s="52"/>
      <c r="Q262" s="155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52"/>
      <c r="AD262" s="52"/>
      <c r="AE262" s="47"/>
      <c r="AF262" s="69"/>
      <c r="AG262" s="223"/>
      <c r="AJ262" s="47"/>
      <c r="AK262" s="73"/>
      <c r="AL262" s="47"/>
      <c r="AM262" s="47"/>
      <c r="AN262" s="47"/>
      <c r="AO262" s="47"/>
      <c r="AP262" s="47"/>
      <c r="AQ262" s="47"/>
      <c r="AR262" s="25"/>
    </row>
    <row r="263" spans="1:44" ht="25.2" customHeight="1" x14ac:dyDescent="0.15">
      <c r="A263" s="47"/>
      <c r="B263" s="47"/>
      <c r="C263" s="47"/>
      <c r="D263" s="47"/>
      <c r="E263" s="47"/>
      <c r="F263" s="47"/>
      <c r="G263" s="47"/>
      <c r="H263" s="47"/>
      <c r="I263" s="111"/>
      <c r="J263" s="52"/>
      <c r="K263" s="148"/>
      <c r="L263" s="52"/>
      <c r="M263" s="148"/>
      <c r="N263" s="52"/>
      <c r="O263" s="148"/>
      <c r="P263" s="52"/>
      <c r="Q263" s="155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52"/>
      <c r="AD263" s="52"/>
      <c r="AE263" s="47"/>
      <c r="AF263" s="69"/>
      <c r="AG263" s="223"/>
      <c r="AJ263" s="47"/>
      <c r="AK263" s="73"/>
      <c r="AL263" s="47"/>
      <c r="AM263" s="47"/>
      <c r="AN263" s="47"/>
      <c r="AO263" s="47"/>
      <c r="AP263" s="47"/>
      <c r="AQ263" s="47"/>
      <c r="AR263" s="25"/>
    </row>
    <row r="264" spans="1:44" ht="25.2" customHeight="1" x14ac:dyDescent="0.15">
      <c r="A264" s="47"/>
      <c r="B264" s="47"/>
      <c r="C264" s="47"/>
      <c r="D264" s="47"/>
      <c r="E264" s="47"/>
      <c r="F264" s="47"/>
      <c r="G264" s="47"/>
      <c r="H264" s="47"/>
      <c r="I264" s="111"/>
      <c r="J264" s="52"/>
      <c r="K264" s="148"/>
      <c r="L264" s="52"/>
      <c r="M264" s="148"/>
      <c r="N264" s="52"/>
      <c r="O264" s="148"/>
      <c r="P264" s="52"/>
      <c r="Q264" s="155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52"/>
      <c r="AD264" s="52"/>
      <c r="AE264" s="47"/>
      <c r="AF264" s="69"/>
      <c r="AG264" s="223"/>
      <c r="AJ264" s="47"/>
      <c r="AK264" s="73"/>
      <c r="AL264" s="47"/>
      <c r="AM264" s="47"/>
      <c r="AN264" s="47"/>
      <c r="AO264" s="47"/>
      <c r="AP264" s="47"/>
      <c r="AQ264" s="47"/>
      <c r="AR264" s="25"/>
    </row>
    <row r="265" spans="1:44" ht="25.2" customHeight="1" x14ac:dyDescent="0.15">
      <c r="A265" s="47"/>
      <c r="B265" s="47"/>
      <c r="C265" s="47"/>
      <c r="D265" s="47"/>
      <c r="E265" s="47"/>
      <c r="F265" s="47"/>
      <c r="G265" s="47"/>
      <c r="H265" s="47"/>
      <c r="I265" s="111"/>
      <c r="J265" s="52"/>
      <c r="K265" s="148"/>
      <c r="L265" s="52"/>
      <c r="M265" s="148"/>
      <c r="N265" s="52"/>
      <c r="O265" s="148"/>
      <c r="P265" s="52"/>
      <c r="Q265" s="155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52"/>
      <c r="AD265" s="52"/>
      <c r="AE265" s="47"/>
      <c r="AF265" s="69"/>
      <c r="AG265" s="223"/>
      <c r="AJ265" s="47"/>
      <c r="AK265" s="73"/>
      <c r="AL265" s="47"/>
      <c r="AM265" s="47"/>
      <c r="AN265" s="47"/>
      <c r="AO265" s="47"/>
      <c r="AP265" s="47"/>
      <c r="AQ265" s="47"/>
      <c r="AR265" s="25"/>
    </row>
    <row r="266" spans="1:44" ht="25.2" customHeight="1" x14ac:dyDescent="0.15">
      <c r="A266" s="47"/>
      <c r="B266" s="47"/>
      <c r="C266" s="47"/>
      <c r="D266" s="47"/>
      <c r="E266" s="47"/>
      <c r="F266" s="47"/>
      <c r="G266" s="47"/>
      <c r="H266" s="47"/>
      <c r="I266" s="111"/>
      <c r="J266" s="52"/>
      <c r="K266" s="148"/>
      <c r="L266" s="52"/>
      <c r="M266" s="148"/>
      <c r="N266" s="52"/>
      <c r="O266" s="148"/>
      <c r="P266" s="52"/>
      <c r="Q266" s="155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52"/>
      <c r="AD266" s="52"/>
      <c r="AE266" s="47"/>
      <c r="AF266" s="69"/>
      <c r="AG266" s="223"/>
      <c r="AJ266" s="47"/>
      <c r="AK266" s="73"/>
      <c r="AL266" s="47"/>
      <c r="AM266" s="47"/>
      <c r="AN266" s="47"/>
      <c r="AO266" s="47"/>
      <c r="AP266" s="47"/>
      <c r="AQ266" s="47"/>
      <c r="AR266" s="25"/>
    </row>
    <row r="267" spans="1:44" ht="25.2" customHeight="1" x14ac:dyDescent="0.15">
      <c r="A267" s="47"/>
      <c r="B267" s="47"/>
      <c r="C267" s="47"/>
      <c r="D267" s="47"/>
      <c r="E267" s="47"/>
      <c r="F267" s="47"/>
      <c r="G267" s="47"/>
      <c r="H267" s="47"/>
      <c r="I267" s="111"/>
      <c r="J267" s="52"/>
      <c r="K267" s="148"/>
      <c r="L267" s="52"/>
      <c r="M267" s="148"/>
      <c r="N267" s="52"/>
      <c r="O267" s="148"/>
      <c r="P267" s="52"/>
      <c r="Q267" s="155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52"/>
      <c r="AD267" s="52"/>
      <c r="AE267" s="47"/>
      <c r="AF267" s="69"/>
      <c r="AG267" s="223"/>
      <c r="AJ267" s="47"/>
      <c r="AK267" s="73"/>
      <c r="AL267" s="47"/>
      <c r="AM267" s="47"/>
      <c r="AN267" s="47"/>
      <c r="AO267" s="47"/>
      <c r="AP267" s="47"/>
      <c r="AQ267" s="47"/>
      <c r="AR267" s="25"/>
    </row>
    <row r="268" spans="1:44" ht="25.2" customHeight="1" x14ac:dyDescent="0.15">
      <c r="A268" s="47"/>
      <c r="B268" s="47"/>
      <c r="C268" s="47"/>
      <c r="D268" s="47"/>
      <c r="E268" s="47"/>
      <c r="F268" s="47"/>
      <c r="G268" s="47"/>
      <c r="H268" s="47"/>
      <c r="I268" s="111"/>
      <c r="J268" s="52"/>
      <c r="K268" s="148"/>
      <c r="L268" s="52"/>
      <c r="M268" s="148"/>
      <c r="N268" s="52"/>
      <c r="O268" s="148"/>
      <c r="P268" s="52"/>
      <c r="Q268" s="155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52"/>
      <c r="AD268" s="52"/>
      <c r="AE268" s="47"/>
      <c r="AF268" s="69"/>
      <c r="AG268" s="223"/>
      <c r="AJ268" s="47"/>
      <c r="AK268" s="73"/>
      <c r="AL268" s="47"/>
      <c r="AM268" s="47"/>
      <c r="AN268" s="47"/>
      <c r="AO268" s="47"/>
      <c r="AP268" s="47"/>
      <c r="AQ268" s="47"/>
      <c r="AR268" s="25"/>
    </row>
    <row r="269" spans="1:44" ht="25.2" customHeight="1" x14ac:dyDescent="0.15">
      <c r="A269" s="47"/>
      <c r="B269" s="47"/>
      <c r="C269" s="47"/>
      <c r="D269" s="47"/>
      <c r="E269" s="47"/>
      <c r="F269" s="47"/>
      <c r="G269" s="47"/>
      <c r="H269" s="47"/>
      <c r="I269" s="111"/>
      <c r="J269" s="52"/>
      <c r="K269" s="148"/>
      <c r="L269" s="52"/>
      <c r="M269" s="148"/>
      <c r="N269" s="52"/>
      <c r="O269" s="148"/>
      <c r="P269" s="52"/>
      <c r="Q269" s="155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52"/>
      <c r="AD269" s="52"/>
      <c r="AE269" s="47"/>
      <c r="AF269" s="69"/>
      <c r="AG269" s="223"/>
      <c r="AJ269" s="47"/>
      <c r="AK269" s="73"/>
      <c r="AL269" s="47"/>
      <c r="AM269" s="47"/>
      <c r="AN269" s="47"/>
      <c r="AO269" s="47"/>
      <c r="AP269" s="47"/>
      <c r="AQ269" s="47"/>
      <c r="AR269" s="25"/>
    </row>
    <row r="270" spans="1:44" ht="25.2" customHeight="1" x14ac:dyDescent="0.15">
      <c r="A270" s="47"/>
      <c r="B270" s="47"/>
      <c r="C270" s="47"/>
      <c r="D270" s="47"/>
      <c r="E270" s="47"/>
      <c r="F270" s="47"/>
      <c r="G270" s="47"/>
      <c r="H270" s="47"/>
      <c r="I270" s="111"/>
      <c r="J270" s="52"/>
      <c r="K270" s="148"/>
      <c r="L270" s="52"/>
      <c r="M270" s="148"/>
      <c r="N270" s="52"/>
      <c r="O270" s="148"/>
      <c r="P270" s="52"/>
      <c r="Q270" s="155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52"/>
      <c r="AD270" s="52"/>
      <c r="AE270" s="47"/>
      <c r="AF270" s="69"/>
      <c r="AG270" s="223"/>
      <c r="AJ270" s="47"/>
      <c r="AK270" s="73"/>
      <c r="AL270" s="47"/>
      <c r="AM270" s="47"/>
      <c r="AN270" s="47"/>
      <c r="AO270" s="47"/>
      <c r="AP270" s="47"/>
      <c r="AQ270" s="47"/>
      <c r="AR270" s="25"/>
    </row>
    <row r="271" spans="1:44" ht="25.2" customHeight="1" x14ac:dyDescent="0.15">
      <c r="A271" s="47"/>
      <c r="B271" s="47"/>
      <c r="C271" s="47"/>
      <c r="D271" s="47"/>
      <c r="E271" s="47"/>
      <c r="F271" s="47"/>
      <c r="G271" s="47"/>
      <c r="H271" s="47"/>
      <c r="I271" s="111"/>
      <c r="J271" s="52"/>
      <c r="K271" s="148"/>
      <c r="L271" s="52"/>
      <c r="M271" s="148"/>
      <c r="N271" s="52"/>
      <c r="O271" s="148"/>
      <c r="P271" s="52"/>
      <c r="Q271" s="155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52"/>
      <c r="AD271" s="52"/>
      <c r="AE271" s="47"/>
      <c r="AF271" s="69"/>
      <c r="AG271" s="223"/>
      <c r="AJ271" s="47"/>
      <c r="AK271" s="73"/>
      <c r="AL271" s="47"/>
      <c r="AM271" s="47"/>
      <c r="AN271" s="47"/>
      <c r="AO271" s="47"/>
      <c r="AP271" s="47"/>
      <c r="AQ271" s="47"/>
      <c r="AR271" s="25"/>
    </row>
    <row r="272" spans="1:44" ht="25.2" customHeight="1" x14ac:dyDescent="0.15">
      <c r="A272" s="47"/>
      <c r="B272" s="47"/>
      <c r="C272" s="47"/>
      <c r="D272" s="47"/>
      <c r="E272" s="47"/>
      <c r="F272" s="47"/>
      <c r="G272" s="47"/>
      <c r="H272" s="47"/>
      <c r="I272" s="111"/>
      <c r="J272" s="52"/>
      <c r="K272" s="148"/>
      <c r="L272" s="52"/>
      <c r="M272" s="148"/>
      <c r="N272" s="52"/>
      <c r="O272" s="148"/>
      <c r="P272" s="52"/>
      <c r="Q272" s="155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52"/>
      <c r="AD272" s="52"/>
      <c r="AE272" s="47"/>
      <c r="AF272" s="69"/>
      <c r="AG272" s="223"/>
      <c r="AJ272" s="47"/>
      <c r="AK272" s="73"/>
      <c r="AL272" s="47"/>
      <c r="AM272" s="47"/>
      <c r="AN272" s="47"/>
      <c r="AO272" s="47"/>
      <c r="AP272" s="47"/>
      <c r="AQ272" s="47"/>
      <c r="AR272" s="25"/>
    </row>
    <row r="273" spans="1:44" ht="25.2" customHeight="1" x14ac:dyDescent="0.15">
      <c r="A273" s="47"/>
      <c r="B273" s="47"/>
      <c r="C273" s="47"/>
      <c r="D273" s="47"/>
      <c r="E273" s="47"/>
      <c r="F273" s="47"/>
      <c r="G273" s="47"/>
      <c r="H273" s="47"/>
      <c r="I273" s="111"/>
      <c r="J273" s="52"/>
      <c r="K273" s="148"/>
      <c r="L273" s="52"/>
      <c r="M273" s="148"/>
      <c r="N273" s="52"/>
      <c r="O273" s="148"/>
      <c r="P273" s="52"/>
      <c r="Q273" s="155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52"/>
      <c r="AD273" s="52"/>
      <c r="AE273" s="47"/>
      <c r="AF273" s="69"/>
      <c r="AG273" s="223"/>
      <c r="AJ273" s="47"/>
      <c r="AK273" s="73"/>
      <c r="AL273" s="47"/>
      <c r="AM273" s="47"/>
      <c r="AN273" s="47"/>
      <c r="AO273" s="47"/>
      <c r="AP273" s="47"/>
      <c r="AQ273" s="47"/>
      <c r="AR273" s="25"/>
    </row>
    <row r="274" spans="1:44" ht="25.2" customHeight="1" x14ac:dyDescent="0.15">
      <c r="A274" s="47"/>
      <c r="B274" s="47"/>
      <c r="C274" s="47"/>
      <c r="D274" s="47"/>
      <c r="E274" s="47"/>
      <c r="F274" s="47"/>
      <c r="G274" s="47"/>
      <c r="H274" s="47"/>
      <c r="I274" s="111"/>
      <c r="J274" s="52"/>
      <c r="K274" s="148"/>
      <c r="L274" s="52"/>
      <c r="M274" s="148"/>
      <c r="N274" s="52"/>
      <c r="O274" s="148"/>
      <c r="P274" s="52"/>
      <c r="Q274" s="155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52"/>
      <c r="AD274" s="52"/>
      <c r="AE274" s="47"/>
      <c r="AF274" s="69"/>
      <c r="AG274" s="223"/>
      <c r="AJ274" s="47"/>
      <c r="AK274" s="73"/>
      <c r="AL274" s="47"/>
      <c r="AM274" s="47"/>
      <c r="AN274" s="47"/>
      <c r="AO274" s="47"/>
      <c r="AP274" s="47"/>
      <c r="AQ274" s="47"/>
      <c r="AR274" s="25"/>
    </row>
    <row r="275" spans="1:44" ht="25.2" customHeight="1" x14ac:dyDescent="0.15">
      <c r="A275" s="47"/>
      <c r="B275" s="47"/>
      <c r="C275" s="47"/>
      <c r="D275" s="47"/>
      <c r="E275" s="47"/>
      <c r="F275" s="47"/>
      <c r="G275" s="47"/>
      <c r="H275" s="47"/>
      <c r="I275" s="111"/>
      <c r="J275" s="52"/>
      <c r="K275" s="148"/>
      <c r="L275" s="52"/>
      <c r="M275" s="148"/>
      <c r="N275" s="52"/>
      <c r="O275" s="148"/>
      <c r="P275" s="52"/>
      <c r="Q275" s="155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52"/>
      <c r="AD275" s="52"/>
      <c r="AE275" s="47"/>
      <c r="AF275" s="69"/>
      <c r="AG275" s="223"/>
      <c r="AJ275" s="47"/>
      <c r="AK275" s="73"/>
      <c r="AL275" s="47"/>
      <c r="AM275" s="47"/>
      <c r="AN275" s="47"/>
      <c r="AO275" s="47"/>
      <c r="AP275" s="47"/>
      <c r="AQ275" s="47"/>
      <c r="AR275" s="25"/>
    </row>
    <row r="276" spans="1:44" ht="25.2" customHeight="1" x14ac:dyDescent="0.15">
      <c r="A276" s="47"/>
      <c r="B276" s="47"/>
      <c r="C276" s="47"/>
      <c r="D276" s="47"/>
      <c r="E276" s="47"/>
      <c r="F276" s="47"/>
      <c r="G276" s="47"/>
      <c r="H276" s="47"/>
      <c r="I276" s="111"/>
      <c r="J276" s="52"/>
      <c r="K276" s="148"/>
      <c r="L276" s="52"/>
      <c r="M276" s="148"/>
      <c r="N276" s="52"/>
      <c r="O276" s="148"/>
      <c r="P276" s="52"/>
      <c r="Q276" s="155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52"/>
      <c r="AD276" s="52"/>
      <c r="AE276" s="47"/>
      <c r="AF276" s="69"/>
      <c r="AG276" s="223"/>
      <c r="AJ276" s="47"/>
      <c r="AK276" s="73"/>
      <c r="AL276" s="47"/>
      <c r="AM276" s="47"/>
      <c r="AN276" s="47"/>
      <c r="AO276" s="47"/>
      <c r="AP276" s="47"/>
      <c r="AQ276" s="47"/>
      <c r="AR276" s="25"/>
    </row>
    <row r="277" spans="1:44" ht="25.2" customHeight="1" x14ac:dyDescent="0.15">
      <c r="A277" s="47"/>
      <c r="B277" s="47"/>
      <c r="C277" s="47"/>
      <c r="D277" s="47"/>
      <c r="E277" s="47"/>
      <c r="F277" s="47"/>
      <c r="G277" s="47"/>
      <c r="H277" s="47"/>
      <c r="I277" s="111"/>
      <c r="J277" s="52"/>
      <c r="K277" s="148"/>
      <c r="L277" s="52"/>
      <c r="M277" s="148"/>
      <c r="N277" s="52"/>
      <c r="O277" s="148"/>
      <c r="P277" s="52"/>
      <c r="Q277" s="155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52"/>
      <c r="AD277" s="52"/>
      <c r="AE277" s="47"/>
      <c r="AF277" s="69"/>
      <c r="AG277" s="223"/>
      <c r="AJ277" s="47"/>
      <c r="AK277" s="73"/>
      <c r="AL277" s="47"/>
      <c r="AM277" s="47"/>
      <c r="AN277" s="47"/>
      <c r="AO277" s="47"/>
      <c r="AP277" s="47"/>
      <c r="AQ277" s="47"/>
      <c r="AR277" s="25"/>
    </row>
    <row r="278" spans="1:44" ht="25.2" customHeight="1" x14ac:dyDescent="0.15">
      <c r="A278" s="47"/>
      <c r="B278" s="47"/>
      <c r="C278" s="47"/>
      <c r="D278" s="47"/>
      <c r="E278" s="47"/>
      <c r="F278" s="47"/>
      <c r="G278" s="47"/>
      <c r="H278" s="47"/>
      <c r="I278" s="111"/>
      <c r="J278" s="52"/>
      <c r="K278" s="148"/>
      <c r="L278" s="52"/>
      <c r="M278" s="148"/>
      <c r="N278" s="52"/>
      <c r="O278" s="148"/>
      <c r="P278" s="52"/>
      <c r="Q278" s="155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52"/>
      <c r="AD278" s="52"/>
      <c r="AE278" s="47"/>
      <c r="AF278" s="69"/>
      <c r="AG278" s="223"/>
      <c r="AJ278" s="47"/>
      <c r="AK278" s="73"/>
      <c r="AL278" s="47"/>
      <c r="AM278" s="47"/>
      <c r="AN278" s="47"/>
      <c r="AO278" s="47"/>
      <c r="AP278" s="47"/>
      <c r="AQ278" s="47"/>
      <c r="AR278" s="25"/>
    </row>
    <row r="279" spans="1:44" ht="25.2" customHeight="1" x14ac:dyDescent="0.15">
      <c r="A279" s="47"/>
      <c r="B279" s="47"/>
      <c r="C279" s="47"/>
      <c r="D279" s="47"/>
      <c r="E279" s="47"/>
      <c r="F279" s="47"/>
      <c r="G279" s="47"/>
      <c r="H279" s="47"/>
      <c r="I279" s="111"/>
      <c r="J279" s="52"/>
      <c r="K279" s="148"/>
      <c r="L279" s="52"/>
      <c r="M279" s="148"/>
      <c r="N279" s="52"/>
      <c r="O279" s="148"/>
      <c r="P279" s="52"/>
      <c r="Q279" s="155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52"/>
      <c r="AD279" s="52"/>
      <c r="AE279" s="47"/>
      <c r="AF279" s="69"/>
      <c r="AG279" s="223"/>
      <c r="AJ279" s="47"/>
      <c r="AK279" s="73"/>
      <c r="AL279" s="47"/>
      <c r="AM279" s="47"/>
      <c r="AN279" s="47"/>
      <c r="AO279" s="47"/>
      <c r="AP279" s="47"/>
      <c r="AQ279" s="47"/>
      <c r="AR279" s="25"/>
    </row>
    <row r="280" spans="1:44" ht="25.2" customHeight="1" x14ac:dyDescent="0.15">
      <c r="A280" s="47"/>
      <c r="B280" s="47"/>
      <c r="C280" s="47"/>
      <c r="D280" s="47"/>
      <c r="E280" s="47"/>
      <c r="F280" s="47"/>
      <c r="G280" s="47"/>
      <c r="H280" s="47"/>
      <c r="I280" s="111"/>
      <c r="J280" s="52"/>
      <c r="K280" s="148"/>
      <c r="L280" s="52"/>
      <c r="M280" s="148"/>
      <c r="N280" s="52"/>
      <c r="O280" s="148"/>
      <c r="P280" s="52"/>
      <c r="Q280" s="155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52"/>
      <c r="AD280" s="52"/>
      <c r="AE280" s="47"/>
      <c r="AF280" s="69"/>
      <c r="AG280" s="223"/>
      <c r="AJ280" s="47"/>
      <c r="AK280" s="73"/>
      <c r="AL280" s="47"/>
      <c r="AM280" s="47"/>
      <c r="AN280" s="47"/>
      <c r="AO280" s="47"/>
      <c r="AP280" s="47"/>
      <c r="AQ280" s="47"/>
      <c r="AR280" s="25"/>
    </row>
    <row r="281" spans="1:44" ht="25.2" customHeight="1" x14ac:dyDescent="0.15">
      <c r="A281" s="47"/>
      <c r="B281" s="47"/>
      <c r="C281" s="47"/>
      <c r="D281" s="47"/>
      <c r="E281" s="47"/>
      <c r="F281" s="47"/>
      <c r="G281" s="47"/>
      <c r="H281" s="47"/>
      <c r="I281" s="111"/>
      <c r="J281" s="52"/>
      <c r="K281" s="148"/>
      <c r="L281" s="52"/>
      <c r="M281" s="148"/>
      <c r="N281" s="52"/>
      <c r="O281" s="148"/>
      <c r="P281" s="52"/>
      <c r="Q281" s="155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52"/>
      <c r="AD281" s="52"/>
      <c r="AE281" s="47"/>
      <c r="AF281" s="69"/>
      <c r="AG281" s="223"/>
      <c r="AJ281" s="47"/>
      <c r="AK281" s="73"/>
      <c r="AL281" s="47"/>
      <c r="AM281" s="47"/>
      <c r="AN281" s="47"/>
      <c r="AO281" s="47"/>
      <c r="AP281" s="47"/>
      <c r="AQ281" s="47"/>
      <c r="AR281" s="25"/>
    </row>
    <row r="282" spans="1:44" ht="25.2" customHeight="1" x14ac:dyDescent="0.15">
      <c r="A282" s="47"/>
      <c r="B282" s="47"/>
      <c r="C282" s="47"/>
      <c r="D282" s="47"/>
      <c r="E282" s="47"/>
      <c r="F282" s="47"/>
      <c r="G282" s="47"/>
      <c r="H282" s="47"/>
      <c r="I282" s="111"/>
      <c r="J282" s="52"/>
      <c r="K282" s="148"/>
      <c r="L282" s="52"/>
      <c r="M282" s="148"/>
      <c r="N282" s="52"/>
      <c r="O282" s="148"/>
      <c r="P282" s="52"/>
      <c r="Q282" s="155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52"/>
      <c r="AD282" s="52"/>
      <c r="AE282" s="47"/>
      <c r="AF282" s="69"/>
      <c r="AG282" s="223"/>
      <c r="AJ282" s="47"/>
      <c r="AK282" s="73"/>
      <c r="AL282" s="47"/>
      <c r="AM282" s="47"/>
      <c r="AN282" s="47"/>
      <c r="AO282" s="47"/>
      <c r="AP282" s="47"/>
      <c r="AQ282" s="47"/>
      <c r="AR282" s="25"/>
    </row>
    <row r="283" spans="1:44" ht="25.2" customHeight="1" x14ac:dyDescent="0.15">
      <c r="A283" s="47"/>
      <c r="B283" s="47"/>
      <c r="C283" s="47"/>
      <c r="D283" s="47"/>
      <c r="E283" s="47"/>
      <c r="F283" s="47"/>
      <c r="G283" s="47"/>
      <c r="H283" s="47"/>
      <c r="I283" s="111"/>
      <c r="J283" s="52"/>
      <c r="K283" s="148"/>
      <c r="L283" s="52"/>
      <c r="M283" s="148"/>
      <c r="N283" s="52"/>
      <c r="O283" s="148"/>
      <c r="P283" s="52"/>
      <c r="Q283" s="155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52"/>
      <c r="AD283" s="52"/>
      <c r="AE283" s="47"/>
      <c r="AF283" s="69"/>
      <c r="AG283" s="223"/>
      <c r="AJ283" s="47"/>
      <c r="AK283" s="73"/>
      <c r="AL283" s="47"/>
      <c r="AM283" s="47"/>
      <c r="AN283" s="47"/>
      <c r="AO283" s="47"/>
      <c r="AP283" s="47"/>
      <c r="AQ283" s="47"/>
      <c r="AR283" s="25"/>
    </row>
    <row r="284" spans="1:44" ht="25.2" customHeight="1" x14ac:dyDescent="0.15">
      <c r="A284" s="47"/>
      <c r="B284" s="47"/>
      <c r="C284" s="47"/>
      <c r="D284" s="47"/>
      <c r="E284" s="47"/>
      <c r="F284" s="47"/>
      <c r="G284" s="47"/>
      <c r="H284" s="47"/>
      <c r="I284" s="111"/>
      <c r="J284" s="52"/>
      <c r="K284" s="148"/>
      <c r="L284" s="52"/>
      <c r="M284" s="148"/>
      <c r="N284" s="52"/>
      <c r="O284" s="148"/>
      <c r="P284" s="52"/>
      <c r="Q284" s="155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52"/>
      <c r="AD284" s="52"/>
      <c r="AE284" s="47"/>
      <c r="AF284" s="69"/>
      <c r="AG284" s="223"/>
      <c r="AJ284" s="47"/>
      <c r="AK284" s="73"/>
      <c r="AL284" s="47"/>
      <c r="AM284" s="47"/>
      <c r="AN284" s="47"/>
      <c r="AO284" s="47"/>
      <c r="AP284" s="47"/>
      <c r="AQ284" s="47"/>
      <c r="AR284" s="25"/>
    </row>
    <row r="285" spans="1:44" ht="25.2" customHeight="1" x14ac:dyDescent="0.15">
      <c r="A285" s="47"/>
      <c r="B285" s="47"/>
      <c r="C285" s="47"/>
      <c r="D285" s="47"/>
      <c r="E285" s="47"/>
      <c r="F285" s="47"/>
      <c r="G285" s="47"/>
      <c r="H285" s="47"/>
      <c r="I285" s="111"/>
      <c r="J285" s="52"/>
      <c r="K285" s="148"/>
      <c r="L285" s="52"/>
      <c r="M285" s="148"/>
      <c r="N285" s="52"/>
      <c r="O285" s="148"/>
      <c r="P285" s="52"/>
      <c r="Q285" s="155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52"/>
      <c r="AD285" s="52"/>
      <c r="AE285" s="47"/>
      <c r="AF285" s="69"/>
      <c r="AG285" s="223"/>
      <c r="AJ285" s="47"/>
      <c r="AK285" s="73"/>
      <c r="AL285" s="47"/>
      <c r="AM285" s="47"/>
      <c r="AN285" s="47"/>
      <c r="AO285" s="47"/>
      <c r="AP285" s="47"/>
      <c r="AQ285" s="47"/>
      <c r="AR285" s="25"/>
    </row>
    <row r="286" spans="1:44" ht="25.2" customHeight="1" x14ac:dyDescent="0.15">
      <c r="A286" s="47"/>
      <c r="B286" s="47"/>
      <c r="C286" s="47"/>
      <c r="D286" s="47"/>
      <c r="E286" s="47"/>
      <c r="F286" s="47"/>
      <c r="G286" s="47"/>
      <c r="H286" s="47"/>
      <c r="I286" s="111"/>
      <c r="J286" s="52"/>
      <c r="K286" s="148"/>
      <c r="L286" s="52"/>
      <c r="M286" s="148"/>
      <c r="N286" s="52"/>
      <c r="O286" s="148"/>
      <c r="P286" s="52"/>
      <c r="Q286" s="155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52"/>
      <c r="AD286" s="52"/>
      <c r="AE286" s="47"/>
      <c r="AF286" s="69"/>
      <c r="AG286" s="223"/>
      <c r="AJ286" s="47"/>
      <c r="AK286" s="73"/>
      <c r="AL286" s="47"/>
      <c r="AM286" s="47"/>
      <c r="AN286" s="47"/>
      <c r="AO286" s="47"/>
      <c r="AP286" s="47"/>
      <c r="AQ286" s="47"/>
      <c r="AR286" s="25"/>
    </row>
    <row r="287" spans="1:44" ht="25.2" customHeight="1" x14ac:dyDescent="0.15">
      <c r="A287" s="47"/>
      <c r="B287" s="47"/>
      <c r="C287" s="47"/>
      <c r="D287" s="47"/>
      <c r="E287" s="47"/>
      <c r="F287" s="47"/>
      <c r="G287" s="47"/>
      <c r="H287" s="47"/>
      <c r="I287" s="111"/>
      <c r="J287" s="52"/>
      <c r="K287" s="148"/>
      <c r="L287" s="52"/>
      <c r="M287" s="148"/>
      <c r="N287" s="52"/>
      <c r="O287" s="148"/>
      <c r="P287" s="52"/>
      <c r="Q287" s="155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52"/>
      <c r="AD287" s="52"/>
      <c r="AE287" s="47"/>
      <c r="AF287" s="69"/>
      <c r="AG287" s="223"/>
      <c r="AJ287" s="47"/>
      <c r="AK287" s="73"/>
      <c r="AL287" s="47"/>
      <c r="AM287" s="47"/>
      <c r="AN287" s="47"/>
      <c r="AO287" s="47"/>
      <c r="AP287" s="47"/>
      <c r="AQ287" s="47"/>
      <c r="AR287" s="25"/>
    </row>
    <row r="288" spans="1:44" ht="25.2" customHeight="1" x14ac:dyDescent="0.15">
      <c r="A288" s="47"/>
      <c r="B288" s="47"/>
      <c r="C288" s="47"/>
      <c r="D288" s="47"/>
      <c r="E288" s="47"/>
      <c r="F288" s="47"/>
      <c r="G288" s="47"/>
      <c r="H288" s="47"/>
      <c r="I288" s="111"/>
      <c r="J288" s="52"/>
      <c r="K288" s="148"/>
      <c r="L288" s="52"/>
      <c r="M288" s="148"/>
      <c r="N288" s="52"/>
      <c r="O288" s="148"/>
      <c r="P288" s="52"/>
      <c r="Q288" s="155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52"/>
      <c r="AD288" s="52"/>
      <c r="AE288" s="47"/>
      <c r="AF288" s="69"/>
      <c r="AG288" s="223"/>
      <c r="AJ288" s="47"/>
      <c r="AK288" s="73"/>
      <c r="AL288" s="47"/>
      <c r="AM288" s="47"/>
      <c r="AN288" s="47"/>
      <c r="AO288" s="47"/>
      <c r="AP288" s="47"/>
      <c r="AQ288" s="47"/>
      <c r="AR288" s="25"/>
    </row>
    <row r="289" spans="1:44" ht="25.2" customHeight="1" x14ac:dyDescent="0.15">
      <c r="A289" s="47"/>
      <c r="B289" s="47"/>
      <c r="C289" s="47"/>
      <c r="D289" s="47"/>
      <c r="E289" s="47"/>
      <c r="F289" s="47"/>
      <c r="G289" s="47"/>
      <c r="H289" s="47"/>
      <c r="I289" s="111"/>
      <c r="J289" s="52"/>
      <c r="K289" s="148"/>
      <c r="L289" s="52"/>
      <c r="M289" s="148"/>
      <c r="N289" s="52"/>
      <c r="O289" s="148"/>
      <c r="P289" s="52"/>
      <c r="Q289" s="155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52"/>
      <c r="AD289" s="52"/>
      <c r="AE289" s="47"/>
      <c r="AF289" s="69"/>
      <c r="AG289" s="223"/>
      <c r="AJ289" s="47"/>
      <c r="AK289" s="73"/>
      <c r="AL289" s="47"/>
      <c r="AM289" s="47"/>
      <c r="AN289" s="47"/>
      <c r="AO289" s="47"/>
      <c r="AP289" s="47"/>
      <c r="AQ289" s="47"/>
      <c r="AR289" s="25"/>
    </row>
    <row r="290" spans="1:44" ht="25.2" customHeight="1" x14ac:dyDescent="0.15">
      <c r="A290" s="47"/>
      <c r="B290" s="47"/>
      <c r="C290" s="47"/>
      <c r="D290" s="47"/>
      <c r="E290" s="47"/>
      <c r="F290" s="47"/>
      <c r="G290" s="47"/>
      <c r="H290" s="47"/>
      <c r="I290" s="111"/>
      <c r="J290" s="52"/>
      <c r="K290" s="148"/>
      <c r="L290" s="52"/>
      <c r="M290" s="148"/>
      <c r="N290" s="52"/>
      <c r="O290" s="148"/>
      <c r="P290" s="52"/>
      <c r="Q290" s="155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52"/>
      <c r="AD290" s="52"/>
      <c r="AE290" s="47"/>
      <c r="AF290" s="69"/>
      <c r="AG290" s="223"/>
      <c r="AJ290" s="47"/>
      <c r="AK290" s="73"/>
      <c r="AL290" s="47"/>
      <c r="AM290" s="47"/>
      <c r="AN290" s="47"/>
      <c r="AO290" s="47"/>
      <c r="AP290" s="47"/>
      <c r="AQ290" s="47"/>
      <c r="AR290" s="25"/>
    </row>
    <row r="291" spans="1:44" ht="25.2" customHeight="1" x14ac:dyDescent="0.15">
      <c r="A291" s="47"/>
      <c r="B291" s="47"/>
      <c r="C291" s="47"/>
      <c r="D291" s="47"/>
      <c r="E291" s="47"/>
      <c r="F291" s="47"/>
      <c r="G291" s="47"/>
      <c r="H291" s="47"/>
      <c r="I291" s="111"/>
      <c r="J291" s="52"/>
      <c r="K291" s="148"/>
      <c r="L291" s="52"/>
      <c r="M291" s="148"/>
      <c r="N291" s="52"/>
      <c r="O291" s="148"/>
      <c r="P291" s="52"/>
      <c r="Q291" s="155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52"/>
      <c r="AD291" s="52"/>
      <c r="AE291" s="47"/>
      <c r="AF291" s="69"/>
      <c r="AG291" s="223"/>
      <c r="AJ291" s="47"/>
      <c r="AK291" s="73"/>
      <c r="AL291" s="47"/>
      <c r="AM291" s="47"/>
      <c r="AN291" s="47"/>
      <c r="AO291" s="47"/>
      <c r="AP291" s="47"/>
      <c r="AQ291" s="47"/>
      <c r="AR291" s="25"/>
    </row>
    <row r="292" spans="1:44" ht="25.2" customHeight="1" x14ac:dyDescent="0.15">
      <c r="A292" s="47"/>
      <c r="B292" s="47"/>
      <c r="C292" s="47"/>
      <c r="D292" s="47"/>
      <c r="E292" s="47"/>
      <c r="F292" s="47"/>
      <c r="G292" s="47"/>
      <c r="H292" s="47"/>
      <c r="I292" s="111"/>
      <c r="J292" s="52"/>
      <c r="K292" s="148"/>
      <c r="L292" s="52"/>
      <c r="M292" s="148"/>
      <c r="N292" s="52"/>
      <c r="O292" s="148"/>
      <c r="P292" s="52"/>
      <c r="Q292" s="155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52"/>
      <c r="AD292" s="52"/>
      <c r="AE292" s="47"/>
      <c r="AF292" s="69"/>
      <c r="AG292" s="223"/>
      <c r="AJ292" s="47"/>
      <c r="AK292" s="73"/>
      <c r="AL292" s="47"/>
      <c r="AM292" s="47"/>
      <c r="AN292" s="47"/>
      <c r="AO292" s="47"/>
      <c r="AP292" s="47"/>
      <c r="AQ292" s="47"/>
      <c r="AR292" s="25"/>
    </row>
    <row r="293" spans="1:44" ht="25.2" customHeight="1" x14ac:dyDescent="0.15">
      <c r="A293" s="47"/>
      <c r="B293" s="47"/>
      <c r="C293" s="47"/>
      <c r="D293" s="47"/>
      <c r="E293" s="47"/>
      <c r="F293" s="47"/>
      <c r="G293" s="47"/>
      <c r="H293" s="47"/>
      <c r="I293" s="111"/>
      <c r="J293" s="52"/>
      <c r="K293" s="148"/>
      <c r="L293" s="52"/>
      <c r="M293" s="148"/>
      <c r="N293" s="52"/>
      <c r="O293" s="148"/>
      <c r="P293" s="52"/>
      <c r="Q293" s="155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52"/>
      <c r="AD293" s="52"/>
      <c r="AE293" s="47"/>
      <c r="AF293" s="69"/>
      <c r="AG293" s="223"/>
      <c r="AJ293" s="47"/>
      <c r="AK293" s="73"/>
      <c r="AL293" s="47"/>
      <c r="AM293" s="47"/>
      <c r="AN293" s="47"/>
      <c r="AO293" s="47"/>
      <c r="AP293" s="47"/>
      <c r="AQ293" s="47"/>
      <c r="AR293" s="25"/>
    </row>
    <row r="294" spans="1:44" ht="25.2" customHeight="1" x14ac:dyDescent="0.15">
      <c r="A294" s="47"/>
      <c r="B294" s="47"/>
      <c r="C294" s="47"/>
      <c r="D294" s="47"/>
      <c r="E294" s="47"/>
      <c r="F294" s="47"/>
      <c r="G294" s="47"/>
      <c r="H294" s="47"/>
      <c r="I294" s="111"/>
      <c r="J294" s="52"/>
      <c r="K294" s="148"/>
      <c r="L294" s="52"/>
      <c r="M294" s="148"/>
      <c r="N294" s="52"/>
      <c r="O294" s="148"/>
      <c r="P294" s="52"/>
      <c r="Q294" s="155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52"/>
      <c r="AD294" s="52"/>
      <c r="AE294" s="47"/>
      <c r="AF294" s="69"/>
      <c r="AG294" s="223"/>
      <c r="AJ294" s="47"/>
      <c r="AK294" s="73"/>
      <c r="AL294" s="47"/>
      <c r="AM294" s="47"/>
      <c r="AN294" s="47"/>
      <c r="AO294" s="47"/>
      <c r="AP294" s="47"/>
      <c r="AQ294" s="47"/>
      <c r="AR294" s="25"/>
    </row>
    <row r="295" spans="1:44" ht="25.2" customHeight="1" x14ac:dyDescent="0.15">
      <c r="A295" s="47"/>
      <c r="B295" s="47"/>
      <c r="C295" s="47"/>
      <c r="D295" s="47"/>
      <c r="E295" s="47"/>
      <c r="F295" s="47"/>
      <c r="G295" s="47"/>
      <c r="H295" s="47"/>
      <c r="I295" s="111"/>
      <c r="J295" s="52"/>
      <c r="K295" s="148"/>
      <c r="L295" s="52"/>
      <c r="M295" s="148"/>
      <c r="N295" s="52"/>
      <c r="O295" s="148"/>
      <c r="P295" s="52"/>
      <c r="Q295" s="155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52"/>
      <c r="AD295" s="52"/>
      <c r="AE295" s="47"/>
      <c r="AF295" s="69"/>
      <c r="AG295" s="223"/>
      <c r="AJ295" s="47"/>
      <c r="AK295" s="73"/>
      <c r="AL295" s="47"/>
      <c r="AM295" s="47"/>
      <c r="AN295" s="47"/>
      <c r="AO295" s="47"/>
      <c r="AP295" s="47"/>
      <c r="AQ295" s="47"/>
      <c r="AR295" s="25"/>
    </row>
    <row r="296" spans="1:44" ht="25.2" customHeight="1" x14ac:dyDescent="0.15">
      <c r="A296" s="47"/>
      <c r="B296" s="47"/>
      <c r="C296" s="47"/>
      <c r="D296" s="47"/>
      <c r="E296" s="47"/>
      <c r="F296" s="47"/>
      <c r="G296" s="47"/>
      <c r="H296" s="47"/>
      <c r="I296" s="111"/>
      <c r="J296" s="52"/>
      <c r="K296" s="148"/>
      <c r="L296" s="52"/>
      <c r="M296" s="148"/>
      <c r="N296" s="52"/>
      <c r="O296" s="148"/>
      <c r="P296" s="52"/>
      <c r="Q296" s="155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52"/>
      <c r="AD296" s="52"/>
      <c r="AE296" s="47"/>
      <c r="AF296" s="69"/>
      <c r="AG296" s="223"/>
      <c r="AJ296" s="47"/>
      <c r="AK296" s="73"/>
      <c r="AL296" s="47"/>
      <c r="AM296" s="47"/>
      <c r="AN296" s="47"/>
      <c r="AO296" s="47"/>
      <c r="AP296" s="47"/>
      <c r="AQ296" s="47"/>
      <c r="AR296" s="25"/>
    </row>
    <row r="297" spans="1:44" ht="25.2" customHeight="1" x14ac:dyDescent="0.15">
      <c r="A297" s="47"/>
      <c r="B297" s="47"/>
      <c r="C297" s="47"/>
      <c r="D297" s="47"/>
      <c r="E297" s="47"/>
      <c r="F297" s="47"/>
      <c r="G297" s="47"/>
      <c r="H297" s="47"/>
      <c r="I297" s="111"/>
      <c r="J297" s="52"/>
      <c r="K297" s="148"/>
      <c r="L297" s="52"/>
      <c r="M297" s="148"/>
      <c r="N297" s="52"/>
      <c r="O297" s="148"/>
      <c r="P297" s="52"/>
      <c r="Q297" s="155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52"/>
      <c r="AD297" s="52"/>
      <c r="AE297" s="47"/>
      <c r="AF297" s="69"/>
      <c r="AG297" s="223"/>
      <c r="AJ297" s="47"/>
      <c r="AK297" s="73"/>
      <c r="AL297" s="47"/>
      <c r="AM297" s="47"/>
      <c r="AN297" s="47"/>
      <c r="AO297" s="47"/>
      <c r="AP297" s="47"/>
      <c r="AQ297" s="47"/>
      <c r="AR297" s="25"/>
    </row>
    <row r="298" spans="1:44" ht="25.2" customHeight="1" x14ac:dyDescent="0.15">
      <c r="A298" s="47"/>
      <c r="B298" s="47"/>
      <c r="C298" s="47"/>
      <c r="D298" s="47"/>
      <c r="E298" s="47"/>
      <c r="F298" s="47"/>
      <c r="G298" s="47"/>
      <c r="H298" s="47"/>
      <c r="I298" s="111"/>
      <c r="J298" s="52"/>
      <c r="K298" s="148"/>
      <c r="L298" s="52"/>
      <c r="M298" s="148"/>
      <c r="N298" s="52"/>
      <c r="O298" s="148"/>
      <c r="P298" s="52"/>
      <c r="Q298" s="155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52"/>
      <c r="AD298" s="52"/>
      <c r="AE298" s="47"/>
      <c r="AF298" s="69"/>
      <c r="AG298" s="223"/>
      <c r="AJ298" s="47"/>
      <c r="AK298" s="73"/>
      <c r="AL298" s="47"/>
      <c r="AM298" s="47"/>
      <c r="AN298" s="47"/>
      <c r="AO298" s="47"/>
      <c r="AP298" s="47"/>
      <c r="AQ298" s="47"/>
      <c r="AR298" s="25"/>
    </row>
    <row r="299" spans="1:44" ht="25.2" customHeight="1" x14ac:dyDescent="0.15">
      <c r="A299" s="47"/>
      <c r="B299" s="47"/>
      <c r="C299" s="47"/>
      <c r="D299" s="47"/>
      <c r="E299" s="47"/>
      <c r="F299" s="47"/>
      <c r="G299" s="47"/>
      <c r="H299" s="47"/>
      <c r="I299" s="111"/>
      <c r="J299" s="52"/>
      <c r="K299" s="148"/>
      <c r="L299" s="52"/>
      <c r="M299" s="148"/>
      <c r="N299" s="52"/>
      <c r="O299" s="148"/>
      <c r="P299" s="52"/>
      <c r="Q299" s="155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52"/>
      <c r="AD299" s="52"/>
      <c r="AE299" s="47"/>
      <c r="AF299" s="69"/>
      <c r="AG299" s="223"/>
      <c r="AJ299" s="47"/>
      <c r="AK299" s="73"/>
      <c r="AL299" s="47"/>
      <c r="AM299" s="47"/>
      <c r="AN299" s="47"/>
      <c r="AO299" s="47"/>
      <c r="AP299" s="47"/>
      <c r="AQ299" s="47"/>
      <c r="AR299" s="25"/>
    </row>
    <row r="300" spans="1:44" ht="25.2" customHeight="1" x14ac:dyDescent="0.15">
      <c r="A300" s="47"/>
      <c r="B300" s="47"/>
      <c r="C300" s="47"/>
      <c r="D300" s="47"/>
      <c r="E300" s="47"/>
      <c r="F300" s="47"/>
      <c r="G300" s="47"/>
      <c r="H300" s="47"/>
      <c r="I300" s="111"/>
      <c r="J300" s="52"/>
      <c r="K300" s="148"/>
      <c r="L300" s="52"/>
      <c r="M300" s="148"/>
      <c r="N300" s="52"/>
      <c r="O300" s="148"/>
      <c r="P300" s="52"/>
      <c r="Q300" s="155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52"/>
      <c r="AD300" s="52"/>
      <c r="AE300" s="47"/>
      <c r="AF300" s="69"/>
      <c r="AG300" s="223"/>
      <c r="AJ300" s="47"/>
      <c r="AK300" s="73"/>
      <c r="AL300" s="47"/>
      <c r="AM300" s="47"/>
      <c r="AN300" s="47"/>
      <c r="AO300" s="47"/>
      <c r="AP300" s="47"/>
      <c r="AQ300" s="47"/>
      <c r="AR300" s="25"/>
    </row>
    <row r="301" spans="1:44" ht="25.2" customHeight="1" x14ac:dyDescent="0.15">
      <c r="A301" s="47"/>
      <c r="B301" s="47"/>
      <c r="C301" s="47"/>
      <c r="D301" s="47"/>
      <c r="E301" s="47"/>
      <c r="F301" s="47"/>
      <c r="G301" s="47"/>
      <c r="H301" s="47"/>
      <c r="I301" s="111"/>
      <c r="J301" s="52"/>
      <c r="K301" s="148"/>
      <c r="L301" s="52"/>
      <c r="M301" s="148"/>
      <c r="N301" s="52"/>
      <c r="O301" s="148"/>
      <c r="P301" s="52"/>
      <c r="Q301" s="155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52"/>
      <c r="AD301" s="52"/>
      <c r="AE301" s="47"/>
      <c r="AF301" s="69"/>
      <c r="AG301" s="223"/>
      <c r="AJ301" s="47"/>
      <c r="AK301" s="73"/>
      <c r="AL301" s="47"/>
      <c r="AM301" s="47"/>
      <c r="AN301" s="47"/>
      <c r="AO301" s="47"/>
      <c r="AP301" s="47"/>
      <c r="AQ301" s="47"/>
      <c r="AR301" s="25"/>
    </row>
    <row r="302" spans="1:44" ht="25.2" customHeight="1" x14ac:dyDescent="0.15">
      <c r="A302" s="47"/>
      <c r="B302" s="47"/>
      <c r="C302" s="47"/>
      <c r="D302" s="47"/>
      <c r="E302" s="47"/>
      <c r="F302" s="47"/>
      <c r="G302" s="47"/>
      <c r="H302" s="47"/>
      <c r="I302" s="111"/>
      <c r="J302" s="52"/>
      <c r="K302" s="148"/>
      <c r="L302" s="52"/>
      <c r="M302" s="148"/>
      <c r="N302" s="52"/>
      <c r="O302" s="148"/>
      <c r="P302" s="52"/>
      <c r="Q302" s="155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52"/>
      <c r="AD302" s="52"/>
      <c r="AE302" s="47"/>
      <c r="AF302" s="69"/>
      <c r="AG302" s="223"/>
      <c r="AJ302" s="47"/>
      <c r="AK302" s="73"/>
      <c r="AL302" s="47"/>
      <c r="AM302" s="47"/>
      <c r="AN302" s="47"/>
      <c r="AO302" s="47"/>
      <c r="AP302" s="47"/>
      <c r="AQ302" s="47"/>
      <c r="AR302" s="25"/>
    </row>
    <row r="303" spans="1:44" ht="25.2" customHeight="1" x14ac:dyDescent="0.15">
      <c r="A303" s="47"/>
      <c r="B303" s="47"/>
      <c r="C303" s="47"/>
      <c r="D303" s="47"/>
      <c r="E303" s="47"/>
      <c r="F303" s="47"/>
      <c r="G303" s="47"/>
      <c r="H303" s="47"/>
      <c r="I303" s="111"/>
      <c r="J303" s="52"/>
      <c r="K303" s="148"/>
      <c r="L303" s="52"/>
      <c r="M303" s="148"/>
      <c r="N303" s="52"/>
      <c r="O303" s="148"/>
      <c r="P303" s="52"/>
      <c r="Q303" s="155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52"/>
      <c r="AD303" s="52"/>
      <c r="AE303" s="47"/>
      <c r="AF303" s="69"/>
      <c r="AG303" s="223"/>
      <c r="AJ303" s="47"/>
      <c r="AK303" s="73"/>
      <c r="AL303" s="47"/>
      <c r="AM303" s="47"/>
      <c r="AN303" s="47"/>
      <c r="AO303" s="47"/>
      <c r="AP303" s="47"/>
      <c r="AQ303" s="47"/>
      <c r="AR303" s="25"/>
    </row>
    <row r="304" spans="1:44" ht="25.2" customHeight="1" x14ac:dyDescent="0.15">
      <c r="A304" s="47"/>
      <c r="B304" s="47"/>
      <c r="C304" s="47"/>
      <c r="D304" s="47"/>
      <c r="E304" s="47"/>
      <c r="F304" s="47"/>
      <c r="G304" s="47"/>
      <c r="H304" s="47"/>
      <c r="I304" s="111"/>
      <c r="J304" s="52"/>
      <c r="K304" s="148"/>
      <c r="L304" s="52"/>
      <c r="M304" s="148"/>
      <c r="N304" s="52"/>
      <c r="O304" s="148"/>
      <c r="P304" s="52"/>
      <c r="Q304" s="155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52"/>
      <c r="AD304" s="52"/>
      <c r="AE304" s="47"/>
      <c r="AF304" s="69"/>
      <c r="AG304" s="223"/>
      <c r="AJ304" s="47"/>
      <c r="AK304" s="73"/>
      <c r="AL304" s="47"/>
      <c r="AM304" s="47"/>
      <c r="AN304" s="47"/>
      <c r="AO304" s="47"/>
      <c r="AP304" s="47"/>
      <c r="AQ304" s="47"/>
      <c r="AR304" s="25"/>
    </row>
    <row r="305" spans="1:44" ht="25.2" customHeight="1" x14ac:dyDescent="0.15">
      <c r="A305" s="47"/>
      <c r="B305" s="47"/>
      <c r="C305" s="47"/>
      <c r="D305" s="47"/>
      <c r="E305" s="47"/>
      <c r="F305" s="47"/>
      <c r="G305" s="47"/>
      <c r="H305" s="47"/>
      <c r="I305" s="111"/>
      <c r="J305" s="52"/>
      <c r="K305" s="148"/>
      <c r="L305" s="52"/>
      <c r="M305" s="148"/>
      <c r="N305" s="52"/>
      <c r="O305" s="148"/>
      <c r="P305" s="52"/>
      <c r="Q305" s="155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52"/>
      <c r="AD305" s="52"/>
      <c r="AE305" s="47"/>
      <c r="AF305" s="69"/>
      <c r="AG305" s="223"/>
      <c r="AJ305" s="47"/>
      <c r="AK305" s="73"/>
      <c r="AL305" s="47"/>
      <c r="AM305" s="47"/>
      <c r="AN305" s="47"/>
      <c r="AO305" s="47"/>
      <c r="AP305" s="47"/>
      <c r="AQ305" s="47"/>
      <c r="AR305" s="25"/>
    </row>
    <row r="306" spans="1:44" ht="25.2" customHeight="1" x14ac:dyDescent="0.15">
      <c r="A306" s="47"/>
      <c r="B306" s="47"/>
      <c r="C306" s="47"/>
      <c r="D306" s="47"/>
      <c r="E306" s="47"/>
      <c r="F306" s="47"/>
      <c r="G306" s="47"/>
      <c r="H306" s="47"/>
      <c r="I306" s="111"/>
      <c r="J306" s="52"/>
      <c r="K306" s="148"/>
      <c r="L306" s="52"/>
      <c r="M306" s="148"/>
      <c r="N306" s="52"/>
      <c r="O306" s="148"/>
      <c r="P306" s="52"/>
      <c r="Q306" s="155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52"/>
      <c r="AD306" s="52"/>
      <c r="AE306" s="47"/>
      <c r="AF306" s="69"/>
      <c r="AG306" s="223"/>
      <c r="AJ306" s="47"/>
      <c r="AK306" s="73"/>
      <c r="AL306" s="47"/>
      <c r="AM306" s="47"/>
      <c r="AN306" s="47"/>
      <c r="AO306" s="47"/>
      <c r="AP306" s="47"/>
      <c r="AQ306" s="47"/>
      <c r="AR306" s="25"/>
    </row>
    <row r="307" spans="1:44" ht="25.2" customHeight="1" x14ac:dyDescent="0.15">
      <c r="A307" s="47"/>
      <c r="B307" s="47"/>
      <c r="C307" s="47"/>
      <c r="D307" s="47"/>
      <c r="E307" s="47"/>
      <c r="F307" s="47"/>
      <c r="G307" s="47"/>
      <c r="H307" s="47"/>
      <c r="I307" s="111"/>
      <c r="J307" s="52"/>
      <c r="K307" s="148"/>
      <c r="L307" s="52"/>
      <c r="M307" s="148"/>
      <c r="N307" s="52"/>
      <c r="O307" s="148"/>
      <c r="P307" s="52"/>
      <c r="Q307" s="155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52"/>
      <c r="AD307" s="52"/>
      <c r="AE307" s="47"/>
      <c r="AF307" s="69"/>
      <c r="AG307" s="223"/>
      <c r="AJ307" s="47"/>
      <c r="AK307" s="73"/>
      <c r="AL307" s="47"/>
      <c r="AM307" s="47"/>
      <c r="AN307" s="47"/>
      <c r="AO307" s="47"/>
      <c r="AP307" s="47"/>
      <c r="AQ307" s="47"/>
      <c r="AR307" s="25"/>
    </row>
    <row r="308" spans="1:44" ht="25.2" customHeight="1" x14ac:dyDescent="0.15">
      <c r="A308" s="47"/>
      <c r="B308" s="47"/>
      <c r="C308" s="47"/>
      <c r="D308" s="47"/>
      <c r="E308" s="47"/>
      <c r="F308" s="47"/>
      <c r="G308" s="47"/>
      <c r="H308" s="47"/>
      <c r="I308" s="111"/>
      <c r="J308" s="52"/>
      <c r="K308" s="148"/>
      <c r="L308" s="52"/>
      <c r="M308" s="148"/>
      <c r="N308" s="52"/>
      <c r="O308" s="148"/>
      <c r="P308" s="52"/>
      <c r="Q308" s="155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52"/>
      <c r="AD308" s="52"/>
      <c r="AE308" s="47"/>
      <c r="AF308" s="69"/>
      <c r="AG308" s="223"/>
      <c r="AJ308" s="47"/>
      <c r="AK308" s="73"/>
      <c r="AL308" s="47"/>
      <c r="AM308" s="47"/>
      <c r="AN308" s="47"/>
      <c r="AO308" s="47"/>
      <c r="AP308" s="47"/>
      <c r="AQ308" s="47"/>
      <c r="AR308" s="25"/>
    </row>
    <row r="309" spans="1:44" ht="25.2" customHeight="1" x14ac:dyDescent="0.15">
      <c r="A309" s="47"/>
      <c r="B309" s="47"/>
      <c r="C309" s="47"/>
      <c r="D309" s="47"/>
      <c r="E309" s="47"/>
      <c r="F309" s="47"/>
      <c r="G309" s="47"/>
      <c r="H309" s="47"/>
      <c r="I309" s="111"/>
      <c r="J309" s="52"/>
      <c r="K309" s="148"/>
      <c r="L309" s="52"/>
      <c r="M309" s="148"/>
      <c r="N309" s="52"/>
      <c r="O309" s="148"/>
      <c r="P309" s="52"/>
      <c r="Q309" s="155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52"/>
      <c r="AD309" s="52"/>
      <c r="AE309" s="47"/>
      <c r="AF309" s="69"/>
      <c r="AG309" s="223"/>
      <c r="AJ309" s="47"/>
      <c r="AK309" s="73"/>
      <c r="AL309" s="47"/>
      <c r="AM309" s="47"/>
      <c r="AN309" s="47"/>
      <c r="AO309" s="47"/>
      <c r="AP309" s="47"/>
      <c r="AQ309" s="47"/>
      <c r="AR309" s="25"/>
    </row>
    <row r="310" spans="1:44" ht="25.2" customHeight="1" x14ac:dyDescent="0.15">
      <c r="A310" s="47"/>
      <c r="B310" s="47"/>
      <c r="C310" s="47"/>
      <c r="D310" s="47"/>
      <c r="E310" s="47"/>
      <c r="F310" s="47"/>
      <c r="G310" s="47"/>
      <c r="H310" s="47"/>
      <c r="I310" s="111"/>
      <c r="J310" s="52"/>
      <c r="K310" s="148"/>
      <c r="L310" s="52"/>
      <c r="M310" s="148"/>
      <c r="N310" s="52"/>
      <c r="O310" s="148"/>
      <c r="P310" s="52"/>
      <c r="Q310" s="155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52"/>
      <c r="AD310" s="52"/>
      <c r="AE310" s="47"/>
      <c r="AF310" s="69"/>
      <c r="AG310" s="223"/>
      <c r="AJ310" s="47"/>
      <c r="AK310" s="73"/>
      <c r="AL310" s="47"/>
      <c r="AM310" s="47"/>
      <c r="AN310" s="47"/>
      <c r="AO310" s="47"/>
      <c r="AP310" s="47"/>
      <c r="AQ310" s="47"/>
      <c r="AR310" s="25"/>
    </row>
    <row r="311" spans="1:44" ht="25.2" customHeight="1" x14ac:dyDescent="0.15">
      <c r="A311" s="47"/>
      <c r="B311" s="47"/>
      <c r="C311" s="47"/>
      <c r="D311" s="47"/>
      <c r="E311" s="47"/>
      <c r="F311" s="47"/>
      <c r="G311" s="47"/>
      <c r="H311" s="47"/>
      <c r="I311" s="111"/>
      <c r="J311" s="52"/>
      <c r="K311" s="148"/>
      <c r="L311" s="52"/>
      <c r="M311" s="148"/>
      <c r="N311" s="52"/>
      <c r="O311" s="148"/>
      <c r="P311" s="52"/>
      <c r="Q311" s="155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52"/>
      <c r="AD311" s="52"/>
      <c r="AE311" s="47"/>
      <c r="AF311" s="69"/>
      <c r="AG311" s="223"/>
      <c r="AJ311" s="47"/>
      <c r="AK311" s="73"/>
      <c r="AL311" s="47"/>
      <c r="AM311" s="47"/>
      <c r="AN311" s="47"/>
      <c r="AO311" s="47"/>
      <c r="AP311" s="47"/>
      <c r="AQ311" s="47"/>
      <c r="AR311" s="25"/>
    </row>
    <row r="312" spans="1:44" ht="25.2" customHeight="1" x14ac:dyDescent="0.15">
      <c r="A312" s="47"/>
      <c r="B312" s="47"/>
      <c r="C312" s="47"/>
      <c r="D312" s="47"/>
      <c r="E312" s="47"/>
      <c r="F312" s="47"/>
      <c r="G312" s="47"/>
      <c r="H312" s="47"/>
      <c r="I312" s="111"/>
      <c r="J312" s="52"/>
      <c r="K312" s="148"/>
      <c r="L312" s="52"/>
      <c r="M312" s="148"/>
      <c r="N312" s="52"/>
      <c r="O312" s="148"/>
      <c r="P312" s="52"/>
      <c r="Q312" s="155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52"/>
      <c r="AD312" s="52"/>
      <c r="AE312" s="47"/>
      <c r="AF312" s="69"/>
      <c r="AG312" s="223"/>
      <c r="AJ312" s="47"/>
      <c r="AK312" s="73"/>
      <c r="AL312" s="47"/>
      <c r="AM312" s="47"/>
      <c r="AN312" s="47"/>
      <c r="AO312" s="47"/>
      <c r="AP312" s="47"/>
      <c r="AQ312" s="47"/>
      <c r="AR312" s="25"/>
    </row>
    <row r="313" spans="1:44" ht="25.2" customHeight="1" x14ac:dyDescent="0.15">
      <c r="A313" s="47"/>
      <c r="B313" s="47"/>
      <c r="C313" s="47"/>
      <c r="D313" s="47"/>
      <c r="E313" s="47"/>
      <c r="F313" s="47"/>
      <c r="G313" s="47"/>
      <c r="H313" s="47"/>
      <c r="I313" s="111"/>
      <c r="J313" s="52"/>
      <c r="K313" s="148"/>
      <c r="L313" s="52"/>
      <c r="M313" s="148"/>
      <c r="N313" s="52"/>
      <c r="O313" s="148"/>
      <c r="P313" s="52"/>
      <c r="Q313" s="155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52"/>
      <c r="AD313" s="52"/>
      <c r="AE313" s="47"/>
      <c r="AF313" s="69"/>
      <c r="AG313" s="223"/>
      <c r="AJ313" s="47"/>
      <c r="AK313" s="73"/>
      <c r="AL313" s="47"/>
      <c r="AM313" s="47"/>
      <c r="AN313" s="47"/>
      <c r="AO313" s="47"/>
      <c r="AP313" s="47"/>
      <c r="AQ313" s="47"/>
      <c r="AR313" s="25"/>
    </row>
    <row r="314" spans="1:44" ht="25.2" customHeight="1" x14ac:dyDescent="0.15">
      <c r="A314" s="47"/>
      <c r="B314" s="47"/>
      <c r="C314" s="47"/>
      <c r="D314" s="47"/>
      <c r="E314" s="47"/>
      <c r="F314" s="47"/>
      <c r="G314" s="47"/>
      <c r="H314" s="47"/>
      <c r="I314" s="111"/>
      <c r="J314" s="52"/>
      <c r="K314" s="148"/>
      <c r="L314" s="52"/>
      <c r="M314" s="148"/>
      <c r="N314" s="52"/>
      <c r="O314" s="148"/>
      <c r="P314" s="52"/>
      <c r="Q314" s="155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52"/>
      <c r="AD314" s="52"/>
      <c r="AE314" s="47"/>
      <c r="AF314" s="69"/>
      <c r="AG314" s="223"/>
      <c r="AJ314" s="47"/>
      <c r="AK314" s="73"/>
      <c r="AL314" s="47"/>
      <c r="AM314" s="47"/>
      <c r="AN314" s="47"/>
      <c r="AO314" s="47"/>
      <c r="AP314" s="47"/>
      <c r="AQ314" s="47"/>
      <c r="AR314" s="25"/>
    </row>
    <row r="315" spans="1:44" ht="25.2" customHeight="1" x14ac:dyDescent="0.15">
      <c r="A315" s="47"/>
      <c r="B315" s="47"/>
      <c r="C315" s="47"/>
      <c r="D315" s="47"/>
      <c r="E315" s="47"/>
      <c r="F315" s="47"/>
      <c r="G315" s="47"/>
      <c r="H315" s="47"/>
      <c r="I315" s="111"/>
      <c r="J315" s="52"/>
      <c r="K315" s="148"/>
      <c r="L315" s="52"/>
      <c r="M315" s="148"/>
      <c r="N315" s="52"/>
      <c r="O315" s="148"/>
      <c r="P315" s="52"/>
      <c r="Q315" s="155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52"/>
      <c r="AD315" s="52"/>
      <c r="AE315" s="47"/>
      <c r="AF315" s="69"/>
      <c r="AG315" s="223"/>
      <c r="AJ315" s="47"/>
      <c r="AK315" s="73"/>
      <c r="AL315" s="47"/>
      <c r="AM315" s="47"/>
      <c r="AN315" s="47"/>
      <c r="AO315" s="47"/>
      <c r="AP315" s="47"/>
      <c r="AQ315" s="47"/>
      <c r="AR315" s="25"/>
    </row>
    <row r="316" spans="1:44" ht="25.2" customHeight="1" x14ac:dyDescent="0.15">
      <c r="A316" s="47"/>
      <c r="B316" s="47"/>
      <c r="C316" s="47"/>
      <c r="D316" s="47"/>
      <c r="E316" s="47"/>
      <c r="F316" s="47"/>
      <c r="G316" s="47"/>
      <c r="H316" s="47"/>
      <c r="I316" s="111"/>
      <c r="J316" s="52"/>
      <c r="K316" s="148"/>
      <c r="L316" s="52"/>
      <c r="M316" s="148"/>
      <c r="N316" s="52"/>
      <c r="O316" s="148"/>
      <c r="P316" s="52"/>
      <c r="Q316" s="155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52"/>
      <c r="AD316" s="52"/>
      <c r="AE316" s="47"/>
      <c r="AF316" s="69"/>
      <c r="AG316" s="223"/>
      <c r="AJ316" s="47"/>
      <c r="AK316" s="73"/>
      <c r="AL316" s="47"/>
      <c r="AM316" s="47"/>
      <c r="AN316" s="47"/>
      <c r="AO316" s="47"/>
      <c r="AP316" s="47"/>
      <c r="AQ316" s="47"/>
      <c r="AR316" s="25"/>
    </row>
    <row r="317" spans="1:44" ht="25.2" customHeight="1" x14ac:dyDescent="0.15">
      <c r="A317" s="47"/>
      <c r="B317" s="47"/>
      <c r="C317" s="47"/>
      <c r="D317" s="47"/>
      <c r="E317" s="47"/>
      <c r="F317" s="47"/>
      <c r="G317" s="47"/>
      <c r="H317" s="47"/>
      <c r="I317" s="111"/>
      <c r="J317" s="52"/>
      <c r="K317" s="148"/>
      <c r="L317" s="52"/>
      <c r="M317" s="148"/>
      <c r="N317" s="52"/>
      <c r="O317" s="148"/>
      <c r="P317" s="52"/>
      <c r="Q317" s="155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52"/>
      <c r="AD317" s="52"/>
      <c r="AE317" s="47"/>
      <c r="AF317" s="69"/>
      <c r="AG317" s="223"/>
      <c r="AJ317" s="47"/>
      <c r="AK317" s="73"/>
      <c r="AL317" s="47"/>
      <c r="AM317" s="47"/>
      <c r="AN317" s="47"/>
      <c r="AO317" s="47"/>
      <c r="AP317" s="47"/>
      <c r="AQ317" s="47"/>
      <c r="AR317" s="25"/>
    </row>
    <row r="318" spans="1:44" ht="25.2" customHeight="1" x14ac:dyDescent="0.15">
      <c r="A318" s="47"/>
      <c r="B318" s="47"/>
      <c r="C318" s="47"/>
      <c r="D318" s="47"/>
      <c r="E318" s="47"/>
      <c r="F318" s="47"/>
      <c r="G318" s="47"/>
      <c r="H318" s="47"/>
      <c r="I318" s="111"/>
      <c r="J318" s="52"/>
      <c r="K318" s="148"/>
      <c r="L318" s="52"/>
      <c r="M318" s="148"/>
      <c r="N318" s="52"/>
      <c r="O318" s="148"/>
      <c r="P318" s="52"/>
      <c r="Q318" s="155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52"/>
      <c r="AD318" s="52"/>
      <c r="AE318" s="47"/>
      <c r="AF318" s="69"/>
      <c r="AG318" s="223"/>
      <c r="AJ318" s="47"/>
      <c r="AK318" s="73"/>
      <c r="AL318" s="47"/>
      <c r="AM318" s="47"/>
      <c r="AN318" s="47"/>
      <c r="AO318" s="47"/>
      <c r="AP318" s="47"/>
      <c r="AQ318" s="47"/>
      <c r="AR318" s="25"/>
    </row>
    <row r="319" spans="1:44" ht="25.2" customHeight="1" x14ac:dyDescent="0.15">
      <c r="A319" s="47"/>
      <c r="B319" s="47"/>
      <c r="C319" s="47"/>
      <c r="D319" s="47"/>
      <c r="E319" s="47"/>
      <c r="F319" s="47"/>
      <c r="G319" s="47"/>
      <c r="H319" s="47"/>
      <c r="I319" s="111"/>
      <c r="J319" s="52"/>
      <c r="K319" s="148"/>
      <c r="L319" s="52"/>
      <c r="M319" s="148"/>
      <c r="N319" s="52"/>
      <c r="O319" s="148"/>
      <c r="P319" s="52"/>
      <c r="Q319" s="155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52"/>
      <c r="AD319" s="52"/>
      <c r="AE319" s="47"/>
      <c r="AF319" s="69"/>
      <c r="AG319" s="223"/>
      <c r="AJ319" s="47"/>
      <c r="AK319" s="73"/>
      <c r="AL319" s="47"/>
      <c r="AM319" s="47"/>
      <c r="AN319" s="47"/>
      <c r="AO319" s="47"/>
      <c r="AP319" s="47"/>
      <c r="AQ319" s="47"/>
      <c r="AR319" s="25"/>
    </row>
    <row r="320" spans="1:44" ht="25.2" customHeight="1" x14ac:dyDescent="0.15">
      <c r="A320" s="47"/>
      <c r="B320" s="47"/>
      <c r="C320" s="47"/>
      <c r="D320" s="47"/>
      <c r="E320" s="47"/>
      <c r="F320" s="47"/>
      <c r="G320" s="47"/>
      <c r="H320" s="47"/>
      <c r="I320" s="111"/>
      <c r="J320" s="52"/>
      <c r="K320" s="148"/>
      <c r="L320" s="52"/>
      <c r="M320" s="148"/>
      <c r="N320" s="52"/>
      <c r="O320" s="148"/>
      <c r="P320" s="52"/>
      <c r="Q320" s="155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52"/>
      <c r="AD320" s="52"/>
      <c r="AE320" s="47"/>
      <c r="AF320" s="69"/>
      <c r="AG320" s="223"/>
      <c r="AJ320" s="47"/>
      <c r="AK320" s="73"/>
      <c r="AL320" s="47"/>
      <c r="AM320" s="47"/>
      <c r="AN320" s="47"/>
      <c r="AO320" s="47"/>
      <c r="AP320" s="47"/>
      <c r="AQ320" s="47"/>
      <c r="AR320" s="25"/>
    </row>
    <row r="321" spans="1:44" ht="25.2" customHeight="1" x14ac:dyDescent="0.15">
      <c r="A321" s="47"/>
      <c r="B321" s="47"/>
      <c r="C321" s="47"/>
      <c r="D321" s="47"/>
      <c r="E321" s="47"/>
      <c r="F321" s="47"/>
      <c r="G321" s="47"/>
      <c r="H321" s="47"/>
      <c r="I321" s="111"/>
      <c r="J321" s="52"/>
      <c r="K321" s="148"/>
      <c r="L321" s="52"/>
      <c r="M321" s="148"/>
      <c r="N321" s="52"/>
      <c r="O321" s="148"/>
      <c r="P321" s="52"/>
      <c r="Q321" s="155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52"/>
      <c r="AD321" s="52"/>
      <c r="AE321" s="47"/>
      <c r="AF321" s="69"/>
      <c r="AG321" s="223"/>
      <c r="AJ321" s="47"/>
      <c r="AK321" s="73"/>
      <c r="AL321" s="47"/>
      <c r="AM321" s="47"/>
      <c r="AN321" s="47"/>
      <c r="AO321" s="47"/>
      <c r="AP321" s="47"/>
      <c r="AQ321" s="47"/>
      <c r="AR321" s="25"/>
    </row>
    <row r="322" spans="1:44" ht="25.2" customHeight="1" x14ac:dyDescent="0.15">
      <c r="A322" s="47"/>
      <c r="B322" s="47"/>
      <c r="C322" s="47"/>
      <c r="D322" s="47"/>
      <c r="E322" s="47"/>
      <c r="F322" s="47"/>
      <c r="G322" s="47"/>
      <c r="H322" s="47"/>
      <c r="I322" s="111"/>
      <c r="J322" s="52"/>
      <c r="K322" s="148"/>
      <c r="L322" s="52"/>
      <c r="M322" s="148"/>
      <c r="N322" s="52"/>
      <c r="O322" s="148"/>
      <c r="P322" s="52"/>
      <c r="Q322" s="155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52"/>
      <c r="AD322" s="52"/>
      <c r="AE322" s="47"/>
      <c r="AF322" s="69"/>
      <c r="AG322" s="223"/>
      <c r="AJ322" s="47"/>
      <c r="AK322" s="73"/>
      <c r="AL322" s="47"/>
      <c r="AM322" s="47"/>
      <c r="AN322" s="47"/>
      <c r="AO322" s="47"/>
      <c r="AP322" s="47"/>
      <c r="AQ322" s="47"/>
      <c r="AR322" s="25"/>
    </row>
    <row r="323" spans="1:44" ht="25.2" customHeight="1" x14ac:dyDescent="0.15">
      <c r="A323" s="47"/>
      <c r="B323" s="47"/>
      <c r="C323" s="47"/>
      <c r="D323" s="47"/>
      <c r="E323" s="47"/>
      <c r="F323" s="47"/>
      <c r="G323" s="47"/>
      <c r="H323" s="47"/>
      <c r="I323" s="111"/>
      <c r="J323" s="52"/>
      <c r="K323" s="148"/>
      <c r="L323" s="52"/>
      <c r="M323" s="148"/>
      <c r="N323" s="52"/>
      <c r="O323" s="148"/>
      <c r="P323" s="52"/>
      <c r="Q323" s="155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52"/>
      <c r="AD323" s="52"/>
      <c r="AE323" s="47"/>
      <c r="AF323" s="69"/>
      <c r="AG323" s="223"/>
      <c r="AJ323" s="47"/>
      <c r="AK323" s="73"/>
      <c r="AL323" s="47"/>
      <c r="AM323" s="47"/>
      <c r="AN323" s="47"/>
      <c r="AO323" s="47"/>
      <c r="AP323" s="47"/>
      <c r="AQ323" s="47"/>
      <c r="AR323" s="25"/>
    </row>
    <row r="324" spans="1:44" ht="25.2" customHeight="1" x14ac:dyDescent="0.15">
      <c r="A324" s="47"/>
      <c r="B324" s="47"/>
      <c r="C324" s="47"/>
      <c r="D324" s="47"/>
      <c r="E324" s="47"/>
      <c r="F324" s="47"/>
      <c r="G324" s="47"/>
      <c r="H324" s="47"/>
      <c r="I324" s="111"/>
      <c r="J324" s="52"/>
      <c r="K324" s="148"/>
      <c r="L324" s="52"/>
      <c r="M324" s="148"/>
      <c r="N324" s="52"/>
      <c r="O324" s="148"/>
      <c r="P324" s="52"/>
      <c r="Q324" s="155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52"/>
      <c r="AD324" s="52"/>
      <c r="AE324" s="47"/>
      <c r="AF324" s="69"/>
      <c r="AG324" s="223"/>
      <c r="AJ324" s="47"/>
      <c r="AK324" s="73"/>
      <c r="AL324" s="47"/>
      <c r="AM324" s="47"/>
      <c r="AN324" s="47"/>
      <c r="AO324" s="47"/>
      <c r="AP324" s="47"/>
      <c r="AQ324" s="47"/>
      <c r="AR324" s="25"/>
    </row>
    <row r="325" spans="1:44" ht="25.2" customHeight="1" x14ac:dyDescent="0.15">
      <c r="A325" s="47"/>
      <c r="B325" s="47"/>
      <c r="C325" s="47"/>
      <c r="D325" s="47"/>
      <c r="E325" s="47"/>
      <c r="F325" s="47"/>
      <c r="G325" s="47"/>
      <c r="H325" s="47"/>
      <c r="I325" s="111"/>
      <c r="J325" s="52"/>
      <c r="K325" s="148"/>
      <c r="L325" s="52"/>
      <c r="M325" s="148"/>
      <c r="N325" s="52"/>
      <c r="O325" s="148"/>
      <c r="P325" s="52"/>
      <c r="Q325" s="155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52"/>
      <c r="AD325" s="52"/>
      <c r="AE325" s="47"/>
      <c r="AF325" s="69"/>
      <c r="AG325" s="223"/>
      <c r="AJ325" s="47"/>
      <c r="AK325" s="73"/>
      <c r="AL325" s="47"/>
      <c r="AM325" s="47"/>
      <c r="AN325" s="47"/>
      <c r="AO325" s="47"/>
      <c r="AP325" s="47"/>
      <c r="AQ325" s="47"/>
      <c r="AR325" s="25"/>
    </row>
    <row r="326" spans="1:44" ht="25.2" customHeight="1" x14ac:dyDescent="0.15">
      <c r="A326" s="47"/>
      <c r="B326" s="47"/>
      <c r="C326" s="47"/>
      <c r="D326" s="47"/>
      <c r="E326" s="47"/>
      <c r="F326" s="47"/>
      <c r="G326" s="47"/>
      <c r="H326" s="47"/>
      <c r="I326" s="111"/>
      <c r="J326" s="52"/>
      <c r="K326" s="148"/>
      <c r="L326" s="52"/>
      <c r="M326" s="148"/>
      <c r="N326" s="52"/>
      <c r="O326" s="148"/>
      <c r="P326" s="52"/>
      <c r="Q326" s="155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52"/>
      <c r="AD326" s="52"/>
      <c r="AE326" s="47"/>
      <c r="AF326" s="69"/>
      <c r="AG326" s="223"/>
      <c r="AJ326" s="47"/>
      <c r="AK326" s="73"/>
      <c r="AL326" s="47"/>
      <c r="AM326" s="47"/>
      <c r="AN326" s="47"/>
      <c r="AO326" s="47"/>
      <c r="AP326" s="47"/>
      <c r="AQ326" s="47"/>
      <c r="AR326" s="25"/>
    </row>
    <row r="327" spans="1:44" ht="25.2" customHeight="1" x14ac:dyDescent="0.15">
      <c r="A327" s="47"/>
      <c r="B327" s="47"/>
      <c r="C327" s="47"/>
      <c r="D327" s="47"/>
      <c r="E327" s="47"/>
      <c r="F327" s="47"/>
      <c r="G327" s="47"/>
      <c r="H327" s="47"/>
      <c r="I327" s="111"/>
      <c r="J327" s="52"/>
      <c r="K327" s="148"/>
      <c r="L327" s="52"/>
      <c r="M327" s="148"/>
      <c r="N327" s="52"/>
      <c r="O327" s="148"/>
      <c r="P327" s="52"/>
      <c r="Q327" s="155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52"/>
      <c r="AD327" s="52"/>
      <c r="AE327" s="47"/>
      <c r="AF327" s="69"/>
      <c r="AG327" s="223"/>
      <c r="AJ327" s="47"/>
      <c r="AK327" s="73"/>
      <c r="AL327" s="47"/>
      <c r="AM327" s="47"/>
      <c r="AN327" s="47"/>
      <c r="AO327" s="47"/>
      <c r="AP327" s="47"/>
      <c r="AQ327" s="47"/>
      <c r="AR327" s="25"/>
    </row>
    <row r="328" spans="1:44" ht="25.2" customHeight="1" x14ac:dyDescent="0.15">
      <c r="A328" s="47"/>
      <c r="B328" s="47"/>
      <c r="C328" s="47"/>
      <c r="D328" s="47"/>
      <c r="E328" s="47"/>
      <c r="F328" s="47"/>
      <c r="G328" s="47"/>
      <c r="H328" s="47"/>
      <c r="I328" s="111"/>
      <c r="J328" s="52"/>
      <c r="K328" s="148"/>
      <c r="L328" s="52"/>
      <c r="M328" s="148"/>
      <c r="N328" s="52"/>
      <c r="O328" s="148"/>
      <c r="P328" s="52"/>
      <c r="Q328" s="155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52"/>
      <c r="AD328" s="52"/>
      <c r="AE328" s="47"/>
      <c r="AF328" s="69"/>
      <c r="AG328" s="223"/>
      <c r="AJ328" s="47"/>
      <c r="AK328" s="73"/>
      <c r="AL328" s="47"/>
      <c r="AM328" s="47"/>
      <c r="AN328" s="47"/>
      <c r="AO328" s="47"/>
      <c r="AP328" s="47"/>
      <c r="AQ328" s="47"/>
      <c r="AR328" s="25"/>
    </row>
    <row r="329" spans="1:44" ht="25.2" customHeight="1" x14ac:dyDescent="0.15">
      <c r="A329" s="47"/>
      <c r="B329" s="47"/>
      <c r="C329" s="47"/>
      <c r="D329" s="47"/>
      <c r="E329" s="47"/>
      <c r="F329" s="47"/>
      <c r="G329" s="47"/>
      <c r="H329" s="47"/>
      <c r="I329" s="111"/>
      <c r="J329" s="52"/>
      <c r="K329" s="148"/>
      <c r="L329" s="52"/>
      <c r="M329" s="148"/>
      <c r="N329" s="52"/>
      <c r="O329" s="148"/>
      <c r="P329" s="52"/>
      <c r="Q329" s="155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52"/>
      <c r="AD329" s="52"/>
      <c r="AE329" s="47"/>
      <c r="AF329" s="69"/>
      <c r="AG329" s="223"/>
      <c r="AJ329" s="47"/>
      <c r="AK329" s="73"/>
      <c r="AL329" s="47"/>
      <c r="AM329" s="47"/>
      <c r="AN329" s="47"/>
      <c r="AO329" s="47"/>
      <c r="AP329" s="47"/>
      <c r="AQ329" s="47"/>
      <c r="AR329" s="25"/>
    </row>
    <row r="330" spans="1:44" ht="25.2" customHeight="1" x14ac:dyDescent="0.15">
      <c r="A330" s="47"/>
      <c r="B330" s="47"/>
      <c r="C330" s="47"/>
      <c r="D330" s="47"/>
      <c r="E330" s="47"/>
      <c r="F330" s="47"/>
      <c r="G330" s="47"/>
      <c r="H330" s="47"/>
      <c r="I330" s="111"/>
      <c r="J330" s="52"/>
      <c r="K330" s="148"/>
      <c r="L330" s="52"/>
      <c r="M330" s="148"/>
      <c r="N330" s="52"/>
      <c r="O330" s="148"/>
      <c r="P330" s="52"/>
      <c r="Q330" s="155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52"/>
      <c r="AD330" s="52"/>
      <c r="AE330" s="47"/>
      <c r="AF330" s="69"/>
      <c r="AG330" s="223"/>
      <c r="AJ330" s="47"/>
      <c r="AK330" s="73"/>
      <c r="AL330" s="47"/>
      <c r="AM330" s="47"/>
      <c r="AN330" s="47"/>
      <c r="AO330" s="47"/>
      <c r="AP330" s="47"/>
      <c r="AQ330" s="47"/>
      <c r="AR330" s="25"/>
    </row>
    <row r="331" spans="1:44" ht="25.2" customHeight="1" x14ac:dyDescent="0.15">
      <c r="A331" s="47"/>
      <c r="B331" s="47"/>
      <c r="C331" s="47"/>
      <c r="D331" s="47"/>
      <c r="E331" s="47"/>
      <c r="F331" s="47"/>
      <c r="G331" s="47"/>
      <c r="H331" s="47"/>
      <c r="I331" s="111"/>
      <c r="J331" s="52"/>
      <c r="K331" s="148"/>
      <c r="L331" s="52"/>
      <c r="M331" s="148"/>
      <c r="N331" s="52"/>
      <c r="O331" s="148"/>
      <c r="P331" s="52"/>
      <c r="Q331" s="155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52"/>
      <c r="AD331" s="52"/>
      <c r="AE331" s="47"/>
      <c r="AF331" s="69"/>
      <c r="AG331" s="223"/>
      <c r="AJ331" s="47"/>
      <c r="AK331" s="73"/>
      <c r="AL331" s="47"/>
      <c r="AM331" s="47"/>
      <c r="AN331" s="47"/>
      <c r="AO331" s="47"/>
      <c r="AP331" s="47"/>
      <c r="AQ331" s="47"/>
      <c r="AR331" s="25"/>
    </row>
    <row r="332" spans="1:44" ht="25.2" customHeight="1" x14ac:dyDescent="0.15">
      <c r="A332" s="47"/>
      <c r="B332" s="47"/>
      <c r="C332" s="47"/>
      <c r="D332" s="47"/>
      <c r="E332" s="47"/>
      <c r="F332" s="47"/>
      <c r="G332" s="47"/>
      <c r="H332" s="47"/>
      <c r="I332" s="111"/>
      <c r="J332" s="52"/>
      <c r="K332" s="148"/>
      <c r="L332" s="52"/>
      <c r="M332" s="148"/>
      <c r="N332" s="52"/>
      <c r="O332" s="148"/>
      <c r="P332" s="52"/>
      <c r="Q332" s="155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52"/>
      <c r="AD332" s="52"/>
      <c r="AE332" s="47"/>
      <c r="AF332" s="69"/>
      <c r="AG332" s="223"/>
      <c r="AJ332" s="47"/>
      <c r="AK332" s="73"/>
      <c r="AL332" s="47"/>
      <c r="AM332" s="47"/>
      <c r="AN332" s="47"/>
      <c r="AO332" s="47"/>
      <c r="AP332" s="47"/>
      <c r="AQ332" s="47"/>
      <c r="AR332" s="25"/>
    </row>
    <row r="333" spans="1:44" ht="25.2" customHeight="1" x14ac:dyDescent="0.15">
      <c r="A333" s="47"/>
      <c r="B333" s="47"/>
      <c r="C333" s="47"/>
      <c r="D333" s="47"/>
      <c r="E333" s="47"/>
      <c r="F333" s="47"/>
      <c r="G333" s="47"/>
      <c r="H333" s="47"/>
      <c r="I333" s="111"/>
      <c r="J333" s="52"/>
      <c r="K333" s="148"/>
      <c r="L333" s="52"/>
      <c r="M333" s="148"/>
      <c r="N333" s="52"/>
      <c r="O333" s="148"/>
      <c r="P333" s="52"/>
      <c r="Q333" s="155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52"/>
      <c r="AD333" s="52"/>
      <c r="AE333" s="47"/>
      <c r="AF333" s="69"/>
      <c r="AG333" s="223"/>
      <c r="AJ333" s="47"/>
      <c r="AK333" s="73"/>
      <c r="AL333" s="47"/>
      <c r="AM333" s="47"/>
      <c r="AN333" s="47"/>
      <c r="AO333" s="47"/>
      <c r="AP333" s="47"/>
      <c r="AQ333" s="47"/>
      <c r="AR333" s="25"/>
    </row>
    <row r="334" spans="1:44" ht="25.2" customHeight="1" x14ac:dyDescent="0.15">
      <c r="A334" s="47"/>
      <c r="B334" s="47"/>
      <c r="C334" s="47"/>
      <c r="D334" s="47"/>
      <c r="E334" s="47"/>
      <c r="F334" s="47"/>
      <c r="G334" s="47"/>
      <c r="H334" s="47"/>
      <c r="I334" s="111"/>
      <c r="J334" s="52"/>
      <c r="K334" s="148"/>
      <c r="L334" s="52"/>
      <c r="M334" s="148"/>
      <c r="N334" s="52"/>
      <c r="O334" s="148"/>
      <c r="P334" s="52"/>
      <c r="Q334" s="155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52"/>
      <c r="AD334" s="52"/>
      <c r="AE334" s="47"/>
      <c r="AF334" s="69"/>
      <c r="AG334" s="223"/>
      <c r="AJ334" s="47"/>
      <c r="AK334" s="73"/>
      <c r="AL334" s="47"/>
      <c r="AM334" s="47"/>
      <c r="AN334" s="47"/>
      <c r="AO334" s="47"/>
      <c r="AP334" s="47"/>
      <c r="AQ334" s="47"/>
      <c r="AR334" s="25"/>
    </row>
    <row r="335" spans="1:44" ht="25.2" customHeight="1" x14ac:dyDescent="0.15">
      <c r="A335" s="47"/>
      <c r="B335" s="47"/>
      <c r="C335" s="47"/>
      <c r="D335" s="47"/>
      <c r="E335" s="47"/>
      <c r="F335" s="47"/>
      <c r="G335" s="47"/>
      <c r="H335" s="47"/>
      <c r="I335" s="111"/>
      <c r="J335" s="52"/>
      <c r="K335" s="148"/>
      <c r="L335" s="52"/>
      <c r="M335" s="148"/>
      <c r="N335" s="52"/>
      <c r="O335" s="148"/>
      <c r="P335" s="52"/>
      <c r="Q335" s="155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52"/>
      <c r="AD335" s="52"/>
      <c r="AE335" s="47"/>
      <c r="AF335" s="69"/>
      <c r="AG335" s="223"/>
      <c r="AJ335" s="47"/>
      <c r="AK335" s="73"/>
      <c r="AL335" s="47"/>
      <c r="AM335" s="47"/>
      <c r="AN335" s="47"/>
      <c r="AO335" s="47"/>
      <c r="AP335" s="47"/>
      <c r="AQ335" s="47"/>
      <c r="AR335" s="25"/>
    </row>
    <row r="336" spans="1:44" ht="25.2" customHeight="1" x14ac:dyDescent="0.15">
      <c r="A336" s="47"/>
      <c r="B336" s="47"/>
      <c r="C336" s="47"/>
      <c r="D336" s="47"/>
      <c r="E336" s="47"/>
      <c r="F336" s="47"/>
      <c r="G336" s="47"/>
      <c r="H336" s="47"/>
      <c r="I336" s="111"/>
      <c r="J336" s="52"/>
      <c r="K336" s="148"/>
      <c r="L336" s="52"/>
      <c r="M336" s="148"/>
      <c r="N336" s="52"/>
      <c r="O336" s="148"/>
      <c r="P336" s="52"/>
      <c r="Q336" s="155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52"/>
      <c r="AD336" s="52"/>
      <c r="AE336" s="47"/>
      <c r="AF336" s="69"/>
      <c r="AG336" s="223"/>
      <c r="AJ336" s="47"/>
      <c r="AK336" s="73"/>
      <c r="AL336" s="47"/>
      <c r="AM336" s="47"/>
      <c r="AN336" s="47"/>
      <c r="AO336" s="47"/>
      <c r="AP336" s="47"/>
      <c r="AQ336" s="47"/>
      <c r="AR336" s="25"/>
    </row>
    <row r="337" spans="1:44" ht="25.2" customHeight="1" x14ac:dyDescent="0.15">
      <c r="A337" s="47"/>
      <c r="B337" s="47"/>
      <c r="C337" s="47"/>
      <c r="D337" s="47"/>
      <c r="E337" s="47"/>
      <c r="F337" s="47"/>
      <c r="G337" s="47"/>
      <c r="H337" s="47"/>
      <c r="I337" s="111"/>
      <c r="J337" s="52"/>
      <c r="K337" s="148"/>
      <c r="L337" s="52"/>
      <c r="M337" s="148"/>
      <c r="N337" s="52"/>
      <c r="O337" s="148"/>
      <c r="P337" s="52"/>
      <c r="Q337" s="155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52"/>
      <c r="AD337" s="52"/>
      <c r="AE337" s="47"/>
      <c r="AF337" s="69"/>
      <c r="AG337" s="223"/>
      <c r="AJ337" s="47"/>
      <c r="AK337" s="73"/>
      <c r="AL337" s="47"/>
      <c r="AM337" s="47"/>
      <c r="AN337" s="47"/>
      <c r="AO337" s="47"/>
      <c r="AP337" s="47"/>
      <c r="AQ337" s="47"/>
      <c r="AR337" s="25"/>
    </row>
    <row r="338" spans="1:44" ht="25.2" customHeight="1" x14ac:dyDescent="0.15">
      <c r="A338" s="47"/>
      <c r="B338" s="47"/>
      <c r="C338" s="47"/>
      <c r="D338" s="47"/>
      <c r="E338" s="47"/>
      <c r="F338" s="47"/>
      <c r="G338" s="47"/>
      <c r="H338" s="47"/>
      <c r="I338" s="111"/>
      <c r="J338" s="52"/>
      <c r="K338" s="148"/>
      <c r="L338" s="52"/>
      <c r="M338" s="148"/>
      <c r="N338" s="52"/>
      <c r="O338" s="148"/>
      <c r="P338" s="52"/>
      <c r="Q338" s="155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52"/>
      <c r="AD338" s="52"/>
      <c r="AE338" s="47"/>
      <c r="AF338" s="69"/>
      <c r="AG338" s="223"/>
      <c r="AJ338" s="47"/>
      <c r="AK338" s="73"/>
      <c r="AL338" s="47"/>
      <c r="AM338" s="47"/>
      <c r="AN338" s="47"/>
      <c r="AO338" s="47"/>
      <c r="AP338" s="47"/>
      <c r="AQ338" s="47"/>
      <c r="AR338" s="25"/>
    </row>
    <row r="339" spans="1:44" ht="25.2" customHeight="1" x14ac:dyDescent="0.15">
      <c r="A339" s="47"/>
      <c r="B339" s="47"/>
      <c r="C339" s="47"/>
      <c r="D339" s="47"/>
      <c r="E339" s="47"/>
      <c r="F339" s="47"/>
      <c r="G339" s="47"/>
      <c r="H339" s="47"/>
      <c r="I339" s="111"/>
      <c r="J339" s="52"/>
      <c r="K339" s="148"/>
      <c r="L339" s="52"/>
      <c r="M339" s="148"/>
      <c r="N339" s="52"/>
      <c r="O339" s="148"/>
      <c r="P339" s="52"/>
      <c r="Q339" s="155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52"/>
      <c r="AD339" s="52"/>
      <c r="AE339" s="47"/>
      <c r="AF339" s="69"/>
      <c r="AG339" s="223"/>
      <c r="AJ339" s="47"/>
      <c r="AK339" s="73"/>
      <c r="AL339" s="47"/>
      <c r="AM339" s="47"/>
      <c r="AN339" s="47"/>
      <c r="AO339" s="47"/>
      <c r="AP339" s="47"/>
      <c r="AQ339" s="47"/>
      <c r="AR339" s="25"/>
    </row>
    <row r="340" spans="1:44" ht="25.2" customHeight="1" x14ac:dyDescent="0.15">
      <c r="A340" s="47"/>
      <c r="B340" s="47"/>
      <c r="C340" s="47"/>
      <c r="D340" s="47"/>
      <c r="E340" s="47"/>
      <c r="F340" s="47"/>
      <c r="G340" s="47"/>
      <c r="H340" s="47"/>
      <c r="I340" s="111"/>
      <c r="J340" s="52"/>
      <c r="K340" s="148"/>
      <c r="L340" s="52"/>
      <c r="M340" s="148"/>
      <c r="N340" s="52"/>
      <c r="O340" s="148"/>
      <c r="P340" s="52"/>
      <c r="Q340" s="155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52"/>
      <c r="AD340" s="52"/>
      <c r="AE340" s="47"/>
      <c r="AF340" s="69"/>
      <c r="AG340" s="223"/>
      <c r="AJ340" s="47"/>
      <c r="AK340" s="73"/>
      <c r="AL340" s="47"/>
      <c r="AM340" s="47"/>
      <c r="AN340" s="47"/>
      <c r="AO340" s="47"/>
      <c r="AP340" s="47"/>
      <c r="AQ340" s="47"/>
      <c r="AR340" s="25"/>
    </row>
    <row r="341" spans="1:44" ht="25.2" customHeight="1" x14ac:dyDescent="0.15">
      <c r="A341" s="47"/>
      <c r="B341" s="47"/>
      <c r="C341" s="47"/>
      <c r="D341" s="47"/>
      <c r="E341" s="47"/>
      <c r="F341" s="47"/>
      <c r="G341" s="47"/>
      <c r="H341" s="47"/>
      <c r="I341" s="111"/>
      <c r="J341" s="52"/>
      <c r="K341" s="148"/>
      <c r="L341" s="52"/>
      <c r="M341" s="148"/>
      <c r="N341" s="52"/>
      <c r="O341" s="148"/>
      <c r="P341" s="52"/>
      <c r="Q341" s="155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52"/>
      <c r="AD341" s="52"/>
      <c r="AE341" s="47"/>
      <c r="AF341" s="69"/>
      <c r="AG341" s="223"/>
      <c r="AJ341" s="47"/>
      <c r="AK341" s="73"/>
      <c r="AL341" s="47"/>
      <c r="AM341" s="47"/>
      <c r="AN341" s="47"/>
      <c r="AO341" s="47"/>
      <c r="AP341" s="47"/>
      <c r="AQ341" s="47"/>
      <c r="AR341" s="25"/>
    </row>
    <row r="342" spans="1:44" ht="25.2" customHeight="1" x14ac:dyDescent="0.15">
      <c r="A342" s="47"/>
      <c r="B342" s="47"/>
      <c r="C342" s="47"/>
      <c r="D342" s="47"/>
      <c r="E342" s="47"/>
      <c r="F342" s="47"/>
      <c r="G342" s="47"/>
      <c r="H342" s="47"/>
      <c r="I342" s="111"/>
      <c r="J342" s="52"/>
      <c r="K342" s="148"/>
      <c r="L342" s="52"/>
      <c r="M342" s="148"/>
      <c r="N342" s="52"/>
      <c r="O342" s="148"/>
      <c r="P342" s="52"/>
      <c r="Q342" s="155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52"/>
      <c r="AD342" s="52"/>
      <c r="AE342" s="47"/>
      <c r="AF342" s="69"/>
      <c r="AG342" s="223"/>
      <c r="AJ342" s="47"/>
      <c r="AK342" s="73"/>
      <c r="AL342" s="47"/>
      <c r="AM342" s="47"/>
      <c r="AN342" s="47"/>
      <c r="AO342" s="47"/>
      <c r="AP342" s="47"/>
      <c r="AQ342" s="47"/>
      <c r="AR342" s="25"/>
    </row>
    <row r="343" spans="1:44" ht="25.2" customHeight="1" x14ac:dyDescent="0.15">
      <c r="A343" s="47"/>
      <c r="B343" s="47"/>
      <c r="C343" s="47"/>
      <c r="D343" s="47"/>
      <c r="E343" s="47"/>
      <c r="F343" s="47"/>
      <c r="G343" s="47"/>
      <c r="H343" s="47"/>
      <c r="I343" s="111"/>
      <c r="J343" s="52"/>
      <c r="K343" s="148"/>
      <c r="L343" s="52"/>
      <c r="M343" s="148"/>
      <c r="N343" s="52"/>
      <c r="O343" s="148"/>
      <c r="P343" s="52"/>
      <c r="Q343" s="155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52"/>
      <c r="AD343" s="52"/>
      <c r="AE343" s="47"/>
      <c r="AF343" s="69"/>
      <c r="AG343" s="223"/>
      <c r="AJ343" s="47"/>
      <c r="AK343" s="73"/>
      <c r="AL343" s="47"/>
      <c r="AM343" s="47"/>
      <c r="AN343" s="47"/>
      <c r="AO343" s="47"/>
      <c r="AP343" s="47"/>
      <c r="AQ343" s="47"/>
      <c r="AR343" s="25"/>
    </row>
    <row r="344" spans="1:44" ht="25.2" customHeight="1" x14ac:dyDescent="0.15">
      <c r="A344" s="47"/>
      <c r="B344" s="47"/>
      <c r="C344" s="47"/>
      <c r="D344" s="47"/>
      <c r="E344" s="47"/>
      <c r="F344" s="47"/>
      <c r="G344" s="47"/>
      <c r="H344" s="47"/>
      <c r="I344" s="111"/>
      <c r="J344" s="52"/>
      <c r="K344" s="148"/>
      <c r="L344" s="52"/>
      <c r="M344" s="148"/>
      <c r="N344" s="52"/>
      <c r="O344" s="148"/>
      <c r="P344" s="52"/>
      <c r="Q344" s="155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52"/>
      <c r="AD344" s="52"/>
      <c r="AE344" s="47"/>
      <c r="AF344" s="69"/>
      <c r="AG344" s="223"/>
      <c r="AJ344" s="47"/>
      <c r="AK344" s="73"/>
      <c r="AL344" s="47"/>
      <c r="AM344" s="47"/>
      <c r="AN344" s="47"/>
      <c r="AO344" s="47"/>
      <c r="AP344" s="47"/>
      <c r="AQ344" s="47"/>
      <c r="AR344" s="25"/>
    </row>
    <row r="345" spans="1:44" ht="25.2" customHeight="1" x14ac:dyDescent="0.15">
      <c r="A345" s="47"/>
      <c r="B345" s="47"/>
      <c r="C345" s="47"/>
      <c r="D345" s="47"/>
      <c r="E345" s="47"/>
      <c r="F345" s="47"/>
      <c r="G345" s="47"/>
      <c r="H345" s="47"/>
      <c r="I345" s="111"/>
      <c r="J345" s="52"/>
      <c r="K345" s="148"/>
      <c r="L345" s="52"/>
      <c r="M345" s="148"/>
      <c r="N345" s="52"/>
      <c r="O345" s="148"/>
      <c r="P345" s="52"/>
      <c r="Q345" s="155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52"/>
      <c r="AD345" s="52"/>
      <c r="AE345" s="47"/>
      <c r="AF345" s="69"/>
      <c r="AG345" s="223"/>
      <c r="AJ345" s="47"/>
      <c r="AK345" s="73"/>
      <c r="AL345" s="47"/>
      <c r="AM345" s="47"/>
      <c r="AN345" s="47"/>
      <c r="AO345" s="47"/>
      <c r="AP345" s="47"/>
      <c r="AQ345" s="47"/>
      <c r="AR345" s="25"/>
    </row>
    <row r="346" spans="1:44" ht="25.2" customHeight="1" x14ac:dyDescent="0.15">
      <c r="A346" s="47"/>
      <c r="B346" s="47"/>
      <c r="C346" s="47"/>
      <c r="D346" s="47"/>
      <c r="E346" s="47"/>
      <c r="F346" s="47"/>
      <c r="G346" s="47"/>
      <c r="H346" s="47"/>
      <c r="I346" s="111"/>
      <c r="J346" s="52"/>
      <c r="K346" s="148"/>
      <c r="L346" s="52"/>
      <c r="M346" s="148"/>
      <c r="N346" s="52"/>
      <c r="O346" s="148"/>
      <c r="P346" s="52"/>
      <c r="Q346" s="155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52"/>
      <c r="AD346" s="52"/>
      <c r="AE346" s="47"/>
      <c r="AF346" s="69"/>
      <c r="AG346" s="223"/>
      <c r="AJ346" s="47"/>
      <c r="AK346" s="73"/>
      <c r="AL346" s="47"/>
      <c r="AM346" s="47"/>
      <c r="AN346" s="47"/>
      <c r="AO346" s="47"/>
      <c r="AP346" s="47"/>
      <c r="AQ346" s="47"/>
      <c r="AR346" s="25"/>
    </row>
    <row r="347" spans="1:44" ht="25.2" customHeight="1" x14ac:dyDescent="0.15">
      <c r="A347" s="47"/>
      <c r="B347" s="47"/>
      <c r="C347" s="47"/>
      <c r="D347" s="47"/>
      <c r="E347" s="47"/>
      <c r="F347" s="47"/>
      <c r="G347" s="47"/>
      <c r="H347" s="47"/>
      <c r="I347" s="111"/>
      <c r="J347" s="52"/>
      <c r="K347" s="148"/>
      <c r="L347" s="52"/>
      <c r="M347" s="148"/>
      <c r="N347" s="52"/>
      <c r="O347" s="148"/>
      <c r="P347" s="52"/>
      <c r="Q347" s="155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52"/>
      <c r="AD347" s="52"/>
      <c r="AE347" s="47"/>
      <c r="AF347" s="69"/>
      <c r="AG347" s="223"/>
      <c r="AJ347" s="47"/>
      <c r="AK347" s="73"/>
      <c r="AL347" s="47"/>
      <c r="AM347" s="47"/>
      <c r="AN347" s="47"/>
      <c r="AO347" s="47"/>
      <c r="AP347" s="47"/>
      <c r="AQ347" s="47"/>
      <c r="AR347" s="25"/>
    </row>
    <row r="348" spans="1:44" ht="25.2" customHeight="1" x14ac:dyDescent="0.15">
      <c r="A348" s="47"/>
      <c r="B348" s="47"/>
      <c r="C348" s="47"/>
      <c r="D348" s="47"/>
      <c r="E348" s="47"/>
      <c r="F348" s="47"/>
      <c r="G348" s="47"/>
      <c r="H348" s="47"/>
      <c r="I348" s="111"/>
      <c r="J348" s="52"/>
      <c r="K348" s="148"/>
      <c r="L348" s="52"/>
      <c r="M348" s="148"/>
      <c r="N348" s="52"/>
      <c r="O348" s="148"/>
      <c r="P348" s="52"/>
      <c r="Q348" s="155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52"/>
      <c r="AD348" s="52"/>
      <c r="AE348" s="47"/>
      <c r="AF348" s="69"/>
      <c r="AG348" s="223"/>
      <c r="AJ348" s="47"/>
      <c r="AK348" s="73"/>
      <c r="AL348" s="47"/>
      <c r="AM348" s="47"/>
      <c r="AN348" s="47"/>
      <c r="AO348" s="47"/>
      <c r="AP348" s="47"/>
      <c r="AQ348" s="47"/>
      <c r="AR348" s="25"/>
    </row>
    <row r="349" spans="1:44" ht="25.2" customHeight="1" x14ac:dyDescent="0.15">
      <c r="A349" s="47"/>
      <c r="B349" s="47"/>
      <c r="C349" s="47"/>
      <c r="D349" s="47"/>
      <c r="E349" s="47"/>
      <c r="F349" s="47"/>
      <c r="G349" s="47"/>
      <c r="H349" s="47"/>
      <c r="I349" s="111"/>
      <c r="J349" s="52"/>
      <c r="K349" s="148"/>
      <c r="L349" s="52"/>
      <c r="M349" s="148"/>
      <c r="N349" s="52"/>
      <c r="O349" s="148"/>
      <c r="P349" s="52"/>
      <c r="Q349" s="155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52"/>
      <c r="AD349" s="52"/>
      <c r="AE349" s="47"/>
      <c r="AF349" s="69"/>
      <c r="AG349" s="223"/>
      <c r="AJ349" s="47"/>
      <c r="AK349" s="73"/>
      <c r="AL349" s="47"/>
      <c r="AM349" s="47"/>
      <c r="AN349" s="47"/>
      <c r="AO349" s="47"/>
      <c r="AP349" s="47"/>
      <c r="AQ349" s="47"/>
      <c r="AR349" s="25"/>
    </row>
    <row r="350" spans="1:44" ht="25.2" customHeight="1" x14ac:dyDescent="0.15">
      <c r="A350" s="47"/>
      <c r="B350" s="47"/>
      <c r="C350" s="47"/>
      <c r="D350" s="47"/>
      <c r="E350" s="47"/>
      <c r="F350" s="47"/>
      <c r="G350" s="47"/>
      <c r="H350" s="47"/>
      <c r="I350" s="111"/>
      <c r="J350" s="52"/>
      <c r="K350" s="148"/>
      <c r="L350" s="52"/>
      <c r="M350" s="148"/>
      <c r="N350" s="52"/>
      <c r="O350" s="148"/>
      <c r="P350" s="52"/>
      <c r="Q350" s="155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52"/>
      <c r="AD350" s="52"/>
      <c r="AE350" s="47"/>
      <c r="AF350" s="69"/>
      <c r="AG350" s="223"/>
      <c r="AJ350" s="47"/>
      <c r="AK350" s="73"/>
      <c r="AL350" s="47"/>
      <c r="AM350" s="47"/>
      <c r="AN350" s="47"/>
      <c r="AO350" s="47"/>
      <c r="AP350" s="47"/>
      <c r="AQ350" s="47"/>
      <c r="AR350" s="25"/>
    </row>
    <row r="351" spans="1:44" ht="25.2" customHeight="1" x14ac:dyDescent="0.15">
      <c r="A351" s="47"/>
      <c r="B351" s="47"/>
      <c r="C351" s="47"/>
      <c r="D351" s="47"/>
      <c r="E351" s="47"/>
      <c r="F351" s="47"/>
      <c r="G351" s="47"/>
      <c r="H351" s="47"/>
      <c r="I351" s="111"/>
      <c r="J351" s="52"/>
      <c r="K351" s="148"/>
      <c r="L351" s="52"/>
      <c r="M351" s="148"/>
      <c r="N351" s="52"/>
      <c r="O351" s="148"/>
      <c r="P351" s="52"/>
      <c r="Q351" s="155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52"/>
      <c r="AD351" s="52"/>
      <c r="AE351" s="47"/>
      <c r="AF351" s="69"/>
      <c r="AG351" s="223"/>
      <c r="AJ351" s="47"/>
      <c r="AK351" s="73"/>
      <c r="AL351" s="47"/>
      <c r="AM351" s="47"/>
      <c r="AN351" s="47"/>
      <c r="AO351" s="47"/>
      <c r="AP351" s="47"/>
      <c r="AQ351" s="47"/>
      <c r="AR351" s="25"/>
    </row>
    <row r="352" spans="1:44" ht="25.2" customHeight="1" x14ac:dyDescent="0.15">
      <c r="A352" s="47"/>
      <c r="B352" s="47"/>
      <c r="C352" s="47"/>
      <c r="D352" s="47"/>
      <c r="E352" s="47"/>
      <c r="F352" s="47"/>
      <c r="G352" s="47"/>
      <c r="H352" s="47"/>
      <c r="I352" s="111"/>
      <c r="J352" s="52"/>
      <c r="K352" s="148"/>
      <c r="L352" s="52"/>
      <c r="M352" s="148"/>
      <c r="N352" s="52"/>
      <c r="O352" s="148"/>
      <c r="P352" s="52"/>
      <c r="Q352" s="155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52"/>
      <c r="AD352" s="52"/>
      <c r="AE352" s="47"/>
      <c r="AF352" s="69"/>
      <c r="AG352" s="223"/>
      <c r="AJ352" s="47"/>
      <c r="AK352" s="73"/>
      <c r="AL352" s="47"/>
      <c r="AM352" s="47"/>
      <c r="AN352" s="47"/>
      <c r="AO352" s="47"/>
      <c r="AP352" s="47"/>
      <c r="AQ352" s="47"/>
      <c r="AR352" s="25"/>
    </row>
    <row r="353" spans="1:44" ht="25.2" customHeight="1" x14ac:dyDescent="0.15">
      <c r="A353" s="47"/>
      <c r="B353" s="47"/>
      <c r="C353" s="47"/>
      <c r="D353" s="47"/>
      <c r="E353" s="47"/>
      <c r="F353" s="47"/>
      <c r="G353" s="47"/>
      <c r="H353" s="47"/>
      <c r="I353" s="111"/>
      <c r="J353" s="52"/>
      <c r="K353" s="148"/>
      <c r="L353" s="52"/>
      <c r="M353" s="148"/>
      <c r="N353" s="52"/>
      <c r="O353" s="148"/>
      <c r="P353" s="52"/>
      <c r="Q353" s="155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52"/>
      <c r="AD353" s="52"/>
      <c r="AE353" s="47"/>
      <c r="AF353" s="69"/>
      <c r="AG353" s="223"/>
      <c r="AJ353" s="47"/>
      <c r="AK353" s="73"/>
      <c r="AL353" s="47"/>
      <c r="AM353" s="47"/>
      <c r="AN353" s="47"/>
      <c r="AO353" s="47"/>
      <c r="AP353" s="47"/>
      <c r="AQ353" s="47"/>
      <c r="AR353" s="25"/>
    </row>
    <row r="354" spans="1:44" ht="25.2" customHeight="1" x14ac:dyDescent="0.15">
      <c r="A354" s="47"/>
      <c r="B354" s="47"/>
      <c r="C354" s="47"/>
      <c r="D354" s="47"/>
      <c r="E354" s="47"/>
      <c r="F354" s="47"/>
      <c r="G354" s="47"/>
      <c r="H354" s="47"/>
      <c r="I354" s="111"/>
      <c r="J354" s="52"/>
      <c r="K354" s="148"/>
      <c r="L354" s="52"/>
      <c r="M354" s="148"/>
      <c r="N354" s="52"/>
      <c r="O354" s="148"/>
      <c r="P354" s="52"/>
      <c r="Q354" s="155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52"/>
      <c r="AD354" s="52"/>
      <c r="AE354" s="47"/>
      <c r="AF354" s="69"/>
      <c r="AG354" s="223"/>
      <c r="AJ354" s="47"/>
      <c r="AK354" s="73"/>
      <c r="AL354" s="47"/>
      <c r="AM354" s="47"/>
      <c r="AN354" s="47"/>
      <c r="AO354" s="47"/>
      <c r="AP354" s="47"/>
      <c r="AQ354" s="47"/>
      <c r="AR354" s="25"/>
    </row>
    <row r="355" spans="1:44" ht="25.2" customHeight="1" x14ac:dyDescent="0.15">
      <c r="A355" s="47"/>
      <c r="B355" s="47"/>
      <c r="C355" s="47"/>
      <c r="D355" s="47"/>
      <c r="E355" s="47"/>
      <c r="F355" s="47"/>
      <c r="G355" s="47"/>
      <c r="H355" s="47"/>
      <c r="I355" s="111"/>
      <c r="J355" s="52"/>
      <c r="K355" s="148"/>
      <c r="L355" s="52"/>
      <c r="M355" s="148"/>
      <c r="N355" s="52"/>
      <c r="O355" s="148"/>
      <c r="P355" s="52"/>
      <c r="Q355" s="155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52"/>
      <c r="AD355" s="52"/>
      <c r="AE355" s="47"/>
      <c r="AF355" s="69"/>
      <c r="AG355" s="223"/>
      <c r="AJ355" s="47"/>
      <c r="AK355" s="73"/>
      <c r="AL355" s="47"/>
      <c r="AM355" s="47"/>
      <c r="AN355" s="47"/>
      <c r="AO355" s="47"/>
      <c r="AP355" s="47"/>
      <c r="AQ355" s="47"/>
      <c r="AR355" s="25"/>
    </row>
    <row r="356" spans="1:44" ht="25.2" customHeight="1" x14ac:dyDescent="0.15">
      <c r="A356" s="47"/>
      <c r="B356" s="47"/>
      <c r="C356" s="47"/>
      <c r="D356" s="47"/>
      <c r="E356" s="47"/>
      <c r="F356" s="47"/>
      <c r="G356" s="47"/>
      <c r="H356" s="47"/>
      <c r="I356" s="111"/>
      <c r="J356" s="52"/>
      <c r="K356" s="148"/>
      <c r="L356" s="52"/>
      <c r="M356" s="148"/>
      <c r="N356" s="52"/>
      <c r="O356" s="148"/>
      <c r="P356" s="52"/>
      <c r="Q356" s="155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52"/>
      <c r="AD356" s="52"/>
      <c r="AE356" s="47"/>
      <c r="AF356" s="69"/>
      <c r="AG356" s="223"/>
      <c r="AJ356" s="47"/>
      <c r="AK356" s="73"/>
      <c r="AL356" s="47"/>
      <c r="AM356" s="47"/>
      <c r="AN356" s="47"/>
      <c r="AO356" s="47"/>
      <c r="AP356" s="47"/>
      <c r="AQ356" s="47"/>
      <c r="AR356" s="25"/>
    </row>
    <row r="357" spans="1:44" ht="25.2" customHeight="1" x14ac:dyDescent="0.15">
      <c r="A357" s="47"/>
      <c r="B357" s="47"/>
      <c r="C357" s="47"/>
      <c r="D357" s="47"/>
      <c r="E357" s="47"/>
      <c r="F357" s="47"/>
      <c r="G357" s="47"/>
      <c r="H357" s="47"/>
      <c r="I357" s="111"/>
      <c r="J357" s="52"/>
      <c r="K357" s="148"/>
      <c r="L357" s="52"/>
      <c r="M357" s="148"/>
      <c r="N357" s="52"/>
      <c r="O357" s="148"/>
      <c r="P357" s="52"/>
      <c r="Q357" s="155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52"/>
      <c r="AD357" s="52"/>
      <c r="AE357" s="47"/>
      <c r="AF357" s="69"/>
      <c r="AG357" s="223"/>
      <c r="AJ357" s="47"/>
      <c r="AK357" s="73"/>
      <c r="AL357" s="47"/>
      <c r="AM357" s="47"/>
      <c r="AN357" s="47"/>
      <c r="AO357" s="47"/>
      <c r="AP357" s="47"/>
      <c r="AQ357" s="47"/>
      <c r="AR357" s="25"/>
    </row>
    <row r="358" spans="1:44" ht="25.2" customHeight="1" x14ac:dyDescent="0.15">
      <c r="A358" s="47"/>
      <c r="B358" s="47"/>
      <c r="C358" s="47"/>
      <c r="D358" s="47"/>
      <c r="E358" s="47"/>
      <c r="F358" s="47"/>
      <c r="G358" s="47"/>
      <c r="H358" s="47"/>
      <c r="I358" s="111"/>
      <c r="J358" s="52"/>
      <c r="K358" s="148"/>
      <c r="L358" s="52"/>
      <c r="M358" s="148"/>
      <c r="N358" s="52"/>
      <c r="O358" s="148"/>
      <c r="P358" s="52"/>
      <c r="Q358" s="155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52"/>
      <c r="AD358" s="52"/>
      <c r="AE358" s="47"/>
      <c r="AF358" s="69"/>
      <c r="AG358" s="223"/>
      <c r="AJ358" s="47"/>
      <c r="AK358" s="73"/>
      <c r="AL358" s="47"/>
      <c r="AM358" s="47"/>
      <c r="AN358" s="47"/>
      <c r="AO358" s="47"/>
      <c r="AP358" s="47"/>
      <c r="AQ358" s="47"/>
      <c r="AR358" s="25"/>
    </row>
    <row r="359" spans="1:44" ht="25.2" customHeight="1" x14ac:dyDescent="0.15">
      <c r="A359" s="47"/>
      <c r="B359" s="47"/>
      <c r="C359" s="47"/>
      <c r="D359" s="47"/>
      <c r="E359" s="47"/>
      <c r="F359" s="47"/>
      <c r="G359" s="47"/>
      <c r="H359" s="47"/>
      <c r="I359" s="111"/>
      <c r="J359" s="52"/>
      <c r="K359" s="148"/>
      <c r="L359" s="52"/>
      <c r="M359" s="148"/>
      <c r="N359" s="52"/>
      <c r="O359" s="148"/>
      <c r="P359" s="52"/>
      <c r="Q359" s="155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52"/>
      <c r="AD359" s="52"/>
      <c r="AE359" s="47"/>
      <c r="AF359" s="69"/>
      <c r="AG359" s="223"/>
      <c r="AJ359" s="47"/>
      <c r="AK359" s="73"/>
      <c r="AL359" s="47"/>
      <c r="AM359" s="47"/>
      <c r="AN359" s="47"/>
      <c r="AO359" s="47"/>
      <c r="AP359" s="47"/>
      <c r="AQ359" s="47"/>
      <c r="AR359" s="25"/>
    </row>
    <row r="360" spans="1:44" ht="25.2" customHeight="1" x14ac:dyDescent="0.15">
      <c r="A360" s="47"/>
      <c r="B360" s="47"/>
      <c r="C360" s="47"/>
      <c r="D360" s="47"/>
      <c r="E360" s="47"/>
      <c r="F360" s="47"/>
      <c r="G360" s="47"/>
      <c r="H360" s="47"/>
      <c r="I360" s="111"/>
      <c r="J360" s="52"/>
      <c r="K360" s="148"/>
      <c r="L360" s="52"/>
      <c r="M360" s="148"/>
      <c r="N360" s="52"/>
      <c r="O360" s="148"/>
      <c r="P360" s="52"/>
      <c r="Q360" s="155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52"/>
      <c r="AD360" s="52"/>
      <c r="AE360" s="47"/>
      <c r="AF360" s="69"/>
      <c r="AG360" s="223"/>
      <c r="AJ360" s="47"/>
      <c r="AK360" s="73"/>
      <c r="AL360" s="47"/>
      <c r="AM360" s="47"/>
      <c r="AN360" s="47"/>
      <c r="AO360" s="47"/>
      <c r="AP360" s="47"/>
      <c r="AQ360" s="47"/>
      <c r="AR360" s="25"/>
    </row>
    <row r="361" spans="1:44" ht="25.2" customHeight="1" x14ac:dyDescent="0.15">
      <c r="A361" s="47"/>
      <c r="B361" s="47"/>
      <c r="C361" s="47"/>
      <c r="D361" s="47"/>
      <c r="E361" s="47"/>
      <c r="F361" s="47"/>
      <c r="G361" s="47"/>
      <c r="H361" s="47"/>
      <c r="I361" s="111"/>
      <c r="J361" s="52"/>
      <c r="K361" s="148"/>
      <c r="L361" s="52"/>
      <c r="M361" s="148"/>
      <c r="N361" s="52"/>
      <c r="O361" s="148"/>
      <c r="P361" s="52"/>
      <c r="Q361" s="155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52"/>
      <c r="AD361" s="52"/>
      <c r="AE361" s="47"/>
      <c r="AF361" s="69"/>
      <c r="AG361" s="223"/>
      <c r="AJ361" s="47"/>
      <c r="AK361" s="73"/>
      <c r="AL361" s="47"/>
      <c r="AM361" s="47"/>
      <c r="AN361" s="47"/>
      <c r="AO361" s="47"/>
      <c r="AP361" s="47"/>
      <c r="AQ361" s="47"/>
      <c r="AR361" s="25"/>
    </row>
    <row r="362" spans="1:44" ht="25.2" customHeight="1" x14ac:dyDescent="0.15">
      <c r="A362" s="47"/>
      <c r="B362" s="47"/>
      <c r="C362" s="47"/>
      <c r="D362" s="47"/>
      <c r="E362" s="47"/>
      <c r="F362" s="47"/>
      <c r="G362" s="47"/>
      <c r="H362" s="47"/>
      <c r="I362" s="111"/>
      <c r="J362" s="52"/>
      <c r="K362" s="148"/>
      <c r="L362" s="52"/>
      <c r="M362" s="148"/>
      <c r="N362" s="52"/>
      <c r="O362" s="148"/>
      <c r="P362" s="52"/>
      <c r="Q362" s="155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52"/>
      <c r="AD362" s="52"/>
      <c r="AE362" s="47"/>
      <c r="AF362" s="69"/>
      <c r="AG362" s="223"/>
      <c r="AJ362" s="47"/>
      <c r="AK362" s="73"/>
      <c r="AL362" s="47"/>
      <c r="AM362" s="47"/>
      <c r="AN362" s="47"/>
      <c r="AO362" s="47"/>
      <c r="AP362" s="47"/>
      <c r="AQ362" s="47"/>
      <c r="AR362" s="25"/>
    </row>
    <row r="363" spans="1:44" ht="25.2" customHeight="1" x14ac:dyDescent="0.15">
      <c r="A363" s="47"/>
      <c r="B363" s="47"/>
      <c r="C363" s="47"/>
      <c r="D363" s="47"/>
      <c r="E363" s="47"/>
      <c r="F363" s="47"/>
      <c r="G363" s="47"/>
      <c r="H363" s="47"/>
      <c r="I363" s="111"/>
      <c r="J363" s="52"/>
      <c r="K363" s="148"/>
      <c r="L363" s="52"/>
      <c r="M363" s="148"/>
      <c r="N363" s="52"/>
      <c r="O363" s="148"/>
      <c r="P363" s="52"/>
      <c r="Q363" s="155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52"/>
      <c r="AD363" s="52"/>
      <c r="AE363" s="47"/>
      <c r="AF363" s="69"/>
      <c r="AG363" s="223"/>
      <c r="AJ363" s="47"/>
      <c r="AK363" s="73"/>
      <c r="AL363" s="47"/>
      <c r="AM363" s="47"/>
      <c r="AN363" s="47"/>
      <c r="AO363" s="47"/>
      <c r="AP363" s="47"/>
      <c r="AQ363" s="47"/>
      <c r="AR363" s="25"/>
    </row>
    <row r="364" spans="1:44" ht="25.2" customHeight="1" x14ac:dyDescent="0.15">
      <c r="A364" s="47"/>
      <c r="B364" s="47"/>
      <c r="C364" s="47"/>
      <c r="D364" s="47"/>
      <c r="E364" s="47"/>
      <c r="F364" s="47"/>
      <c r="G364" s="47"/>
      <c r="H364" s="47"/>
      <c r="I364" s="111"/>
      <c r="J364" s="52"/>
      <c r="K364" s="148"/>
      <c r="L364" s="52"/>
      <c r="M364" s="148"/>
      <c r="N364" s="52"/>
      <c r="O364" s="148"/>
      <c r="P364" s="52"/>
      <c r="Q364" s="155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52"/>
      <c r="AD364" s="52"/>
      <c r="AE364" s="47"/>
      <c r="AF364" s="69"/>
      <c r="AG364" s="223"/>
      <c r="AJ364" s="47"/>
      <c r="AK364" s="73"/>
      <c r="AL364" s="47"/>
      <c r="AM364" s="47"/>
      <c r="AN364" s="47"/>
      <c r="AO364" s="47"/>
      <c r="AP364" s="47"/>
      <c r="AQ364" s="47"/>
      <c r="AR364" s="25"/>
    </row>
    <row r="365" spans="1:44" ht="25.2" customHeight="1" x14ac:dyDescent="0.15">
      <c r="A365" s="47"/>
      <c r="B365" s="47"/>
      <c r="C365" s="47"/>
      <c r="D365" s="47"/>
      <c r="E365" s="47"/>
      <c r="F365" s="47"/>
      <c r="G365" s="47"/>
      <c r="H365" s="47"/>
      <c r="I365" s="111"/>
      <c r="J365" s="52"/>
      <c r="K365" s="148"/>
      <c r="L365" s="52"/>
      <c r="M365" s="148"/>
      <c r="N365" s="52"/>
      <c r="O365" s="148"/>
      <c r="P365" s="52"/>
      <c r="Q365" s="155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52"/>
      <c r="AD365" s="52"/>
      <c r="AE365" s="47"/>
      <c r="AF365" s="69"/>
      <c r="AG365" s="223"/>
      <c r="AJ365" s="47"/>
      <c r="AK365" s="73"/>
      <c r="AL365" s="47"/>
      <c r="AM365" s="47"/>
      <c r="AN365" s="47"/>
      <c r="AO365" s="47"/>
      <c r="AP365" s="47"/>
      <c r="AQ365" s="47"/>
      <c r="AR365" s="25"/>
    </row>
    <row r="366" spans="1:44" ht="25.2" customHeight="1" x14ac:dyDescent="0.15">
      <c r="A366" s="47"/>
      <c r="B366" s="47"/>
      <c r="C366" s="47"/>
      <c r="D366" s="47"/>
      <c r="E366" s="47"/>
      <c r="F366" s="47"/>
      <c r="G366" s="47"/>
      <c r="H366" s="47"/>
      <c r="I366" s="111"/>
      <c r="J366" s="52"/>
      <c r="K366" s="148"/>
      <c r="L366" s="52"/>
      <c r="M366" s="148"/>
      <c r="N366" s="52"/>
      <c r="O366" s="148"/>
      <c r="P366" s="52"/>
      <c r="Q366" s="155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52"/>
      <c r="AD366" s="52"/>
      <c r="AE366" s="47"/>
      <c r="AF366" s="69"/>
      <c r="AG366" s="223"/>
      <c r="AJ366" s="47"/>
      <c r="AK366" s="73"/>
      <c r="AL366" s="47"/>
      <c r="AM366" s="47"/>
      <c r="AN366" s="47"/>
      <c r="AO366" s="47"/>
      <c r="AP366" s="47"/>
      <c r="AQ366" s="47"/>
      <c r="AR366" s="25"/>
    </row>
    <row r="367" spans="1:44" ht="25.2" customHeight="1" x14ac:dyDescent="0.15">
      <c r="A367" s="47"/>
      <c r="B367" s="47"/>
      <c r="C367" s="47"/>
      <c r="D367" s="47"/>
      <c r="E367" s="47"/>
      <c r="F367" s="47"/>
      <c r="G367" s="47"/>
      <c r="H367" s="47"/>
      <c r="I367" s="111"/>
      <c r="J367" s="52"/>
      <c r="K367" s="148"/>
      <c r="L367" s="52"/>
      <c r="M367" s="148"/>
      <c r="N367" s="52"/>
      <c r="O367" s="148"/>
      <c r="P367" s="52"/>
      <c r="Q367" s="155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52"/>
      <c r="AD367" s="52"/>
      <c r="AE367" s="47"/>
      <c r="AF367" s="69"/>
      <c r="AG367" s="223"/>
      <c r="AJ367" s="47"/>
      <c r="AK367" s="73"/>
      <c r="AL367" s="47"/>
      <c r="AM367" s="47"/>
      <c r="AN367" s="47"/>
      <c r="AO367" s="47"/>
      <c r="AP367" s="47"/>
      <c r="AQ367" s="47"/>
      <c r="AR367" s="25"/>
    </row>
    <row r="368" spans="1:44" ht="25.2" customHeight="1" x14ac:dyDescent="0.15">
      <c r="A368" s="47"/>
      <c r="B368" s="47"/>
      <c r="C368" s="47"/>
      <c r="D368" s="47"/>
      <c r="E368" s="47"/>
      <c r="F368" s="47"/>
      <c r="G368" s="47"/>
      <c r="H368" s="47"/>
      <c r="I368" s="111"/>
      <c r="J368" s="52"/>
      <c r="K368" s="148"/>
      <c r="L368" s="52"/>
      <c r="M368" s="148"/>
      <c r="N368" s="52"/>
      <c r="O368" s="148"/>
      <c r="P368" s="52"/>
      <c r="Q368" s="155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52"/>
      <c r="AD368" s="52"/>
      <c r="AE368" s="47"/>
      <c r="AF368" s="69"/>
      <c r="AG368" s="223"/>
      <c r="AJ368" s="47"/>
      <c r="AK368" s="73"/>
      <c r="AL368" s="47"/>
      <c r="AM368" s="47"/>
      <c r="AN368" s="47"/>
      <c r="AO368" s="47"/>
      <c r="AP368" s="47"/>
      <c r="AQ368" s="47"/>
      <c r="AR368" s="25"/>
    </row>
    <row r="369" spans="1:44" ht="25.2" customHeight="1" x14ac:dyDescent="0.15">
      <c r="A369" s="47"/>
      <c r="B369" s="47"/>
      <c r="C369" s="47"/>
      <c r="D369" s="47"/>
      <c r="E369" s="47"/>
      <c r="F369" s="47"/>
      <c r="G369" s="47"/>
      <c r="H369" s="47"/>
      <c r="I369" s="111"/>
      <c r="J369" s="52"/>
      <c r="K369" s="148"/>
      <c r="L369" s="52"/>
      <c r="M369" s="148"/>
      <c r="N369" s="52"/>
      <c r="O369" s="148"/>
      <c r="P369" s="52"/>
      <c r="Q369" s="155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52"/>
      <c r="AD369" s="52"/>
      <c r="AE369" s="47"/>
      <c r="AF369" s="69"/>
      <c r="AG369" s="223"/>
      <c r="AJ369" s="47"/>
      <c r="AK369" s="73"/>
      <c r="AL369" s="47"/>
      <c r="AM369" s="47"/>
      <c r="AN369" s="47"/>
      <c r="AO369" s="47"/>
      <c r="AP369" s="47"/>
      <c r="AQ369" s="47"/>
      <c r="AR369" s="25"/>
    </row>
    <row r="370" spans="1:44" ht="25.2" customHeight="1" x14ac:dyDescent="0.15">
      <c r="A370" s="47"/>
      <c r="B370" s="47"/>
      <c r="C370" s="47"/>
      <c r="D370" s="47"/>
      <c r="E370" s="47"/>
      <c r="F370" s="47"/>
      <c r="G370" s="47"/>
      <c r="H370" s="47"/>
      <c r="I370" s="111"/>
      <c r="J370" s="52"/>
      <c r="K370" s="148"/>
      <c r="L370" s="52"/>
      <c r="M370" s="148"/>
      <c r="N370" s="52"/>
      <c r="O370" s="148"/>
      <c r="P370" s="52"/>
      <c r="Q370" s="155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52"/>
      <c r="AD370" s="52"/>
      <c r="AE370" s="47"/>
      <c r="AF370" s="69"/>
      <c r="AG370" s="223"/>
      <c r="AJ370" s="47"/>
      <c r="AK370" s="73"/>
      <c r="AL370" s="47"/>
      <c r="AM370" s="47"/>
      <c r="AN370" s="47"/>
      <c r="AO370" s="47"/>
      <c r="AP370" s="47"/>
      <c r="AQ370" s="47"/>
      <c r="AR370" s="25"/>
    </row>
    <row r="371" spans="1:44" ht="25.2" customHeight="1" x14ac:dyDescent="0.15">
      <c r="A371" s="47"/>
      <c r="B371" s="47"/>
      <c r="C371" s="47"/>
      <c r="D371" s="47"/>
      <c r="E371" s="47"/>
      <c r="F371" s="47"/>
      <c r="G371" s="47"/>
      <c r="H371" s="47"/>
      <c r="I371" s="111"/>
      <c r="J371" s="52"/>
      <c r="K371" s="148"/>
      <c r="L371" s="52"/>
      <c r="M371" s="148"/>
      <c r="N371" s="52"/>
      <c r="O371" s="148"/>
      <c r="P371" s="52"/>
      <c r="Q371" s="155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52"/>
      <c r="AD371" s="52"/>
      <c r="AE371" s="47"/>
      <c r="AF371" s="69"/>
      <c r="AG371" s="223"/>
      <c r="AJ371" s="47"/>
      <c r="AK371" s="73"/>
      <c r="AL371" s="47"/>
      <c r="AM371" s="47"/>
      <c r="AN371" s="47"/>
      <c r="AO371" s="47"/>
      <c r="AP371" s="47"/>
      <c r="AQ371" s="47"/>
      <c r="AR371" s="25"/>
    </row>
    <row r="372" spans="1:44" ht="25.2" customHeight="1" x14ac:dyDescent="0.15">
      <c r="A372" s="47"/>
      <c r="B372" s="47"/>
      <c r="C372" s="47"/>
      <c r="D372" s="47"/>
      <c r="E372" s="47"/>
      <c r="F372" s="47"/>
      <c r="G372" s="47"/>
      <c r="H372" s="47"/>
      <c r="I372" s="111"/>
      <c r="J372" s="52"/>
      <c r="K372" s="148"/>
      <c r="L372" s="52"/>
      <c r="M372" s="148"/>
      <c r="N372" s="52"/>
      <c r="O372" s="148"/>
      <c r="P372" s="52"/>
      <c r="Q372" s="155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52"/>
      <c r="AD372" s="52"/>
      <c r="AE372" s="47"/>
      <c r="AF372" s="69"/>
      <c r="AG372" s="223"/>
      <c r="AJ372" s="47"/>
      <c r="AK372" s="73"/>
      <c r="AL372" s="47"/>
      <c r="AM372" s="47"/>
      <c r="AN372" s="47"/>
      <c r="AO372" s="47"/>
      <c r="AP372" s="47"/>
      <c r="AQ372" s="47"/>
      <c r="AR372" s="25"/>
    </row>
    <row r="373" spans="1:44" ht="25.2" customHeight="1" x14ac:dyDescent="0.15">
      <c r="A373" s="47"/>
      <c r="B373" s="47"/>
      <c r="C373" s="47"/>
      <c r="D373" s="47"/>
      <c r="E373" s="47"/>
      <c r="F373" s="47"/>
      <c r="G373" s="47"/>
      <c r="H373" s="47"/>
      <c r="I373" s="111"/>
      <c r="J373" s="52"/>
      <c r="K373" s="148"/>
      <c r="L373" s="52"/>
      <c r="M373" s="148"/>
      <c r="N373" s="52"/>
      <c r="O373" s="148"/>
      <c r="P373" s="52"/>
      <c r="Q373" s="155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52"/>
      <c r="AD373" s="52"/>
      <c r="AE373" s="47"/>
      <c r="AF373" s="69"/>
      <c r="AG373" s="223"/>
      <c r="AJ373" s="47"/>
      <c r="AK373" s="73"/>
      <c r="AL373" s="47"/>
      <c r="AM373" s="47"/>
      <c r="AN373" s="47"/>
      <c r="AO373" s="47"/>
      <c r="AP373" s="47"/>
      <c r="AQ373" s="47"/>
      <c r="AR373" s="25"/>
    </row>
    <row r="374" spans="1:44" ht="25.2" customHeight="1" x14ac:dyDescent="0.15">
      <c r="A374" s="47"/>
      <c r="B374" s="47"/>
      <c r="C374" s="47"/>
      <c r="D374" s="47"/>
      <c r="E374" s="47"/>
      <c r="F374" s="47"/>
      <c r="G374" s="47"/>
      <c r="H374" s="47"/>
      <c r="I374" s="111"/>
      <c r="J374" s="52"/>
      <c r="K374" s="148"/>
      <c r="L374" s="52"/>
      <c r="M374" s="148"/>
      <c r="N374" s="52"/>
      <c r="O374" s="148"/>
      <c r="P374" s="52"/>
      <c r="Q374" s="155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52"/>
      <c r="AD374" s="52"/>
      <c r="AE374" s="47"/>
      <c r="AF374" s="69"/>
      <c r="AG374" s="223"/>
      <c r="AJ374" s="47"/>
      <c r="AK374" s="73"/>
      <c r="AL374" s="47"/>
      <c r="AM374" s="47"/>
      <c r="AN374" s="47"/>
      <c r="AO374" s="47"/>
      <c r="AP374" s="47"/>
      <c r="AQ374" s="47"/>
      <c r="AR374" s="25"/>
    </row>
    <row r="375" spans="1:44" ht="25.2" customHeight="1" x14ac:dyDescent="0.15">
      <c r="A375" s="47"/>
      <c r="B375" s="47"/>
      <c r="C375" s="47"/>
      <c r="D375" s="47"/>
      <c r="E375" s="47"/>
      <c r="F375" s="47"/>
      <c r="G375" s="47"/>
      <c r="H375" s="47"/>
      <c r="I375" s="111"/>
      <c r="J375" s="52"/>
      <c r="K375" s="148"/>
      <c r="L375" s="52"/>
      <c r="M375" s="148"/>
      <c r="N375" s="52"/>
      <c r="O375" s="148"/>
      <c r="P375" s="52"/>
      <c r="Q375" s="155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52"/>
      <c r="AD375" s="52"/>
      <c r="AE375" s="47"/>
      <c r="AF375" s="69"/>
      <c r="AG375" s="223"/>
      <c r="AJ375" s="47"/>
      <c r="AK375" s="73"/>
      <c r="AL375" s="47"/>
      <c r="AM375" s="47"/>
      <c r="AN375" s="47"/>
      <c r="AO375" s="47"/>
      <c r="AP375" s="47"/>
      <c r="AQ375" s="47"/>
      <c r="AR375" s="25"/>
    </row>
    <row r="376" spans="1:44" ht="25.2" customHeight="1" x14ac:dyDescent="0.15">
      <c r="A376" s="47"/>
      <c r="B376" s="47"/>
      <c r="C376" s="47"/>
      <c r="D376" s="47"/>
      <c r="E376" s="47"/>
      <c r="F376" s="47"/>
      <c r="G376" s="47"/>
      <c r="H376" s="47"/>
      <c r="I376" s="111"/>
      <c r="J376" s="52"/>
      <c r="K376" s="148"/>
      <c r="L376" s="52"/>
      <c r="M376" s="148"/>
      <c r="N376" s="52"/>
      <c r="O376" s="148"/>
      <c r="P376" s="52"/>
      <c r="Q376" s="155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52"/>
      <c r="AD376" s="52"/>
      <c r="AE376" s="47"/>
      <c r="AF376" s="69"/>
      <c r="AG376" s="223"/>
      <c r="AJ376" s="47"/>
      <c r="AK376" s="73"/>
      <c r="AL376" s="47"/>
      <c r="AM376" s="47"/>
      <c r="AN376" s="47"/>
      <c r="AO376" s="47"/>
      <c r="AP376" s="47"/>
      <c r="AQ376" s="47"/>
      <c r="AR376" s="25"/>
    </row>
    <row r="377" spans="1:44" ht="25.2" customHeight="1" x14ac:dyDescent="0.15">
      <c r="A377" s="47"/>
      <c r="B377" s="47"/>
      <c r="C377" s="47"/>
      <c r="D377" s="47"/>
      <c r="E377" s="47"/>
      <c r="F377" s="47"/>
      <c r="G377" s="47"/>
      <c r="H377" s="47"/>
      <c r="I377" s="111"/>
      <c r="J377" s="52"/>
      <c r="K377" s="148"/>
      <c r="L377" s="52"/>
      <c r="M377" s="148"/>
      <c r="N377" s="52"/>
      <c r="O377" s="148"/>
      <c r="P377" s="52"/>
      <c r="Q377" s="155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52"/>
      <c r="AD377" s="52"/>
      <c r="AE377" s="47"/>
      <c r="AF377" s="69"/>
      <c r="AG377" s="223"/>
      <c r="AJ377" s="47"/>
      <c r="AK377" s="73"/>
      <c r="AL377" s="47"/>
      <c r="AM377" s="47"/>
      <c r="AN377" s="47"/>
      <c r="AO377" s="47"/>
      <c r="AP377" s="47"/>
      <c r="AQ377" s="47"/>
      <c r="AR377" s="25"/>
    </row>
    <row r="378" spans="1:44" ht="25.2" customHeight="1" x14ac:dyDescent="0.15">
      <c r="A378" s="47"/>
      <c r="B378" s="47"/>
      <c r="C378" s="47"/>
      <c r="D378" s="47"/>
      <c r="E378" s="47"/>
      <c r="F378" s="47"/>
      <c r="G378" s="47"/>
      <c r="H378" s="47"/>
      <c r="I378" s="111"/>
      <c r="J378" s="52"/>
      <c r="K378" s="148"/>
      <c r="L378" s="52"/>
      <c r="M378" s="148"/>
      <c r="N378" s="52"/>
      <c r="O378" s="148"/>
      <c r="P378" s="52"/>
      <c r="Q378" s="155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52"/>
      <c r="AD378" s="52"/>
      <c r="AE378" s="47"/>
      <c r="AF378" s="69"/>
      <c r="AG378" s="223"/>
      <c r="AJ378" s="47"/>
      <c r="AK378" s="73"/>
      <c r="AL378" s="47"/>
      <c r="AM378" s="47"/>
      <c r="AN378" s="47"/>
      <c r="AO378" s="47"/>
      <c r="AP378" s="47"/>
      <c r="AQ378" s="47"/>
      <c r="AR378" s="25"/>
    </row>
    <row r="379" spans="1:44" ht="25.2" customHeight="1" x14ac:dyDescent="0.15">
      <c r="A379" s="47"/>
      <c r="B379" s="47"/>
      <c r="C379" s="47"/>
      <c r="D379" s="47"/>
      <c r="E379" s="47"/>
      <c r="F379" s="47"/>
      <c r="G379" s="47"/>
      <c r="H379" s="47"/>
      <c r="I379" s="111"/>
      <c r="J379" s="52"/>
      <c r="K379" s="148"/>
      <c r="L379" s="52"/>
      <c r="M379" s="148"/>
      <c r="N379" s="52"/>
      <c r="O379" s="148"/>
      <c r="P379" s="52"/>
      <c r="Q379" s="155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52"/>
      <c r="AD379" s="52"/>
      <c r="AE379" s="47"/>
      <c r="AF379" s="69"/>
      <c r="AG379" s="223"/>
      <c r="AJ379" s="47"/>
      <c r="AK379" s="73"/>
      <c r="AL379" s="47"/>
      <c r="AM379" s="47"/>
      <c r="AN379" s="47"/>
      <c r="AO379" s="47"/>
      <c r="AP379" s="47"/>
      <c r="AQ379" s="47"/>
      <c r="AR379" s="25"/>
    </row>
    <row r="380" spans="1:44" ht="25.2" customHeight="1" x14ac:dyDescent="0.15">
      <c r="A380" s="47"/>
      <c r="B380" s="47"/>
      <c r="C380" s="47"/>
      <c r="D380" s="47"/>
      <c r="E380" s="47"/>
      <c r="F380" s="47"/>
      <c r="G380" s="47"/>
      <c r="H380" s="47"/>
      <c r="I380" s="111"/>
      <c r="J380" s="52"/>
      <c r="K380" s="148"/>
      <c r="L380" s="52"/>
      <c r="M380" s="148"/>
      <c r="N380" s="52"/>
      <c r="O380" s="148"/>
      <c r="P380" s="52"/>
      <c r="Q380" s="155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52"/>
      <c r="AD380" s="52"/>
      <c r="AE380" s="47"/>
      <c r="AF380" s="69"/>
      <c r="AG380" s="223"/>
      <c r="AJ380" s="47"/>
      <c r="AK380" s="73"/>
      <c r="AL380" s="47"/>
      <c r="AM380" s="47"/>
      <c r="AN380" s="47"/>
      <c r="AO380" s="47"/>
      <c r="AP380" s="47"/>
      <c r="AQ380" s="47"/>
      <c r="AR380" s="25"/>
    </row>
    <row r="381" spans="1:44" ht="25.2" customHeight="1" x14ac:dyDescent="0.15">
      <c r="A381" s="47"/>
      <c r="B381" s="47"/>
      <c r="C381" s="47"/>
      <c r="D381" s="47"/>
      <c r="E381" s="47"/>
      <c r="F381" s="47"/>
      <c r="G381" s="47"/>
      <c r="H381" s="47"/>
      <c r="I381" s="111"/>
      <c r="J381" s="52"/>
      <c r="K381" s="148"/>
      <c r="L381" s="52"/>
      <c r="M381" s="148"/>
      <c r="N381" s="52"/>
      <c r="O381" s="148"/>
      <c r="P381" s="52"/>
      <c r="Q381" s="155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52"/>
      <c r="AD381" s="52"/>
      <c r="AE381" s="47"/>
      <c r="AF381" s="69"/>
      <c r="AG381" s="223"/>
      <c r="AJ381" s="47"/>
      <c r="AK381" s="73"/>
      <c r="AL381" s="47"/>
      <c r="AM381" s="47"/>
      <c r="AN381" s="47"/>
      <c r="AO381" s="47"/>
      <c r="AP381" s="47"/>
      <c r="AQ381" s="47"/>
      <c r="AR381" s="25"/>
    </row>
    <row r="382" spans="1:44" ht="25.2" customHeight="1" x14ac:dyDescent="0.15">
      <c r="A382" s="47"/>
      <c r="B382" s="47"/>
      <c r="C382" s="47"/>
      <c r="D382" s="47"/>
      <c r="E382" s="47"/>
      <c r="F382" s="47"/>
      <c r="G382" s="47"/>
      <c r="H382" s="47"/>
      <c r="I382" s="111"/>
      <c r="J382" s="52"/>
      <c r="K382" s="148"/>
      <c r="L382" s="52"/>
      <c r="M382" s="148"/>
      <c r="N382" s="52"/>
      <c r="O382" s="148"/>
      <c r="P382" s="52"/>
      <c r="Q382" s="155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52"/>
      <c r="AD382" s="52"/>
      <c r="AE382" s="47"/>
      <c r="AF382" s="69"/>
      <c r="AG382" s="223"/>
      <c r="AJ382" s="47"/>
      <c r="AK382" s="73"/>
      <c r="AL382" s="47"/>
      <c r="AM382" s="47"/>
      <c r="AN382" s="47"/>
      <c r="AO382" s="47"/>
      <c r="AP382" s="47"/>
      <c r="AQ382" s="47"/>
      <c r="AR382" s="25"/>
    </row>
    <row r="383" spans="1:44" ht="25.2" customHeight="1" x14ac:dyDescent="0.15">
      <c r="A383" s="47"/>
      <c r="B383" s="47"/>
      <c r="C383" s="47"/>
      <c r="D383" s="47"/>
      <c r="E383" s="47"/>
      <c r="F383" s="47"/>
      <c r="G383" s="47"/>
      <c r="H383" s="47"/>
      <c r="I383" s="111"/>
      <c r="J383" s="52"/>
      <c r="K383" s="148"/>
      <c r="L383" s="52"/>
      <c r="M383" s="148"/>
      <c r="N383" s="52"/>
      <c r="O383" s="148"/>
      <c r="P383" s="52"/>
      <c r="Q383" s="155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52"/>
      <c r="AD383" s="52"/>
      <c r="AE383" s="47"/>
      <c r="AF383" s="69"/>
      <c r="AG383" s="223"/>
      <c r="AJ383" s="47"/>
      <c r="AK383" s="73"/>
      <c r="AL383" s="47"/>
      <c r="AM383" s="47"/>
      <c r="AN383" s="47"/>
      <c r="AO383" s="47"/>
      <c r="AP383" s="47"/>
      <c r="AQ383" s="47"/>
      <c r="AR383" s="25"/>
    </row>
    <row r="384" spans="1:44" ht="25.2" customHeight="1" x14ac:dyDescent="0.15">
      <c r="A384" s="47"/>
      <c r="B384" s="47"/>
      <c r="C384" s="47"/>
      <c r="D384" s="47"/>
      <c r="E384" s="47"/>
      <c r="F384" s="47"/>
      <c r="G384" s="47"/>
      <c r="H384" s="47"/>
      <c r="I384" s="111"/>
      <c r="J384" s="52"/>
      <c r="K384" s="148"/>
      <c r="L384" s="52"/>
      <c r="M384" s="148"/>
      <c r="N384" s="52"/>
      <c r="O384" s="148"/>
      <c r="P384" s="52"/>
      <c r="Q384" s="155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52"/>
      <c r="AD384" s="52"/>
      <c r="AE384" s="47"/>
      <c r="AF384" s="69"/>
      <c r="AG384" s="223"/>
      <c r="AJ384" s="47"/>
      <c r="AK384" s="73"/>
      <c r="AL384" s="47"/>
      <c r="AM384" s="47"/>
      <c r="AN384" s="47"/>
      <c r="AO384" s="47"/>
      <c r="AP384" s="47"/>
      <c r="AQ384" s="47"/>
      <c r="AR384" s="25"/>
    </row>
    <row r="385" spans="1:44" ht="25.2" customHeight="1" x14ac:dyDescent="0.15">
      <c r="A385" s="47"/>
      <c r="B385" s="47"/>
      <c r="C385" s="47"/>
      <c r="D385" s="47"/>
      <c r="E385" s="47"/>
      <c r="F385" s="47"/>
      <c r="G385" s="47"/>
      <c r="H385" s="47"/>
      <c r="I385" s="111"/>
      <c r="J385" s="52"/>
      <c r="K385" s="148"/>
      <c r="L385" s="52"/>
      <c r="M385" s="148"/>
      <c r="N385" s="52"/>
      <c r="O385" s="148"/>
      <c r="P385" s="52"/>
      <c r="Q385" s="155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52"/>
      <c r="AD385" s="52"/>
      <c r="AE385" s="47"/>
      <c r="AF385" s="69"/>
      <c r="AG385" s="223"/>
      <c r="AJ385" s="47"/>
      <c r="AK385" s="73"/>
      <c r="AL385" s="47"/>
      <c r="AM385" s="47"/>
      <c r="AN385" s="47"/>
      <c r="AO385" s="47"/>
      <c r="AP385" s="47"/>
      <c r="AQ385" s="47"/>
      <c r="AR385" s="25"/>
    </row>
    <row r="386" spans="1:44" ht="25.2" customHeight="1" x14ac:dyDescent="0.15">
      <c r="A386" s="47"/>
      <c r="B386" s="47"/>
      <c r="C386" s="47"/>
      <c r="D386" s="47"/>
      <c r="E386" s="47"/>
      <c r="F386" s="47"/>
      <c r="G386" s="47"/>
      <c r="H386" s="47"/>
      <c r="I386" s="111"/>
      <c r="J386" s="52"/>
      <c r="K386" s="148"/>
      <c r="L386" s="52"/>
      <c r="M386" s="148"/>
      <c r="N386" s="52"/>
      <c r="O386" s="148"/>
      <c r="P386" s="52"/>
      <c r="Q386" s="155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52"/>
      <c r="AD386" s="52"/>
      <c r="AE386" s="47"/>
      <c r="AF386" s="69"/>
      <c r="AG386" s="223"/>
      <c r="AJ386" s="47"/>
      <c r="AK386" s="73"/>
      <c r="AL386" s="47"/>
      <c r="AM386" s="47"/>
      <c r="AN386" s="47"/>
      <c r="AO386" s="47"/>
      <c r="AP386" s="47"/>
      <c r="AQ386" s="47"/>
      <c r="AR386" s="25"/>
    </row>
    <row r="387" spans="1:44" ht="25.2" customHeight="1" x14ac:dyDescent="0.15">
      <c r="A387" s="47"/>
      <c r="B387" s="47"/>
      <c r="C387" s="47"/>
      <c r="D387" s="47"/>
      <c r="E387" s="47"/>
      <c r="F387" s="47"/>
      <c r="G387" s="47"/>
      <c r="H387" s="47"/>
      <c r="I387" s="111"/>
      <c r="J387" s="52"/>
      <c r="K387" s="148"/>
      <c r="L387" s="52"/>
      <c r="M387" s="148"/>
      <c r="N387" s="52"/>
      <c r="O387" s="148"/>
      <c r="P387" s="52"/>
      <c r="Q387" s="155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52"/>
      <c r="AD387" s="52"/>
      <c r="AE387" s="47"/>
      <c r="AF387" s="69"/>
      <c r="AG387" s="223"/>
      <c r="AJ387" s="47"/>
      <c r="AK387" s="73"/>
      <c r="AL387" s="47"/>
      <c r="AM387" s="47"/>
      <c r="AN387" s="47"/>
      <c r="AO387" s="47"/>
      <c r="AP387" s="47"/>
      <c r="AQ387" s="47"/>
      <c r="AR387" s="25"/>
    </row>
    <row r="388" spans="1:44" ht="25.2" customHeight="1" x14ac:dyDescent="0.15">
      <c r="A388" s="47"/>
      <c r="B388" s="47"/>
      <c r="C388" s="47"/>
      <c r="D388" s="47"/>
      <c r="E388" s="47"/>
      <c r="F388" s="47"/>
      <c r="G388" s="47"/>
      <c r="H388" s="47"/>
      <c r="I388" s="111"/>
      <c r="J388" s="52"/>
      <c r="K388" s="148"/>
      <c r="L388" s="52"/>
      <c r="M388" s="148"/>
      <c r="N388" s="52"/>
      <c r="O388" s="148"/>
      <c r="P388" s="52"/>
      <c r="Q388" s="155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52"/>
      <c r="AD388" s="52"/>
      <c r="AE388" s="47"/>
      <c r="AF388" s="69"/>
      <c r="AG388" s="223"/>
      <c r="AJ388" s="47"/>
      <c r="AK388" s="73"/>
      <c r="AL388" s="47"/>
      <c r="AM388" s="47"/>
      <c r="AN388" s="47"/>
      <c r="AO388" s="47"/>
      <c r="AP388" s="47"/>
      <c r="AQ388" s="47"/>
      <c r="AR388" s="25"/>
    </row>
    <row r="389" spans="1:44" ht="25.2" customHeight="1" x14ac:dyDescent="0.15">
      <c r="A389" s="47"/>
      <c r="B389" s="47"/>
      <c r="C389" s="47"/>
      <c r="D389" s="47"/>
      <c r="E389" s="47"/>
      <c r="F389" s="47"/>
      <c r="G389" s="47"/>
      <c r="H389" s="47"/>
      <c r="I389" s="111"/>
      <c r="J389" s="52"/>
      <c r="K389" s="148"/>
      <c r="L389" s="52"/>
      <c r="M389" s="148"/>
      <c r="N389" s="52"/>
      <c r="O389" s="148"/>
      <c r="P389" s="52"/>
      <c r="Q389" s="155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52"/>
      <c r="AD389" s="52"/>
      <c r="AE389" s="47"/>
      <c r="AF389" s="69"/>
      <c r="AG389" s="223"/>
      <c r="AJ389" s="47"/>
      <c r="AK389" s="73"/>
      <c r="AL389" s="47"/>
      <c r="AM389" s="47"/>
      <c r="AN389" s="47"/>
      <c r="AO389" s="47"/>
      <c r="AP389" s="47"/>
      <c r="AQ389" s="47"/>
      <c r="AR389" s="25"/>
    </row>
    <row r="390" spans="1:44" ht="25.2" customHeight="1" x14ac:dyDescent="0.15">
      <c r="A390" s="47"/>
      <c r="B390" s="47"/>
      <c r="C390" s="47"/>
      <c r="D390" s="47"/>
      <c r="E390" s="47"/>
      <c r="F390" s="47"/>
      <c r="G390" s="47"/>
      <c r="H390" s="47"/>
      <c r="I390" s="111"/>
      <c r="J390" s="52"/>
      <c r="K390" s="148"/>
      <c r="L390" s="52"/>
      <c r="M390" s="148"/>
      <c r="N390" s="52"/>
      <c r="O390" s="148"/>
      <c r="P390" s="52"/>
      <c r="Q390" s="155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52"/>
      <c r="AD390" s="52"/>
      <c r="AE390" s="47"/>
      <c r="AF390" s="69"/>
      <c r="AG390" s="223"/>
      <c r="AJ390" s="47"/>
      <c r="AK390" s="73"/>
      <c r="AL390" s="47"/>
      <c r="AM390" s="47"/>
      <c r="AN390" s="47"/>
      <c r="AO390" s="47"/>
      <c r="AP390" s="47"/>
      <c r="AQ390" s="47"/>
      <c r="AR390" s="25"/>
    </row>
    <row r="391" spans="1:44" ht="25.2" customHeight="1" x14ac:dyDescent="0.15">
      <c r="A391" s="47"/>
      <c r="B391" s="47"/>
      <c r="C391" s="47"/>
      <c r="D391" s="47"/>
      <c r="E391" s="47"/>
      <c r="F391" s="47"/>
      <c r="G391" s="47"/>
      <c r="H391" s="47"/>
      <c r="I391" s="111"/>
      <c r="J391" s="52"/>
      <c r="K391" s="148"/>
      <c r="L391" s="52"/>
      <c r="M391" s="148"/>
      <c r="N391" s="52"/>
      <c r="O391" s="148"/>
      <c r="P391" s="52"/>
      <c r="Q391" s="155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52"/>
      <c r="AD391" s="52"/>
      <c r="AE391" s="47"/>
      <c r="AF391" s="69"/>
      <c r="AG391" s="223"/>
      <c r="AJ391" s="47"/>
      <c r="AK391" s="73"/>
      <c r="AL391" s="47"/>
      <c r="AM391" s="47"/>
      <c r="AN391" s="47"/>
      <c r="AO391" s="47"/>
      <c r="AP391" s="47"/>
      <c r="AQ391" s="47"/>
      <c r="AR391" s="25"/>
    </row>
    <row r="392" spans="1:44" ht="25.2" customHeight="1" x14ac:dyDescent="0.15">
      <c r="A392" s="47"/>
      <c r="B392" s="47"/>
      <c r="C392" s="47"/>
      <c r="D392" s="47"/>
      <c r="E392" s="47"/>
      <c r="F392" s="47"/>
      <c r="G392" s="47"/>
      <c r="H392" s="47"/>
      <c r="I392" s="111"/>
      <c r="J392" s="52"/>
      <c r="K392" s="148"/>
      <c r="L392" s="52"/>
      <c r="M392" s="148"/>
      <c r="N392" s="52"/>
      <c r="O392" s="148"/>
      <c r="P392" s="52"/>
      <c r="Q392" s="155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52"/>
      <c r="AD392" s="52"/>
      <c r="AE392" s="47"/>
      <c r="AF392" s="69"/>
      <c r="AG392" s="223"/>
      <c r="AJ392" s="47"/>
      <c r="AK392" s="73"/>
      <c r="AL392" s="47"/>
      <c r="AM392" s="47"/>
      <c r="AN392" s="47"/>
      <c r="AO392" s="47"/>
      <c r="AP392" s="47"/>
      <c r="AQ392" s="47"/>
      <c r="AR392" s="25"/>
    </row>
    <row r="393" spans="1:44" ht="25.2" customHeight="1" x14ac:dyDescent="0.15">
      <c r="A393" s="47"/>
      <c r="B393" s="47"/>
      <c r="C393" s="47"/>
      <c r="D393" s="47"/>
      <c r="E393" s="47"/>
      <c r="F393" s="47"/>
      <c r="G393" s="47"/>
      <c r="H393" s="47"/>
      <c r="I393" s="111"/>
      <c r="J393" s="52"/>
      <c r="K393" s="148"/>
      <c r="L393" s="52"/>
      <c r="M393" s="148"/>
      <c r="N393" s="52"/>
      <c r="O393" s="148"/>
      <c r="P393" s="52"/>
      <c r="Q393" s="155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52"/>
      <c r="AD393" s="52"/>
      <c r="AE393" s="47"/>
      <c r="AF393" s="69"/>
      <c r="AG393" s="223"/>
      <c r="AJ393" s="47"/>
      <c r="AK393" s="73"/>
      <c r="AL393" s="47"/>
      <c r="AM393" s="47"/>
      <c r="AN393" s="47"/>
      <c r="AO393" s="47"/>
      <c r="AP393" s="47"/>
      <c r="AQ393" s="47"/>
      <c r="AR393" s="25"/>
    </row>
    <row r="394" spans="1:44" ht="25.2" customHeight="1" x14ac:dyDescent="0.15">
      <c r="A394" s="47"/>
      <c r="B394" s="47"/>
      <c r="C394" s="47"/>
      <c r="D394" s="47"/>
      <c r="E394" s="47"/>
      <c r="F394" s="47"/>
      <c r="G394" s="47"/>
      <c r="H394" s="47"/>
      <c r="I394" s="111"/>
      <c r="J394" s="52"/>
      <c r="K394" s="148"/>
      <c r="L394" s="52"/>
      <c r="M394" s="148"/>
      <c r="N394" s="52"/>
      <c r="O394" s="148"/>
      <c r="P394" s="52"/>
      <c r="Q394" s="155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52"/>
      <c r="AD394" s="52"/>
      <c r="AE394" s="47"/>
      <c r="AF394" s="69"/>
      <c r="AG394" s="223"/>
      <c r="AJ394" s="47"/>
      <c r="AK394" s="73"/>
      <c r="AL394" s="47"/>
      <c r="AM394" s="47"/>
      <c r="AN394" s="47"/>
      <c r="AO394" s="47"/>
      <c r="AP394" s="47"/>
      <c r="AQ394" s="47"/>
      <c r="AR394" s="25"/>
    </row>
    <row r="395" spans="1:44" ht="25.2" customHeight="1" x14ac:dyDescent="0.15">
      <c r="A395" s="47"/>
      <c r="B395" s="47"/>
      <c r="C395" s="47"/>
      <c r="D395" s="47"/>
      <c r="E395" s="47"/>
      <c r="F395" s="47"/>
      <c r="G395" s="47"/>
      <c r="H395" s="47"/>
      <c r="I395" s="111"/>
      <c r="J395" s="52"/>
      <c r="K395" s="148"/>
      <c r="L395" s="52"/>
      <c r="M395" s="148"/>
      <c r="N395" s="52"/>
      <c r="O395" s="148"/>
      <c r="P395" s="52"/>
      <c r="Q395" s="155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52"/>
      <c r="AD395" s="52"/>
      <c r="AE395" s="47"/>
      <c r="AF395" s="69"/>
      <c r="AG395" s="223"/>
      <c r="AJ395" s="47"/>
      <c r="AK395" s="73"/>
      <c r="AL395" s="47"/>
      <c r="AM395" s="47"/>
      <c r="AN395" s="47"/>
      <c r="AO395" s="47"/>
      <c r="AP395" s="47"/>
      <c r="AQ395" s="47"/>
      <c r="AR395" s="25"/>
    </row>
    <row r="396" spans="1:44" ht="25.2" customHeight="1" x14ac:dyDescent="0.15">
      <c r="A396" s="47"/>
      <c r="B396" s="47"/>
      <c r="C396" s="47"/>
      <c r="D396" s="47"/>
      <c r="E396" s="47"/>
      <c r="F396" s="47"/>
      <c r="G396" s="47"/>
      <c r="H396" s="47"/>
      <c r="I396" s="111"/>
      <c r="J396" s="52"/>
      <c r="K396" s="148"/>
      <c r="L396" s="52"/>
      <c r="M396" s="148"/>
      <c r="N396" s="52"/>
      <c r="O396" s="148"/>
      <c r="P396" s="52"/>
      <c r="Q396" s="155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52"/>
      <c r="AD396" s="52"/>
      <c r="AE396" s="47"/>
      <c r="AF396" s="69"/>
      <c r="AG396" s="223"/>
      <c r="AJ396" s="47"/>
      <c r="AK396" s="73"/>
      <c r="AL396" s="47"/>
      <c r="AM396" s="47"/>
      <c r="AN396" s="47"/>
      <c r="AO396" s="47"/>
      <c r="AP396" s="47"/>
      <c r="AQ396" s="47"/>
      <c r="AR396" s="25"/>
    </row>
    <row r="397" spans="1:44" ht="25.2" customHeight="1" x14ac:dyDescent="0.15">
      <c r="A397" s="47"/>
      <c r="B397" s="47"/>
      <c r="C397" s="47"/>
      <c r="D397" s="47"/>
      <c r="E397" s="47"/>
      <c r="F397" s="47"/>
      <c r="G397" s="47"/>
      <c r="H397" s="47"/>
      <c r="I397" s="111"/>
      <c r="J397" s="52"/>
      <c r="K397" s="148"/>
      <c r="L397" s="52"/>
      <c r="M397" s="148"/>
      <c r="N397" s="52"/>
      <c r="O397" s="148"/>
      <c r="P397" s="52"/>
      <c r="Q397" s="155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52"/>
      <c r="AD397" s="52"/>
      <c r="AE397" s="47"/>
      <c r="AF397" s="69"/>
      <c r="AG397" s="223"/>
      <c r="AJ397" s="47"/>
      <c r="AK397" s="73"/>
      <c r="AL397" s="47"/>
      <c r="AM397" s="47"/>
      <c r="AN397" s="47"/>
      <c r="AO397" s="47"/>
      <c r="AP397" s="47"/>
      <c r="AQ397" s="47"/>
      <c r="AR397" s="25"/>
    </row>
    <row r="398" spans="1:44" ht="12.75" customHeight="1" x14ac:dyDescent="0.15">
      <c r="A398" s="47"/>
      <c r="B398" s="47"/>
      <c r="C398" s="47"/>
      <c r="D398" s="47"/>
      <c r="E398" s="47"/>
      <c r="F398" s="47"/>
      <c r="G398" s="47"/>
      <c r="H398" s="47"/>
      <c r="I398" s="111"/>
      <c r="J398" s="52"/>
      <c r="K398" s="148"/>
      <c r="L398" s="52"/>
      <c r="M398" s="148"/>
      <c r="N398" s="52"/>
      <c r="O398" s="148"/>
      <c r="P398" s="52"/>
      <c r="Q398" s="155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52"/>
      <c r="AD398" s="52"/>
      <c r="AE398" s="47"/>
      <c r="AF398" s="69"/>
      <c r="AG398" s="223"/>
      <c r="AJ398" s="47"/>
      <c r="AK398" s="73"/>
      <c r="AL398" s="47"/>
      <c r="AM398" s="47"/>
      <c r="AN398" s="47"/>
      <c r="AO398" s="47"/>
      <c r="AP398" s="47"/>
      <c r="AQ398" s="47"/>
      <c r="AR398" s="25"/>
    </row>
    <row r="399" spans="1:44" ht="12.75" customHeight="1" x14ac:dyDescent="0.15">
      <c r="A399" s="47"/>
      <c r="B399" s="47"/>
      <c r="C399" s="47"/>
      <c r="D399" s="47"/>
      <c r="E399" s="47"/>
      <c r="F399" s="47"/>
      <c r="G399" s="47"/>
      <c r="H399" s="47"/>
      <c r="I399" s="111"/>
      <c r="J399" s="52"/>
      <c r="K399" s="148"/>
      <c r="L399" s="52"/>
      <c r="M399" s="148"/>
      <c r="N399" s="52"/>
      <c r="O399" s="148"/>
      <c r="P399" s="52"/>
      <c r="Q399" s="155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52"/>
      <c r="AD399" s="52"/>
      <c r="AE399" s="47"/>
      <c r="AF399" s="69"/>
      <c r="AG399" s="223"/>
      <c r="AJ399" s="47"/>
      <c r="AK399" s="73"/>
      <c r="AL399" s="47"/>
      <c r="AM399" s="47"/>
      <c r="AN399" s="47"/>
      <c r="AO399" s="47"/>
      <c r="AP399" s="47"/>
      <c r="AQ399" s="47"/>
      <c r="AR399" s="25"/>
    </row>
    <row r="400" spans="1:44" ht="12.75" customHeight="1" x14ac:dyDescent="0.15">
      <c r="A400" s="47"/>
      <c r="B400" s="47"/>
      <c r="C400" s="47"/>
      <c r="D400" s="47"/>
      <c r="E400" s="47"/>
      <c r="F400" s="47"/>
      <c r="G400" s="47"/>
      <c r="H400" s="47"/>
      <c r="I400" s="111"/>
      <c r="J400" s="52"/>
      <c r="K400" s="148"/>
      <c r="L400" s="52"/>
      <c r="M400" s="148"/>
      <c r="N400" s="52"/>
      <c r="O400" s="148"/>
      <c r="P400" s="52"/>
      <c r="Q400" s="155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52"/>
      <c r="AD400" s="52"/>
      <c r="AE400" s="47"/>
      <c r="AF400" s="69"/>
      <c r="AG400" s="223"/>
      <c r="AJ400" s="47"/>
      <c r="AK400" s="73"/>
      <c r="AL400" s="47"/>
      <c r="AM400" s="47"/>
      <c r="AN400" s="47"/>
      <c r="AO400" s="47"/>
      <c r="AP400" s="47"/>
      <c r="AQ400" s="47"/>
      <c r="AR400" s="25"/>
    </row>
    <row r="401" spans="1:44" ht="12.75" customHeight="1" x14ac:dyDescent="0.15">
      <c r="A401" s="47"/>
      <c r="B401" s="47"/>
      <c r="C401" s="47"/>
      <c r="D401" s="47"/>
      <c r="E401" s="47"/>
      <c r="F401" s="47"/>
      <c r="G401" s="47"/>
      <c r="H401" s="47"/>
      <c r="I401" s="111"/>
      <c r="J401" s="52"/>
      <c r="K401" s="148"/>
      <c r="L401" s="52"/>
      <c r="M401" s="148"/>
      <c r="N401" s="52"/>
      <c r="O401" s="148"/>
      <c r="P401" s="52"/>
      <c r="Q401" s="155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52"/>
      <c r="AD401" s="52"/>
      <c r="AE401" s="47"/>
      <c r="AF401" s="69"/>
      <c r="AG401" s="223"/>
      <c r="AJ401" s="47"/>
      <c r="AK401" s="73"/>
      <c r="AL401" s="47"/>
      <c r="AM401" s="47"/>
      <c r="AN401" s="47"/>
      <c r="AO401" s="47"/>
      <c r="AP401" s="47"/>
      <c r="AQ401" s="47"/>
      <c r="AR401" s="25"/>
    </row>
    <row r="402" spans="1:44" ht="12.75" customHeight="1" x14ac:dyDescent="0.15">
      <c r="A402" s="47"/>
      <c r="B402" s="47"/>
      <c r="C402" s="47"/>
      <c r="D402" s="47"/>
      <c r="E402" s="47"/>
      <c r="F402" s="47"/>
      <c r="G402" s="47"/>
      <c r="H402" s="47"/>
      <c r="I402" s="111"/>
      <c r="J402" s="52"/>
      <c r="K402" s="148"/>
      <c r="L402" s="52"/>
      <c r="M402" s="148"/>
      <c r="N402" s="52"/>
      <c r="O402" s="148"/>
      <c r="P402" s="52"/>
      <c r="Q402" s="155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52"/>
      <c r="AD402" s="52"/>
      <c r="AE402" s="47"/>
      <c r="AF402" s="69"/>
      <c r="AG402" s="223"/>
      <c r="AJ402" s="47"/>
      <c r="AK402" s="73"/>
      <c r="AL402" s="47"/>
      <c r="AM402" s="47"/>
      <c r="AN402" s="47"/>
      <c r="AO402" s="47"/>
      <c r="AP402" s="47"/>
      <c r="AQ402" s="47"/>
      <c r="AR402" s="25"/>
    </row>
    <row r="403" spans="1:44" ht="12.75" customHeight="1" x14ac:dyDescent="0.15">
      <c r="A403" s="47"/>
      <c r="B403" s="47"/>
      <c r="C403" s="47"/>
      <c r="D403" s="47"/>
      <c r="E403" s="47"/>
      <c r="F403" s="47"/>
      <c r="G403" s="47"/>
      <c r="H403" s="47"/>
      <c r="I403" s="111"/>
      <c r="J403" s="52"/>
      <c r="K403" s="148"/>
      <c r="L403" s="52"/>
      <c r="M403" s="148"/>
      <c r="N403" s="52"/>
      <c r="O403" s="148"/>
      <c r="P403" s="52"/>
      <c r="Q403" s="155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52"/>
      <c r="AD403" s="52"/>
      <c r="AE403" s="47"/>
      <c r="AF403" s="69"/>
      <c r="AG403" s="223"/>
      <c r="AJ403" s="47"/>
      <c r="AK403" s="73"/>
      <c r="AL403" s="47"/>
      <c r="AM403" s="47"/>
      <c r="AN403" s="47"/>
      <c r="AO403" s="47"/>
      <c r="AP403" s="47"/>
      <c r="AQ403" s="47"/>
      <c r="AR403" s="25"/>
    </row>
    <row r="404" spans="1:44" ht="12.75" customHeight="1" x14ac:dyDescent="0.15">
      <c r="A404" s="47"/>
      <c r="B404" s="47"/>
      <c r="C404" s="47"/>
      <c r="D404" s="47"/>
      <c r="E404" s="47"/>
      <c r="F404" s="47"/>
      <c r="G404" s="47"/>
      <c r="H404" s="47"/>
      <c r="I404" s="111"/>
      <c r="J404" s="52"/>
      <c r="K404" s="148"/>
      <c r="L404" s="52"/>
      <c r="M404" s="148"/>
      <c r="N404" s="52"/>
      <c r="O404" s="148"/>
      <c r="P404" s="52"/>
      <c r="Q404" s="155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52"/>
      <c r="AD404" s="52"/>
      <c r="AE404" s="47"/>
      <c r="AF404" s="69"/>
      <c r="AG404" s="223"/>
      <c r="AJ404" s="47"/>
      <c r="AK404" s="73"/>
      <c r="AL404" s="47"/>
      <c r="AM404" s="47"/>
      <c r="AN404" s="47"/>
      <c r="AO404" s="47"/>
      <c r="AP404" s="47"/>
      <c r="AQ404" s="47"/>
      <c r="AR404" s="25"/>
    </row>
    <row r="405" spans="1:44" ht="12.75" customHeight="1" x14ac:dyDescent="0.15">
      <c r="A405" s="47"/>
      <c r="B405" s="47"/>
      <c r="C405" s="47"/>
      <c r="D405" s="47"/>
      <c r="E405" s="47"/>
      <c r="F405" s="47"/>
      <c r="G405" s="47"/>
      <c r="H405" s="47"/>
      <c r="I405" s="111"/>
      <c r="J405" s="52"/>
      <c r="K405" s="148"/>
      <c r="L405" s="52"/>
      <c r="M405" s="148"/>
      <c r="N405" s="52"/>
      <c r="O405" s="148"/>
      <c r="P405" s="52"/>
      <c r="Q405" s="155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52"/>
      <c r="AD405" s="52"/>
      <c r="AE405" s="47"/>
      <c r="AF405" s="69"/>
      <c r="AG405" s="223"/>
      <c r="AJ405" s="47"/>
      <c r="AK405" s="73"/>
      <c r="AL405" s="47"/>
      <c r="AM405" s="47"/>
      <c r="AN405" s="47"/>
      <c r="AO405" s="47"/>
      <c r="AP405" s="47"/>
      <c r="AQ405" s="47"/>
      <c r="AR405" s="25"/>
    </row>
    <row r="406" spans="1:44" ht="12.75" customHeight="1" x14ac:dyDescent="0.15">
      <c r="A406" s="47"/>
      <c r="B406" s="47"/>
      <c r="C406" s="47"/>
      <c r="D406" s="47"/>
      <c r="E406" s="47"/>
      <c r="F406" s="47"/>
      <c r="G406" s="47"/>
      <c r="H406" s="47"/>
      <c r="I406" s="111"/>
      <c r="J406" s="52"/>
      <c r="K406" s="148"/>
      <c r="L406" s="52"/>
      <c r="M406" s="148"/>
      <c r="N406" s="52"/>
      <c r="O406" s="148"/>
      <c r="P406" s="52"/>
      <c r="Q406" s="155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52"/>
      <c r="AD406" s="52"/>
      <c r="AE406" s="47"/>
      <c r="AF406" s="69"/>
      <c r="AG406" s="223"/>
      <c r="AJ406" s="47"/>
      <c r="AK406" s="73"/>
      <c r="AL406" s="47"/>
      <c r="AM406" s="47"/>
      <c r="AN406" s="47"/>
      <c r="AO406" s="47"/>
      <c r="AP406" s="47"/>
      <c r="AQ406" s="47"/>
      <c r="AR406" s="25"/>
    </row>
    <row r="407" spans="1:44" ht="12.75" customHeight="1" x14ac:dyDescent="0.15">
      <c r="A407" s="47"/>
      <c r="B407" s="47"/>
      <c r="C407" s="47"/>
      <c r="D407" s="47"/>
      <c r="E407" s="47"/>
      <c r="F407" s="47"/>
      <c r="G407" s="47"/>
      <c r="H407" s="47"/>
      <c r="I407" s="111"/>
      <c r="J407" s="52"/>
      <c r="K407" s="148"/>
      <c r="L407" s="52"/>
      <c r="M407" s="148"/>
      <c r="N407" s="52"/>
      <c r="O407" s="148"/>
      <c r="P407" s="52"/>
      <c r="Q407" s="155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52"/>
      <c r="AD407" s="52"/>
      <c r="AE407" s="47"/>
      <c r="AF407" s="69"/>
      <c r="AG407" s="223"/>
      <c r="AJ407" s="47"/>
      <c r="AK407" s="73"/>
      <c r="AL407" s="47"/>
      <c r="AM407" s="47"/>
      <c r="AN407" s="47"/>
      <c r="AO407" s="47"/>
      <c r="AP407" s="47"/>
      <c r="AQ407" s="47"/>
      <c r="AR407" s="25"/>
    </row>
    <row r="408" spans="1:44" ht="12.75" customHeight="1" x14ac:dyDescent="0.15">
      <c r="A408" s="47"/>
      <c r="B408" s="47"/>
      <c r="C408" s="47"/>
      <c r="D408" s="47"/>
      <c r="E408" s="47"/>
      <c r="F408" s="47"/>
      <c r="G408" s="47"/>
      <c r="H408" s="47"/>
      <c r="I408" s="111"/>
      <c r="J408" s="52"/>
      <c r="K408" s="148"/>
      <c r="L408" s="52"/>
      <c r="M408" s="148"/>
      <c r="N408" s="52"/>
      <c r="O408" s="148"/>
      <c r="P408" s="52"/>
      <c r="Q408" s="155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52"/>
      <c r="AD408" s="52"/>
      <c r="AE408" s="47"/>
      <c r="AF408" s="69"/>
      <c r="AG408" s="223"/>
      <c r="AJ408" s="47"/>
      <c r="AK408" s="73"/>
      <c r="AL408" s="47"/>
      <c r="AM408" s="47"/>
      <c r="AN408" s="47"/>
      <c r="AO408" s="47"/>
      <c r="AP408" s="47"/>
      <c r="AQ408" s="47"/>
      <c r="AR408" s="25"/>
    </row>
    <row r="409" spans="1:44" ht="12.75" customHeight="1" x14ac:dyDescent="0.15">
      <c r="A409" s="47"/>
      <c r="B409" s="47"/>
      <c r="C409" s="47"/>
      <c r="D409" s="47"/>
      <c r="E409" s="47"/>
      <c r="F409" s="47"/>
      <c r="G409" s="47"/>
      <c r="H409" s="47"/>
      <c r="I409" s="111"/>
      <c r="J409" s="52"/>
      <c r="K409" s="148"/>
      <c r="L409" s="52"/>
      <c r="M409" s="148"/>
      <c r="N409" s="52"/>
      <c r="O409" s="148"/>
      <c r="P409" s="52"/>
      <c r="Q409" s="155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52"/>
      <c r="AD409" s="52"/>
      <c r="AE409" s="47"/>
      <c r="AF409" s="69"/>
      <c r="AG409" s="223"/>
      <c r="AJ409" s="47"/>
      <c r="AK409" s="73"/>
      <c r="AL409" s="47"/>
      <c r="AM409" s="47"/>
      <c r="AN409" s="47"/>
      <c r="AO409" s="47"/>
      <c r="AP409" s="47"/>
      <c r="AQ409" s="47"/>
      <c r="AR409" s="25"/>
    </row>
    <row r="410" spans="1:44" ht="12.75" customHeight="1" x14ac:dyDescent="0.15">
      <c r="A410" s="47"/>
      <c r="B410" s="47"/>
      <c r="C410" s="47"/>
      <c r="D410" s="47"/>
      <c r="E410" s="47"/>
      <c r="F410" s="47"/>
      <c r="G410" s="47"/>
      <c r="H410" s="47"/>
      <c r="I410" s="111"/>
      <c r="J410" s="52"/>
      <c r="K410" s="148"/>
      <c r="L410" s="52"/>
      <c r="M410" s="148"/>
      <c r="N410" s="52"/>
      <c r="O410" s="148"/>
      <c r="P410" s="52"/>
      <c r="Q410" s="155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52"/>
      <c r="AD410" s="52"/>
      <c r="AE410" s="47"/>
      <c r="AF410" s="69"/>
      <c r="AG410" s="223"/>
      <c r="AJ410" s="47"/>
      <c r="AK410" s="73"/>
      <c r="AL410" s="47"/>
      <c r="AM410" s="47"/>
      <c r="AN410" s="47"/>
      <c r="AO410" s="47"/>
      <c r="AP410" s="47"/>
      <c r="AQ410" s="47"/>
      <c r="AR410" s="25"/>
    </row>
    <row r="411" spans="1:44" ht="12.75" customHeight="1" x14ac:dyDescent="0.15">
      <c r="A411" s="47"/>
      <c r="B411" s="47"/>
      <c r="C411" s="47"/>
      <c r="D411" s="47"/>
      <c r="E411" s="47"/>
      <c r="F411" s="47"/>
      <c r="G411" s="47"/>
      <c r="H411" s="47"/>
      <c r="I411" s="111"/>
      <c r="J411" s="52"/>
      <c r="K411" s="148"/>
      <c r="L411" s="52"/>
      <c r="M411" s="148"/>
      <c r="N411" s="52"/>
      <c r="O411" s="148"/>
      <c r="P411" s="52"/>
      <c r="Q411" s="155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52"/>
      <c r="AD411" s="52"/>
      <c r="AE411" s="47"/>
      <c r="AF411" s="69"/>
      <c r="AG411" s="223"/>
      <c r="AJ411" s="47"/>
      <c r="AK411" s="73"/>
      <c r="AL411" s="47"/>
      <c r="AM411" s="47"/>
      <c r="AN411" s="47"/>
      <c r="AO411" s="47"/>
      <c r="AP411" s="47"/>
      <c r="AQ411" s="47"/>
      <c r="AR411" s="25"/>
    </row>
    <row r="412" spans="1:44" ht="12.75" customHeight="1" x14ac:dyDescent="0.15">
      <c r="A412" s="47"/>
      <c r="B412" s="47"/>
      <c r="C412" s="47"/>
      <c r="D412" s="47"/>
      <c r="E412" s="47"/>
      <c r="F412" s="47"/>
      <c r="G412" s="47"/>
      <c r="H412" s="47"/>
      <c r="I412" s="111"/>
      <c r="J412" s="52"/>
      <c r="K412" s="148"/>
      <c r="L412" s="52"/>
      <c r="M412" s="148"/>
      <c r="N412" s="52"/>
      <c r="O412" s="148"/>
      <c r="P412" s="52"/>
      <c r="Q412" s="155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52"/>
      <c r="AD412" s="52"/>
      <c r="AE412" s="47"/>
      <c r="AF412" s="69"/>
      <c r="AG412" s="223"/>
      <c r="AJ412" s="47"/>
      <c r="AK412" s="73"/>
      <c r="AL412" s="47"/>
      <c r="AM412" s="47"/>
      <c r="AN412" s="47"/>
      <c r="AO412" s="47"/>
      <c r="AP412" s="47"/>
      <c r="AQ412" s="47"/>
      <c r="AR412" s="25"/>
    </row>
    <row r="413" spans="1:44" ht="12.75" customHeight="1" x14ac:dyDescent="0.15">
      <c r="A413" s="47"/>
      <c r="B413" s="47"/>
      <c r="C413" s="47"/>
      <c r="D413" s="47"/>
      <c r="E413" s="47"/>
      <c r="F413" s="47"/>
      <c r="G413" s="47"/>
      <c r="H413" s="47"/>
      <c r="I413" s="111"/>
      <c r="J413" s="52"/>
      <c r="K413" s="148"/>
      <c r="L413" s="52"/>
      <c r="M413" s="148"/>
      <c r="N413" s="52"/>
      <c r="O413" s="148"/>
      <c r="P413" s="52"/>
      <c r="Q413" s="155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52"/>
      <c r="AD413" s="52"/>
      <c r="AE413" s="47"/>
      <c r="AF413" s="69"/>
      <c r="AG413" s="223"/>
      <c r="AJ413" s="47"/>
      <c r="AK413" s="73"/>
      <c r="AL413" s="47"/>
      <c r="AM413" s="47"/>
      <c r="AN413" s="47"/>
      <c r="AO413" s="47"/>
      <c r="AP413" s="47"/>
      <c r="AQ413" s="47"/>
      <c r="AR413" s="25"/>
    </row>
    <row r="414" spans="1:44" ht="12.75" customHeight="1" x14ac:dyDescent="0.15">
      <c r="A414" s="47"/>
      <c r="B414" s="47"/>
      <c r="C414" s="47"/>
      <c r="D414" s="47"/>
      <c r="E414" s="47"/>
      <c r="F414" s="47"/>
      <c r="G414" s="47"/>
      <c r="H414" s="47"/>
      <c r="I414" s="111"/>
      <c r="J414" s="52"/>
      <c r="K414" s="148"/>
      <c r="L414" s="52"/>
      <c r="M414" s="148"/>
      <c r="N414" s="52"/>
      <c r="O414" s="148"/>
      <c r="P414" s="52"/>
      <c r="Q414" s="155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52"/>
      <c r="AD414" s="52"/>
      <c r="AE414" s="47"/>
      <c r="AF414" s="69"/>
      <c r="AG414" s="223"/>
      <c r="AJ414" s="47"/>
      <c r="AK414" s="73"/>
      <c r="AL414" s="47"/>
      <c r="AM414" s="47"/>
      <c r="AN414" s="47"/>
      <c r="AO414" s="47"/>
      <c r="AP414" s="47"/>
      <c r="AQ414" s="47"/>
      <c r="AR414" s="25"/>
    </row>
    <row r="415" spans="1:44" ht="12.75" customHeight="1" x14ac:dyDescent="0.15">
      <c r="A415" s="47"/>
      <c r="B415" s="47"/>
      <c r="C415" s="47"/>
      <c r="D415" s="47"/>
      <c r="E415" s="47"/>
      <c r="F415" s="47"/>
      <c r="G415" s="47"/>
      <c r="H415" s="47"/>
      <c r="I415" s="111"/>
      <c r="J415" s="52"/>
      <c r="K415" s="148"/>
      <c r="L415" s="52"/>
      <c r="M415" s="148"/>
      <c r="N415" s="52"/>
      <c r="O415" s="148"/>
      <c r="P415" s="52"/>
      <c r="Q415" s="155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52"/>
      <c r="AD415" s="52"/>
      <c r="AE415" s="47"/>
      <c r="AF415" s="69"/>
      <c r="AG415" s="223"/>
      <c r="AJ415" s="47"/>
      <c r="AK415" s="73"/>
      <c r="AL415" s="47"/>
      <c r="AM415" s="47"/>
      <c r="AN415" s="47"/>
      <c r="AO415" s="47"/>
      <c r="AP415" s="47"/>
      <c r="AQ415" s="47"/>
      <c r="AR415" s="25"/>
    </row>
    <row r="416" spans="1:44" ht="12.75" customHeight="1" x14ac:dyDescent="0.15">
      <c r="A416" s="47"/>
      <c r="B416" s="47"/>
      <c r="C416" s="47"/>
      <c r="D416" s="47"/>
      <c r="E416" s="47"/>
      <c r="F416" s="47"/>
      <c r="G416" s="47"/>
      <c r="H416" s="47"/>
      <c r="I416" s="111"/>
      <c r="J416" s="52"/>
      <c r="K416" s="148"/>
      <c r="L416" s="52"/>
      <c r="M416" s="148"/>
      <c r="N416" s="52"/>
      <c r="O416" s="148"/>
      <c r="P416" s="52"/>
      <c r="Q416" s="155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52"/>
      <c r="AD416" s="52"/>
      <c r="AE416" s="47"/>
      <c r="AF416" s="69"/>
      <c r="AG416" s="223"/>
      <c r="AJ416" s="47"/>
      <c r="AK416" s="73"/>
      <c r="AL416" s="47"/>
      <c r="AM416" s="47"/>
      <c r="AN416" s="47"/>
      <c r="AO416" s="47"/>
      <c r="AP416" s="47"/>
      <c r="AQ416" s="47"/>
      <c r="AR416" s="25"/>
    </row>
    <row r="417" spans="1:44" ht="12.75" customHeight="1" x14ac:dyDescent="0.15">
      <c r="A417" s="47"/>
      <c r="B417" s="47"/>
      <c r="C417" s="47"/>
      <c r="D417" s="47"/>
      <c r="E417" s="47"/>
      <c r="F417" s="47"/>
      <c r="G417" s="47"/>
      <c r="H417" s="47"/>
      <c r="I417" s="111"/>
      <c r="J417" s="52"/>
      <c r="K417" s="148"/>
      <c r="L417" s="52"/>
      <c r="M417" s="148"/>
      <c r="N417" s="52"/>
      <c r="O417" s="148"/>
      <c r="P417" s="52"/>
      <c r="Q417" s="155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52"/>
      <c r="AD417" s="52"/>
      <c r="AE417" s="47"/>
      <c r="AF417" s="69"/>
      <c r="AG417" s="223"/>
      <c r="AJ417" s="47"/>
      <c r="AK417" s="73"/>
      <c r="AL417" s="47"/>
      <c r="AM417" s="47"/>
      <c r="AN417" s="47"/>
      <c r="AO417" s="47"/>
      <c r="AP417" s="47"/>
      <c r="AQ417" s="47"/>
      <c r="AR417" s="25"/>
    </row>
    <row r="418" spans="1:44" ht="12.75" customHeight="1" x14ac:dyDescent="0.15">
      <c r="A418" s="47"/>
      <c r="B418" s="47"/>
      <c r="C418" s="47"/>
      <c r="D418" s="47"/>
      <c r="E418" s="47"/>
      <c r="F418" s="47"/>
      <c r="G418" s="47"/>
      <c r="H418" s="47"/>
      <c r="I418" s="111"/>
      <c r="J418" s="52"/>
      <c r="K418" s="148"/>
      <c r="L418" s="52"/>
      <c r="M418" s="148"/>
      <c r="N418" s="52"/>
      <c r="O418" s="148"/>
      <c r="P418" s="52"/>
      <c r="Q418" s="155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52"/>
      <c r="AD418" s="52"/>
      <c r="AE418" s="47"/>
      <c r="AF418" s="69"/>
      <c r="AG418" s="223"/>
      <c r="AJ418" s="47"/>
      <c r="AK418" s="73"/>
      <c r="AL418" s="47"/>
      <c r="AM418" s="47"/>
      <c r="AN418" s="47"/>
      <c r="AO418" s="47"/>
      <c r="AP418" s="47"/>
      <c r="AQ418" s="47"/>
      <c r="AR418" s="25"/>
    </row>
    <row r="419" spans="1:44" ht="12.75" customHeight="1" x14ac:dyDescent="0.15">
      <c r="A419" s="47"/>
      <c r="B419" s="47"/>
      <c r="C419" s="47"/>
      <c r="D419" s="47"/>
      <c r="E419" s="47"/>
      <c r="F419" s="47"/>
      <c r="G419" s="47"/>
      <c r="H419" s="47"/>
      <c r="I419" s="111"/>
      <c r="J419" s="52"/>
      <c r="K419" s="148"/>
      <c r="L419" s="52"/>
      <c r="M419" s="148"/>
      <c r="N419" s="52"/>
      <c r="O419" s="148"/>
      <c r="P419" s="52"/>
      <c r="Q419" s="155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52"/>
      <c r="AD419" s="52"/>
      <c r="AE419" s="47"/>
      <c r="AF419" s="69"/>
      <c r="AG419" s="223"/>
      <c r="AJ419" s="47"/>
      <c r="AK419" s="73"/>
      <c r="AL419" s="47"/>
      <c r="AM419" s="47"/>
      <c r="AN419" s="47"/>
      <c r="AO419" s="47"/>
      <c r="AP419" s="47"/>
      <c r="AQ419" s="47"/>
      <c r="AR419" s="25"/>
    </row>
    <row r="420" spans="1:44" ht="12.75" customHeight="1" x14ac:dyDescent="0.15">
      <c r="A420" s="47"/>
      <c r="B420" s="47"/>
      <c r="C420" s="47"/>
      <c r="D420" s="47"/>
      <c r="E420" s="47"/>
      <c r="F420" s="47"/>
      <c r="G420" s="47"/>
      <c r="H420" s="47"/>
      <c r="I420" s="111"/>
      <c r="J420" s="52"/>
      <c r="K420" s="148"/>
      <c r="L420" s="52"/>
      <c r="M420" s="148"/>
      <c r="N420" s="52"/>
      <c r="O420" s="148"/>
      <c r="P420" s="52"/>
      <c r="Q420" s="155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52"/>
      <c r="AD420" s="52"/>
      <c r="AE420" s="47"/>
      <c r="AF420" s="69"/>
      <c r="AG420" s="223"/>
      <c r="AJ420" s="47"/>
      <c r="AK420" s="73"/>
      <c r="AL420" s="47"/>
      <c r="AM420" s="47"/>
      <c r="AN420" s="47"/>
      <c r="AO420" s="47"/>
      <c r="AP420" s="47"/>
      <c r="AQ420" s="47"/>
      <c r="AR420" s="25"/>
    </row>
    <row r="421" spans="1:44" ht="12.75" customHeight="1" x14ac:dyDescent="0.15">
      <c r="A421" s="47"/>
      <c r="B421" s="47"/>
      <c r="C421" s="47"/>
      <c r="D421" s="47"/>
      <c r="E421" s="47"/>
      <c r="F421" s="47"/>
      <c r="G421" s="47"/>
      <c r="H421" s="47"/>
      <c r="I421" s="111"/>
      <c r="J421" s="52"/>
      <c r="K421" s="148"/>
      <c r="L421" s="52"/>
      <c r="M421" s="148"/>
      <c r="N421" s="52"/>
      <c r="O421" s="148"/>
      <c r="P421" s="52"/>
      <c r="Q421" s="155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52"/>
      <c r="AD421" s="52"/>
      <c r="AE421" s="47"/>
      <c r="AF421" s="69"/>
      <c r="AG421" s="223"/>
      <c r="AJ421" s="47"/>
      <c r="AK421" s="73"/>
      <c r="AL421" s="47"/>
      <c r="AM421" s="47"/>
      <c r="AN421" s="47"/>
      <c r="AO421" s="47"/>
      <c r="AP421" s="47"/>
      <c r="AQ421" s="47"/>
      <c r="AR421" s="25"/>
    </row>
    <row r="422" spans="1:44" ht="12.75" customHeight="1" x14ac:dyDescent="0.15">
      <c r="A422" s="47"/>
      <c r="B422" s="47"/>
      <c r="C422" s="47"/>
      <c r="D422" s="47"/>
      <c r="E422" s="47"/>
      <c r="F422" s="47"/>
      <c r="G422" s="47"/>
      <c r="H422" s="47"/>
      <c r="I422" s="111"/>
      <c r="J422" s="52"/>
      <c r="K422" s="148"/>
      <c r="L422" s="52"/>
      <c r="M422" s="148"/>
      <c r="N422" s="52"/>
      <c r="O422" s="148"/>
      <c r="P422" s="52"/>
      <c r="Q422" s="155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52"/>
      <c r="AD422" s="52"/>
      <c r="AE422" s="47"/>
      <c r="AF422" s="69"/>
      <c r="AG422" s="223"/>
      <c r="AJ422" s="47"/>
      <c r="AK422" s="73"/>
      <c r="AL422" s="47"/>
      <c r="AM422" s="47"/>
      <c r="AN422" s="47"/>
      <c r="AO422" s="47"/>
      <c r="AP422" s="47"/>
      <c r="AQ422" s="47"/>
      <c r="AR422" s="25"/>
    </row>
    <row r="423" spans="1:44" ht="12.75" customHeight="1" x14ac:dyDescent="0.15">
      <c r="A423" s="47"/>
      <c r="B423" s="47"/>
      <c r="C423" s="47"/>
      <c r="D423" s="47"/>
      <c r="E423" s="47"/>
      <c r="F423" s="47"/>
      <c r="G423" s="47"/>
      <c r="H423" s="47"/>
      <c r="I423" s="111"/>
      <c r="J423" s="52"/>
      <c r="K423" s="148"/>
      <c r="L423" s="52"/>
      <c r="M423" s="148"/>
      <c r="N423" s="52"/>
      <c r="O423" s="148"/>
      <c r="P423" s="52"/>
      <c r="Q423" s="155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52"/>
      <c r="AD423" s="52"/>
      <c r="AE423" s="47"/>
      <c r="AF423" s="69"/>
      <c r="AG423" s="223"/>
      <c r="AJ423" s="47"/>
      <c r="AK423" s="73"/>
      <c r="AL423" s="47"/>
      <c r="AM423" s="47"/>
      <c r="AN423" s="47"/>
      <c r="AO423" s="47"/>
      <c r="AP423" s="47"/>
      <c r="AQ423" s="47"/>
      <c r="AR423" s="25"/>
    </row>
    <row r="424" spans="1:44" ht="12.75" customHeight="1" x14ac:dyDescent="0.15">
      <c r="A424" s="47"/>
      <c r="B424" s="47"/>
      <c r="C424" s="47"/>
      <c r="D424" s="47"/>
      <c r="E424" s="47"/>
      <c r="F424" s="47"/>
      <c r="G424" s="47"/>
      <c r="H424" s="47"/>
      <c r="I424" s="111"/>
      <c r="J424" s="52"/>
      <c r="K424" s="148"/>
      <c r="L424" s="52"/>
      <c r="M424" s="148"/>
      <c r="N424" s="52"/>
      <c r="O424" s="148"/>
      <c r="P424" s="52"/>
      <c r="Q424" s="155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52"/>
      <c r="AD424" s="52"/>
      <c r="AE424" s="47"/>
      <c r="AF424" s="69"/>
      <c r="AG424" s="223"/>
      <c r="AJ424" s="47"/>
      <c r="AK424" s="73"/>
      <c r="AL424" s="47"/>
      <c r="AM424" s="47"/>
      <c r="AN424" s="47"/>
      <c r="AO424" s="47"/>
      <c r="AP424" s="47"/>
      <c r="AQ424" s="47"/>
      <c r="AR424" s="25"/>
    </row>
    <row r="425" spans="1:44" ht="12.75" customHeight="1" x14ac:dyDescent="0.15">
      <c r="A425" s="47"/>
      <c r="B425" s="47"/>
      <c r="C425" s="47"/>
      <c r="D425" s="47"/>
      <c r="E425" s="47"/>
      <c r="F425" s="47"/>
      <c r="G425" s="47"/>
      <c r="H425" s="47"/>
      <c r="I425" s="111"/>
      <c r="J425" s="52"/>
      <c r="K425" s="148"/>
      <c r="L425" s="52"/>
      <c r="M425" s="148"/>
      <c r="N425" s="52"/>
      <c r="O425" s="148"/>
      <c r="P425" s="52"/>
      <c r="Q425" s="155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52"/>
      <c r="AD425" s="52"/>
      <c r="AE425" s="47"/>
      <c r="AF425" s="69"/>
      <c r="AG425" s="223"/>
      <c r="AJ425" s="47"/>
      <c r="AK425" s="73"/>
      <c r="AL425" s="47"/>
      <c r="AM425" s="47"/>
      <c r="AN425" s="47"/>
      <c r="AO425" s="47"/>
      <c r="AP425" s="47"/>
      <c r="AQ425" s="47"/>
      <c r="AR425" s="25"/>
    </row>
    <row r="426" spans="1:44" ht="12.75" customHeight="1" x14ac:dyDescent="0.15">
      <c r="A426" s="47"/>
      <c r="B426" s="47"/>
      <c r="C426" s="47"/>
      <c r="D426" s="47"/>
      <c r="E426" s="47"/>
      <c r="F426" s="47"/>
      <c r="G426" s="47"/>
      <c r="H426" s="47"/>
      <c r="I426" s="111"/>
      <c r="J426" s="52"/>
      <c r="K426" s="148"/>
      <c r="L426" s="52"/>
      <c r="M426" s="148"/>
      <c r="N426" s="52"/>
      <c r="O426" s="148"/>
      <c r="P426" s="52"/>
      <c r="Q426" s="155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52"/>
      <c r="AD426" s="52"/>
      <c r="AE426" s="47"/>
      <c r="AF426" s="69"/>
      <c r="AG426" s="223"/>
      <c r="AJ426" s="47"/>
      <c r="AK426" s="73"/>
      <c r="AL426" s="47"/>
      <c r="AM426" s="47"/>
      <c r="AN426" s="47"/>
      <c r="AO426" s="47"/>
      <c r="AP426" s="47"/>
      <c r="AQ426" s="47"/>
      <c r="AR426" s="25"/>
    </row>
    <row r="427" spans="1:44" ht="12.75" customHeight="1" x14ac:dyDescent="0.15">
      <c r="A427" s="47"/>
      <c r="B427" s="47"/>
      <c r="C427" s="47"/>
      <c r="D427" s="47"/>
      <c r="E427" s="47"/>
      <c r="F427" s="47"/>
      <c r="G427" s="47"/>
      <c r="H427" s="47"/>
      <c r="I427" s="111"/>
      <c r="J427" s="52"/>
      <c r="K427" s="148"/>
      <c r="L427" s="52"/>
      <c r="M427" s="148"/>
      <c r="N427" s="52"/>
      <c r="O427" s="148"/>
      <c r="P427" s="52"/>
      <c r="Q427" s="155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52"/>
      <c r="AD427" s="52"/>
      <c r="AE427" s="47"/>
      <c r="AF427" s="69"/>
      <c r="AG427" s="223"/>
      <c r="AJ427" s="47"/>
      <c r="AK427" s="73"/>
      <c r="AL427" s="47"/>
      <c r="AM427" s="47"/>
      <c r="AN427" s="47"/>
      <c r="AO427" s="47"/>
      <c r="AP427" s="47"/>
      <c r="AQ427" s="47"/>
      <c r="AR427" s="25"/>
    </row>
    <row r="428" spans="1:44" ht="12.75" customHeight="1" x14ac:dyDescent="0.15">
      <c r="A428" s="47"/>
      <c r="B428" s="47"/>
      <c r="C428" s="47"/>
      <c r="D428" s="47"/>
      <c r="E428" s="47"/>
      <c r="F428" s="47"/>
      <c r="G428" s="47"/>
      <c r="H428" s="47"/>
      <c r="I428" s="111"/>
      <c r="J428" s="52"/>
      <c r="K428" s="148"/>
      <c r="L428" s="52"/>
      <c r="M428" s="148"/>
      <c r="N428" s="52"/>
      <c r="O428" s="148"/>
      <c r="P428" s="52"/>
      <c r="Q428" s="155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52"/>
      <c r="AD428" s="52"/>
      <c r="AE428" s="47"/>
      <c r="AF428" s="69"/>
      <c r="AG428" s="223"/>
      <c r="AJ428" s="47"/>
      <c r="AK428" s="73"/>
      <c r="AL428" s="47"/>
      <c r="AM428" s="47"/>
      <c r="AN428" s="47"/>
      <c r="AO428" s="47"/>
      <c r="AP428" s="47"/>
      <c r="AQ428" s="47"/>
      <c r="AR428" s="25"/>
    </row>
    <row r="429" spans="1:44" ht="12.75" customHeight="1" x14ac:dyDescent="0.15">
      <c r="A429" s="47"/>
      <c r="B429" s="47"/>
      <c r="C429" s="47"/>
      <c r="D429" s="47"/>
      <c r="E429" s="47"/>
      <c r="F429" s="47"/>
      <c r="G429" s="47"/>
      <c r="H429" s="47"/>
      <c r="I429" s="111"/>
      <c r="J429" s="52"/>
      <c r="K429" s="148"/>
      <c r="L429" s="52"/>
      <c r="M429" s="148"/>
      <c r="N429" s="52"/>
      <c r="O429" s="148"/>
      <c r="P429" s="52"/>
      <c r="Q429" s="155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52"/>
      <c r="AD429" s="52"/>
      <c r="AE429" s="47"/>
      <c r="AF429" s="69"/>
      <c r="AG429" s="223"/>
      <c r="AJ429" s="47"/>
      <c r="AK429" s="73"/>
      <c r="AL429" s="47"/>
      <c r="AM429" s="47"/>
      <c r="AN429" s="47"/>
      <c r="AO429" s="47"/>
      <c r="AP429" s="47"/>
      <c r="AQ429" s="47"/>
      <c r="AR429" s="25"/>
    </row>
    <row r="430" spans="1:44" ht="12.75" customHeight="1" x14ac:dyDescent="0.15">
      <c r="A430" s="47"/>
      <c r="B430" s="47"/>
      <c r="C430" s="47"/>
      <c r="D430" s="47"/>
      <c r="E430" s="47"/>
      <c r="F430" s="47"/>
      <c r="G430" s="47"/>
      <c r="H430" s="47"/>
      <c r="I430" s="111"/>
      <c r="J430" s="52"/>
      <c r="K430" s="148"/>
      <c r="L430" s="52"/>
      <c r="M430" s="148"/>
      <c r="N430" s="52"/>
      <c r="O430" s="148"/>
      <c r="P430" s="52"/>
      <c r="Q430" s="155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52"/>
      <c r="AD430" s="52"/>
      <c r="AE430" s="47"/>
      <c r="AF430" s="69"/>
      <c r="AG430" s="223"/>
      <c r="AJ430" s="47"/>
      <c r="AK430" s="73"/>
      <c r="AL430" s="47"/>
      <c r="AM430" s="47"/>
      <c r="AN430" s="47"/>
      <c r="AO430" s="47"/>
      <c r="AP430" s="47"/>
      <c r="AQ430" s="47"/>
      <c r="AR430" s="25"/>
    </row>
    <row r="431" spans="1:44" ht="12.75" customHeight="1" x14ac:dyDescent="0.15">
      <c r="A431" s="47"/>
      <c r="B431" s="47"/>
      <c r="C431" s="47"/>
      <c r="D431" s="47"/>
      <c r="E431" s="47"/>
      <c r="F431" s="47"/>
      <c r="G431" s="47"/>
      <c r="H431" s="47"/>
      <c r="I431" s="111"/>
      <c r="J431" s="52"/>
      <c r="K431" s="148"/>
      <c r="L431" s="52"/>
      <c r="M431" s="148"/>
      <c r="N431" s="52"/>
      <c r="O431" s="148"/>
      <c r="P431" s="52"/>
      <c r="Q431" s="155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52"/>
      <c r="AD431" s="52"/>
      <c r="AE431" s="47"/>
      <c r="AF431" s="69"/>
      <c r="AG431" s="223"/>
      <c r="AJ431" s="47"/>
      <c r="AK431" s="73"/>
      <c r="AL431" s="47"/>
      <c r="AM431" s="47"/>
      <c r="AN431" s="47"/>
      <c r="AO431" s="47"/>
      <c r="AP431" s="47"/>
      <c r="AQ431" s="47"/>
      <c r="AR431" s="25"/>
    </row>
    <row r="432" spans="1:44" ht="12.75" customHeight="1" x14ac:dyDescent="0.15">
      <c r="A432" s="47"/>
      <c r="B432" s="47"/>
      <c r="C432" s="47"/>
      <c r="D432" s="47"/>
      <c r="E432" s="47"/>
      <c r="F432" s="47"/>
      <c r="G432" s="47"/>
      <c r="H432" s="47"/>
      <c r="I432" s="111"/>
      <c r="J432" s="52"/>
      <c r="K432" s="148"/>
      <c r="L432" s="52"/>
      <c r="M432" s="148"/>
      <c r="N432" s="52"/>
      <c r="O432" s="148"/>
      <c r="P432" s="52"/>
      <c r="Q432" s="155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52"/>
      <c r="AD432" s="52"/>
      <c r="AE432" s="47"/>
      <c r="AF432" s="69"/>
      <c r="AG432" s="223"/>
      <c r="AJ432" s="47"/>
      <c r="AK432" s="73"/>
      <c r="AL432" s="47"/>
      <c r="AM432" s="47"/>
      <c r="AN432" s="47"/>
      <c r="AO432" s="47"/>
      <c r="AP432" s="47"/>
      <c r="AQ432" s="47"/>
      <c r="AR432" s="25"/>
    </row>
    <row r="433" spans="1:44" ht="12.75" customHeight="1" x14ac:dyDescent="0.15">
      <c r="A433" s="47"/>
      <c r="B433" s="47"/>
      <c r="C433" s="47"/>
      <c r="D433" s="47"/>
      <c r="E433" s="47"/>
      <c r="F433" s="47"/>
      <c r="G433" s="47"/>
      <c r="H433" s="47"/>
      <c r="I433" s="111"/>
      <c r="J433" s="52"/>
      <c r="K433" s="148"/>
      <c r="L433" s="52"/>
      <c r="M433" s="148"/>
      <c r="N433" s="52"/>
      <c r="O433" s="148"/>
      <c r="P433" s="52"/>
      <c r="Q433" s="155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52"/>
      <c r="AD433" s="52"/>
      <c r="AE433" s="47"/>
      <c r="AF433" s="69"/>
      <c r="AG433" s="223"/>
      <c r="AJ433" s="47"/>
      <c r="AK433" s="73"/>
      <c r="AL433" s="47"/>
      <c r="AM433" s="47"/>
      <c r="AN433" s="47"/>
      <c r="AO433" s="47"/>
      <c r="AP433" s="47"/>
      <c r="AQ433" s="47"/>
      <c r="AR433" s="25"/>
    </row>
    <row r="434" spans="1:44" ht="12.75" customHeight="1" x14ac:dyDescent="0.15">
      <c r="A434" s="47"/>
      <c r="B434" s="47"/>
      <c r="C434" s="47"/>
      <c r="D434" s="47"/>
      <c r="E434" s="47"/>
      <c r="F434" s="47"/>
      <c r="G434" s="47"/>
      <c r="H434" s="47"/>
      <c r="I434" s="111"/>
      <c r="J434" s="52"/>
      <c r="K434" s="148"/>
      <c r="L434" s="52"/>
      <c r="M434" s="148"/>
      <c r="N434" s="52"/>
      <c r="O434" s="148"/>
      <c r="P434" s="52"/>
      <c r="Q434" s="155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52"/>
      <c r="AD434" s="52"/>
      <c r="AE434" s="47"/>
      <c r="AF434" s="69"/>
      <c r="AG434" s="223"/>
      <c r="AJ434" s="47"/>
      <c r="AK434" s="73"/>
      <c r="AL434" s="47"/>
      <c r="AM434" s="47"/>
      <c r="AN434" s="47"/>
      <c r="AO434" s="47"/>
      <c r="AP434" s="47"/>
      <c r="AQ434" s="47"/>
      <c r="AR434" s="25"/>
    </row>
    <row r="435" spans="1:44" ht="12.75" customHeight="1" x14ac:dyDescent="0.15">
      <c r="A435" s="47"/>
      <c r="B435" s="47"/>
      <c r="C435" s="47"/>
      <c r="D435" s="47"/>
      <c r="E435" s="47"/>
      <c r="F435" s="47"/>
      <c r="G435" s="47"/>
      <c r="H435" s="47"/>
      <c r="I435" s="111"/>
      <c r="J435" s="52"/>
      <c r="K435" s="148"/>
      <c r="L435" s="52"/>
      <c r="M435" s="148"/>
      <c r="N435" s="52"/>
      <c r="O435" s="148"/>
      <c r="P435" s="52"/>
      <c r="Q435" s="155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52"/>
      <c r="AD435" s="52"/>
      <c r="AE435" s="47"/>
      <c r="AF435" s="69"/>
      <c r="AG435" s="223"/>
      <c r="AJ435" s="47"/>
      <c r="AK435" s="73"/>
      <c r="AL435" s="47"/>
      <c r="AM435" s="47"/>
      <c r="AN435" s="47"/>
      <c r="AO435" s="47"/>
      <c r="AP435" s="47"/>
      <c r="AQ435" s="47"/>
      <c r="AR435" s="25"/>
    </row>
    <row r="436" spans="1:44" ht="12.75" customHeight="1" x14ac:dyDescent="0.15">
      <c r="A436" s="47"/>
      <c r="B436" s="47"/>
      <c r="C436" s="47"/>
      <c r="D436" s="47"/>
      <c r="E436" s="47"/>
      <c r="F436" s="47"/>
      <c r="G436" s="47"/>
      <c r="H436" s="47"/>
      <c r="I436" s="111"/>
      <c r="J436" s="52"/>
      <c r="K436" s="148"/>
      <c r="L436" s="52"/>
      <c r="M436" s="148"/>
      <c r="N436" s="52"/>
      <c r="O436" s="148"/>
      <c r="P436" s="52"/>
      <c r="Q436" s="155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52"/>
      <c r="AD436" s="52"/>
      <c r="AE436" s="47"/>
      <c r="AF436" s="69"/>
      <c r="AG436" s="223"/>
      <c r="AJ436" s="47"/>
      <c r="AK436" s="73"/>
      <c r="AL436" s="47"/>
      <c r="AM436" s="47"/>
      <c r="AN436" s="47"/>
      <c r="AO436" s="47"/>
      <c r="AP436" s="47"/>
      <c r="AQ436" s="47"/>
      <c r="AR436" s="25"/>
    </row>
    <row r="437" spans="1:44" ht="12.75" customHeight="1" x14ac:dyDescent="0.15">
      <c r="A437" s="47"/>
      <c r="B437" s="47"/>
      <c r="C437" s="47"/>
      <c r="D437" s="47"/>
      <c r="E437" s="47"/>
      <c r="F437" s="47"/>
      <c r="G437" s="47"/>
      <c r="H437" s="47"/>
      <c r="I437" s="111"/>
      <c r="J437" s="52"/>
      <c r="K437" s="148"/>
      <c r="L437" s="52"/>
      <c r="M437" s="148"/>
      <c r="N437" s="52"/>
      <c r="O437" s="148"/>
      <c r="P437" s="52"/>
      <c r="Q437" s="155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52"/>
      <c r="AD437" s="52"/>
      <c r="AE437" s="47"/>
      <c r="AF437" s="69"/>
      <c r="AG437" s="223"/>
      <c r="AJ437" s="47"/>
      <c r="AK437" s="73"/>
      <c r="AL437" s="47"/>
      <c r="AM437" s="47"/>
      <c r="AN437" s="47"/>
      <c r="AO437" s="47"/>
      <c r="AP437" s="47"/>
      <c r="AQ437" s="47"/>
      <c r="AR437" s="25"/>
    </row>
    <row r="438" spans="1:44" ht="12.75" customHeight="1" x14ac:dyDescent="0.15">
      <c r="A438" s="47"/>
      <c r="B438" s="47"/>
      <c r="C438" s="47"/>
      <c r="D438" s="47"/>
      <c r="E438" s="47"/>
      <c r="F438" s="47"/>
      <c r="G438" s="47"/>
      <c r="H438" s="47"/>
      <c r="I438" s="111"/>
      <c r="J438" s="52"/>
      <c r="K438" s="148"/>
      <c r="L438" s="52"/>
      <c r="M438" s="148"/>
      <c r="N438" s="52"/>
      <c r="O438" s="148"/>
      <c r="P438" s="52"/>
      <c r="Q438" s="155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52"/>
      <c r="AD438" s="52"/>
      <c r="AE438" s="47"/>
      <c r="AF438" s="69"/>
      <c r="AG438" s="223"/>
      <c r="AJ438" s="47"/>
      <c r="AK438" s="73"/>
      <c r="AL438" s="47"/>
      <c r="AM438" s="47"/>
      <c r="AN438" s="47"/>
      <c r="AO438" s="47"/>
      <c r="AP438" s="47"/>
      <c r="AQ438" s="47"/>
      <c r="AR438" s="25"/>
    </row>
    <row r="439" spans="1:44" ht="12.75" customHeight="1" x14ac:dyDescent="0.15">
      <c r="A439" s="47"/>
      <c r="B439" s="47"/>
      <c r="C439" s="47"/>
      <c r="D439" s="47"/>
      <c r="E439" s="47"/>
      <c r="F439" s="47"/>
      <c r="G439" s="47"/>
      <c r="H439" s="47"/>
      <c r="I439" s="111"/>
      <c r="J439" s="52"/>
      <c r="K439" s="148"/>
      <c r="L439" s="52"/>
      <c r="M439" s="148"/>
      <c r="N439" s="52"/>
      <c r="O439" s="148"/>
      <c r="P439" s="52"/>
      <c r="Q439" s="155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52"/>
      <c r="AD439" s="52"/>
      <c r="AE439" s="47"/>
      <c r="AF439" s="69"/>
      <c r="AG439" s="223"/>
      <c r="AJ439" s="47"/>
      <c r="AK439" s="73"/>
      <c r="AL439" s="47"/>
      <c r="AM439" s="47"/>
      <c r="AN439" s="47"/>
      <c r="AO439" s="47"/>
      <c r="AP439" s="47"/>
      <c r="AQ439" s="47"/>
      <c r="AR439" s="25"/>
    </row>
    <row r="440" spans="1:44" ht="12.75" customHeight="1" x14ac:dyDescent="0.15">
      <c r="A440" s="47"/>
      <c r="B440" s="47"/>
      <c r="C440" s="47"/>
      <c r="D440" s="47"/>
      <c r="E440" s="47"/>
      <c r="F440" s="47"/>
      <c r="G440" s="47"/>
      <c r="H440" s="47"/>
      <c r="I440" s="111"/>
      <c r="J440" s="52"/>
      <c r="K440" s="148"/>
      <c r="L440" s="52"/>
      <c r="M440" s="148"/>
      <c r="N440" s="52"/>
      <c r="O440" s="148"/>
      <c r="P440" s="52"/>
      <c r="Q440" s="155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52"/>
      <c r="AD440" s="52"/>
      <c r="AE440" s="47"/>
      <c r="AF440" s="69"/>
      <c r="AG440" s="223"/>
      <c r="AJ440" s="47"/>
      <c r="AK440" s="73"/>
      <c r="AL440" s="47"/>
      <c r="AM440" s="47"/>
      <c r="AN440" s="47"/>
      <c r="AO440" s="47"/>
      <c r="AP440" s="47"/>
      <c r="AQ440" s="47"/>
      <c r="AR440" s="25"/>
    </row>
    <row r="441" spans="1:44" ht="12.75" customHeight="1" x14ac:dyDescent="0.15">
      <c r="A441" s="47"/>
      <c r="B441" s="47"/>
      <c r="C441" s="47"/>
      <c r="D441" s="47"/>
      <c r="E441" s="47"/>
      <c r="F441" s="47"/>
      <c r="G441" s="47"/>
      <c r="H441" s="47"/>
      <c r="I441" s="111"/>
      <c r="J441" s="52"/>
      <c r="K441" s="148"/>
      <c r="L441" s="52"/>
      <c r="M441" s="148"/>
      <c r="N441" s="52"/>
      <c r="O441" s="148"/>
      <c r="P441" s="52"/>
      <c r="Q441" s="155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52"/>
      <c r="AD441" s="52"/>
      <c r="AE441" s="47"/>
      <c r="AF441" s="69"/>
      <c r="AG441" s="223"/>
      <c r="AJ441" s="47"/>
      <c r="AK441" s="73"/>
      <c r="AL441" s="47"/>
      <c r="AM441" s="47"/>
      <c r="AN441" s="47"/>
      <c r="AO441" s="47"/>
      <c r="AP441" s="47"/>
      <c r="AQ441" s="47"/>
      <c r="AR441" s="25"/>
    </row>
    <row r="442" spans="1:44" ht="12.75" customHeight="1" x14ac:dyDescent="0.15">
      <c r="A442" s="47"/>
      <c r="B442" s="47"/>
      <c r="C442" s="47"/>
      <c r="D442" s="47"/>
      <c r="E442" s="47"/>
      <c r="F442" s="47"/>
      <c r="G442" s="47"/>
      <c r="H442" s="47"/>
      <c r="I442" s="111"/>
      <c r="J442" s="52"/>
      <c r="K442" s="148"/>
      <c r="L442" s="52"/>
      <c r="M442" s="148"/>
      <c r="N442" s="52"/>
      <c r="O442" s="148"/>
      <c r="P442" s="52"/>
      <c r="Q442" s="155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52"/>
      <c r="AD442" s="52"/>
      <c r="AE442" s="47"/>
      <c r="AF442" s="69"/>
      <c r="AG442" s="223"/>
      <c r="AJ442" s="47"/>
      <c r="AK442" s="73"/>
      <c r="AL442" s="47"/>
      <c r="AM442" s="47"/>
      <c r="AN442" s="47"/>
      <c r="AO442" s="47"/>
      <c r="AP442" s="47"/>
      <c r="AQ442" s="47"/>
      <c r="AR442" s="25"/>
    </row>
    <row r="443" spans="1:44" ht="12.75" customHeight="1" x14ac:dyDescent="0.15">
      <c r="A443" s="47"/>
      <c r="B443" s="47"/>
      <c r="C443" s="47"/>
      <c r="D443" s="47"/>
      <c r="E443" s="47"/>
      <c r="F443" s="47"/>
      <c r="G443" s="47"/>
      <c r="H443" s="47"/>
      <c r="I443" s="111"/>
      <c r="J443" s="52"/>
      <c r="K443" s="148"/>
      <c r="L443" s="52"/>
      <c r="M443" s="148"/>
      <c r="N443" s="52"/>
      <c r="O443" s="148"/>
      <c r="P443" s="52"/>
      <c r="Q443" s="155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52"/>
      <c r="AD443" s="52"/>
      <c r="AE443" s="47"/>
      <c r="AF443" s="69"/>
      <c r="AG443" s="223"/>
      <c r="AJ443" s="47"/>
      <c r="AK443" s="73"/>
      <c r="AL443" s="47"/>
      <c r="AM443" s="47"/>
      <c r="AN443" s="47"/>
      <c r="AO443" s="47"/>
      <c r="AP443" s="47"/>
      <c r="AQ443" s="47"/>
      <c r="AR443" s="25"/>
    </row>
    <row r="444" spans="1:44" ht="12.75" customHeight="1" x14ac:dyDescent="0.15">
      <c r="A444" s="47"/>
      <c r="B444" s="47"/>
      <c r="C444" s="47"/>
      <c r="D444" s="47"/>
      <c r="E444" s="47"/>
      <c r="F444" s="47"/>
      <c r="G444" s="47"/>
      <c r="H444" s="47"/>
      <c r="I444" s="111"/>
      <c r="J444" s="52"/>
      <c r="K444" s="148"/>
      <c r="L444" s="52"/>
      <c r="M444" s="148"/>
      <c r="N444" s="52"/>
      <c r="O444" s="148"/>
      <c r="P444" s="52"/>
      <c r="Q444" s="155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52"/>
      <c r="AD444" s="52"/>
      <c r="AE444" s="47"/>
      <c r="AF444" s="69"/>
      <c r="AG444" s="223"/>
      <c r="AJ444" s="47"/>
      <c r="AK444" s="73"/>
      <c r="AL444" s="47"/>
      <c r="AM444" s="47"/>
      <c r="AN444" s="47"/>
      <c r="AO444" s="47"/>
      <c r="AP444" s="47"/>
      <c r="AQ444" s="47"/>
      <c r="AR444" s="25"/>
    </row>
    <row r="445" spans="1:44" ht="12.75" customHeight="1" x14ac:dyDescent="0.15">
      <c r="A445" s="47"/>
      <c r="B445" s="47"/>
      <c r="C445" s="47"/>
      <c r="D445" s="47"/>
      <c r="E445" s="47"/>
      <c r="F445" s="47"/>
      <c r="G445" s="47"/>
      <c r="H445" s="47"/>
      <c r="I445" s="111"/>
      <c r="J445" s="52"/>
      <c r="K445" s="148"/>
      <c r="L445" s="52"/>
      <c r="M445" s="148"/>
      <c r="N445" s="52"/>
      <c r="O445" s="148"/>
      <c r="P445" s="52"/>
      <c r="Q445" s="155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52"/>
      <c r="AD445" s="52"/>
      <c r="AE445" s="47"/>
      <c r="AF445" s="69"/>
      <c r="AG445" s="223"/>
      <c r="AJ445" s="47"/>
      <c r="AK445" s="73"/>
      <c r="AL445" s="47"/>
      <c r="AM445" s="47"/>
      <c r="AN445" s="47"/>
      <c r="AO445" s="47"/>
      <c r="AP445" s="47"/>
      <c r="AQ445" s="47"/>
      <c r="AR445" s="25"/>
    </row>
    <row r="446" spans="1:44" ht="12.75" customHeight="1" x14ac:dyDescent="0.15">
      <c r="A446" s="47"/>
      <c r="B446" s="47"/>
      <c r="C446" s="47"/>
      <c r="D446" s="47"/>
      <c r="E446" s="47"/>
      <c r="F446" s="47"/>
      <c r="G446" s="47"/>
      <c r="H446" s="47"/>
      <c r="I446" s="111"/>
      <c r="J446" s="52"/>
      <c r="K446" s="148"/>
      <c r="L446" s="52"/>
      <c r="M446" s="148"/>
      <c r="N446" s="52"/>
      <c r="O446" s="148"/>
      <c r="P446" s="52"/>
      <c r="Q446" s="155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52"/>
      <c r="AD446" s="52"/>
      <c r="AE446" s="47"/>
      <c r="AF446" s="69"/>
      <c r="AG446" s="223"/>
      <c r="AJ446" s="47"/>
      <c r="AK446" s="73"/>
      <c r="AL446" s="47"/>
      <c r="AM446" s="47"/>
      <c r="AN446" s="47"/>
      <c r="AO446" s="47"/>
      <c r="AP446" s="47"/>
      <c r="AQ446" s="47"/>
      <c r="AR446" s="25"/>
    </row>
    <row r="447" spans="1:44" ht="12.75" customHeight="1" x14ac:dyDescent="0.15">
      <c r="A447" s="47"/>
      <c r="B447" s="47"/>
      <c r="C447" s="47"/>
      <c r="D447" s="47"/>
      <c r="E447" s="47"/>
      <c r="F447" s="47"/>
      <c r="G447" s="47"/>
      <c r="H447" s="47"/>
      <c r="I447" s="111"/>
      <c r="J447" s="52"/>
      <c r="K447" s="148"/>
      <c r="L447" s="52"/>
      <c r="M447" s="148"/>
      <c r="N447" s="52"/>
      <c r="O447" s="148"/>
      <c r="P447" s="52"/>
      <c r="Q447" s="155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52"/>
      <c r="AD447" s="52"/>
      <c r="AE447" s="47"/>
      <c r="AF447" s="69"/>
      <c r="AG447" s="223"/>
      <c r="AJ447" s="47"/>
      <c r="AK447" s="73"/>
      <c r="AL447" s="47"/>
      <c r="AM447" s="47"/>
      <c r="AN447" s="47"/>
      <c r="AO447" s="47"/>
      <c r="AP447" s="47"/>
      <c r="AQ447" s="47"/>
      <c r="AR447" s="25"/>
    </row>
    <row r="448" spans="1:44" ht="12.75" customHeight="1" x14ac:dyDescent="0.15">
      <c r="A448" s="47"/>
      <c r="B448" s="47"/>
      <c r="C448" s="47"/>
      <c r="D448" s="47"/>
      <c r="E448" s="47"/>
      <c r="F448" s="47"/>
      <c r="G448" s="47"/>
      <c r="H448" s="47"/>
      <c r="I448" s="111"/>
      <c r="J448" s="52"/>
      <c r="K448" s="148"/>
      <c r="L448" s="52"/>
      <c r="M448" s="148"/>
      <c r="N448" s="52"/>
      <c r="O448" s="148"/>
      <c r="P448" s="52"/>
      <c r="Q448" s="155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52"/>
      <c r="AD448" s="52"/>
      <c r="AE448" s="47"/>
      <c r="AF448" s="69"/>
      <c r="AG448" s="223"/>
      <c r="AJ448" s="47"/>
      <c r="AK448" s="73"/>
      <c r="AL448" s="47"/>
      <c r="AM448" s="47"/>
      <c r="AN448" s="47"/>
      <c r="AO448" s="47"/>
      <c r="AP448" s="47"/>
      <c r="AQ448" s="47"/>
      <c r="AR448" s="25"/>
    </row>
    <row r="449" spans="1:44" ht="12.75" customHeight="1" x14ac:dyDescent="0.15">
      <c r="A449" s="47"/>
      <c r="B449" s="47"/>
      <c r="C449" s="47"/>
      <c r="D449" s="47"/>
      <c r="E449" s="47"/>
      <c r="F449" s="47"/>
      <c r="G449" s="47"/>
      <c r="H449" s="47"/>
      <c r="I449" s="111"/>
      <c r="J449" s="52"/>
      <c r="K449" s="148"/>
      <c r="L449" s="52"/>
      <c r="M449" s="148"/>
      <c r="N449" s="52"/>
      <c r="O449" s="148"/>
      <c r="P449" s="52"/>
      <c r="Q449" s="155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52"/>
      <c r="AD449" s="52"/>
      <c r="AE449" s="47"/>
      <c r="AF449" s="69"/>
      <c r="AG449" s="223"/>
      <c r="AJ449" s="47"/>
      <c r="AK449" s="73"/>
      <c r="AL449" s="47"/>
      <c r="AM449" s="47"/>
      <c r="AN449" s="47"/>
      <c r="AO449" s="47"/>
      <c r="AP449" s="47"/>
      <c r="AQ449" s="47"/>
      <c r="AR449" s="25"/>
    </row>
    <row r="450" spans="1:44" ht="12.75" customHeight="1" x14ac:dyDescent="0.15">
      <c r="A450" s="47"/>
      <c r="B450" s="47"/>
      <c r="C450" s="47"/>
      <c r="D450" s="47"/>
      <c r="E450" s="47"/>
      <c r="F450" s="47"/>
      <c r="G450" s="47"/>
      <c r="H450" s="47"/>
      <c r="I450" s="111"/>
      <c r="J450" s="52"/>
      <c r="K450" s="148"/>
      <c r="L450" s="52"/>
      <c r="M450" s="148"/>
      <c r="N450" s="52"/>
      <c r="O450" s="148"/>
      <c r="P450" s="52"/>
      <c r="Q450" s="155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52"/>
      <c r="AD450" s="52"/>
      <c r="AE450" s="47"/>
      <c r="AF450" s="69"/>
      <c r="AG450" s="223"/>
      <c r="AJ450" s="47"/>
      <c r="AK450" s="73"/>
      <c r="AL450" s="47"/>
      <c r="AM450" s="47"/>
      <c r="AN450" s="47"/>
      <c r="AO450" s="47"/>
      <c r="AP450" s="47"/>
      <c r="AQ450" s="47"/>
      <c r="AR450" s="25"/>
    </row>
    <row r="451" spans="1:44" ht="12.75" customHeight="1" x14ac:dyDescent="0.15">
      <c r="A451" s="47"/>
      <c r="B451" s="47"/>
      <c r="C451" s="47"/>
      <c r="D451" s="47"/>
      <c r="E451" s="47"/>
      <c r="F451" s="47"/>
      <c r="G451" s="47"/>
      <c r="H451" s="47"/>
      <c r="I451" s="111"/>
      <c r="J451" s="52"/>
      <c r="K451" s="148"/>
      <c r="L451" s="52"/>
      <c r="M451" s="148"/>
      <c r="N451" s="52"/>
      <c r="O451" s="148"/>
      <c r="P451" s="52"/>
      <c r="Q451" s="155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52"/>
      <c r="AD451" s="52"/>
      <c r="AE451" s="47"/>
      <c r="AF451" s="69"/>
      <c r="AG451" s="223"/>
      <c r="AJ451" s="47"/>
      <c r="AK451" s="73"/>
      <c r="AL451" s="47"/>
      <c r="AM451" s="47"/>
      <c r="AN451" s="47"/>
      <c r="AO451" s="47"/>
      <c r="AP451" s="47"/>
      <c r="AQ451" s="47"/>
      <c r="AR451" s="25"/>
    </row>
    <row r="452" spans="1:44" ht="12.75" customHeight="1" x14ac:dyDescent="0.15">
      <c r="A452" s="47"/>
      <c r="B452" s="47"/>
      <c r="C452" s="47"/>
      <c r="D452" s="47"/>
      <c r="E452" s="47"/>
      <c r="F452" s="47"/>
      <c r="G452" s="47"/>
      <c r="H452" s="47"/>
      <c r="I452" s="111"/>
      <c r="J452" s="52"/>
      <c r="K452" s="148"/>
      <c r="L452" s="52"/>
      <c r="M452" s="148"/>
      <c r="N452" s="52"/>
      <c r="O452" s="148"/>
      <c r="P452" s="52"/>
      <c r="Q452" s="155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52"/>
      <c r="AD452" s="52"/>
      <c r="AE452" s="47"/>
      <c r="AF452" s="69"/>
      <c r="AG452" s="223"/>
      <c r="AJ452" s="47"/>
      <c r="AK452" s="73"/>
      <c r="AL452" s="47"/>
      <c r="AM452" s="47"/>
      <c r="AN452" s="47"/>
      <c r="AO452" s="47"/>
      <c r="AP452" s="47"/>
      <c r="AQ452" s="47"/>
      <c r="AR452" s="25"/>
    </row>
    <row r="453" spans="1:44" ht="12.75" customHeight="1" x14ac:dyDescent="0.15">
      <c r="A453" s="47"/>
      <c r="B453" s="47"/>
      <c r="C453" s="47"/>
      <c r="D453" s="47"/>
      <c r="E453" s="47"/>
      <c r="F453" s="47"/>
      <c r="G453" s="47"/>
      <c r="H453" s="47"/>
      <c r="I453" s="111"/>
      <c r="J453" s="52"/>
      <c r="K453" s="148"/>
      <c r="L453" s="52"/>
      <c r="M453" s="148"/>
      <c r="N453" s="52"/>
      <c r="O453" s="148"/>
      <c r="P453" s="52"/>
      <c r="Q453" s="155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52"/>
      <c r="AD453" s="52"/>
      <c r="AE453" s="47"/>
      <c r="AF453" s="69"/>
      <c r="AG453" s="223"/>
      <c r="AJ453" s="47"/>
      <c r="AK453" s="73"/>
      <c r="AL453" s="47"/>
      <c r="AM453" s="47"/>
      <c r="AN453" s="47"/>
      <c r="AO453" s="47"/>
      <c r="AP453" s="47"/>
      <c r="AQ453" s="47"/>
      <c r="AR453" s="25"/>
    </row>
    <row r="454" spans="1:44" ht="12.75" customHeight="1" x14ac:dyDescent="0.15">
      <c r="A454" s="47"/>
      <c r="B454" s="47"/>
      <c r="C454" s="47"/>
      <c r="D454" s="47"/>
      <c r="E454" s="47"/>
      <c r="F454" s="47"/>
      <c r="G454" s="47"/>
      <c r="H454" s="47"/>
      <c r="I454" s="111"/>
      <c r="J454" s="52"/>
      <c r="K454" s="148"/>
      <c r="L454" s="52"/>
      <c r="M454" s="148"/>
      <c r="N454" s="52"/>
      <c r="O454" s="148"/>
      <c r="P454" s="52"/>
      <c r="Q454" s="155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52"/>
      <c r="AD454" s="52"/>
      <c r="AE454" s="47"/>
      <c r="AF454" s="69"/>
      <c r="AG454" s="223"/>
      <c r="AJ454" s="47"/>
      <c r="AK454" s="73"/>
      <c r="AL454" s="47"/>
      <c r="AM454" s="47"/>
      <c r="AN454" s="47"/>
      <c r="AO454" s="47"/>
      <c r="AP454" s="47"/>
      <c r="AQ454" s="47"/>
      <c r="AR454" s="25"/>
    </row>
    <row r="455" spans="1:44" ht="12.75" customHeight="1" x14ac:dyDescent="0.15">
      <c r="A455" s="47"/>
      <c r="B455" s="47"/>
      <c r="C455" s="47"/>
      <c r="D455" s="47"/>
      <c r="E455" s="47"/>
      <c r="F455" s="47"/>
      <c r="G455" s="47"/>
      <c r="H455" s="47"/>
      <c r="I455" s="111"/>
      <c r="J455" s="52"/>
      <c r="K455" s="148"/>
      <c r="L455" s="52"/>
      <c r="M455" s="148"/>
      <c r="N455" s="52"/>
      <c r="O455" s="148"/>
      <c r="P455" s="52"/>
      <c r="Q455" s="155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52"/>
      <c r="AD455" s="52"/>
      <c r="AE455" s="47"/>
      <c r="AF455" s="69"/>
      <c r="AG455" s="223"/>
      <c r="AJ455" s="47"/>
      <c r="AK455" s="73"/>
      <c r="AL455" s="47"/>
      <c r="AM455" s="47"/>
      <c r="AN455" s="47"/>
      <c r="AO455" s="47"/>
      <c r="AP455" s="47"/>
      <c r="AQ455" s="47"/>
      <c r="AR455" s="25"/>
    </row>
    <row r="456" spans="1:44" ht="12.75" customHeight="1" x14ac:dyDescent="0.15">
      <c r="A456" s="47"/>
      <c r="B456" s="47"/>
      <c r="C456" s="47"/>
      <c r="D456" s="47"/>
      <c r="E456" s="47"/>
      <c r="F456" s="47"/>
      <c r="G456" s="47"/>
      <c r="H456" s="47"/>
      <c r="I456" s="111"/>
      <c r="J456" s="52"/>
      <c r="K456" s="148"/>
      <c r="L456" s="52"/>
      <c r="M456" s="148"/>
      <c r="N456" s="52"/>
      <c r="O456" s="148"/>
      <c r="P456" s="52"/>
      <c r="Q456" s="155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52"/>
      <c r="AD456" s="52"/>
      <c r="AE456" s="47"/>
      <c r="AF456" s="69"/>
      <c r="AG456" s="223"/>
      <c r="AJ456" s="47"/>
      <c r="AK456" s="73"/>
      <c r="AL456" s="47"/>
      <c r="AM456" s="47"/>
      <c r="AN456" s="47"/>
      <c r="AO456" s="47"/>
      <c r="AP456" s="47"/>
      <c r="AQ456" s="47"/>
      <c r="AR456" s="25"/>
    </row>
    <row r="457" spans="1:44" ht="12.75" customHeight="1" x14ac:dyDescent="0.15">
      <c r="A457" s="47"/>
      <c r="B457" s="47"/>
      <c r="C457" s="47"/>
      <c r="D457" s="47"/>
      <c r="E457" s="47"/>
      <c r="F457" s="47"/>
      <c r="G457" s="47"/>
      <c r="H457" s="47"/>
      <c r="I457" s="111"/>
      <c r="J457" s="52"/>
      <c r="K457" s="148"/>
      <c r="L457" s="52"/>
      <c r="M457" s="148"/>
      <c r="N457" s="52"/>
      <c r="O457" s="148"/>
      <c r="P457" s="52"/>
      <c r="Q457" s="155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52"/>
      <c r="AD457" s="52"/>
      <c r="AE457" s="47"/>
      <c r="AF457" s="69"/>
      <c r="AG457" s="223"/>
      <c r="AJ457" s="47"/>
      <c r="AK457" s="73"/>
      <c r="AL457" s="47"/>
      <c r="AM457" s="47"/>
      <c r="AN457" s="47"/>
      <c r="AO457" s="47"/>
      <c r="AP457" s="47"/>
      <c r="AQ457" s="47"/>
      <c r="AR457" s="25"/>
    </row>
    <row r="458" spans="1:44" ht="12.75" customHeight="1" x14ac:dyDescent="0.15">
      <c r="A458" s="47"/>
      <c r="B458" s="47"/>
      <c r="C458" s="47"/>
      <c r="D458" s="47"/>
      <c r="E458" s="47"/>
      <c r="F458" s="47"/>
      <c r="G458" s="47"/>
      <c r="H458" s="47"/>
      <c r="I458" s="111"/>
      <c r="J458" s="52"/>
      <c r="K458" s="148"/>
      <c r="L458" s="52"/>
      <c r="M458" s="148"/>
      <c r="N458" s="52"/>
      <c r="O458" s="148"/>
      <c r="P458" s="52"/>
      <c r="Q458" s="155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52"/>
      <c r="AD458" s="52"/>
      <c r="AE458" s="47"/>
      <c r="AF458" s="69"/>
      <c r="AG458" s="223"/>
      <c r="AJ458" s="47"/>
      <c r="AK458" s="73"/>
      <c r="AL458" s="47"/>
      <c r="AM458" s="47"/>
      <c r="AN458" s="47"/>
      <c r="AO458" s="47"/>
      <c r="AP458" s="47"/>
      <c r="AQ458" s="47"/>
      <c r="AR458" s="25"/>
    </row>
    <row r="459" spans="1:44" ht="12.75" customHeight="1" x14ac:dyDescent="0.15">
      <c r="A459" s="47"/>
      <c r="B459" s="47"/>
      <c r="C459" s="47"/>
      <c r="D459" s="47"/>
      <c r="E459" s="47"/>
      <c r="F459" s="47"/>
      <c r="G459" s="47"/>
      <c r="H459" s="47"/>
      <c r="I459" s="111"/>
      <c r="J459" s="52"/>
      <c r="K459" s="148"/>
      <c r="L459" s="52"/>
      <c r="M459" s="148"/>
      <c r="N459" s="52"/>
      <c r="O459" s="148"/>
      <c r="P459" s="52"/>
      <c r="Q459" s="155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52"/>
      <c r="AD459" s="52"/>
      <c r="AE459" s="47"/>
      <c r="AF459" s="69"/>
      <c r="AG459" s="223"/>
      <c r="AJ459" s="47"/>
      <c r="AK459" s="73"/>
      <c r="AL459" s="47"/>
      <c r="AM459" s="47"/>
      <c r="AN459" s="47"/>
      <c r="AO459" s="47"/>
      <c r="AP459" s="47"/>
      <c r="AQ459" s="47"/>
      <c r="AR459" s="25"/>
    </row>
    <row r="460" spans="1:44" ht="12.75" customHeight="1" x14ac:dyDescent="0.15">
      <c r="A460" s="47"/>
      <c r="B460" s="47"/>
      <c r="C460" s="47"/>
      <c r="D460" s="47"/>
      <c r="E460" s="47"/>
      <c r="F460" s="47"/>
      <c r="G460" s="47"/>
      <c r="H460" s="47"/>
      <c r="I460" s="111"/>
      <c r="J460" s="52"/>
      <c r="K460" s="148"/>
      <c r="L460" s="52"/>
      <c r="M460" s="148"/>
      <c r="N460" s="52"/>
      <c r="O460" s="148"/>
      <c r="P460" s="52"/>
      <c r="Q460" s="155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52"/>
      <c r="AD460" s="52"/>
      <c r="AE460" s="47"/>
      <c r="AF460" s="69"/>
      <c r="AG460" s="223"/>
      <c r="AJ460" s="47"/>
      <c r="AK460" s="73"/>
      <c r="AL460" s="47"/>
      <c r="AM460" s="47"/>
      <c r="AN460" s="47"/>
      <c r="AO460" s="47"/>
      <c r="AP460" s="47"/>
      <c r="AQ460" s="47"/>
      <c r="AR460" s="25"/>
    </row>
    <row r="461" spans="1:44" ht="12.75" customHeight="1" x14ac:dyDescent="0.15">
      <c r="A461" s="47"/>
      <c r="B461" s="47"/>
      <c r="C461" s="47"/>
      <c r="D461" s="47"/>
      <c r="E461" s="47"/>
      <c r="F461" s="47"/>
      <c r="G461" s="47"/>
      <c r="H461" s="47"/>
      <c r="I461" s="111"/>
      <c r="J461" s="52"/>
      <c r="K461" s="148"/>
      <c r="L461" s="52"/>
      <c r="M461" s="148"/>
      <c r="N461" s="52"/>
      <c r="O461" s="148"/>
      <c r="P461" s="52"/>
      <c r="Q461" s="155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52"/>
      <c r="AD461" s="52"/>
      <c r="AE461" s="47"/>
      <c r="AF461" s="69"/>
      <c r="AG461" s="223"/>
      <c r="AJ461" s="47"/>
      <c r="AK461" s="73"/>
      <c r="AL461" s="47"/>
      <c r="AM461" s="47"/>
      <c r="AN461" s="47"/>
      <c r="AO461" s="47"/>
      <c r="AP461" s="47"/>
      <c r="AQ461" s="47"/>
      <c r="AR461" s="25"/>
    </row>
    <row r="462" spans="1:44" ht="12.75" customHeight="1" x14ac:dyDescent="0.15">
      <c r="A462" s="47"/>
      <c r="B462" s="47"/>
      <c r="C462" s="47"/>
      <c r="D462" s="47"/>
      <c r="E462" s="47"/>
      <c r="F462" s="47"/>
      <c r="G462" s="47"/>
      <c r="H462" s="47"/>
      <c r="I462" s="111"/>
      <c r="J462" s="52"/>
      <c r="K462" s="148"/>
      <c r="L462" s="52"/>
      <c r="M462" s="148"/>
      <c r="N462" s="52"/>
      <c r="O462" s="148"/>
      <c r="P462" s="52"/>
      <c r="Q462" s="155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52"/>
      <c r="AD462" s="52"/>
      <c r="AE462" s="47"/>
      <c r="AF462" s="69"/>
      <c r="AG462" s="223"/>
      <c r="AJ462" s="47"/>
      <c r="AK462" s="73"/>
      <c r="AL462" s="47"/>
      <c r="AM462" s="47"/>
      <c r="AN462" s="47"/>
      <c r="AO462" s="47"/>
      <c r="AP462" s="47"/>
      <c r="AQ462" s="47"/>
      <c r="AR462" s="25"/>
    </row>
    <row r="463" spans="1:44" ht="12.75" customHeight="1" x14ac:dyDescent="0.15">
      <c r="A463" s="47"/>
      <c r="B463" s="47"/>
      <c r="C463" s="47"/>
      <c r="D463" s="47"/>
      <c r="E463" s="47"/>
      <c r="F463" s="47"/>
      <c r="G463" s="47"/>
      <c r="H463" s="47"/>
      <c r="I463" s="111"/>
      <c r="J463" s="52"/>
      <c r="K463" s="148"/>
      <c r="L463" s="52"/>
      <c r="M463" s="148"/>
      <c r="N463" s="52"/>
      <c r="O463" s="148"/>
      <c r="P463" s="52"/>
      <c r="Q463" s="155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52"/>
      <c r="AD463" s="52"/>
      <c r="AE463" s="47"/>
      <c r="AF463" s="69"/>
      <c r="AG463" s="223"/>
      <c r="AJ463" s="47"/>
      <c r="AK463" s="73"/>
      <c r="AL463" s="47"/>
      <c r="AM463" s="47"/>
      <c r="AN463" s="47"/>
      <c r="AO463" s="47"/>
      <c r="AP463" s="47"/>
      <c r="AQ463" s="47"/>
      <c r="AR463" s="25"/>
    </row>
    <row r="464" spans="1:44" ht="12.75" customHeight="1" x14ac:dyDescent="0.15">
      <c r="A464" s="47"/>
      <c r="B464" s="47"/>
      <c r="C464" s="47"/>
      <c r="D464" s="47"/>
      <c r="E464" s="47"/>
      <c r="F464" s="47"/>
      <c r="G464" s="47"/>
      <c r="H464" s="47"/>
      <c r="I464" s="111"/>
      <c r="J464" s="52"/>
      <c r="K464" s="148"/>
      <c r="L464" s="52"/>
      <c r="M464" s="148"/>
      <c r="N464" s="52"/>
      <c r="O464" s="148"/>
      <c r="P464" s="52"/>
      <c r="Q464" s="155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52"/>
      <c r="AD464" s="52"/>
      <c r="AE464" s="47"/>
      <c r="AF464" s="69"/>
      <c r="AG464" s="223"/>
      <c r="AJ464" s="47"/>
      <c r="AK464" s="73"/>
      <c r="AL464" s="47"/>
      <c r="AM464" s="47"/>
      <c r="AN464" s="47"/>
      <c r="AO464" s="47"/>
      <c r="AP464" s="47"/>
      <c r="AQ464" s="47"/>
      <c r="AR464" s="25"/>
    </row>
    <row r="465" spans="1:44" ht="12.75" customHeight="1" x14ac:dyDescent="0.15">
      <c r="A465" s="47"/>
      <c r="B465" s="47"/>
      <c r="C465" s="47"/>
      <c r="D465" s="47"/>
      <c r="E465" s="47"/>
      <c r="F465" s="47"/>
      <c r="G465" s="47"/>
      <c r="H465" s="47"/>
      <c r="I465" s="111"/>
      <c r="J465" s="52"/>
      <c r="K465" s="148"/>
      <c r="L465" s="52"/>
      <c r="M465" s="148"/>
      <c r="N465" s="52"/>
      <c r="O465" s="148"/>
      <c r="P465" s="52"/>
      <c r="Q465" s="155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52"/>
      <c r="AD465" s="52"/>
      <c r="AE465" s="47"/>
      <c r="AF465" s="69"/>
      <c r="AG465" s="223"/>
      <c r="AJ465" s="47"/>
      <c r="AK465" s="73"/>
      <c r="AL465" s="47"/>
      <c r="AM465" s="47"/>
      <c r="AN465" s="47"/>
      <c r="AO465" s="47"/>
      <c r="AP465" s="47"/>
      <c r="AQ465" s="47"/>
      <c r="AR465" s="25"/>
    </row>
    <row r="466" spans="1:44" ht="12.75" customHeight="1" x14ac:dyDescent="0.15">
      <c r="A466" s="47"/>
      <c r="B466" s="47"/>
      <c r="C466" s="47"/>
      <c r="D466" s="47"/>
      <c r="E466" s="47"/>
      <c r="F466" s="47"/>
      <c r="G466" s="47"/>
      <c r="H466" s="47"/>
      <c r="I466" s="111"/>
      <c r="J466" s="52"/>
      <c r="K466" s="148"/>
      <c r="L466" s="52"/>
      <c r="M466" s="148"/>
      <c r="N466" s="52"/>
      <c r="O466" s="148"/>
      <c r="P466" s="52"/>
      <c r="Q466" s="155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52"/>
      <c r="AD466" s="52"/>
      <c r="AE466" s="47"/>
      <c r="AF466" s="69"/>
      <c r="AG466" s="223"/>
      <c r="AJ466" s="47"/>
      <c r="AK466" s="73"/>
      <c r="AL466" s="47"/>
      <c r="AM466" s="47"/>
      <c r="AN466" s="47"/>
      <c r="AO466" s="47"/>
      <c r="AP466" s="47"/>
      <c r="AQ466" s="47"/>
      <c r="AR466" s="25"/>
    </row>
    <row r="467" spans="1:44" ht="12.75" customHeight="1" x14ac:dyDescent="0.15">
      <c r="A467" s="47"/>
      <c r="B467" s="47"/>
      <c r="C467" s="47"/>
      <c r="D467" s="47"/>
      <c r="E467" s="47"/>
      <c r="F467" s="47"/>
      <c r="G467" s="47"/>
      <c r="H467" s="47"/>
      <c r="I467" s="111"/>
      <c r="J467" s="52"/>
      <c r="K467" s="148"/>
      <c r="L467" s="52"/>
      <c r="M467" s="148"/>
      <c r="N467" s="52"/>
      <c r="O467" s="148"/>
      <c r="P467" s="52"/>
      <c r="Q467" s="155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52"/>
      <c r="AD467" s="52"/>
      <c r="AE467" s="47"/>
      <c r="AF467" s="69"/>
      <c r="AG467" s="223"/>
      <c r="AJ467" s="47"/>
      <c r="AK467" s="73"/>
      <c r="AL467" s="47"/>
      <c r="AM467" s="47"/>
      <c r="AN467" s="47"/>
      <c r="AO467" s="47"/>
      <c r="AP467" s="47"/>
      <c r="AQ467" s="47"/>
      <c r="AR467" s="25"/>
    </row>
    <row r="468" spans="1:44" ht="12.75" customHeight="1" x14ac:dyDescent="0.15">
      <c r="A468" s="47"/>
      <c r="B468" s="47"/>
      <c r="C468" s="47"/>
      <c r="D468" s="47"/>
      <c r="E468" s="47"/>
      <c r="F468" s="47"/>
      <c r="G468" s="47"/>
      <c r="H468" s="47"/>
      <c r="I468" s="111"/>
      <c r="J468" s="52"/>
      <c r="K468" s="148"/>
      <c r="L468" s="52"/>
      <c r="M468" s="148"/>
      <c r="N468" s="52"/>
      <c r="O468" s="148"/>
      <c r="P468" s="52"/>
      <c r="Q468" s="155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52"/>
      <c r="AD468" s="52"/>
      <c r="AE468" s="47"/>
      <c r="AF468" s="69"/>
      <c r="AG468" s="223"/>
      <c r="AJ468" s="47"/>
      <c r="AK468" s="73"/>
      <c r="AL468" s="47"/>
      <c r="AM468" s="47"/>
      <c r="AN468" s="47"/>
      <c r="AO468" s="47"/>
      <c r="AP468" s="47"/>
      <c r="AQ468" s="47"/>
      <c r="AR468" s="25"/>
    </row>
    <row r="469" spans="1:44" ht="12.75" customHeight="1" x14ac:dyDescent="0.15">
      <c r="A469" s="47"/>
      <c r="B469" s="47"/>
      <c r="C469" s="47"/>
      <c r="D469" s="47"/>
      <c r="E469" s="47"/>
      <c r="F469" s="47"/>
      <c r="G469" s="47"/>
      <c r="H469" s="47"/>
      <c r="I469" s="111"/>
      <c r="J469" s="52"/>
      <c r="K469" s="148"/>
      <c r="L469" s="52"/>
      <c r="M469" s="148"/>
      <c r="N469" s="52"/>
      <c r="O469" s="148"/>
      <c r="P469" s="52"/>
      <c r="Q469" s="155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52"/>
      <c r="AD469" s="52"/>
      <c r="AE469" s="47"/>
      <c r="AF469" s="69"/>
      <c r="AG469" s="223"/>
      <c r="AJ469" s="47"/>
      <c r="AK469" s="73"/>
      <c r="AL469" s="47"/>
      <c r="AM469" s="47"/>
      <c r="AN469" s="47"/>
      <c r="AO469" s="47"/>
      <c r="AP469" s="47"/>
      <c r="AQ469" s="47"/>
      <c r="AR469" s="25"/>
    </row>
    <row r="470" spans="1:44" ht="12.75" customHeight="1" x14ac:dyDescent="0.15">
      <c r="A470" s="47"/>
      <c r="B470" s="47"/>
      <c r="C470" s="47"/>
      <c r="D470" s="47"/>
      <c r="E470" s="47"/>
      <c r="F470" s="47"/>
      <c r="G470" s="47"/>
      <c r="H470" s="47"/>
      <c r="I470" s="111"/>
      <c r="J470" s="52"/>
      <c r="K470" s="148"/>
      <c r="L470" s="52"/>
      <c r="M470" s="148"/>
      <c r="N470" s="52"/>
      <c r="O470" s="148"/>
      <c r="P470" s="52"/>
      <c r="Q470" s="155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52"/>
      <c r="AD470" s="52"/>
      <c r="AE470" s="47"/>
      <c r="AF470" s="69"/>
      <c r="AG470" s="223"/>
      <c r="AJ470" s="47"/>
      <c r="AK470" s="73"/>
      <c r="AL470" s="47"/>
      <c r="AM470" s="47"/>
      <c r="AN470" s="47"/>
      <c r="AO470" s="47"/>
      <c r="AP470" s="47"/>
      <c r="AQ470" s="47"/>
      <c r="AR470" s="25"/>
    </row>
    <row r="471" spans="1:44" ht="12.75" customHeight="1" x14ac:dyDescent="0.15">
      <c r="A471" s="47"/>
      <c r="B471" s="47"/>
      <c r="C471" s="47"/>
      <c r="D471" s="47"/>
      <c r="E471" s="47"/>
      <c r="F471" s="47"/>
      <c r="G471" s="47"/>
      <c r="H471" s="47"/>
      <c r="I471" s="111"/>
      <c r="J471" s="52"/>
      <c r="K471" s="148"/>
      <c r="L471" s="52"/>
      <c r="M471" s="148"/>
      <c r="N471" s="52"/>
      <c r="O471" s="148"/>
      <c r="P471" s="52"/>
      <c r="Q471" s="155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52"/>
      <c r="AD471" s="52"/>
      <c r="AE471" s="47"/>
      <c r="AF471" s="69"/>
      <c r="AG471" s="223"/>
      <c r="AJ471" s="47"/>
      <c r="AK471" s="73"/>
      <c r="AL471" s="47"/>
      <c r="AM471" s="47"/>
      <c r="AN471" s="47"/>
      <c r="AO471" s="47"/>
      <c r="AP471" s="47"/>
      <c r="AQ471" s="47"/>
      <c r="AR471" s="25"/>
    </row>
    <row r="472" spans="1:44" ht="12.75" customHeight="1" x14ac:dyDescent="0.15">
      <c r="A472" s="47"/>
      <c r="B472" s="47"/>
      <c r="C472" s="47"/>
      <c r="D472" s="47"/>
      <c r="E472" s="47"/>
      <c r="F472" s="47"/>
      <c r="G472" s="47"/>
      <c r="H472" s="47"/>
      <c r="I472" s="111"/>
      <c r="J472" s="52"/>
      <c r="K472" s="148"/>
      <c r="L472" s="52"/>
      <c r="M472" s="148"/>
      <c r="N472" s="52"/>
      <c r="O472" s="148"/>
      <c r="P472" s="52"/>
      <c r="Q472" s="155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52"/>
      <c r="AD472" s="52"/>
      <c r="AE472" s="47"/>
      <c r="AF472" s="69"/>
      <c r="AG472" s="223"/>
      <c r="AJ472" s="47"/>
      <c r="AK472" s="73"/>
      <c r="AL472" s="47"/>
      <c r="AM472" s="47"/>
      <c r="AN472" s="47"/>
      <c r="AO472" s="47"/>
      <c r="AP472" s="47"/>
      <c r="AQ472" s="47"/>
      <c r="AR472" s="25"/>
    </row>
    <row r="473" spans="1:44" ht="12.75" customHeight="1" x14ac:dyDescent="0.15">
      <c r="A473" s="47"/>
      <c r="B473" s="47"/>
      <c r="C473" s="47"/>
      <c r="D473" s="47"/>
      <c r="E473" s="47"/>
      <c r="F473" s="47"/>
      <c r="G473" s="47"/>
      <c r="H473" s="47"/>
      <c r="I473" s="111"/>
      <c r="J473" s="52"/>
      <c r="K473" s="148"/>
      <c r="L473" s="52"/>
      <c r="M473" s="148"/>
      <c r="N473" s="52"/>
      <c r="O473" s="148"/>
      <c r="P473" s="52"/>
      <c r="Q473" s="155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52"/>
      <c r="AD473" s="52"/>
      <c r="AE473" s="47"/>
      <c r="AF473" s="69"/>
      <c r="AG473" s="223"/>
      <c r="AJ473" s="47"/>
      <c r="AK473" s="73"/>
      <c r="AL473" s="47"/>
      <c r="AM473" s="47"/>
      <c r="AN473" s="47"/>
      <c r="AO473" s="47"/>
      <c r="AP473" s="47"/>
      <c r="AQ473" s="47"/>
      <c r="AR473" s="25"/>
    </row>
    <row r="474" spans="1:44" ht="12.75" customHeight="1" x14ac:dyDescent="0.15">
      <c r="A474" s="47"/>
      <c r="B474" s="47"/>
      <c r="C474" s="47"/>
      <c r="D474" s="47"/>
      <c r="E474" s="47"/>
      <c r="F474" s="47"/>
      <c r="G474" s="47"/>
      <c r="H474" s="47"/>
      <c r="I474" s="111"/>
      <c r="J474" s="52"/>
      <c r="K474" s="148"/>
      <c r="L474" s="52"/>
      <c r="M474" s="148"/>
      <c r="N474" s="52"/>
      <c r="O474" s="148"/>
      <c r="P474" s="52"/>
      <c r="Q474" s="155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52"/>
      <c r="AD474" s="52"/>
      <c r="AE474" s="47"/>
      <c r="AF474" s="69"/>
      <c r="AG474" s="223"/>
      <c r="AJ474" s="47"/>
      <c r="AK474" s="73"/>
      <c r="AL474" s="47"/>
      <c r="AM474" s="47"/>
      <c r="AN474" s="47"/>
      <c r="AO474" s="47"/>
      <c r="AP474" s="47"/>
      <c r="AQ474" s="47"/>
      <c r="AR474" s="25"/>
    </row>
    <row r="475" spans="1:44" ht="12.75" customHeight="1" x14ac:dyDescent="0.15">
      <c r="A475" s="47"/>
      <c r="B475" s="47"/>
      <c r="C475" s="47"/>
      <c r="D475" s="47"/>
      <c r="E475" s="47"/>
      <c r="F475" s="47"/>
      <c r="G475" s="47"/>
      <c r="H475" s="47"/>
      <c r="I475" s="111"/>
      <c r="J475" s="52"/>
      <c r="K475" s="148"/>
      <c r="L475" s="52"/>
      <c r="M475" s="148"/>
      <c r="N475" s="52"/>
      <c r="O475" s="148"/>
      <c r="P475" s="52"/>
      <c r="Q475" s="155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52"/>
      <c r="AD475" s="52"/>
      <c r="AE475" s="47"/>
      <c r="AF475" s="69"/>
      <c r="AG475" s="223"/>
      <c r="AJ475" s="47"/>
      <c r="AK475" s="73"/>
      <c r="AL475" s="47"/>
      <c r="AM475" s="47"/>
      <c r="AN475" s="47"/>
      <c r="AO475" s="47"/>
      <c r="AP475" s="47"/>
      <c r="AQ475" s="47"/>
      <c r="AR475" s="25"/>
    </row>
    <row r="476" spans="1:44" ht="12.75" customHeight="1" x14ac:dyDescent="0.15">
      <c r="A476" s="47"/>
      <c r="B476" s="47"/>
      <c r="C476" s="47"/>
      <c r="D476" s="47"/>
      <c r="E476" s="47"/>
      <c r="F476" s="47"/>
      <c r="G476" s="47"/>
      <c r="H476" s="47"/>
      <c r="I476" s="111"/>
      <c r="J476" s="52"/>
      <c r="K476" s="148"/>
      <c r="L476" s="52"/>
      <c r="M476" s="148"/>
      <c r="N476" s="52"/>
      <c r="O476" s="148"/>
      <c r="P476" s="52"/>
      <c r="Q476" s="155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52"/>
      <c r="AD476" s="52"/>
      <c r="AE476" s="47"/>
      <c r="AF476" s="69"/>
      <c r="AG476" s="223"/>
      <c r="AJ476" s="47"/>
      <c r="AK476" s="73"/>
      <c r="AL476" s="47"/>
      <c r="AM476" s="47"/>
      <c r="AN476" s="47"/>
      <c r="AO476" s="47"/>
      <c r="AP476" s="47"/>
      <c r="AQ476" s="47"/>
      <c r="AR476" s="25"/>
    </row>
    <row r="477" spans="1:44" ht="12.75" customHeight="1" x14ac:dyDescent="0.15">
      <c r="A477" s="47"/>
      <c r="B477" s="47"/>
      <c r="C477" s="47"/>
      <c r="D477" s="47"/>
      <c r="E477" s="47"/>
      <c r="F477" s="47"/>
      <c r="G477" s="47"/>
      <c r="H477" s="47"/>
      <c r="I477" s="111"/>
      <c r="J477" s="52"/>
      <c r="K477" s="148"/>
      <c r="L477" s="52"/>
      <c r="M477" s="148"/>
      <c r="N477" s="52"/>
      <c r="O477" s="148"/>
      <c r="P477" s="52"/>
      <c r="Q477" s="155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52"/>
      <c r="AD477" s="52"/>
      <c r="AE477" s="47"/>
      <c r="AF477" s="69"/>
      <c r="AG477" s="223"/>
      <c r="AJ477" s="47"/>
      <c r="AK477" s="73"/>
      <c r="AL477" s="47"/>
      <c r="AM477" s="47"/>
      <c r="AN477" s="47"/>
      <c r="AO477" s="47"/>
      <c r="AP477" s="47"/>
      <c r="AQ477" s="47"/>
      <c r="AR477" s="25"/>
    </row>
    <row r="478" spans="1:44" ht="12.75" customHeight="1" x14ac:dyDescent="0.15">
      <c r="A478" s="47"/>
      <c r="B478" s="47"/>
      <c r="C478" s="47"/>
      <c r="D478" s="47"/>
      <c r="E478" s="47"/>
      <c r="F478" s="47"/>
      <c r="G478" s="47"/>
      <c r="H478" s="47"/>
      <c r="I478" s="111"/>
      <c r="J478" s="52"/>
      <c r="K478" s="148"/>
      <c r="L478" s="52"/>
      <c r="M478" s="148"/>
      <c r="N478" s="52"/>
      <c r="O478" s="148"/>
      <c r="P478" s="52"/>
      <c r="Q478" s="155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52"/>
      <c r="AD478" s="52"/>
      <c r="AE478" s="47"/>
      <c r="AF478" s="69"/>
      <c r="AG478" s="223"/>
      <c r="AJ478" s="47"/>
      <c r="AK478" s="73"/>
      <c r="AL478" s="47"/>
      <c r="AM478" s="47"/>
      <c r="AN478" s="47"/>
      <c r="AO478" s="47"/>
      <c r="AP478" s="47"/>
      <c r="AQ478" s="47"/>
      <c r="AR478" s="25"/>
    </row>
    <row r="479" spans="1:44" ht="12.75" customHeight="1" x14ac:dyDescent="0.15">
      <c r="A479" s="47"/>
      <c r="B479" s="47"/>
      <c r="C479" s="47"/>
      <c r="D479" s="47"/>
      <c r="E479" s="47"/>
      <c r="F479" s="47"/>
      <c r="G479" s="47"/>
      <c r="H479" s="47"/>
      <c r="I479" s="111"/>
      <c r="J479" s="52"/>
      <c r="K479" s="148"/>
      <c r="L479" s="52"/>
      <c r="M479" s="148"/>
      <c r="N479" s="52"/>
      <c r="O479" s="148"/>
      <c r="P479" s="52"/>
      <c r="Q479" s="155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52"/>
      <c r="AD479" s="52"/>
      <c r="AE479" s="47"/>
      <c r="AF479" s="69"/>
      <c r="AG479" s="223"/>
      <c r="AJ479" s="47"/>
      <c r="AK479" s="73"/>
      <c r="AL479" s="47"/>
      <c r="AM479" s="47"/>
      <c r="AN479" s="47"/>
      <c r="AO479" s="47"/>
      <c r="AP479" s="47"/>
      <c r="AQ479" s="47"/>
      <c r="AR479" s="25"/>
    </row>
    <row r="480" spans="1:44" ht="12.75" customHeight="1" x14ac:dyDescent="0.15">
      <c r="A480" s="47"/>
      <c r="B480" s="47"/>
      <c r="C480" s="47"/>
      <c r="D480" s="47"/>
      <c r="E480" s="47"/>
      <c r="F480" s="47"/>
      <c r="G480" s="47"/>
      <c r="H480" s="47"/>
      <c r="I480" s="111"/>
      <c r="J480" s="52"/>
      <c r="K480" s="148"/>
      <c r="L480" s="52"/>
      <c r="M480" s="148"/>
      <c r="N480" s="52"/>
      <c r="O480" s="148"/>
      <c r="P480" s="52"/>
      <c r="Q480" s="155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52"/>
      <c r="AD480" s="52"/>
      <c r="AE480" s="47"/>
      <c r="AF480" s="69"/>
      <c r="AG480" s="223"/>
      <c r="AJ480" s="47"/>
      <c r="AK480" s="73"/>
      <c r="AL480" s="47"/>
      <c r="AM480" s="47"/>
      <c r="AN480" s="47"/>
      <c r="AO480" s="47"/>
      <c r="AP480" s="47"/>
      <c r="AQ480" s="47"/>
      <c r="AR480" s="25"/>
    </row>
    <row r="481" spans="1:44" ht="12.75" customHeight="1" x14ac:dyDescent="0.15">
      <c r="A481" s="47"/>
      <c r="B481" s="47"/>
      <c r="C481" s="47"/>
      <c r="D481" s="47"/>
      <c r="E481" s="47"/>
      <c r="F481" s="47"/>
      <c r="G481" s="47"/>
      <c r="H481" s="47"/>
      <c r="I481" s="111"/>
      <c r="J481" s="52"/>
      <c r="K481" s="148"/>
      <c r="L481" s="52"/>
      <c r="M481" s="148"/>
      <c r="N481" s="52"/>
      <c r="O481" s="148"/>
      <c r="P481" s="52"/>
      <c r="Q481" s="155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52"/>
      <c r="AD481" s="52"/>
      <c r="AE481" s="47"/>
      <c r="AF481" s="69"/>
      <c r="AG481" s="223"/>
      <c r="AJ481" s="47"/>
      <c r="AK481" s="73"/>
      <c r="AL481" s="47"/>
      <c r="AM481" s="47"/>
      <c r="AN481" s="47"/>
      <c r="AO481" s="47"/>
      <c r="AP481" s="47"/>
      <c r="AQ481" s="47"/>
      <c r="AR481" s="25"/>
    </row>
    <row r="482" spans="1:44" ht="12.75" customHeight="1" x14ac:dyDescent="0.15">
      <c r="A482" s="47"/>
      <c r="B482" s="47"/>
      <c r="C482" s="47"/>
      <c r="D482" s="47"/>
      <c r="E482" s="47"/>
      <c r="F482" s="47"/>
      <c r="G482" s="47"/>
      <c r="H482" s="47"/>
      <c r="I482" s="111"/>
      <c r="J482" s="52"/>
      <c r="K482" s="148"/>
      <c r="L482" s="52"/>
      <c r="M482" s="148"/>
      <c r="N482" s="52"/>
      <c r="O482" s="148"/>
      <c r="P482" s="52"/>
      <c r="Q482" s="155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52"/>
      <c r="AD482" s="52"/>
      <c r="AE482" s="47"/>
      <c r="AF482" s="69"/>
      <c r="AG482" s="223"/>
      <c r="AJ482" s="47"/>
      <c r="AK482" s="73"/>
      <c r="AL482" s="47"/>
      <c r="AM482" s="47"/>
      <c r="AN482" s="47"/>
      <c r="AO482" s="47"/>
      <c r="AP482" s="47"/>
      <c r="AQ482" s="47"/>
      <c r="AR482" s="25"/>
    </row>
    <row r="483" spans="1:44" ht="12.75" customHeight="1" x14ac:dyDescent="0.15">
      <c r="A483" s="47"/>
      <c r="B483" s="47"/>
      <c r="C483" s="47"/>
      <c r="D483" s="47"/>
      <c r="E483" s="47"/>
      <c r="F483" s="47"/>
      <c r="G483" s="47"/>
      <c r="H483" s="47"/>
      <c r="I483" s="111"/>
      <c r="J483" s="52"/>
      <c r="K483" s="148"/>
      <c r="L483" s="52"/>
      <c r="M483" s="148"/>
      <c r="N483" s="52"/>
      <c r="O483" s="148"/>
      <c r="P483" s="52"/>
      <c r="Q483" s="155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52"/>
      <c r="AD483" s="52"/>
      <c r="AE483" s="47"/>
      <c r="AF483" s="69"/>
      <c r="AG483" s="223"/>
      <c r="AJ483" s="47"/>
      <c r="AK483" s="73"/>
      <c r="AL483" s="47"/>
      <c r="AM483" s="47"/>
      <c r="AN483" s="47"/>
      <c r="AO483" s="47"/>
      <c r="AP483" s="47"/>
      <c r="AQ483" s="47"/>
      <c r="AR483" s="25"/>
    </row>
    <row r="484" spans="1:44" ht="12.75" customHeight="1" x14ac:dyDescent="0.15">
      <c r="A484" s="47"/>
      <c r="B484" s="47"/>
      <c r="C484" s="47"/>
      <c r="D484" s="47"/>
      <c r="E484" s="47"/>
      <c r="F484" s="47"/>
      <c r="G484" s="47"/>
      <c r="H484" s="47"/>
      <c r="I484" s="111"/>
      <c r="J484" s="52"/>
      <c r="K484" s="148"/>
      <c r="L484" s="52"/>
      <c r="M484" s="148"/>
      <c r="N484" s="52"/>
      <c r="O484" s="148"/>
      <c r="P484" s="52"/>
      <c r="Q484" s="155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52"/>
      <c r="AD484" s="52"/>
      <c r="AE484" s="47"/>
      <c r="AF484" s="69"/>
      <c r="AG484" s="223"/>
      <c r="AJ484" s="47"/>
      <c r="AK484" s="73"/>
      <c r="AL484" s="47"/>
      <c r="AM484" s="47"/>
      <c r="AN484" s="47"/>
      <c r="AO484" s="47"/>
      <c r="AP484" s="47"/>
      <c r="AQ484" s="47"/>
      <c r="AR484" s="25"/>
    </row>
    <row r="485" spans="1:44" ht="12.75" customHeight="1" x14ac:dyDescent="0.15">
      <c r="A485" s="47"/>
      <c r="B485" s="47"/>
      <c r="C485" s="47"/>
      <c r="D485" s="47"/>
      <c r="E485" s="47"/>
      <c r="F485" s="47"/>
      <c r="G485" s="47"/>
      <c r="H485" s="47"/>
      <c r="I485" s="111"/>
      <c r="J485" s="52"/>
      <c r="K485" s="148"/>
      <c r="L485" s="52"/>
      <c r="M485" s="148"/>
      <c r="N485" s="52"/>
      <c r="O485" s="148"/>
      <c r="P485" s="52"/>
      <c r="Q485" s="155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52"/>
      <c r="AD485" s="52"/>
      <c r="AE485" s="47"/>
      <c r="AF485" s="69"/>
      <c r="AG485" s="223"/>
      <c r="AJ485" s="47"/>
      <c r="AK485" s="73"/>
      <c r="AL485" s="47"/>
      <c r="AM485" s="47"/>
      <c r="AN485" s="47"/>
      <c r="AO485" s="47"/>
      <c r="AP485" s="47"/>
      <c r="AQ485" s="47"/>
      <c r="AR485" s="25"/>
    </row>
    <row r="486" spans="1:44" ht="12.75" customHeight="1" x14ac:dyDescent="0.15">
      <c r="A486" s="47"/>
      <c r="B486" s="47"/>
      <c r="C486" s="47"/>
      <c r="D486" s="47"/>
      <c r="E486" s="47"/>
      <c r="F486" s="47"/>
      <c r="G486" s="47"/>
      <c r="H486" s="47"/>
      <c r="I486" s="111"/>
      <c r="J486" s="52"/>
      <c r="K486" s="148"/>
      <c r="L486" s="52"/>
      <c r="M486" s="148"/>
      <c r="N486" s="52"/>
      <c r="O486" s="148"/>
      <c r="P486" s="52"/>
      <c r="Q486" s="155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52"/>
      <c r="AD486" s="52"/>
      <c r="AE486" s="47"/>
      <c r="AF486" s="69"/>
      <c r="AG486" s="223"/>
      <c r="AJ486" s="47"/>
      <c r="AK486" s="73"/>
      <c r="AL486" s="47"/>
      <c r="AM486" s="47"/>
      <c r="AN486" s="47"/>
      <c r="AO486" s="47"/>
      <c r="AP486" s="47"/>
      <c r="AQ486" s="47"/>
      <c r="AR486" s="25"/>
    </row>
    <row r="487" spans="1:44" ht="12.75" customHeight="1" x14ac:dyDescent="0.15">
      <c r="A487" s="47"/>
      <c r="B487" s="47"/>
      <c r="C487" s="47"/>
      <c r="D487" s="47"/>
      <c r="E487" s="47"/>
      <c r="F487" s="47"/>
      <c r="G487" s="47"/>
      <c r="H487" s="47"/>
      <c r="I487" s="111"/>
      <c r="J487" s="52"/>
      <c r="K487" s="148"/>
      <c r="L487" s="52"/>
      <c r="M487" s="148"/>
      <c r="N487" s="52"/>
      <c r="O487" s="148"/>
      <c r="P487" s="52"/>
      <c r="Q487" s="155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52"/>
      <c r="AD487" s="52"/>
      <c r="AE487" s="47"/>
      <c r="AF487" s="69"/>
      <c r="AG487" s="223"/>
      <c r="AJ487" s="47"/>
      <c r="AK487" s="73"/>
      <c r="AL487" s="47"/>
      <c r="AM487" s="47"/>
      <c r="AN487" s="47"/>
      <c r="AO487" s="47"/>
      <c r="AP487" s="47"/>
      <c r="AQ487" s="47"/>
      <c r="AR487" s="25"/>
    </row>
    <row r="488" spans="1:44" ht="12.75" customHeight="1" x14ac:dyDescent="0.15">
      <c r="A488" s="47"/>
      <c r="B488" s="47"/>
      <c r="C488" s="47"/>
      <c r="D488" s="47"/>
      <c r="E488" s="47"/>
      <c r="F488" s="47"/>
      <c r="G488" s="47"/>
      <c r="H488" s="47"/>
      <c r="I488" s="111"/>
      <c r="J488" s="52"/>
      <c r="K488" s="148"/>
      <c r="L488" s="52"/>
      <c r="M488" s="148"/>
      <c r="N488" s="52"/>
      <c r="O488" s="148"/>
      <c r="P488" s="52"/>
      <c r="Q488" s="155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52"/>
      <c r="AD488" s="52"/>
      <c r="AE488" s="47"/>
      <c r="AF488" s="69"/>
      <c r="AG488" s="223"/>
      <c r="AJ488" s="47"/>
      <c r="AK488" s="73"/>
      <c r="AL488" s="47"/>
      <c r="AM488" s="47"/>
      <c r="AN488" s="47"/>
      <c r="AO488" s="47"/>
      <c r="AP488" s="47"/>
      <c r="AQ488" s="47"/>
      <c r="AR488" s="25"/>
    </row>
    <row r="489" spans="1:44" ht="12.75" customHeight="1" x14ac:dyDescent="0.15">
      <c r="A489" s="47"/>
      <c r="B489" s="47"/>
      <c r="C489" s="47"/>
      <c r="D489" s="47"/>
      <c r="E489" s="47"/>
      <c r="F489" s="47"/>
      <c r="G489" s="47"/>
      <c r="H489" s="47"/>
      <c r="I489" s="111"/>
      <c r="J489" s="52"/>
      <c r="K489" s="148"/>
      <c r="L489" s="52"/>
      <c r="M489" s="148"/>
      <c r="N489" s="52"/>
      <c r="O489" s="148"/>
      <c r="P489" s="52"/>
      <c r="Q489" s="155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52"/>
      <c r="AD489" s="52"/>
      <c r="AE489" s="47"/>
      <c r="AF489" s="69"/>
      <c r="AG489" s="223"/>
      <c r="AJ489" s="47"/>
      <c r="AK489" s="73"/>
      <c r="AL489" s="47"/>
      <c r="AM489" s="47"/>
      <c r="AN489" s="47"/>
      <c r="AO489" s="47"/>
      <c r="AP489" s="47"/>
      <c r="AQ489" s="47"/>
      <c r="AR489" s="25"/>
    </row>
    <row r="490" spans="1:44" ht="12.75" customHeight="1" x14ac:dyDescent="0.15">
      <c r="A490" s="47"/>
      <c r="B490" s="47"/>
      <c r="C490" s="47"/>
      <c r="D490" s="47"/>
      <c r="E490" s="47"/>
      <c r="F490" s="47"/>
      <c r="G490" s="47"/>
      <c r="H490" s="47"/>
      <c r="I490" s="111"/>
      <c r="J490" s="52"/>
      <c r="K490" s="148"/>
      <c r="L490" s="52"/>
      <c r="M490" s="148"/>
      <c r="N490" s="52"/>
      <c r="O490" s="148"/>
      <c r="P490" s="52"/>
      <c r="Q490" s="155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52"/>
      <c r="AD490" s="52"/>
      <c r="AE490" s="47"/>
      <c r="AF490" s="69"/>
      <c r="AG490" s="223"/>
      <c r="AJ490" s="47"/>
      <c r="AK490" s="73"/>
      <c r="AL490" s="47"/>
      <c r="AM490" s="47"/>
      <c r="AN490" s="47"/>
      <c r="AO490" s="47"/>
      <c r="AP490" s="47"/>
      <c r="AQ490" s="47"/>
      <c r="AR490" s="25"/>
    </row>
    <row r="491" spans="1:44" ht="12.75" customHeight="1" x14ac:dyDescent="0.15">
      <c r="A491" s="47"/>
      <c r="B491" s="47"/>
      <c r="C491" s="47"/>
      <c r="D491" s="47"/>
      <c r="E491" s="47"/>
      <c r="F491" s="47"/>
      <c r="G491" s="47"/>
      <c r="H491" s="47"/>
      <c r="I491" s="111"/>
      <c r="J491" s="52"/>
      <c r="K491" s="148"/>
      <c r="L491" s="52"/>
      <c r="M491" s="148"/>
      <c r="N491" s="52"/>
      <c r="O491" s="148"/>
      <c r="P491" s="52"/>
      <c r="Q491" s="155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52"/>
      <c r="AD491" s="52"/>
      <c r="AE491" s="47"/>
      <c r="AF491" s="69"/>
      <c r="AG491" s="223"/>
      <c r="AJ491" s="47"/>
      <c r="AK491" s="73"/>
      <c r="AL491" s="47"/>
      <c r="AM491" s="47"/>
      <c r="AN491" s="47"/>
      <c r="AO491" s="47"/>
      <c r="AP491" s="47"/>
      <c r="AQ491" s="47"/>
      <c r="AR491" s="25"/>
    </row>
    <row r="492" spans="1:44" ht="12.75" customHeight="1" x14ac:dyDescent="0.15">
      <c r="A492" s="47"/>
      <c r="B492" s="47"/>
      <c r="C492" s="47"/>
      <c r="D492" s="47"/>
      <c r="E492" s="47"/>
      <c r="F492" s="47"/>
      <c r="G492" s="47"/>
      <c r="H492" s="47"/>
      <c r="I492" s="111"/>
      <c r="J492" s="52"/>
      <c r="K492" s="148"/>
      <c r="L492" s="52"/>
      <c r="M492" s="148"/>
      <c r="N492" s="52"/>
      <c r="O492" s="148"/>
      <c r="P492" s="52"/>
      <c r="Q492" s="155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52"/>
      <c r="AD492" s="52"/>
      <c r="AE492" s="47"/>
      <c r="AF492" s="69"/>
      <c r="AG492" s="223"/>
      <c r="AJ492" s="47"/>
      <c r="AK492" s="73"/>
      <c r="AL492" s="47"/>
      <c r="AM492" s="47"/>
      <c r="AN492" s="47"/>
      <c r="AO492" s="47"/>
      <c r="AP492" s="47"/>
      <c r="AQ492" s="47"/>
      <c r="AR492" s="25"/>
    </row>
    <row r="493" spans="1:44" ht="12.75" customHeight="1" x14ac:dyDescent="0.15">
      <c r="A493" s="47"/>
      <c r="B493" s="47"/>
      <c r="C493" s="47"/>
      <c r="D493" s="47"/>
      <c r="E493" s="47"/>
      <c r="F493" s="47"/>
      <c r="G493" s="47"/>
      <c r="H493" s="47"/>
      <c r="I493" s="111"/>
      <c r="J493" s="52"/>
      <c r="K493" s="148"/>
      <c r="L493" s="52"/>
      <c r="M493" s="148"/>
      <c r="N493" s="52"/>
      <c r="O493" s="148"/>
      <c r="P493" s="52"/>
      <c r="Q493" s="155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52"/>
      <c r="AD493" s="52"/>
      <c r="AE493" s="47"/>
      <c r="AF493" s="69"/>
      <c r="AG493" s="223"/>
      <c r="AJ493" s="47"/>
      <c r="AK493" s="73"/>
      <c r="AL493" s="47"/>
      <c r="AM493" s="47"/>
      <c r="AN493" s="47"/>
      <c r="AO493" s="47"/>
      <c r="AP493" s="47"/>
      <c r="AQ493" s="47"/>
      <c r="AR493" s="25"/>
    </row>
    <row r="494" spans="1:44" ht="12.75" customHeight="1" x14ac:dyDescent="0.15">
      <c r="A494" s="47"/>
      <c r="B494" s="47"/>
      <c r="C494" s="47"/>
      <c r="D494" s="47"/>
      <c r="E494" s="47"/>
      <c r="F494" s="47"/>
      <c r="G494" s="47"/>
      <c r="H494" s="47"/>
      <c r="I494" s="111"/>
      <c r="J494" s="52"/>
      <c r="K494" s="148"/>
      <c r="L494" s="52"/>
      <c r="M494" s="148"/>
      <c r="N494" s="52"/>
      <c r="O494" s="148"/>
      <c r="P494" s="52"/>
      <c r="Q494" s="155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52"/>
      <c r="AD494" s="52"/>
      <c r="AE494" s="47"/>
      <c r="AF494" s="69"/>
      <c r="AG494" s="223"/>
      <c r="AJ494" s="47"/>
      <c r="AK494" s="73"/>
      <c r="AL494" s="47"/>
      <c r="AM494" s="47"/>
      <c r="AN494" s="47"/>
      <c r="AO494" s="47"/>
      <c r="AP494" s="47"/>
      <c r="AQ494" s="47"/>
      <c r="AR494" s="25"/>
    </row>
    <row r="495" spans="1:44" ht="12.75" customHeight="1" x14ac:dyDescent="0.15">
      <c r="A495" s="47"/>
      <c r="B495" s="47"/>
      <c r="C495" s="47"/>
      <c r="D495" s="47"/>
      <c r="E495" s="47"/>
      <c r="F495" s="47"/>
      <c r="G495" s="47"/>
      <c r="H495" s="47"/>
      <c r="I495" s="111"/>
      <c r="J495" s="52"/>
      <c r="K495" s="148"/>
      <c r="L495" s="52"/>
      <c r="M495" s="148"/>
      <c r="N495" s="52"/>
      <c r="O495" s="148"/>
      <c r="P495" s="52"/>
      <c r="Q495" s="155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52"/>
      <c r="AD495" s="52"/>
      <c r="AE495" s="47"/>
      <c r="AF495" s="69"/>
      <c r="AG495" s="223"/>
      <c r="AJ495" s="47"/>
      <c r="AK495" s="73"/>
      <c r="AL495" s="47"/>
      <c r="AM495" s="47"/>
      <c r="AN495" s="47"/>
      <c r="AO495" s="47"/>
      <c r="AP495" s="47"/>
      <c r="AQ495" s="47"/>
      <c r="AR495" s="25"/>
    </row>
    <row r="496" spans="1:44" ht="12.75" customHeight="1" x14ac:dyDescent="0.15">
      <c r="A496" s="47"/>
      <c r="B496" s="47"/>
      <c r="C496" s="47"/>
      <c r="D496" s="47"/>
      <c r="E496" s="47"/>
      <c r="F496" s="47"/>
      <c r="G496" s="47"/>
      <c r="H496" s="47"/>
      <c r="I496" s="111"/>
      <c r="J496" s="52"/>
      <c r="K496" s="148"/>
      <c r="L496" s="52"/>
      <c r="M496" s="148"/>
      <c r="N496" s="52"/>
      <c r="O496" s="148"/>
      <c r="P496" s="52"/>
      <c r="Q496" s="155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52"/>
      <c r="AD496" s="52"/>
      <c r="AE496" s="47"/>
      <c r="AF496" s="69"/>
      <c r="AG496" s="223"/>
      <c r="AJ496" s="47"/>
      <c r="AK496" s="73"/>
      <c r="AL496" s="47"/>
      <c r="AM496" s="47"/>
      <c r="AN496" s="47"/>
      <c r="AO496" s="47"/>
      <c r="AP496" s="47"/>
      <c r="AQ496" s="47"/>
      <c r="AR496" s="25"/>
    </row>
    <row r="497" spans="1:44" ht="12.75" customHeight="1" x14ac:dyDescent="0.15">
      <c r="A497" s="47"/>
      <c r="B497" s="47"/>
      <c r="C497" s="47"/>
      <c r="D497" s="47"/>
      <c r="E497" s="47"/>
      <c r="F497" s="47"/>
      <c r="G497" s="47"/>
      <c r="H497" s="47"/>
      <c r="I497" s="111"/>
      <c r="J497" s="52"/>
      <c r="K497" s="148"/>
      <c r="L497" s="52"/>
      <c r="M497" s="148"/>
      <c r="N497" s="52"/>
      <c r="O497" s="148"/>
      <c r="P497" s="52"/>
      <c r="Q497" s="155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52"/>
      <c r="AD497" s="52"/>
      <c r="AE497" s="47"/>
      <c r="AF497" s="69"/>
      <c r="AG497" s="223"/>
      <c r="AJ497" s="47"/>
      <c r="AK497" s="73"/>
      <c r="AL497" s="47"/>
      <c r="AM497" s="47"/>
      <c r="AN497" s="47"/>
      <c r="AO497" s="47"/>
      <c r="AP497" s="47"/>
      <c r="AQ497" s="47"/>
      <c r="AR497" s="25"/>
    </row>
    <row r="498" spans="1:44" ht="12.75" customHeight="1" x14ac:dyDescent="0.15">
      <c r="A498" s="47"/>
      <c r="B498" s="47"/>
      <c r="C498" s="47"/>
      <c r="D498" s="47"/>
      <c r="E498" s="47"/>
      <c r="F498" s="47"/>
      <c r="G498" s="47"/>
      <c r="H498" s="47"/>
      <c r="I498" s="111"/>
      <c r="J498" s="52"/>
      <c r="K498" s="148"/>
      <c r="L498" s="52"/>
      <c r="M498" s="148"/>
      <c r="N498" s="52"/>
      <c r="O498" s="148"/>
      <c r="P498" s="52"/>
      <c r="Q498" s="155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52"/>
      <c r="AD498" s="52"/>
      <c r="AE498" s="47"/>
      <c r="AF498" s="69"/>
      <c r="AG498" s="223"/>
      <c r="AJ498" s="47"/>
      <c r="AK498" s="73"/>
      <c r="AL498" s="47"/>
      <c r="AM498" s="47"/>
      <c r="AN498" s="47"/>
      <c r="AO498" s="47"/>
      <c r="AP498" s="47"/>
      <c r="AQ498" s="47"/>
      <c r="AR498" s="25"/>
    </row>
    <row r="499" spans="1:44" ht="12.75" customHeight="1" x14ac:dyDescent="0.15">
      <c r="A499" s="47"/>
      <c r="B499" s="47"/>
      <c r="C499" s="47"/>
      <c r="D499" s="47"/>
      <c r="E499" s="47"/>
      <c r="F499" s="47"/>
      <c r="G499" s="47"/>
      <c r="H499" s="47"/>
      <c r="I499" s="111"/>
      <c r="J499" s="52"/>
      <c r="K499" s="148"/>
      <c r="L499" s="52"/>
      <c r="M499" s="148"/>
      <c r="N499" s="52"/>
      <c r="O499" s="148"/>
      <c r="P499" s="52"/>
      <c r="Q499" s="155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52"/>
      <c r="AD499" s="52"/>
      <c r="AE499" s="47"/>
      <c r="AF499" s="69"/>
      <c r="AG499" s="223"/>
      <c r="AJ499" s="47"/>
      <c r="AK499" s="73"/>
      <c r="AL499" s="47"/>
      <c r="AM499" s="47"/>
      <c r="AN499" s="47"/>
      <c r="AO499" s="47"/>
      <c r="AP499" s="47"/>
      <c r="AQ499" s="47"/>
      <c r="AR499" s="25"/>
    </row>
    <row r="500" spans="1:44" ht="12.75" customHeight="1" x14ac:dyDescent="0.15">
      <c r="A500" s="47"/>
      <c r="B500" s="47"/>
      <c r="C500" s="47"/>
      <c r="D500" s="47"/>
      <c r="E500" s="47"/>
      <c r="F500" s="47"/>
      <c r="G500" s="47"/>
      <c r="H500" s="47"/>
      <c r="I500" s="111"/>
      <c r="J500" s="52"/>
      <c r="K500" s="148"/>
      <c r="L500" s="52"/>
      <c r="M500" s="148"/>
      <c r="N500" s="52"/>
      <c r="O500" s="148"/>
      <c r="P500" s="52"/>
      <c r="Q500" s="155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52"/>
      <c r="AD500" s="52"/>
      <c r="AE500" s="47"/>
      <c r="AF500" s="69"/>
      <c r="AG500" s="223"/>
      <c r="AJ500" s="47"/>
      <c r="AK500" s="73"/>
      <c r="AL500" s="47"/>
      <c r="AM500" s="47"/>
      <c r="AN500" s="47"/>
      <c r="AO500" s="47"/>
      <c r="AP500" s="47"/>
      <c r="AQ500" s="47"/>
      <c r="AR500" s="25"/>
    </row>
    <row r="501" spans="1:44" ht="12.75" customHeight="1" x14ac:dyDescent="0.15">
      <c r="A501" s="47"/>
      <c r="B501" s="47"/>
      <c r="C501" s="47"/>
      <c r="D501" s="47"/>
      <c r="E501" s="47"/>
      <c r="F501" s="47"/>
      <c r="G501" s="47"/>
      <c r="H501" s="47"/>
      <c r="I501" s="111"/>
      <c r="J501" s="52"/>
      <c r="K501" s="148"/>
      <c r="L501" s="52"/>
      <c r="M501" s="148"/>
      <c r="N501" s="52"/>
      <c r="O501" s="148"/>
      <c r="P501" s="52"/>
      <c r="Q501" s="155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52"/>
      <c r="AD501" s="52"/>
      <c r="AE501" s="47"/>
      <c r="AF501" s="69"/>
      <c r="AG501" s="223"/>
      <c r="AJ501" s="47"/>
      <c r="AK501" s="73"/>
      <c r="AL501" s="47"/>
      <c r="AM501" s="47"/>
      <c r="AN501" s="47"/>
      <c r="AO501" s="47"/>
      <c r="AP501" s="47"/>
      <c r="AQ501" s="47"/>
      <c r="AR501" s="25"/>
    </row>
    <row r="502" spans="1:44" ht="12.75" customHeight="1" x14ac:dyDescent="0.15">
      <c r="A502" s="47"/>
      <c r="B502" s="47"/>
      <c r="C502" s="47"/>
      <c r="D502" s="47"/>
      <c r="E502" s="47"/>
      <c r="F502" s="47"/>
      <c r="G502" s="47"/>
      <c r="H502" s="47"/>
      <c r="I502" s="111"/>
      <c r="J502" s="52"/>
      <c r="K502" s="148"/>
      <c r="L502" s="52"/>
      <c r="M502" s="148"/>
      <c r="N502" s="52"/>
      <c r="O502" s="148"/>
      <c r="P502" s="52"/>
      <c r="Q502" s="155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52"/>
      <c r="AD502" s="52"/>
      <c r="AE502" s="47"/>
      <c r="AF502" s="69"/>
      <c r="AG502" s="223"/>
      <c r="AJ502" s="47"/>
      <c r="AK502" s="73"/>
      <c r="AL502" s="47"/>
      <c r="AM502" s="47"/>
      <c r="AN502" s="47"/>
      <c r="AO502" s="47"/>
      <c r="AP502" s="47"/>
      <c r="AQ502" s="47"/>
      <c r="AR502" s="25"/>
    </row>
    <row r="503" spans="1:44" ht="12.75" customHeight="1" x14ac:dyDescent="0.15">
      <c r="A503" s="47"/>
      <c r="B503" s="47"/>
      <c r="C503" s="47"/>
      <c r="D503" s="47"/>
      <c r="E503" s="47"/>
      <c r="F503" s="47"/>
      <c r="G503" s="47"/>
      <c r="H503" s="47"/>
      <c r="I503" s="111"/>
      <c r="J503" s="52"/>
      <c r="K503" s="148"/>
      <c r="L503" s="52"/>
      <c r="M503" s="148"/>
      <c r="N503" s="52"/>
      <c r="O503" s="148"/>
      <c r="P503" s="52"/>
      <c r="Q503" s="155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52"/>
      <c r="AD503" s="52"/>
      <c r="AE503" s="47"/>
      <c r="AF503" s="69"/>
      <c r="AG503" s="223"/>
      <c r="AJ503" s="47"/>
      <c r="AK503" s="73"/>
      <c r="AL503" s="47"/>
      <c r="AM503" s="47"/>
      <c r="AN503" s="47"/>
      <c r="AO503" s="47"/>
      <c r="AP503" s="47"/>
      <c r="AQ503" s="47"/>
      <c r="AR503" s="25"/>
    </row>
    <row r="504" spans="1:44" ht="12.75" customHeight="1" x14ac:dyDescent="0.15">
      <c r="A504" s="47"/>
      <c r="B504" s="47"/>
      <c r="C504" s="47"/>
      <c r="D504" s="47"/>
      <c r="E504" s="47"/>
      <c r="F504" s="47"/>
      <c r="G504" s="47"/>
      <c r="H504" s="47"/>
      <c r="I504" s="111"/>
      <c r="J504" s="52"/>
      <c r="K504" s="148"/>
      <c r="L504" s="52"/>
      <c r="M504" s="148"/>
      <c r="N504" s="52"/>
      <c r="O504" s="148"/>
      <c r="P504" s="52"/>
      <c r="Q504" s="155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52"/>
      <c r="AD504" s="52"/>
      <c r="AE504" s="47"/>
      <c r="AF504" s="69"/>
      <c r="AG504" s="223"/>
      <c r="AJ504" s="47"/>
      <c r="AK504" s="73"/>
      <c r="AL504" s="47"/>
      <c r="AM504" s="47"/>
      <c r="AN504" s="47"/>
      <c r="AO504" s="47"/>
      <c r="AP504" s="47"/>
      <c r="AQ504" s="47"/>
      <c r="AR504" s="25"/>
    </row>
    <row r="505" spans="1:44" ht="12.75" customHeight="1" x14ac:dyDescent="0.15">
      <c r="A505" s="47"/>
      <c r="B505" s="47"/>
      <c r="C505" s="47"/>
      <c r="D505" s="47"/>
      <c r="E505" s="47"/>
      <c r="F505" s="47"/>
      <c r="G505" s="47"/>
      <c r="H505" s="47"/>
      <c r="I505" s="111"/>
      <c r="J505" s="52"/>
      <c r="K505" s="148"/>
      <c r="L505" s="52"/>
      <c r="M505" s="148"/>
      <c r="N505" s="52"/>
      <c r="O505" s="148"/>
      <c r="P505" s="52"/>
      <c r="Q505" s="155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52"/>
      <c r="AD505" s="52"/>
      <c r="AE505" s="47"/>
      <c r="AF505" s="69"/>
      <c r="AG505" s="223"/>
      <c r="AJ505" s="47"/>
      <c r="AK505" s="73"/>
      <c r="AL505" s="47"/>
      <c r="AM505" s="47"/>
      <c r="AN505" s="47"/>
      <c r="AO505" s="47"/>
      <c r="AP505" s="47"/>
      <c r="AQ505" s="47"/>
      <c r="AR505" s="25"/>
    </row>
    <row r="506" spans="1:44" ht="12.75" customHeight="1" x14ac:dyDescent="0.15">
      <c r="A506" s="47"/>
      <c r="B506" s="47"/>
      <c r="C506" s="47"/>
      <c r="D506" s="47"/>
      <c r="E506" s="47"/>
      <c r="F506" s="47"/>
      <c r="G506" s="47"/>
      <c r="H506" s="47"/>
      <c r="I506" s="111"/>
      <c r="J506" s="52"/>
      <c r="K506" s="148"/>
      <c r="L506" s="52"/>
      <c r="M506" s="148"/>
      <c r="N506" s="52"/>
      <c r="O506" s="148"/>
      <c r="P506" s="52"/>
      <c r="Q506" s="155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52"/>
      <c r="AD506" s="52"/>
      <c r="AE506" s="47"/>
      <c r="AF506" s="69"/>
      <c r="AG506" s="223"/>
      <c r="AJ506" s="47"/>
      <c r="AK506" s="73"/>
      <c r="AL506" s="47"/>
      <c r="AM506" s="47"/>
      <c r="AN506" s="47"/>
      <c r="AO506" s="47"/>
      <c r="AP506" s="47"/>
      <c r="AQ506" s="47"/>
      <c r="AR506" s="25"/>
    </row>
    <row r="507" spans="1:44" ht="12.75" customHeight="1" x14ac:dyDescent="0.15">
      <c r="A507" s="47"/>
      <c r="B507" s="47"/>
      <c r="C507" s="47"/>
      <c r="D507" s="47"/>
      <c r="E507" s="47"/>
      <c r="F507" s="47"/>
      <c r="G507" s="47"/>
      <c r="H507" s="47"/>
      <c r="I507" s="111"/>
      <c r="J507" s="52"/>
      <c r="K507" s="148"/>
      <c r="L507" s="52"/>
      <c r="M507" s="148"/>
      <c r="N507" s="52"/>
      <c r="O507" s="148"/>
      <c r="P507" s="52"/>
      <c r="Q507" s="155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52"/>
      <c r="AD507" s="52"/>
      <c r="AE507" s="47"/>
      <c r="AF507" s="69"/>
      <c r="AG507" s="223"/>
      <c r="AJ507" s="47"/>
      <c r="AK507" s="73"/>
      <c r="AL507" s="47"/>
      <c r="AM507" s="47"/>
      <c r="AN507" s="47"/>
      <c r="AO507" s="47"/>
      <c r="AP507" s="47"/>
      <c r="AQ507" s="47"/>
      <c r="AR507" s="25"/>
    </row>
    <row r="508" spans="1:44" ht="12.75" customHeight="1" x14ac:dyDescent="0.15">
      <c r="A508" s="47"/>
      <c r="B508" s="47"/>
      <c r="C508" s="47"/>
      <c r="D508" s="47"/>
      <c r="E508" s="47"/>
      <c r="F508" s="47"/>
      <c r="G508" s="47"/>
      <c r="H508" s="47"/>
      <c r="I508" s="111"/>
      <c r="J508" s="52"/>
      <c r="K508" s="148"/>
      <c r="L508" s="52"/>
      <c r="M508" s="148"/>
      <c r="N508" s="52"/>
      <c r="O508" s="148"/>
      <c r="P508" s="52"/>
      <c r="Q508" s="155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52"/>
      <c r="AD508" s="52"/>
      <c r="AE508" s="47"/>
      <c r="AF508" s="69"/>
      <c r="AG508" s="223"/>
      <c r="AJ508" s="47"/>
      <c r="AK508" s="73"/>
      <c r="AL508" s="47"/>
      <c r="AM508" s="47"/>
      <c r="AN508" s="47"/>
      <c r="AO508" s="47"/>
      <c r="AP508" s="47"/>
      <c r="AQ508" s="47"/>
      <c r="AR508" s="25"/>
    </row>
    <row r="509" spans="1:44" ht="12.75" customHeight="1" x14ac:dyDescent="0.15">
      <c r="A509" s="47"/>
      <c r="B509" s="47"/>
      <c r="C509" s="47"/>
      <c r="D509" s="47"/>
      <c r="E509" s="47"/>
      <c r="F509" s="47"/>
      <c r="G509" s="47"/>
      <c r="H509" s="47"/>
      <c r="I509" s="111"/>
      <c r="J509" s="52"/>
      <c r="K509" s="148"/>
      <c r="L509" s="52"/>
      <c r="M509" s="148"/>
      <c r="N509" s="52"/>
      <c r="O509" s="148"/>
      <c r="P509" s="52"/>
      <c r="Q509" s="155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52"/>
      <c r="AD509" s="52"/>
      <c r="AE509" s="47"/>
      <c r="AF509" s="69"/>
      <c r="AG509" s="223"/>
      <c r="AJ509" s="47"/>
      <c r="AK509" s="73"/>
      <c r="AL509" s="47"/>
      <c r="AM509" s="47"/>
      <c r="AN509" s="47"/>
      <c r="AO509" s="47"/>
      <c r="AP509" s="47"/>
      <c r="AQ509" s="47"/>
      <c r="AR509" s="25"/>
    </row>
    <row r="510" spans="1:44" ht="12.75" customHeight="1" x14ac:dyDescent="0.15">
      <c r="A510" s="47"/>
      <c r="B510" s="47"/>
      <c r="C510" s="47"/>
      <c r="D510" s="47"/>
      <c r="E510" s="47"/>
      <c r="F510" s="47"/>
      <c r="G510" s="47"/>
      <c r="H510" s="47"/>
      <c r="I510" s="111"/>
      <c r="J510" s="52"/>
      <c r="K510" s="148"/>
      <c r="L510" s="52"/>
      <c r="M510" s="148"/>
      <c r="N510" s="52"/>
      <c r="O510" s="148"/>
      <c r="P510" s="52"/>
      <c r="Q510" s="155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52"/>
      <c r="AD510" s="52"/>
      <c r="AE510" s="47"/>
      <c r="AF510" s="69"/>
      <c r="AG510" s="223"/>
      <c r="AJ510" s="47"/>
      <c r="AK510" s="73"/>
      <c r="AL510" s="47"/>
      <c r="AM510" s="47"/>
      <c r="AN510" s="47"/>
      <c r="AO510" s="47"/>
      <c r="AP510" s="47"/>
      <c r="AQ510" s="47"/>
      <c r="AR510" s="25"/>
    </row>
    <row r="511" spans="1:44" ht="12.75" customHeight="1" x14ac:dyDescent="0.15">
      <c r="A511" s="47"/>
      <c r="B511" s="47"/>
      <c r="C511" s="47"/>
      <c r="D511" s="47"/>
      <c r="E511" s="47"/>
      <c r="F511" s="47"/>
      <c r="G511" s="47"/>
      <c r="H511" s="47"/>
      <c r="I511" s="111"/>
      <c r="J511" s="52"/>
      <c r="K511" s="148"/>
      <c r="L511" s="52"/>
      <c r="M511" s="148"/>
      <c r="N511" s="52"/>
      <c r="O511" s="148"/>
      <c r="P511" s="52"/>
      <c r="Q511" s="155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52"/>
      <c r="AD511" s="52"/>
      <c r="AE511" s="47"/>
      <c r="AF511" s="69"/>
      <c r="AG511" s="223"/>
      <c r="AJ511" s="47"/>
      <c r="AK511" s="73"/>
      <c r="AL511" s="47"/>
      <c r="AM511" s="47"/>
      <c r="AN511" s="47"/>
      <c r="AO511" s="47"/>
      <c r="AP511" s="47"/>
      <c r="AQ511" s="47"/>
      <c r="AR511" s="25"/>
    </row>
    <row r="512" spans="1:44" ht="12.75" customHeight="1" x14ac:dyDescent="0.15">
      <c r="A512" s="47"/>
      <c r="B512" s="47"/>
      <c r="C512" s="47"/>
      <c r="D512" s="47"/>
      <c r="E512" s="47"/>
      <c r="F512" s="47"/>
      <c r="G512" s="47"/>
      <c r="H512" s="47"/>
      <c r="I512" s="111"/>
      <c r="J512" s="52"/>
      <c r="K512" s="148"/>
      <c r="L512" s="52"/>
      <c r="M512" s="148"/>
      <c r="N512" s="52"/>
      <c r="O512" s="148"/>
      <c r="P512" s="52"/>
      <c r="Q512" s="155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52"/>
      <c r="AD512" s="52"/>
      <c r="AE512" s="47"/>
      <c r="AF512" s="69"/>
      <c r="AG512" s="223"/>
      <c r="AJ512" s="47"/>
      <c r="AK512" s="73"/>
      <c r="AL512" s="47"/>
      <c r="AM512" s="47"/>
      <c r="AN512" s="47"/>
      <c r="AO512" s="47"/>
      <c r="AP512" s="47"/>
      <c r="AQ512" s="47"/>
      <c r="AR512" s="25"/>
    </row>
    <row r="513" spans="1:44" ht="12.75" customHeight="1" x14ac:dyDescent="0.15">
      <c r="A513" s="47"/>
      <c r="B513" s="47"/>
      <c r="C513" s="47"/>
      <c r="D513" s="47"/>
      <c r="E513" s="47"/>
      <c r="F513" s="47"/>
      <c r="G513" s="47"/>
      <c r="H513" s="47"/>
      <c r="I513" s="111"/>
      <c r="J513" s="52"/>
      <c r="K513" s="148"/>
      <c r="L513" s="52"/>
      <c r="M513" s="148"/>
      <c r="N513" s="52"/>
      <c r="O513" s="148"/>
      <c r="P513" s="52"/>
      <c r="Q513" s="155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52"/>
      <c r="AD513" s="52"/>
      <c r="AE513" s="47"/>
      <c r="AF513" s="69"/>
      <c r="AG513" s="223"/>
      <c r="AJ513" s="47"/>
      <c r="AK513" s="73"/>
      <c r="AL513" s="47"/>
      <c r="AM513" s="47"/>
      <c r="AN513" s="47"/>
      <c r="AO513" s="47"/>
      <c r="AP513" s="47"/>
      <c r="AQ513" s="47"/>
      <c r="AR513" s="25"/>
    </row>
    <row r="514" spans="1:44" ht="12.75" customHeight="1" x14ac:dyDescent="0.15">
      <c r="A514" s="47"/>
      <c r="B514" s="47"/>
      <c r="C514" s="47"/>
      <c r="D514" s="47"/>
      <c r="E514" s="47"/>
      <c r="F514" s="47"/>
      <c r="G514" s="47"/>
      <c r="H514" s="47"/>
      <c r="I514" s="111"/>
      <c r="J514" s="52"/>
      <c r="K514" s="148"/>
      <c r="L514" s="52"/>
      <c r="M514" s="148"/>
      <c r="N514" s="52"/>
      <c r="O514" s="148"/>
      <c r="P514" s="52"/>
      <c r="Q514" s="155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52"/>
      <c r="AD514" s="52"/>
      <c r="AE514" s="47"/>
      <c r="AF514" s="69"/>
      <c r="AG514" s="223"/>
      <c r="AJ514" s="47"/>
      <c r="AK514" s="73"/>
      <c r="AL514" s="47"/>
      <c r="AM514" s="47"/>
      <c r="AN514" s="47"/>
      <c r="AO514" s="47"/>
      <c r="AP514" s="47"/>
      <c r="AQ514" s="47"/>
      <c r="AR514" s="25"/>
    </row>
    <row r="515" spans="1:44" ht="12.75" customHeight="1" x14ac:dyDescent="0.15">
      <c r="A515" s="47"/>
      <c r="B515" s="47"/>
      <c r="C515" s="47"/>
      <c r="D515" s="47"/>
      <c r="E515" s="47"/>
      <c r="F515" s="47"/>
      <c r="G515" s="47"/>
      <c r="H515" s="47"/>
      <c r="I515" s="111"/>
      <c r="J515" s="52"/>
      <c r="K515" s="148"/>
      <c r="L515" s="52"/>
      <c r="M515" s="148"/>
      <c r="N515" s="52"/>
      <c r="O515" s="148"/>
      <c r="P515" s="52"/>
      <c r="Q515" s="155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52"/>
      <c r="AD515" s="52"/>
      <c r="AE515" s="47"/>
      <c r="AF515" s="69"/>
      <c r="AG515" s="223"/>
      <c r="AJ515" s="47"/>
      <c r="AK515" s="73"/>
      <c r="AL515" s="47"/>
      <c r="AM515" s="47"/>
      <c r="AN515" s="47"/>
      <c r="AO515" s="47"/>
      <c r="AP515" s="47"/>
      <c r="AQ515" s="47"/>
      <c r="AR515" s="25"/>
    </row>
    <row r="516" spans="1:44" ht="12.75" customHeight="1" x14ac:dyDescent="0.15">
      <c r="A516" s="47"/>
      <c r="B516" s="47"/>
      <c r="C516" s="47"/>
      <c r="D516" s="47"/>
      <c r="E516" s="47"/>
      <c r="F516" s="47"/>
      <c r="G516" s="47"/>
      <c r="H516" s="47"/>
      <c r="I516" s="111"/>
      <c r="J516" s="52"/>
      <c r="K516" s="148"/>
      <c r="L516" s="52"/>
      <c r="M516" s="148"/>
      <c r="N516" s="52"/>
      <c r="O516" s="148"/>
      <c r="P516" s="52"/>
      <c r="Q516" s="155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52"/>
      <c r="AD516" s="52"/>
      <c r="AE516" s="47"/>
      <c r="AF516" s="69"/>
      <c r="AG516" s="223"/>
      <c r="AJ516" s="47"/>
      <c r="AK516" s="73"/>
      <c r="AL516" s="47"/>
      <c r="AM516" s="47"/>
      <c r="AN516" s="47"/>
      <c r="AO516" s="47"/>
      <c r="AP516" s="47"/>
      <c r="AQ516" s="47"/>
      <c r="AR516" s="25"/>
    </row>
    <row r="517" spans="1:44" ht="12.75" customHeight="1" x14ac:dyDescent="0.15">
      <c r="A517" s="47"/>
      <c r="B517" s="47"/>
      <c r="C517" s="47"/>
      <c r="D517" s="47"/>
      <c r="E517" s="47"/>
      <c r="F517" s="47"/>
      <c r="G517" s="47"/>
      <c r="H517" s="47"/>
      <c r="I517" s="111"/>
      <c r="J517" s="52"/>
      <c r="K517" s="148"/>
      <c r="L517" s="52"/>
      <c r="M517" s="148"/>
      <c r="N517" s="52"/>
      <c r="O517" s="148"/>
      <c r="P517" s="52"/>
      <c r="Q517" s="155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52"/>
      <c r="AD517" s="52"/>
      <c r="AE517" s="47"/>
      <c r="AF517" s="69"/>
      <c r="AG517" s="223"/>
      <c r="AJ517" s="47"/>
      <c r="AK517" s="73"/>
      <c r="AL517" s="47"/>
      <c r="AM517" s="47"/>
      <c r="AN517" s="47"/>
      <c r="AO517" s="47"/>
      <c r="AP517" s="47"/>
      <c r="AQ517" s="47"/>
      <c r="AR517" s="25"/>
    </row>
    <row r="518" spans="1:44" ht="12.75" customHeight="1" x14ac:dyDescent="0.15">
      <c r="A518" s="47"/>
      <c r="B518" s="47"/>
      <c r="C518" s="47"/>
      <c r="D518" s="47"/>
      <c r="E518" s="47"/>
      <c r="F518" s="47"/>
      <c r="G518" s="47"/>
      <c r="H518" s="47"/>
      <c r="I518" s="111"/>
      <c r="J518" s="52"/>
      <c r="K518" s="148"/>
      <c r="L518" s="52"/>
      <c r="M518" s="148"/>
      <c r="N518" s="52"/>
      <c r="O518" s="148"/>
      <c r="P518" s="52"/>
      <c r="Q518" s="155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52"/>
      <c r="AD518" s="52"/>
      <c r="AE518" s="47"/>
      <c r="AF518" s="69"/>
      <c r="AG518" s="223"/>
      <c r="AJ518" s="47"/>
      <c r="AK518" s="73"/>
      <c r="AL518" s="47"/>
      <c r="AM518" s="47"/>
      <c r="AN518" s="47"/>
      <c r="AO518" s="47"/>
      <c r="AP518" s="47"/>
      <c r="AQ518" s="47"/>
      <c r="AR518" s="25"/>
    </row>
    <row r="519" spans="1:44" ht="12.75" customHeight="1" x14ac:dyDescent="0.15">
      <c r="A519" s="47"/>
      <c r="B519" s="47"/>
      <c r="C519" s="47"/>
      <c r="D519" s="47"/>
      <c r="E519" s="47"/>
      <c r="F519" s="47"/>
      <c r="G519" s="47"/>
      <c r="H519" s="47"/>
      <c r="I519" s="111"/>
      <c r="J519" s="52"/>
      <c r="K519" s="148"/>
      <c r="L519" s="52"/>
      <c r="M519" s="148"/>
      <c r="N519" s="52"/>
      <c r="O519" s="148"/>
      <c r="P519" s="52"/>
      <c r="Q519" s="155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52"/>
      <c r="AD519" s="52"/>
      <c r="AE519" s="47"/>
      <c r="AF519" s="69"/>
      <c r="AG519" s="223"/>
      <c r="AJ519" s="47"/>
      <c r="AK519" s="73"/>
      <c r="AL519" s="47"/>
      <c r="AM519" s="47"/>
      <c r="AN519" s="47"/>
      <c r="AO519" s="47"/>
      <c r="AP519" s="47"/>
      <c r="AQ519" s="47"/>
      <c r="AR519" s="25"/>
    </row>
    <row r="520" spans="1:44" ht="12.75" customHeight="1" x14ac:dyDescent="0.15">
      <c r="A520" s="47"/>
      <c r="B520" s="47"/>
      <c r="C520" s="47"/>
      <c r="D520" s="47"/>
      <c r="E520" s="47"/>
      <c r="F520" s="47"/>
      <c r="G520" s="47"/>
      <c r="H520" s="47"/>
      <c r="I520" s="111"/>
      <c r="J520" s="52"/>
      <c r="K520" s="148"/>
      <c r="L520" s="52"/>
      <c r="M520" s="148"/>
      <c r="N520" s="52"/>
      <c r="O520" s="148"/>
      <c r="P520" s="52"/>
      <c r="Q520" s="155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52"/>
      <c r="AD520" s="52"/>
      <c r="AE520" s="47"/>
      <c r="AF520" s="69"/>
      <c r="AG520" s="223"/>
      <c r="AJ520" s="47"/>
      <c r="AK520" s="73"/>
      <c r="AL520" s="47"/>
      <c r="AM520" s="47"/>
      <c r="AN520" s="47"/>
      <c r="AO520" s="47"/>
      <c r="AP520" s="47"/>
      <c r="AQ520" s="47"/>
      <c r="AR520" s="25"/>
    </row>
    <row r="521" spans="1:44" ht="12.75" customHeight="1" x14ac:dyDescent="0.15">
      <c r="A521" s="47"/>
      <c r="B521" s="47"/>
      <c r="C521" s="47"/>
      <c r="D521" s="47"/>
      <c r="E521" s="47"/>
      <c r="F521" s="47"/>
      <c r="G521" s="47"/>
      <c r="H521" s="47"/>
      <c r="I521" s="111"/>
      <c r="J521" s="52"/>
      <c r="K521" s="148"/>
      <c r="L521" s="52"/>
      <c r="M521" s="148"/>
      <c r="N521" s="52"/>
      <c r="O521" s="148"/>
      <c r="P521" s="52"/>
      <c r="Q521" s="155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52"/>
      <c r="AD521" s="52"/>
      <c r="AE521" s="47"/>
      <c r="AF521" s="69"/>
      <c r="AG521" s="223"/>
      <c r="AJ521" s="47"/>
      <c r="AK521" s="73"/>
      <c r="AL521" s="47"/>
      <c r="AM521" s="47"/>
      <c r="AN521" s="47"/>
      <c r="AO521" s="47"/>
      <c r="AP521" s="47"/>
      <c r="AQ521" s="47"/>
      <c r="AR521" s="25"/>
    </row>
    <row r="522" spans="1:44" ht="12.75" customHeight="1" x14ac:dyDescent="0.15">
      <c r="A522" s="47"/>
      <c r="B522" s="47"/>
      <c r="C522" s="47"/>
      <c r="D522" s="47"/>
      <c r="E522" s="47"/>
      <c r="F522" s="47"/>
      <c r="G522" s="47"/>
      <c r="H522" s="47"/>
      <c r="I522" s="111"/>
      <c r="J522" s="52"/>
      <c r="K522" s="148"/>
      <c r="L522" s="52"/>
      <c r="M522" s="148"/>
      <c r="N522" s="52"/>
      <c r="O522" s="148"/>
      <c r="P522" s="52"/>
      <c r="Q522" s="155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52"/>
      <c r="AD522" s="52"/>
      <c r="AE522" s="47"/>
      <c r="AF522" s="69"/>
      <c r="AG522" s="223"/>
      <c r="AJ522" s="47"/>
      <c r="AK522" s="73"/>
      <c r="AL522" s="47"/>
      <c r="AM522" s="47"/>
      <c r="AN522" s="47"/>
      <c r="AO522" s="47"/>
      <c r="AP522" s="47"/>
      <c r="AQ522" s="47"/>
      <c r="AR522" s="25"/>
    </row>
    <row r="523" spans="1:44" ht="12.75" customHeight="1" x14ac:dyDescent="0.15">
      <c r="A523" s="47"/>
      <c r="B523" s="47"/>
      <c r="C523" s="47"/>
      <c r="D523" s="47"/>
      <c r="E523" s="47"/>
      <c r="F523" s="47"/>
      <c r="G523" s="47"/>
      <c r="H523" s="47"/>
      <c r="I523" s="111"/>
      <c r="J523" s="52"/>
      <c r="K523" s="148"/>
      <c r="L523" s="52"/>
      <c r="M523" s="148"/>
      <c r="N523" s="52"/>
      <c r="O523" s="148"/>
      <c r="P523" s="52"/>
      <c r="Q523" s="155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52"/>
      <c r="AD523" s="52"/>
      <c r="AE523" s="47"/>
      <c r="AF523" s="69"/>
      <c r="AG523" s="223"/>
      <c r="AJ523" s="47"/>
      <c r="AK523" s="73"/>
      <c r="AL523" s="47"/>
      <c r="AM523" s="47"/>
      <c r="AN523" s="47"/>
      <c r="AO523" s="47"/>
      <c r="AP523" s="47"/>
      <c r="AQ523" s="47"/>
      <c r="AR523" s="25"/>
    </row>
    <row r="524" spans="1:44" ht="12.75" customHeight="1" x14ac:dyDescent="0.15">
      <c r="A524" s="47"/>
      <c r="B524" s="47"/>
      <c r="C524" s="47"/>
      <c r="D524" s="47"/>
      <c r="E524" s="47"/>
      <c r="F524" s="47"/>
      <c r="G524" s="47"/>
      <c r="H524" s="47"/>
      <c r="I524" s="111"/>
      <c r="J524" s="52"/>
      <c r="K524" s="148"/>
      <c r="L524" s="52"/>
      <c r="M524" s="148"/>
      <c r="N524" s="52"/>
      <c r="O524" s="148"/>
      <c r="P524" s="52"/>
      <c r="Q524" s="155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52"/>
      <c r="AD524" s="52"/>
      <c r="AE524" s="47"/>
      <c r="AF524" s="69"/>
      <c r="AG524" s="223"/>
      <c r="AJ524" s="47"/>
      <c r="AK524" s="73"/>
      <c r="AL524" s="47"/>
      <c r="AM524" s="47"/>
      <c r="AN524" s="47"/>
      <c r="AO524" s="47"/>
      <c r="AP524" s="47"/>
      <c r="AQ524" s="47"/>
      <c r="AR524" s="25"/>
    </row>
    <row r="525" spans="1:44" ht="12.75" customHeight="1" x14ac:dyDescent="0.15">
      <c r="A525" s="47"/>
      <c r="B525" s="47"/>
      <c r="C525" s="47"/>
      <c r="D525" s="47"/>
      <c r="E525" s="47"/>
      <c r="F525" s="47"/>
      <c r="G525" s="47"/>
      <c r="H525" s="47"/>
      <c r="I525" s="111"/>
      <c r="J525" s="52"/>
      <c r="K525" s="148"/>
      <c r="L525" s="52"/>
      <c r="M525" s="148"/>
      <c r="N525" s="52"/>
      <c r="O525" s="148"/>
      <c r="P525" s="52"/>
      <c r="Q525" s="155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52"/>
      <c r="AD525" s="52"/>
      <c r="AE525" s="47"/>
      <c r="AF525" s="69"/>
      <c r="AG525" s="223"/>
      <c r="AJ525" s="47"/>
      <c r="AK525" s="73"/>
      <c r="AL525" s="47"/>
      <c r="AM525" s="47"/>
      <c r="AN525" s="47"/>
      <c r="AO525" s="47"/>
      <c r="AP525" s="47"/>
      <c r="AQ525" s="47"/>
      <c r="AR525" s="25"/>
    </row>
    <row r="526" spans="1:44" ht="12.75" customHeight="1" x14ac:dyDescent="0.15">
      <c r="A526" s="47"/>
      <c r="B526" s="47"/>
      <c r="C526" s="47"/>
      <c r="D526" s="47"/>
      <c r="E526" s="47"/>
      <c r="F526" s="47"/>
      <c r="G526" s="47"/>
      <c r="H526" s="47"/>
      <c r="I526" s="111"/>
      <c r="J526" s="52"/>
      <c r="K526" s="148"/>
      <c r="L526" s="52"/>
      <c r="M526" s="148"/>
      <c r="N526" s="52"/>
      <c r="O526" s="148"/>
      <c r="P526" s="52"/>
      <c r="Q526" s="155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52"/>
      <c r="AD526" s="52"/>
      <c r="AE526" s="47"/>
      <c r="AF526" s="69"/>
      <c r="AG526" s="223"/>
      <c r="AJ526" s="47"/>
      <c r="AK526" s="73"/>
      <c r="AL526" s="47"/>
      <c r="AM526" s="47"/>
      <c r="AN526" s="47"/>
      <c r="AO526" s="47"/>
      <c r="AP526" s="47"/>
      <c r="AQ526" s="47"/>
      <c r="AR526" s="25"/>
    </row>
    <row r="527" spans="1:44" ht="12.75" customHeight="1" x14ac:dyDescent="0.15">
      <c r="A527" s="47"/>
      <c r="B527" s="47"/>
      <c r="C527" s="47"/>
      <c r="D527" s="47"/>
      <c r="E527" s="47"/>
      <c r="F527" s="47"/>
      <c r="G527" s="47"/>
      <c r="H527" s="47"/>
      <c r="I527" s="111"/>
      <c r="J527" s="52"/>
      <c r="K527" s="148"/>
      <c r="L527" s="52"/>
      <c r="M527" s="148"/>
      <c r="N527" s="52"/>
      <c r="O527" s="148"/>
      <c r="P527" s="52"/>
      <c r="Q527" s="155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52"/>
      <c r="AD527" s="52"/>
      <c r="AE527" s="47"/>
      <c r="AF527" s="69"/>
      <c r="AG527" s="223"/>
      <c r="AJ527" s="47"/>
      <c r="AK527" s="73"/>
      <c r="AL527" s="47"/>
      <c r="AM527" s="47"/>
      <c r="AN527" s="47"/>
      <c r="AO527" s="47"/>
      <c r="AP527" s="47"/>
      <c r="AQ527" s="47"/>
      <c r="AR527" s="25"/>
    </row>
    <row r="528" spans="1:44" ht="12.75" customHeight="1" x14ac:dyDescent="0.15">
      <c r="A528" s="47"/>
      <c r="B528" s="47"/>
      <c r="C528" s="47"/>
      <c r="D528" s="47"/>
      <c r="E528" s="47"/>
      <c r="F528" s="47"/>
      <c r="G528" s="47"/>
      <c r="H528" s="47"/>
      <c r="I528" s="111"/>
      <c r="J528" s="52"/>
      <c r="K528" s="148"/>
      <c r="L528" s="52"/>
      <c r="M528" s="148"/>
      <c r="N528" s="52"/>
      <c r="O528" s="148"/>
      <c r="P528" s="52"/>
      <c r="Q528" s="155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52"/>
      <c r="AD528" s="52"/>
      <c r="AE528" s="47"/>
      <c r="AF528" s="69"/>
      <c r="AG528" s="223"/>
      <c r="AJ528" s="47"/>
      <c r="AK528" s="73"/>
      <c r="AL528" s="47"/>
      <c r="AM528" s="47"/>
      <c r="AN528" s="47"/>
      <c r="AO528" s="47"/>
      <c r="AP528" s="47"/>
      <c r="AQ528" s="47"/>
      <c r="AR528" s="25"/>
    </row>
    <row r="529" spans="1:44" ht="12.75" customHeight="1" x14ac:dyDescent="0.15">
      <c r="A529" s="47"/>
      <c r="B529" s="47"/>
      <c r="C529" s="47"/>
      <c r="D529" s="47"/>
      <c r="E529" s="47"/>
      <c r="F529" s="47"/>
      <c r="G529" s="47"/>
      <c r="H529" s="47"/>
      <c r="I529" s="111"/>
      <c r="J529" s="52"/>
      <c r="K529" s="148"/>
      <c r="L529" s="52"/>
      <c r="M529" s="148"/>
      <c r="N529" s="52"/>
      <c r="O529" s="148"/>
      <c r="P529" s="52"/>
      <c r="Q529" s="155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52"/>
      <c r="AD529" s="52"/>
      <c r="AE529" s="47"/>
      <c r="AF529" s="69"/>
      <c r="AG529" s="223"/>
      <c r="AJ529" s="47"/>
      <c r="AK529" s="73"/>
      <c r="AL529" s="47"/>
      <c r="AM529" s="47"/>
      <c r="AN529" s="47"/>
      <c r="AO529" s="47"/>
      <c r="AP529" s="47"/>
      <c r="AQ529" s="47"/>
      <c r="AR529" s="25"/>
    </row>
    <row r="530" spans="1:44" ht="12.75" customHeight="1" x14ac:dyDescent="0.15">
      <c r="A530" s="47"/>
      <c r="B530" s="47"/>
      <c r="C530" s="47"/>
      <c r="D530" s="47"/>
      <c r="E530" s="47"/>
      <c r="F530" s="47"/>
      <c r="G530" s="47"/>
      <c r="H530" s="47"/>
      <c r="I530" s="111"/>
      <c r="J530" s="52"/>
      <c r="K530" s="148"/>
      <c r="L530" s="52"/>
      <c r="M530" s="148"/>
      <c r="N530" s="52"/>
      <c r="O530" s="148"/>
      <c r="P530" s="52"/>
      <c r="Q530" s="155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52"/>
      <c r="AD530" s="52"/>
      <c r="AE530" s="47"/>
      <c r="AF530" s="69"/>
      <c r="AG530" s="223"/>
      <c r="AJ530" s="47"/>
      <c r="AK530" s="73"/>
      <c r="AL530" s="47"/>
      <c r="AM530" s="47"/>
      <c r="AN530" s="47"/>
      <c r="AO530" s="47"/>
      <c r="AP530" s="47"/>
      <c r="AQ530" s="47"/>
      <c r="AR530" s="25"/>
    </row>
    <row r="531" spans="1:44" ht="12.75" customHeight="1" x14ac:dyDescent="0.15">
      <c r="A531" s="47"/>
      <c r="B531" s="47"/>
      <c r="C531" s="47"/>
      <c r="D531" s="47"/>
      <c r="E531" s="47"/>
      <c r="F531" s="47"/>
      <c r="G531" s="47"/>
      <c r="H531" s="47"/>
      <c r="I531" s="111"/>
      <c r="J531" s="52"/>
      <c r="K531" s="148"/>
      <c r="L531" s="52"/>
      <c r="M531" s="148"/>
      <c r="N531" s="52"/>
      <c r="O531" s="148"/>
      <c r="P531" s="52"/>
      <c r="Q531" s="155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52"/>
      <c r="AD531" s="52"/>
      <c r="AE531" s="47"/>
      <c r="AF531" s="69"/>
      <c r="AG531" s="223"/>
      <c r="AJ531" s="47"/>
      <c r="AK531" s="73"/>
      <c r="AL531" s="47"/>
      <c r="AM531" s="47"/>
      <c r="AN531" s="47"/>
      <c r="AO531" s="47"/>
      <c r="AP531" s="47"/>
      <c r="AQ531" s="47"/>
      <c r="AR531" s="25"/>
    </row>
    <row r="532" spans="1:44" ht="12.75" customHeight="1" x14ac:dyDescent="0.15">
      <c r="A532" s="47"/>
      <c r="B532" s="47"/>
      <c r="C532" s="47"/>
      <c r="D532" s="47"/>
      <c r="E532" s="47"/>
      <c r="F532" s="47"/>
      <c r="G532" s="47"/>
      <c r="H532" s="47"/>
      <c r="I532" s="111"/>
      <c r="J532" s="52"/>
      <c r="K532" s="148"/>
      <c r="L532" s="52"/>
      <c r="M532" s="148"/>
      <c r="N532" s="52"/>
      <c r="O532" s="148"/>
      <c r="P532" s="52"/>
      <c r="Q532" s="155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52"/>
      <c r="AD532" s="52"/>
      <c r="AE532" s="47"/>
      <c r="AF532" s="69"/>
      <c r="AG532" s="223"/>
      <c r="AJ532" s="47"/>
      <c r="AK532" s="73"/>
      <c r="AL532" s="47"/>
      <c r="AM532" s="47"/>
      <c r="AN532" s="47"/>
      <c r="AO532" s="47"/>
      <c r="AP532" s="47"/>
      <c r="AQ532" s="47"/>
      <c r="AR532" s="25"/>
    </row>
    <row r="533" spans="1:44" ht="12.75" customHeight="1" x14ac:dyDescent="0.15">
      <c r="A533" s="47"/>
      <c r="B533" s="47"/>
      <c r="C533" s="47"/>
      <c r="D533" s="47"/>
      <c r="E533" s="47"/>
      <c r="F533" s="47"/>
      <c r="G533" s="47"/>
      <c r="H533" s="47"/>
      <c r="I533" s="111"/>
      <c r="J533" s="52"/>
      <c r="K533" s="148"/>
      <c r="L533" s="52"/>
      <c r="M533" s="148"/>
      <c r="N533" s="52"/>
      <c r="O533" s="148"/>
      <c r="P533" s="52"/>
      <c r="Q533" s="155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52"/>
      <c r="AD533" s="52"/>
      <c r="AE533" s="47"/>
      <c r="AF533" s="69"/>
      <c r="AG533" s="223"/>
      <c r="AJ533" s="47"/>
      <c r="AK533" s="73"/>
      <c r="AL533" s="47"/>
      <c r="AM533" s="47"/>
      <c r="AN533" s="47"/>
      <c r="AO533" s="47"/>
      <c r="AP533" s="47"/>
      <c r="AQ533" s="47"/>
      <c r="AR533" s="25"/>
    </row>
    <row r="534" spans="1:44" ht="12.75" customHeight="1" x14ac:dyDescent="0.15">
      <c r="A534" s="47"/>
      <c r="B534" s="47"/>
      <c r="C534" s="47"/>
      <c r="D534" s="47"/>
      <c r="E534" s="47"/>
      <c r="F534" s="47"/>
      <c r="G534" s="47"/>
      <c r="H534" s="47"/>
      <c r="I534" s="111"/>
      <c r="J534" s="52"/>
      <c r="K534" s="148"/>
      <c r="L534" s="52"/>
      <c r="M534" s="148"/>
      <c r="N534" s="52"/>
      <c r="O534" s="148"/>
      <c r="P534" s="52"/>
      <c r="Q534" s="155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52"/>
      <c r="AD534" s="52"/>
      <c r="AE534" s="47"/>
      <c r="AF534" s="69"/>
      <c r="AG534" s="223"/>
      <c r="AJ534" s="47"/>
      <c r="AK534" s="73"/>
      <c r="AL534" s="47"/>
      <c r="AM534" s="47"/>
      <c r="AN534" s="47"/>
      <c r="AO534" s="47"/>
      <c r="AP534" s="47"/>
      <c r="AQ534" s="47"/>
      <c r="AR534" s="25"/>
    </row>
    <row r="535" spans="1:44" ht="12.75" customHeight="1" x14ac:dyDescent="0.15">
      <c r="A535" s="47"/>
      <c r="B535" s="47"/>
      <c r="C535" s="47"/>
      <c r="D535" s="47"/>
      <c r="E535" s="47"/>
      <c r="F535" s="47"/>
      <c r="G535" s="47"/>
      <c r="H535" s="47"/>
      <c r="I535" s="111"/>
      <c r="J535" s="52"/>
      <c r="K535" s="148"/>
      <c r="L535" s="52"/>
      <c r="M535" s="148"/>
      <c r="N535" s="52"/>
      <c r="O535" s="148"/>
      <c r="P535" s="52"/>
      <c r="Q535" s="155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52"/>
      <c r="AD535" s="52"/>
      <c r="AE535" s="47"/>
      <c r="AF535" s="69"/>
      <c r="AG535" s="223"/>
      <c r="AJ535" s="47"/>
      <c r="AK535" s="73"/>
      <c r="AL535" s="47"/>
      <c r="AM535" s="47"/>
      <c r="AN535" s="47"/>
      <c r="AO535" s="47"/>
      <c r="AP535" s="47"/>
      <c r="AQ535" s="47"/>
      <c r="AR535" s="25"/>
    </row>
    <row r="536" spans="1:44" ht="12.75" customHeight="1" x14ac:dyDescent="0.15">
      <c r="A536" s="47"/>
      <c r="B536" s="47"/>
      <c r="C536" s="47"/>
      <c r="D536" s="47"/>
      <c r="E536" s="47"/>
      <c r="F536" s="47"/>
      <c r="G536" s="47"/>
      <c r="H536" s="47"/>
      <c r="I536" s="111"/>
      <c r="J536" s="52"/>
      <c r="K536" s="148"/>
      <c r="L536" s="52"/>
      <c r="M536" s="148"/>
      <c r="N536" s="52"/>
      <c r="O536" s="148"/>
      <c r="P536" s="52"/>
      <c r="Q536" s="155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52"/>
      <c r="AD536" s="52"/>
      <c r="AE536" s="47"/>
      <c r="AF536" s="69"/>
      <c r="AG536" s="223"/>
      <c r="AJ536" s="47"/>
      <c r="AK536" s="73"/>
      <c r="AL536" s="47"/>
      <c r="AM536" s="47"/>
      <c r="AN536" s="47"/>
      <c r="AO536" s="47"/>
      <c r="AP536" s="47"/>
      <c r="AQ536" s="47"/>
      <c r="AR536" s="25"/>
    </row>
    <row r="537" spans="1:44" ht="12.75" customHeight="1" x14ac:dyDescent="0.15">
      <c r="A537" s="47"/>
      <c r="B537" s="47"/>
      <c r="C537" s="47"/>
      <c r="D537" s="47"/>
      <c r="E537" s="47"/>
      <c r="F537" s="47"/>
      <c r="G537" s="47"/>
      <c r="H537" s="47"/>
      <c r="I537" s="111"/>
      <c r="J537" s="52"/>
      <c r="K537" s="148"/>
      <c r="L537" s="52"/>
      <c r="M537" s="148"/>
      <c r="N537" s="52"/>
      <c r="O537" s="148"/>
      <c r="P537" s="52"/>
      <c r="Q537" s="155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52"/>
      <c r="AD537" s="52"/>
      <c r="AE537" s="47"/>
      <c r="AF537" s="69"/>
      <c r="AG537" s="223"/>
      <c r="AJ537" s="47"/>
      <c r="AK537" s="73"/>
      <c r="AL537" s="47"/>
      <c r="AM537" s="47"/>
      <c r="AN537" s="47"/>
      <c r="AO537" s="47"/>
      <c r="AP537" s="47"/>
      <c r="AQ537" s="47"/>
      <c r="AR537" s="25"/>
    </row>
    <row r="538" spans="1:44" ht="12.75" customHeight="1" x14ac:dyDescent="0.15">
      <c r="A538" s="47"/>
      <c r="B538" s="47"/>
      <c r="C538" s="47"/>
      <c r="D538" s="47"/>
      <c r="E538" s="47"/>
      <c r="F538" s="47"/>
      <c r="G538" s="47"/>
      <c r="H538" s="47"/>
      <c r="I538" s="111"/>
      <c r="J538" s="52"/>
      <c r="K538" s="148"/>
      <c r="L538" s="52"/>
      <c r="M538" s="148"/>
      <c r="N538" s="52"/>
      <c r="O538" s="148"/>
      <c r="P538" s="52"/>
      <c r="Q538" s="155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52"/>
      <c r="AD538" s="52"/>
      <c r="AE538" s="47"/>
      <c r="AF538" s="69"/>
      <c r="AG538" s="223"/>
      <c r="AJ538" s="47"/>
      <c r="AK538" s="73"/>
      <c r="AL538" s="47"/>
      <c r="AM538" s="47"/>
      <c r="AN538" s="47"/>
      <c r="AO538" s="47"/>
      <c r="AP538" s="47"/>
      <c r="AQ538" s="47"/>
      <c r="AR538" s="25"/>
    </row>
    <row r="539" spans="1:44" ht="12.75" customHeight="1" x14ac:dyDescent="0.15">
      <c r="A539" s="47"/>
      <c r="B539" s="47"/>
      <c r="C539" s="47"/>
      <c r="D539" s="47"/>
      <c r="E539" s="47"/>
      <c r="F539" s="47"/>
      <c r="G539" s="47"/>
      <c r="H539" s="47"/>
      <c r="I539" s="111"/>
      <c r="J539" s="52"/>
      <c r="K539" s="148"/>
      <c r="L539" s="52"/>
      <c r="M539" s="148"/>
      <c r="N539" s="52"/>
      <c r="O539" s="148"/>
      <c r="P539" s="52"/>
      <c r="Q539" s="155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52"/>
      <c r="AD539" s="52"/>
      <c r="AE539" s="47"/>
      <c r="AF539" s="69"/>
      <c r="AG539" s="223"/>
      <c r="AJ539" s="47"/>
      <c r="AK539" s="73"/>
      <c r="AL539" s="47"/>
      <c r="AM539" s="47"/>
      <c r="AN539" s="47"/>
      <c r="AO539" s="47"/>
      <c r="AP539" s="47"/>
      <c r="AQ539" s="47"/>
      <c r="AR539" s="25"/>
    </row>
    <row r="540" spans="1:44" ht="12.75" customHeight="1" x14ac:dyDescent="0.15">
      <c r="A540" s="47"/>
      <c r="B540" s="47"/>
      <c r="C540" s="47"/>
      <c r="D540" s="47"/>
      <c r="E540" s="47"/>
      <c r="F540" s="47"/>
      <c r="G540" s="47"/>
      <c r="H540" s="47"/>
      <c r="I540" s="111"/>
      <c r="J540" s="52"/>
      <c r="K540" s="148"/>
      <c r="L540" s="52"/>
      <c r="M540" s="148"/>
      <c r="N540" s="52"/>
      <c r="O540" s="148"/>
      <c r="P540" s="52"/>
      <c r="Q540" s="155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52"/>
      <c r="AD540" s="52"/>
      <c r="AE540" s="47"/>
      <c r="AF540" s="69"/>
      <c r="AG540" s="223"/>
      <c r="AJ540" s="47"/>
      <c r="AK540" s="73"/>
      <c r="AL540" s="47"/>
      <c r="AM540" s="47"/>
      <c r="AN540" s="47"/>
      <c r="AO540" s="47"/>
      <c r="AP540" s="47"/>
      <c r="AQ540" s="47"/>
      <c r="AR540" s="25"/>
    </row>
    <row r="541" spans="1:44" ht="12.75" customHeight="1" x14ac:dyDescent="0.15">
      <c r="A541" s="47"/>
      <c r="B541" s="47"/>
      <c r="C541" s="47"/>
      <c r="D541" s="47"/>
      <c r="E541" s="47"/>
      <c r="F541" s="47"/>
      <c r="G541" s="47"/>
      <c r="H541" s="47"/>
      <c r="I541" s="111"/>
      <c r="J541" s="52"/>
      <c r="K541" s="148"/>
      <c r="L541" s="52"/>
      <c r="M541" s="148"/>
      <c r="N541" s="52"/>
      <c r="O541" s="148"/>
      <c r="P541" s="52"/>
      <c r="Q541" s="155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52"/>
      <c r="AD541" s="52"/>
      <c r="AE541" s="47"/>
      <c r="AF541" s="69"/>
      <c r="AG541" s="223"/>
      <c r="AJ541" s="47"/>
      <c r="AK541" s="73"/>
      <c r="AL541" s="47"/>
      <c r="AM541" s="47"/>
      <c r="AN541" s="47"/>
      <c r="AO541" s="47"/>
      <c r="AP541" s="47"/>
      <c r="AQ541" s="47"/>
      <c r="AR541" s="25"/>
    </row>
    <row r="542" spans="1:44" ht="12.75" customHeight="1" x14ac:dyDescent="0.15">
      <c r="A542" s="47"/>
      <c r="B542" s="47"/>
      <c r="C542" s="47"/>
      <c r="D542" s="47"/>
      <c r="E542" s="47"/>
      <c r="F542" s="47"/>
      <c r="G542" s="47"/>
      <c r="H542" s="47"/>
      <c r="I542" s="111"/>
      <c r="J542" s="52"/>
      <c r="K542" s="148"/>
      <c r="L542" s="52"/>
      <c r="M542" s="148"/>
      <c r="N542" s="52"/>
      <c r="O542" s="148"/>
      <c r="P542" s="52"/>
      <c r="Q542" s="155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52"/>
      <c r="AD542" s="52"/>
      <c r="AE542" s="47"/>
      <c r="AF542" s="69"/>
      <c r="AG542" s="223"/>
      <c r="AJ542" s="47"/>
      <c r="AK542" s="73"/>
      <c r="AL542" s="47"/>
      <c r="AM542" s="47"/>
      <c r="AN542" s="47"/>
      <c r="AO542" s="47"/>
      <c r="AP542" s="47"/>
      <c r="AQ542" s="47"/>
      <c r="AR542" s="25"/>
    </row>
    <row r="543" spans="1:44" ht="12.75" customHeight="1" x14ac:dyDescent="0.15">
      <c r="A543" s="47"/>
      <c r="B543" s="47"/>
      <c r="C543" s="47"/>
      <c r="D543" s="47"/>
      <c r="E543" s="47"/>
      <c r="F543" s="47"/>
      <c r="G543" s="47"/>
      <c r="H543" s="47"/>
      <c r="I543" s="111"/>
      <c r="J543" s="52"/>
      <c r="K543" s="148"/>
      <c r="L543" s="52"/>
      <c r="M543" s="148"/>
      <c r="N543" s="52"/>
      <c r="O543" s="148"/>
      <c r="P543" s="52"/>
      <c r="Q543" s="155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52"/>
      <c r="AD543" s="52"/>
      <c r="AE543" s="47"/>
      <c r="AF543" s="69"/>
      <c r="AG543" s="223"/>
      <c r="AJ543" s="47"/>
      <c r="AK543" s="73"/>
      <c r="AL543" s="47"/>
      <c r="AM543" s="47"/>
      <c r="AN543" s="47"/>
      <c r="AO543" s="47"/>
      <c r="AP543" s="47"/>
      <c r="AQ543" s="47"/>
      <c r="AR543" s="25"/>
    </row>
    <row r="544" spans="1:44" ht="12.75" customHeight="1" x14ac:dyDescent="0.15">
      <c r="A544" s="47"/>
      <c r="B544" s="47"/>
      <c r="C544" s="47"/>
      <c r="D544" s="47"/>
      <c r="E544" s="47"/>
      <c r="F544" s="47"/>
      <c r="G544" s="47"/>
      <c r="H544" s="47"/>
      <c r="I544" s="111"/>
      <c r="J544" s="52"/>
      <c r="K544" s="148"/>
      <c r="L544" s="52"/>
      <c r="M544" s="148"/>
      <c r="N544" s="52"/>
      <c r="O544" s="148"/>
      <c r="P544" s="52"/>
      <c r="Q544" s="155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52"/>
      <c r="AD544" s="52"/>
      <c r="AE544" s="47"/>
      <c r="AF544" s="69"/>
      <c r="AG544" s="223"/>
      <c r="AJ544" s="47"/>
      <c r="AK544" s="73"/>
      <c r="AL544" s="47"/>
      <c r="AM544" s="47"/>
      <c r="AN544" s="47"/>
      <c r="AO544" s="47"/>
      <c r="AP544" s="47"/>
      <c r="AQ544" s="47"/>
      <c r="AR544" s="25"/>
    </row>
    <row r="545" spans="1:44" ht="12.75" customHeight="1" x14ac:dyDescent="0.15">
      <c r="A545" s="47"/>
      <c r="B545" s="47"/>
      <c r="C545" s="47"/>
      <c r="D545" s="47"/>
      <c r="E545" s="47"/>
      <c r="F545" s="47"/>
      <c r="G545" s="47"/>
      <c r="H545" s="47"/>
      <c r="I545" s="111"/>
      <c r="J545" s="52"/>
      <c r="K545" s="148"/>
      <c r="L545" s="52"/>
      <c r="M545" s="148"/>
      <c r="N545" s="52"/>
      <c r="O545" s="148"/>
      <c r="P545" s="52"/>
      <c r="Q545" s="155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52"/>
      <c r="AD545" s="52"/>
      <c r="AE545" s="47"/>
      <c r="AF545" s="69"/>
      <c r="AG545" s="223"/>
      <c r="AJ545" s="47"/>
      <c r="AK545" s="73"/>
      <c r="AL545" s="47"/>
      <c r="AM545" s="47"/>
      <c r="AN545" s="47"/>
      <c r="AO545" s="47"/>
      <c r="AP545" s="47"/>
      <c r="AQ545" s="47"/>
      <c r="AR545" s="25"/>
    </row>
    <row r="546" spans="1:44" ht="12.75" customHeight="1" x14ac:dyDescent="0.15">
      <c r="A546" s="47"/>
      <c r="B546" s="47"/>
      <c r="C546" s="47"/>
      <c r="D546" s="47"/>
      <c r="E546" s="47"/>
      <c r="F546" s="47"/>
      <c r="G546" s="47"/>
      <c r="H546" s="47"/>
      <c r="I546" s="111"/>
      <c r="J546" s="52"/>
      <c r="K546" s="148"/>
      <c r="L546" s="52"/>
      <c r="M546" s="148"/>
      <c r="N546" s="52"/>
      <c r="O546" s="148"/>
      <c r="P546" s="52"/>
      <c r="Q546" s="155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52"/>
      <c r="AD546" s="52"/>
      <c r="AE546" s="47"/>
      <c r="AF546" s="69"/>
      <c r="AG546" s="223"/>
      <c r="AJ546" s="47"/>
      <c r="AK546" s="73"/>
      <c r="AL546" s="47"/>
      <c r="AM546" s="47"/>
      <c r="AN546" s="47"/>
      <c r="AO546" s="47"/>
      <c r="AP546" s="47"/>
      <c r="AQ546" s="47"/>
      <c r="AR546" s="25"/>
    </row>
    <row r="547" spans="1:44" ht="12.75" customHeight="1" x14ac:dyDescent="0.15">
      <c r="A547" s="47"/>
      <c r="B547" s="47"/>
      <c r="C547" s="47"/>
      <c r="D547" s="47"/>
      <c r="E547" s="47"/>
      <c r="F547" s="47"/>
      <c r="G547" s="47"/>
      <c r="H547" s="47"/>
      <c r="I547" s="111"/>
      <c r="J547" s="52"/>
      <c r="K547" s="148"/>
      <c r="L547" s="52"/>
      <c r="M547" s="148"/>
      <c r="N547" s="52"/>
      <c r="O547" s="148"/>
      <c r="P547" s="52"/>
      <c r="Q547" s="155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52"/>
      <c r="AD547" s="52"/>
      <c r="AE547" s="47"/>
      <c r="AF547" s="69"/>
      <c r="AG547" s="223"/>
      <c r="AJ547" s="47"/>
      <c r="AK547" s="73"/>
      <c r="AL547" s="47"/>
      <c r="AM547" s="47"/>
      <c r="AN547" s="47"/>
      <c r="AO547" s="47"/>
      <c r="AP547" s="47"/>
      <c r="AQ547" s="47"/>
      <c r="AR547" s="25"/>
    </row>
    <row r="548" spans="1:44" ht="12.75" customHeight="1" x14ac:dyDescent="0.15">
      <c r="A548" s="47"/>
      <c r="B548" s="47"/>
      <c r="C548" s="47"/>
      <c r="D548" s="47"/>
      <c r="E548" s="47"/>
      <c r="F548" s="47"/>
      <c r="G548" s="47"/>
      <c r="H548" s="47"/>
      <c r="I548" s="111"/>
      <c r="J548" s="52"/>
      <c r="K548" s="148"/>
      <c r="L548" s="52"/>
      <c r="M548" s="148"/>
      <c r="N548" s="52"/>
      <c r="O548" s="148"/>
      <c r="P548" s="52"/>
      <c r="Q548" s="155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52"/>
      <c r="AD548" s="52"/>
      <c r="AE548" s="47"/>
      <c r="AF548" s="69"/>
      <c r="AG548" s="223"/>
      <c r="AJ548" s="47"/>
      <c r="AK548" s="73"/>
      <c r="AL548" s="47"/>
      <c r="AM548" s="47"/>
      <c r="AN548" s="47"/>
      <c r="AO548" s="47"/>
      <c r="AP548" s="47"/>
      <c r="AQ548" s="47"/>
      <c r="AR548" s="25"/>
    </row>
    <row r="549" spans="1:44" ht="12.75" customHeight="1" x14ac:dyDescent="0.15">
      <c r="A549" s="47"/>
      <c r="B549" s="47"/>
      <c r="C549" s="47"/>
      <c r="D549" s="47"/>
      <c r="E549" s="47"/>
      <c r="F549" s="47"/>
      <c r="G549" s="47"/>
      <c r="H549" s="47"/>
      <c r="I549" s="111"/>
      <c r="J549" s="52"/>
      <c r="K549" s="148"/>
      <c r="L549" s="52"/>
      <c r="M549" s="148"/>
      <c r="N549" s="52"/>
      <c r="O549" s="148"/>
      <c r="P549" s="52"/>
      <c r="Q549" s="155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52"/>
      <c r="AD549" s="52"/>
      <c r="AE549" s="47"/>
      <c r="AF549" s="69"/>
      <c r="AG549" s="223"/>
      <c r="AJ549" s="47"/>
      <c r="AK549" s="73"/>
      <c r="AL549" s="47"/>
      <c r="AM549" s="47"/>
      <c r="AN549" s="47"/>
      <c r="AO549" s="47"/>
      <c r="AP549" s="47"/>
      <c r="AQ549" s="47"/>
      <c r="AR549" s="25"/>
    </row>
    <row r="550" spans="1:44" ht="12.75" customHeight="1" x14ac:dyDescent="0.15">
      <c r="A550" s="47"/>
      <c r="B550" s="47"/>
      <c r="C550" s="47"/>
      <c r="D550" s="47"/>
      <c r="E550" s="47"/>
      <c r="F550" s="47"/>
      <c r="G550" s="47"/>
      <c r="H550" s="47"/>
      <c r="I550" s="111"/>
      <c r="J550" s="52"/>
      <c r="K550" s="148"/>
      <c r="L550" s="52"/>
      <c r="M550" s="148"/>
      <c r="N550" s="52"/>
      <c r="O550" s="148"/>
      <c r="P550" s="52"/>
      <c r="Q550" s="155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52"/>
      <c r="AD550" s="52"/>
      <c r="AE550" s="47"/>
      <c r="AF550" s="69"/>
      <c r="AG550" s="223"/>
      <c r="AJ550" s="47"/>
      <c r="AK550" s="73"/>
      <c r="AL550" s="47"/>
      <c r="AM550" s="47"/>
      <c r="AN550" s="47"/>
      <c r="AO550" s="47"/>
      <c r="AP550" s="47"/>
      <c r="AQ550" s="47"/>
      <c r="AR550" s="25"/>
    </row>
    <row r="551" spans="1:44" ht="12.75" customHeight="1" x14ac:dyDescent="0.15">
      <c r="A551" s="47"/>
      <c r="B551" s="47"/>
      <c r="C551" s="47"/>
      <c r="D551" s="47"/>
      <c r="E551" s="47"/>
      <c r="F551" s="47"/>
      <c r="G551" s="47"/>
      <c r="H551" s="47"/>
      <c r="I551" s="111"/>
      <c r="J551" s="52"/>
      <c r="K551" s="148"/>
      <c r="L551" s="52"/>
      <c r="M551" s="148"/>
      <c r="N551" s="52"/>
      <c r="O551" s="148"/>
      <c r="P551" s="52"/>
      <c r="Q551" s="155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52"/>
      <c r="AD551" s="52"/>
      <c r="AE551" s="47"/>
      <c r="AF551" s="69"/>
      <c r="AG551" s="223"/>
      <c r="AJ551" s="47"/>
      <c r="AK551" s="73"/>
      <c r="AL551" s="47"/>
      <c r="AM551" s="47"/>
      <c r="AN551" s="47"/>
      <c r="AO551" s="47"/>
      <c r="AP551" s="47"/>
      <c r="AQ551" s="47"/>
      <c r="AR551" s="25"/>
    </row>
    <row r="552" spans="1:44" ht="12.75" customHeight="1" x14ac:dyDescent="0.15">
      <c r="A552" s="47"/>
      <c r="B552" s="47"/>
      <c r="C552" s="47"/>
      <c r="D552" s="47"/>
      <c r="E552" s="47"/>
      <c r="F552" s="47"/>
      <c r="G552" s="47"/>
      <c r="H552" s="47"/>
      <c r="I552" s="111"/>
      <c r="J552" s="52"/>
      <c r="K552" s="148"/>
      <c r="L552" s="52"/>
      <c r="M552" s="148"/>
      <c r="N552" s="52"/>
      <c r="O552" s="148"/>
      <c r="P552" s="52"/>
      <c r="Q552" s="155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52"/>
      <c r="AD552" s="52"/>
      <c r="AE552" s="47"/>
      <c r="AF552" s="69"/>
      <c r="AG552" s="223"/>
      <c r="AJ552" s="47"/>
      <c r="AK552" s="73"/>
      <c r="AL552" s="47"/>
      <c r="AM552" s="47"/>
      <c r="AN552" s="47"/>
      <c r="AO552" s="47"/>
      <c r="AP552" s="47"/>
      <c r="AQ552" s="47"/>
      <c r="AR552" s="25"/>
    </row>
    <row r="553" spans="1:44" ht="12.75" customHeight="1" x14ac:dyDescent="0.15">
      <c r="A553" s="47"/>
      <c r="B553" s="47"/>
      <c r="C553" s="47"/>
      <c r="D553" s="47"/>
      <c r="E553" s="47"/>
      <c r="F553" s="47"/>
      <c r="G553" s="47"/>
      <c r="H553" s="47"/>
      <c r="I553" s="111"/>
      <c r="J553" s="52"/>
      <c r="K553" s="148"/>
      <c r="L553" s="52"/>
      <c r="M553" s="148"/>
      <c r="N553" s="52"/>
      <c r="O553" s="148"/>
      <c r="P553" s="52"/>
      <c r="Q553" s="155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52"/>
      <c r="AD553" s="52"/>
      <c r="AE553" s="47"/>
      <c r="AF553" s="69"/>
      <c r="AG553" s="223"/>
      <c r="AJ553" s="47"/>
      <c r="AK553" s="73"/>
      <c r="AL553" s="47"/>
      <c r="AM553" s="47"/>
      <c r="AN553" s="47"/>
      <c r="AO553" s="47"/>
      <c r="AP553" s="47"/>
      <c r="AQ553" s="47"/>
      <c r="AR553" s="25"/>
    </row>
    <row r="554" spans="1:44" ht="12.75" customHeight="1" x14ac:dyDescent="0.15">
      <c r="A554" s="47"/>
      <c r="B554" s="47"/>
      <c r="C554" s="47"/>
      <c r="D554" s="47"/>
      <c r="E554" s="47"/>
      <c r="F554" s="47"/>
      <c r="G554" s="47"/>
      <c r="H554" s="47"/>
      <c r="I554" s="111"/>
      <c r="J554" s="52"/>
      <c r="K554" s="148"/>
      <c r="L554" s="52"/>
      <c r="M554" s="148"/>
      <c r="N554" s="52"/>
      <c r="O554" s="148"/>
      <c r="P554" s="52"/>
      <c r="Q554" s="155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52"/>
      <c r="AD554" s="52"/>
      <c r="AE554" s="47"/>
      <c r="AF554" s="69"/>
      <c r="AG554" s="223"/>
      <c r="AJ554" s="47"/>
      <c r="AK554" s="73"/>
      <c r="AL554" s="47"/>
      <c r="AM554" s="47"/>
      <c r="AN554" s="47"/>
      <c r="AO554" s="47"/>
      <c r="AP554" s="47"/>
      <c r="AQ554" s="47"/>
      <c r="AR554" s="25"/>
    </row>
    <row r="555" spans="1:44" ht="12.75" customHeight="1" x14ac:dyDescent="0.15">
      <c r="A555" s="47"/>
      <c r="B555" s="47"/>
      <c r="C555" s="47"/>
      <c r="D555" s="47"/>
      <c r="E555" s="47"/>
      <c r="F555" s="47"/>
      <c r="G555" s="47"/>
      <c r="H555" s="47"/>
      <c r="I555" s="111"/>
      <c r="J555" s="52"/>
      <c r="K555" s="148"/>
      <c r="L555" s="52"/>
      <c r="M555" s="148"/>
      <c r="N555" s="52"/>
      <c r="O555" s="148"/>
      <c r="P555" s="52"/>
      <c r="Q555" s="155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52"/>
      <c r="AD555" s="52"/>
      <c r="AE555" s="47"/>
      <c r="AF555" s="69"/>
      <c r="AG555" s="223"/>
      <c r="AJ555" s="47"/>
      <c r="AK555" s="73"/>
      <c r="AL555" s="47"/>
      <c r="AM555" s="47"/>
      <c r="AN555" s="47"/>
      <c r="AO555" s="47"/>
      <c r="AP555" s="47"/>
      <c r="AQ555" s="47"/>
      <c r="AR555" s="25"/>
    </row>
    <row r="556" spans="1:44" ht="12.75" customHeight="1" x14ac:dyDescent="0.15">
      <c r="A556" s="47"/>
      <c r="B556" s="47"/>
      <c r="C556" s="47"/>
      <c r="D556" s="47"/>
      <c r="E556" s="47"/>
      <c r="F556" s="47"/>
      <c r="G556" s="47"/>
      <c r="H556" s="47"/>
      <c r="I556" s="111"/>
      <c r="J556" s="52"/>
      <c r="K556" s="148"/>
      <c r="L556" s="52"/>
      <c r="M556" s="148"/>
      <c r="N556" s="52"/>
      <c r="O556" s="148"/>
      <c r="P556" s="52"/>
      <c r="Q556" s="155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52"/>
      <c r="AD556" s="52"/>
      <c r="AE556" s="47"/>
      <c r="AF556" s="69"/>
      <c r="AG556" s="223"/>
      <c r="AJ556" s="47"/>
      <c r="AK556" s="73"/>
      <c r="AL556" s="47"/>
      <c r="AM556" s="47"/>
      <c r="AN556" s="47"/>
      <c r="AO556" s="47"/>
      <c r="AP556" s="47"/>
      <c r="AQ556" s="47"/>
      <c r="AR556" s="25"/>
    </row>
    <row r="557" spans="1:44" ht="12.75" customHeight="1" x14ac:dyDescent="0.15">
      <c r="A557" s="47"/>
      <c r="B557" s="47"/>
      <c r="C557" s="47"/>
      <c r="D557" s="47"/>
      <c r="E557" s="47"/>
      <c r="F557" s="47"/>
      <c r="G557" s="47"/>
      <c r="H557" s="47"/>
      <c r="I557" s="111"/>
      <c r="J557" s="52"/>
      <c r="K557" s="148"/>
      <c r="L557" s="52"/>
      <c r="M557" s="148"/>
      <c r="N557" s="52"/>
      <c r="O557" s="148"/>
      <c r="P557" s="52"/>
      <c r="Q557" s="155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52"/>
      <c r="AD557" s="52"/>
      <c r="AE557" s="47"/>
      <c r="AF557" s="69"/>
      <c r="AG557" s="223"/>
      <c r="AJ557" s="47"/>
      <c r="AK557" s="73"/>
      <c r="AL557" s="47"/>
      <c r="AM557" s="47"/>
      <c r="AN557" s="47"/>
      <c r="AO557" s="47"/>
      <c r="AP557" s="47"/>
      <c r="AQ557" s="47"/>
      <c r="AR557" s="25"/>
    </row>
    <row r="558" spans="1:44" ht="12.75" customHeight="1" x14ac:dyDescent="0.15">
      <c r="A558" s="47"/>
      <c r="B558" s="47"/>
      <c r="C558" s="47"/>
      <c r="D558" s="47"/>
      <c r="E558" s="47"/>
      <c r="F558" s="47"/>
      <c r="G558" s="47"/>
      <c r="H558" s="47"/>
      <c r="I558" s="111"/>
      <c r="J558" s="52"/>
      <c r="K558" s="148"/>
      <c r="L558" s="52"/>
      <c r="M558" s="148"/>
      <c r="N558" s="52"/>
      <c r="O558" s="148"/>
      <c r="P558" s="52"/>
      <c r="Q558" s="155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52"/>
      <c r="AD558" s="52"/>
      <c r="AE558" s="47"/>
      <c r="AF558" s="69"/>
      <c r="AG558" s="223"/>
      <c r="AJ558" s="47"/>
      <c r="AK558" s="73"/>
      <c r="AL558" s="47"/>
      <c r="AM558" s="47"/>
      <c r="AN558" s="47"/>
      <c r="AO558" s="47"/>
      <c r="AP558" s="47"/>
      <c r="AQ558" s="47"/>
      <c r="AR558" s="25"/>
    </row>
    <row r="559" spans="1:44" ht="12.75" customHeight="1" x14ac:dyDescent="0.15">
      <c r="A559" s="47"/>
      <c r="B559" s="47"/>
      <c r="C559" s="47"/>
      <c r="D559" s="47"/>
      <c r="E559" s="47"/>
      <c r="F559" s="47"/>
      <c r="G559" s="47"/>
      <c r="H559" s="47"/>
      <c r="I559" s="111"/>
      <c r="J559" s="52"/>
      <c r="K559" s="148"/>
      <c r="L559" s="52"/>
      <c r="M559" s="148"/>
      <c r="N559" s="52"/>
      <c r="O559" s="148"/>
      <c r="P559" s="52"/>
      <c r="Q559" s="155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52"/>
      <c r="AD559" s="52"/>
      <c r="AE559" s="47"/>
      <c r="AF559" s="69"/>
      <c r="AG559" s="223"/>
      <c r="AJ559" s="47"/>
      <c r="AK559" s="73"/>
      <c r="AL559" s="47"/>
      <c r="AM559" s="47"/>
      <c r="AN559" s="47"/>
      <c r="AO559" s="47"/>
      <c r="AP559" s="47"/>
      <c r="AQ559" s="47"/>
      <c r="AR559" s="25"/>
    </row>
    <row r="560" spans="1:44" ht="12.75" customHeight="1" x14ac:dyDescent="0.15">
      <c r="A560" s="47"/>
      <c r="B560" s="47"/>
      <c r="C560" s="47"/>
      <c r="D560" s="47"/>
      <c r="E560" s="47"/>
      <c r="F560" s="47"/>
      <c r="G560" s="47"/>
      <c r="H560" s="47"/>
      <c r="I560" s="111"/>
      <c r="J560" s="52"/>
      <c r="K560" s="148"/>
      <c r="L560" s="52"/>
      <c r="M560" s="148"/>
      <c r="N560" s="52"/>
      <c r="O560" s="148"/>
      <c r="P560" s="52"/>
      <c r="Q560" s="155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52"/>
      <c r="AD560" s="52"/>
      <c r="AE560" s="47"/>
      <c r="AF560" s="69"/>
      <c r="AG560" s="223"/>
      <c r="AJ560" s="47"/>
      <c r="AK560" s="73"/>
      <c r="AL560" s="47"/>
      <c r="AM560" s="47"/>
      <c r="AN560" s="47"/>
      <c r="AO560" s="47"/>
      <c r="AP560" s="47"/>
      <c r="AQ560" s="47"/>
      <c r="AR560" s="25"/>
    </row>
    <row r="561" spans="1:44" ht="12.75" customHeight="1" x14ac:dyDescent="0.15">
      <c r="A561" s="47"/>
      <c r="B561" s="47"/>
      <c r="C561" s="47"/>
      <c r="D561" s="47"/>
      <c r="E561" s="47"/>
      <c r="F561" s="47"/>
      <c r="G561" s="47"/>
      <c r="H561" s="47"/>
      <c r="I561" s="111"/>
      <c r="J561" s="52"/>
      <c r="K561" s="148"/>
      <c r="L561" s="52"/>
      <c r="M561" s="148"/>
      <c r="N561" s="52"/>
      <c r="O561" s="148"/>
      <c r="P561" s="52"/>
      <c r="Q561" s="155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52"/>
      <c r="AD561" s="52"/>
      <c r="AE561" s="47"/>
      <c r="AF561" s="69"/>
      <c r="AG561" s="223"/>
      <c r="AJ561" s="47"/>
      <c r="AK561" s="73"/>
      <c r="AL561" s="47"/>
      <c r="AM561" s="47"/>
      <c r="AN561" s="47"/>
      <c r="AO561" s="47"/>
      <c r="AP561" s="47"/>
      <c r="AQ561" s="47"/>
      <c r="AR561" s="25"/>
    </row>
    <row r="562" spans="1:44" ht="12.75" customHeight="1" x14ac:dyDescent="0.15">
      <c r="A562" s="47"/>
      <c r="B562" s="47"/>
      <c r="C562" s="47"/>
      <c r="D562" s="47"/>
      <c r="E562" s="47"/>
      <c r="F562" s="47"/>
      <c r="G562" s="47"/>
      <c r="H562" s="47"/>
      <c r="I562" s="111"/>
      <c r="J562" s="52"/>
      <c r="K562" s="148"/>
      <c r="L562" s="52"/>
      <c r="M562" s="148"/>
      <c r="N562" s="52"/>
      <c r="O562" s="148"/>
      <c r="P562" s="52"/>
      <c r="Q562" s="155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52"/>
      <c r="AD562" s="52"/>
      <c r="AE562" s="47"/>
      <c r="AF562" s="69"/>
      <c r="AG562" s="223"/>
      <c r="AJ562" s="47"/>
      <c r="AK562" s="73"/>
      <c r="AL562" s="47"/>
      <c r="AM562" s="47"/>
      <c r="AN562" s="47"/>
      <c r="AO562" s="47"/>
      <c r="AP562" s="47"/>
      <c r="AQ562" s="47"/>
      <c r="AR562" s="25"/>
    </row>
    <row r="563" spans="1:44" ht="12.75" customHeight="1" x14ac:dyDescent="0.15">
      <c r="A563" s="47"/>
      <c r="B563" s="47"/>
      <c r="C563" s="47"/>
      <c r="D563" s="47"/>
      <c r="E563" s="47"/>
      <c r="F563" s="47"/>
      <c r="G563" s="47"/>
      <c r="H563" s="47"/>
      <c r="I563" s="111"/>
      <c r="J563" s="52"/>
      <c r="K563" s="148"/>
      <c r="L563" s="52"/>
      <c r="M563" s="148"/>
      <c r="N563" s="52"/>
      <c r="O563" s="148"/>
      <c r="P563" s="52"/>
      <c r="Q563" s="155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52"/>
      <c r="AD563" s="52"/>
      <c r="AE563" s="47"/>
      <c r="AF563" s="69"/>
      <c r="AG563" s="223"/>
      <c r="AJ563" s="47"/>
      <c r="AK563" s="73"/>
      <c r="AL563" s="47"/>
      <c r="AM563" s="47"/>
      <c r="AN563" s="47"/>
      <c r="AO563" s="47"/>
      <c r="AP563" s="47"/>
      <c r="AQ563" s="47"/>
      <c r="AR563" s="25"/>
    </row>
    <row r="564" spans="1:44" ht="12.75" customHeight="1" x14ac:dyDescent="0.15">
      <c r="A564" s="47"/>
      <c r="B564" s="47"/>
      <c r="C564" s="47"/>
      <c r="D564" s="47"/>
      <c r="E564" s="47"/>
      <c r="F564" s="47"/>
      <c r="G564" s="47"/>
      <c r="H564" s="47"/>
      <c r="I564" s="111"/>
      <c r="J564" s="52"/>
      <c r="K564" s="148"/>
      <c r="L564" s="52"/>
      <c r="M564" s="148"/>
      <c r="N564" s="52"/>
      <c r="O564" s="148"/>
      <c r="P564" s="52"/>
      <c r="Q564" s="155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52"/>
      <c r="AD564" s="52"/>
      <c r="AE564" s="47"/>
      <c r="AF564" s="69"/>
      <c r="AG564" s="223"/>
      <c r="AJ564" s="47"/>
      <c r="AK564" s="73"/>
      <c r="AL564" s="47"/>
      <c r="AM564" s="47"/>
      <c r="AN564" s="47"/>
      <c r="AO564" s="47"/>
      <c r="AP564" s="47"/>
      <c r="AQ564" s="47"/>
      <c r="AR564" s="25"/>
    </row>
    <row r="565" spans="1:44" ht="12.75" customHeight="1" x14ac:dyDescent="0.15">
      <c r="A565" s="47"/>
      <c r="B565" s="47"/>
      <c r="C565" s="47"/>
      <c r="D565" s="47"/>
      <c r="E565" s="47"/>
      <c r="F565" s="47"/>
      <c r="G565" s="47"/>
      <c r="H565" s="47"/>
      <c r="I565" s="111"/>
      <c r="J565" s="52"/>
      <c r="K565" s="148"/>
      <c r="L565" s="52"/>
      <c r="M565" s="148"/>
      <c r="N565" s="52"/>
      <c r="O565" s="148"/>
      <c r="P565" s="52"/>
      <c r="Q565" s="155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52"/>
      <c r="AD565" s="52"/>
      <c r="AE565" s="47"/>
      <c r="AF565" s="69"/>
      <c r="AG565" s="223"/>
      <c r="AJ565" s="47"/>
      <c r="AK565" s="73"/>
      <c r="AL565" s="47"/>
      <c r="AM565" s="47"/>
      <c r="AN565" s="47"/>
      <c r="AO565" s="47"/>
      <c r="AP565" s="47"/>
      <c r="AQ565" s="47"/>
      <c r="AR565" s="25"/>
    </row>
    <row r="566" spans="1:44" ht="12.75" customHeight="1" x14ac:dyDescent="0.15">
      <c r="A566" s="47"/>
      <c r="B566" s="47"/>
      <c r="C566" s="47"/>
      <c r="D566" s="47"/>
      <c r="E566" s="47"/>
      <c r="F566" s="47"/>
      <c r="G566" s="47"/>
      <c r="H566" s="47"/>
      <c r="I566" s="111"/>
      <c r="J566" s="52"/>
      <c r="K566" s="148"/>
      <c r="L566" s="52"/>
      <c r="M566" s="148"/>
      <c r="N566" s="52"/>
      <c r="O566" s="148"/>
      <c r="P566" s="52"/>
      <c r="Q566" s="155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52"/>
      <c r="AD566" s="52"/>
      <c r="AE566" s="47"/>
      <c r="AF566" s="69"/>
      <c r="AG566" s="223"/>
      <c r="AJ566" s="47"/>
      <c r="AK566" s="73"/>
      <c r="AL566" s="47"/>
      <c r="AM566" s="47"/>
      <c r="AN566" s="47"/>
      <c r="AO566" s="47"/>
      <c r="AP566" s="47"/>
      <c r="AQ566" s="47"/>
      <c r="AR566" s="25"/>
    </row>
    <row r="567" spans="1:44" ht="12.75" customHeight="1" x14ac:dyDescent="0.15">
      <c r="A567" s="47"/>
      <c r="B567" s="47"/>
      <c r="C567" s="47"/>
      <c r="D567" s="47"/>
      <c r="E567" s="47"/>
      <c r="F567" s="47"/>
      <c r="G567" s="47"/>
      <c r="H567" s="47"/>
      <c r="I567" s="111"/>
      <c r="J567" s="52"/>
      <c r="K567" s="148"/>
      <c r="L567" s="52"/>
      <c r="M567" s="148"/>
      <c r="N567" s="52"/>
      <c r="O567" s="148"/>
      <c r="P567" s="52"/>
      <c r="Q567" s="155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52"/>
      <c r="AD567" s="52"/>
      <c r="AE567" s="47"/>
      <c r="AF567" s="69"/>
      <c r="AG567" s="223"/>
      <c r="AJ567" s="47"/>
      <c r="AK567" s="73"/>
      <c r="AL567" s="47"/>
      <c r="AM567" s="47"/>
      <c r="AN567" s="47"/>
      <c r="AO567" s="47"/>
      <c r="AP567" s="47"/>
      <c r="AQ567" s="47"/>
      <c r="AR567" s="25"/>
    </row>
    <row r="568" spans="1:44" ht="12.75" customHeight="1" x14ac:dyDescent="0.15">
      <c r="A568" s="47"/>
      <c r="B568" s="47"/>
      <c r="C568" s="47"/>
      <c r="D568" s="47"/>
      <c r="E568" s="47"/>
      <c r="F568" s="47"/>
      <c r="G568" s="47"/>
      <c r="H568" s="47"/>
      <c r="I568" s="111"/>
      <c r="J568" s="52"/>
      <c r="K568" s="148"/>
      <c r="L568" s="52"/>
      <c r="M568" s="148"/>
      <c r="N568" s="52"/>
      <c r="O568" s="148"/>
      <c r="P568" s="52"/>
      <c r="Q568" s="155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52"/>
      <c r="AD568" s="52"/>
      <c r="AE568" s="47"/>
      <c r="AF568" s="69"/>
      <c r="AG568" s="223"/>
      <c r="AJ568" s="47"/>
      <c r="AK568" s="73"/>
      <c r="AL568" s="47"/>
      <c r="AM568" s="47"/>
      <c r="AN568" s="47"/>
      <c r="AO568" s="47"/>
      <c r="AP568" s="47"/>
      <c r="AQ568" s="47"/>
      <c r="AR568" s="25"/>
    </row>
    <row r="569" spans="1:44" ht="12.75" customHeight="1" x14ac:dyDescent="0.15">
      <c r="A569" s="47"/>
      <c r="B569" s="47"/>
      <c r="C569" s="47"/>
      <c r="D569" s="47"/>
      <c r="E569" s="47"/>
      <c r="F569" s="47"/>
      <c r="G569" s="47"/>
      <c r="H569" s="47"/>
      <c r="I569" s="111"/>
      <c r="J569" s="52"/>
      <c r="K569" s="148"/>
      <c r="L569" s="52"/>
      <c r="M569" s="148"/>
      <c r="N569" s="52"/>
      <c r="O569" s="148"/>
      <c r="P569" s="52"/>
      <c r="Q569" s="155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52"/>
      <c r="AD569" s="52"/>
      <c r="AE569" s="47"/>
      <c r="AF569" s="69"/>
      <c r="AG569" s="223"/>
      <c r="AJ569" s="47"/>
      <c r="AK569" s="73"/>
      <c r="AL569" s="47"/>
      <c r="AM569" s="47"/>
      <c r="AN569" s="47"/>
      <c r="AO569" s="47"/>
      <c r="AP569" s="47"/>
      <c r="AQ569" s="47"/>
      <c r="AR569" s="25"/>
    </row>
    <row r="570" spans="1:44" ht="12.75" customHeight="1" x14ac:dyDescent="0.15">
      <c r="A570" s="47"/>
      <c r="B570" s="47"/>
      <c r="C570" s="47"/>
      <c r="D570" s="47"/>
      <c r="E570" s="47"/>
      <c r="F570" s="47"/>
      <c r="G570" s="47"/>
      <c r="H570" s="47"/>
      <c r="I570" s="111"/>
      <c r="J570" s="52"/>
      <c r="K570" s="148"/>
      <c r="L570" s="52"/>
      <c r="M570" s="148"/>
      <c r="N570" s="52"/>
      <c r="O570" s="148"/>
      <c r="P570" s="52"/>
      <c r="Q570" s="155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52"/>
      <c r="AD570" s="52"/>
      <c r="AE570" s="47"/>
      <c r="AF570" s="69"/>
      <c r="AG570" s="223"/>
      <c r="AJ570" s="47"/>
      <c r="AK570" s="73"/>
      <c r="AL570" s="47"/>
      <c r="AM570" s="47"/>
      <c r="AN570" s="47"/>
      <c r="AO570" s="47"/>
      <c r="AP570" s="47"/>
      <c r="AQ570" s="47"/>
      <c r="AR570" s="25"/>
    </row>
    <row r="571" spans="1:44" ht="12.75" customHeight="1" x14ac:dyDescent="0.15">
      <c r="A571" s="47"/>
      <c r="B571" s="47"/>
      <c r="C571" s="47"/>
      <c r="D571" s="47"/>
      <c r="E571" s="47"/>
      <c r="F571" s="47"/>
      <c r="G571" s="47"/>
      <c r="H571" s="47"/>
      <c r="I571" s="111"/>
      <c r="J571" s="52"/>
      <c r="K571" s="148"/>
      <c r="L571" s="52"/>
      <c r="M571" s="148"/>
      <c r="N571" s="52"/>
      <c r="O571" s="148"/>
      <c r="P571" s="52"/>
      <c r="Q571" s="155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52"/>
      <c r="AD571" s="52"/>
      <c r="AE571" s="47"/>
      <c r="AF571" s="69"/>
      <c r="AG571" s="223"/>
      <c r="AJ571" s="47"/>
      <c r="AK571" s="73"/>
      <c r="AL571" s="47"/>
      <c r="AM571" s="47"/>
      <c r="AN571" s="47"/>
      <c r="AO571" s="47"/>
      <c r="AP571" s="47"/>
      <c r="AQ571" s="47"/>
      <c r="AR571" s="25"/>
    </row>
    <row r="572" spans="1:44" ht="12.75" customHeight="1" x14ac:dyDescent="0.15">
      <c r="A572" s="47"/>
      <c r="B572" s="47"/>
      <c r="C572" s="47"/>
      <c r="D572" s="47"/>
      <c r="E572" s="47"/>
      <c r="F572" s="47"/>
      <c r="G572" s="47"/>
      <c r="H572" s="47"/>
      <c r="I572" s="111"/>
      <c r="J572" s="52"/>
      <c r="K572" s="148"/>
      <c r="L572" s="52"/>
      <c r="M572" s="148"/>
      <c r="N572" s="52"/>
      <c r="O572" s="148"/>
      <c r="P572" s="52"/>
      <c r="Q572" s="155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52"/>
      <c r="AD572" s="52"/>
      <c r="AE572" s="47"/>
      <c r="AF572" s="69"/>
      <c r="AG572" s="223"/>
      <c r="AJ572" s="47"/>
      <c r="AK572" s="73"/>
      <c r="AL572" s="47"/>
      <c r="AM572" s="47"/>
      <c r="AN572" s="47"/>
      <c r="AO572" s="47"/>
      <c r="AP572" s="47"/>
      <c r="AQ572" s="47"/>
      <c r="AR572" s="25"/>
    </row>
    <row r="573" spans="1:44" ht="12.75" customHeight="1" x14ac:dyDescent="0.15">
      <c r="A573" s="47"/>
      <c r="B573" s="47"/>
      <c r="C573" s="47"/>
      <c r="D573" s="47"/>
      <c r="E573" s="47"/>
      <c r="F573" s="47"/>
      <c r="G573" s="47"/>
      <c r="H573" s="47"/>
      <c r="I573" s="111"/>
      <c r="J573" s="52"/>
      <c r="K573" s="148"/>
      <c r="L573" s="52"/>
      <c r="M573" s="148"/>
      <c r="N573" s="52"/>
      <c r="O573" s="148"/>
      <c r="P573" s="52"/>
      <c r="Q573" s="155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52"/>
      <c r="AD573" s="52"/>
      <c r="AE573" s="47"/>
      <c r="AF573" s="69"/>
      <c r="AG573" s="223"/>
      <c r="AJ573" s="47"/>
      <c r="AK573" s="73"/>
      <c r="AL573" s="47"/>
      <c r="AM573" s="47"/>
      <c r="AN573" s="47"/>
      <c r="AO573" s="47"/>
      <c r="AP573" s="47"/>
      <c r="AQ573" s="47"/>
      <c r="AR573" s="25"/>
    </row>
    <row r="574" spans="1:44" ht="12.75" customHeight="1" x14ac:dyDescent="0.15">
      <c r="A574" s="47"/>
      <c r="B574" s="47"/>
      <c r="C574" s="47"/>
      <c r="D574" s="47"/>
      <c r="E574" s="47"/>
      <c r="F574" s="47"/>
      <c r="G574" s="47"/>
      <c r="H574" s="47"/>
      <c r="I574" s="111"/>
      <c r="J574" s="52"/>
      <c r="K574" s="148"/>
      <c r="L574" s="52"/>
      <c r="M574" s="148"/>
      <c r="N574" s="52"/>
      <c r="O574" s="148"/>
      <c r="P574" s="52"/>
      <c r="Q574" s="155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52"/>
      <c r="AD574" s="52"/>
      <c r="AE574" s="47"/>
      <c r="AF574" s="69"/>
      <c r="AG574" s="223"/>
      <c r="AJ574" s="47"/>
      <c r="AK574" s="73"/>
      <c r="AL574" s="47"/>
      <c r="AM574" s="47"/>
      <c r="AN574" s="47"/>
      <c r="AO574" s="47"/>
      <c r="AP574" s="47"/>
      <c r="AQ574" s="47"/>
      <c r="AR574" s="25"/>
    </row>
    <row r="575" spans="1:44" ht="12.75" customHeight="1" x14ac:dyDescent="0.15">
      <c r="A575" s="47"/>
      <c r="B575" s="47"/>
      <c r="C575" s="47"/>
      <c r="D575" s="47"/>
      <c r="E575" s="47"/>
      <c r="F575" s="47"/>
      <c r="G575" s="47"/>
      <c r="H575" s="47"/>
      <c r="I575" s="111"/>
      <c r="J575" s="52"/>
      <c r="K575" s="148"/>
      <c r="L575" s="52"/>
      <c r="M575" s="148"/>
      <c r="N575" s="52"/>
      <c r="O575" s="148"/>
      <c r="P575" s="52"/>
      <c r="Q575" s="155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52"/>
      <c r="AD575" s="52"/>
      <c r="AE575" s="47"/>
      <c r="AF575" s="69"/>
      <c r="AG575" s="223"/>
      <c r="AJ575" s="47"/>
      <c r="AK575" s="73"/>
      <c r="AL575" s="47"/>
      <c r="AM575" s="47"/>
      <c r="AN575" s="47"/>
      <c r="AO575" s="47"/>
      <c r="AP575" s="47"/>
      <c r="AQ575" s="47"/>
      <c r="AR575" s="25"/>
    </row>
    <row r="576" spans="1:44" ht="12.75" customHeight="1" x14ac:dyDescent="0.15">
      <c r="A576" s="47"/>
      <c r="B576" s="47"/>
      <c r="C576" s="47"/>
      <c r="D576" s="47"/>
      <c r="E576" s="47"/>
      <c r="F576" s="47"/>
      <c r="G576" s="47"/>
      <c r="H576" s="47"/>
      <c r="I576" s="111"/>
      <c r="J576" s="52"/>
      <c r="K576" s="148"/>
      <c r="L576" s="52"/>
      <c r="M576" s="148"/>
      <c r="N576" s="52"/>
      <c r="O576" s="148"/>
      <c r="P576" s="52"/>
      <c r="Q576" s="155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52"/>
      <c r="AD576" s="52"/>
      <c r="AE576" s="47"/>
      <c r="AF576" s="69"/>
      <c r="AG576" s="223"/>
      <c r="AJ576" s="47"/>
      <c r="AK576" s="73"/>
      <c r="AL576" s="47"/>
      <c r="AM576" s="47"/>
      <c r="AN576" s="47"/>
      <c r="AO576" s="47"/>
      <c r="AP576" s="47"/>
      <c r="AQ576" s="47"/>
      <c r="AR576" s="25"/>
    </row>
    <row r="577" spans="1:44" ht="12.75" customHeight="1" x14ac:dyDescent="0.15">
      <c r="A577" s="47"/>
      <c r="B577" s="47"/>
      <c r="C577" s="47"/>
      <c r="D577" s="47"/>
      <c r="E577" s="47"/>
      <c r="F577" s="47"/>
      <c r="G577" s="47"/>
      <c r="H577" s="47"/>
      <c r="I577" s="111"/>
      <c r="J577" s="52"/>
      <c r="K577" s="148"/>
      <c r="L577" s="52"/>
      <c r="M577" s="148"/>
      <c r="N577" s="52"/>
      <c r="O577" s="148"/>
      <c r="P577" s="52"/>
      <c r="Q577" s="155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52"/>
      <c r="AD577" s="52"/>
      <c r="AE577" s="47"/>
      <c r="AF577" s="69"/>
      <c r="AG577" s="223"/>
      <c r="AJ577" s="47"/>
      <c r="AK577" s="73"/>
      <c r="AL577" s="47"/>
      <c r="AM577" s="47"/>
      <c r="AN577" s="47"/>
      <c r="AO577" s="47"/>
      <c r="AP577" s="47"/>
      <c r="AQ577" s="47"/>
      <c r="AR577" s="25"/>
    </row>
    <row r="578" spans="1:44" ht="12.75" customHeight="1" x14ac:dyDescent="0.15">
      <c r="A578" s="47"/>
      <c r="B578" s="47"/>
      <c r="C578" s="47"/>
      <c r="D578" s="47"/>
      <c r="E578" s="47"/>
      <c r="F578" s="47"/>
      <c r="G578" s="47"/>
      <c r="H578" s="47"/>
      <c r="I578" s="111"/>
      <c r="J578" s="52"/>
      <c r="K578" s="148"/>
      <c r="L578" s="52"/>
      <c r="M578" s="148"/>
      <c r="N578" s="52"/>
      <c r="O578" s="148"/>
      <c r="P578" s="52"/>
      <c r="Q578" s="155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52"/>
      <c r="AD578" s="52"/>
      <c r="AE578" s="47"/>
      <c r="AF578" s="69"/>
      <c r="AG578" s="223"/>
      <c r="AJ578" s="47"/>
      <c r="AK578" s="73"/>
      <c r="AL578" s="47"/>
      <c r="AM578" s="47"/>
      <c r="AN578" s="47"/>
      <c r="AO578" s="47"/>
      <c r="AP578" s="47"/>
      <c r="AQ578" s="47"/>
      <c r="AR578" s="25"/>
    </row>
    <row r="579" spans="1:44" ht="12.75" customHeight="1" x14ac:dyDescent="0.15">
      <c r="A579" s="47"/>
      <c r="B579" s="47"/>
      <c r="C579" s="47"/>
      <c r="D579" s="47"/>
      <c r="E579" s="47"/>
      <c r="F579" s="47"/>
      <c r="G579" s="47"/>
      <c r="H579" s="47"/>
      <c r="I579" s="111"/>
      <c r="J579" s="52"/>
      <c r="K579" s="148"/>
      <c r="L579" s="52"/>
      <c r="M579" s="148"/>
      <c r="N579" s="52"/>
      <c r="O579" s="148"/>
      <c r="P579" s="52"/>
      <c r="Q579" s="155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52"/>
      <c r="AD579" s="52"/>
      <c r="AE579" s="47"/>
      <c r="AF579" s="69"/>
      <c r="AG579" s="223"/>
      <c r="AJ579" s="47"/>
      <c r="AK579" s="73"/>
      <c r="AL579" s="47"/>
      <c r="AM579" s="47"/>
      <c r="AN579" s="47"/>
      <c r="AO579" s="47"/>
      <c r="AP579" s="47"/>
      <c r="AQ579" s="47"/>
      <c r="AR579" s="25"/>
    </row>
    <row r="580" spans="1:44" ht="12.75" customHeight="1" x14ac:dyDescent="0.15">
      <c r="A580" s="47"/>
      <c r="B580" s="47"/>
      <c r="C580" s="47"/>
      <c r="D580" s="47"/>
      <c r="E580" s="47"/>
      <c r="F580" s="47"/>
      <c r="G580" s="47"/>
      <c r="H580" s="47"/>
      <c r="I580" s="111"/>
      <c r="J580" s="52"/>
      <c r="K580" s="148"/>
      <c r="L580" s="52"/>
      <c r="M580" s="148"/>
      <c r="N580" s="52"/>
      <c r="O580" s="148"/>
      <c r="P580" s="52"/>
      <c r="Q580" s="155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52"/>
      <c r="AD580" s="52"/>
      <c r="AE580" s="47"/>
      <c r="AF580" s="69"/>
      <c r="AG580" s="223"/>
      <c r="AJ580" s="47"/>
      <c r="AK580" s="73"/>
      <c r="AL580" s="47"/>
      <c r="AM580" s="47"/>
      <c r="AN580" s="47"/>
      <c r="AO580" s="47"/>
      <c r="AP580" s="47"/>
      <c r="AQ580" s="47"/>
      <c r="AR580" s="25"/>
    </row>
    <row r="581" spans="1:44" ht="12.75" customHeight="1" x14ac:dyDescent="0.15">
      <c r="A581" s="47"/>
      <c r="B581" s="47"/>
      <c r="C581" s="47"/>
      <c r="D581" s="47"/>
      <c r="E581" s="47"/>
      <c r="F581" s="47"/>
      <c r="G581" s="47"/>
      <c r="H581" s="47"/>
      <c r="I581" s="111"/>
      <c r="J581" s="52"/>
      <c r="K581" s="148"/>
      <c r="L581" s="52"/>
      <c r="M581" s="148"/>
      <c r="N581" s="52"/>
      <c r="O581" s="148"/>
      <c r="P581" s="52"/>
      <c r="Q581" s="155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52"/>
      <c r="AD581" s="52"/>
      <c r="AE581" s="47"/>
      <c r="AF581" s="69"/>
      <c r="AG581" s="223"/>
      <c r="AJ581" s="47"/>
      <c r="AK581" s="73"/>
      <c r="AL581" s="47"/>
      <c r="AM581" s="47"/>
      <c r="AN581" s="47"/>
      <c r="AO581" s="47"/>
      <c r="AP581" s="47"/>
      <c r="AQ581" s="47"/>
      <c r="AR581" s="25"/>
    </row>
    <row r="582" spans="1:44" ht="12.75" customHeight="1" x14ac:dyDescent="0.15">
      <c r="A582" s="47"/>
      <c r="B582" s="47"/>
      <c r="C582" s="47"/>
      <c r="D582" s="47"/>
      <c r="E582" s="47"/>
      <c r="F582" s="47"/>
      <c r="G582" s="47"/>
      <c r="H582" s="47"/>
      <c r="I582" s="111"/>
      <c r="J582" s="52"/>
      <c r="K582" s="148"/>
      <c r="L582" s="52"/>
      <c r="M582" s="148"/>
      <c r="N582" s="52"/>
      <c r="O582" s="148"/>
      <c r="P582" s="52"/>
      <c r="Q582" s="155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52"/>
      <c r="AD582" s="52"/>
      <c r="AE582" s="47"/>
      <c r="AF582" s="69"/>
      <c r="AG582" s="223"/>
      <c r="AJ582" s="47"/>
      <c r="AK582" s="73"/>
      <c r="AL582" s="47"/>
      <c r="AM582" s="47"/>
      <c r="AN582" s="47"/>
      <c r="AO582" s="47"/>
      <c r="AP582" s="47"/>
      <c r="AQ582" s="47"/>
      <c r="AR582" s="25"/>
    </row>
    <row r="583" spans="1:44" ht="12.75" customHeight="1" x14ac:dyDescent="0.15">
      <c r="A583" s="47"/>
      <c r="B583" s="47"/>
      <c r="C583" s="47"/>
      <c r="D583" s="47"/>
      <c r="E583" s="47"/>
      <c r="F583" s="47"/>
      <c r="G583" s="47"/>
      <c r="H583" s="47"/>
      <c r="I583" s="111"/>
      <c r="J583" s="52"/>
      <c r="K583" s="148"/>
      <c r="L583" s="52"/>
      <c r="M583" s="148"/>
      <c r="N583" s="52"/>
      <c r="O583" s="148"/>
      <c r="P583" s="52"/>
      <c r="Q583" s="155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52"/>
      <c r="AD583" s="52"/>
      <c r="AE583" s="47"/>
      <c r="AF583" s="69"/>
      <c r="AG583" s="223"/>
      <c r="AJ583" s="47"/>
      <c r="AK583" s="73"/>
      <c r="AL583" s="47"/>
      <c r="AM583" s="47"/>
      <c r="AN583" s="47"/>
      <c r="AO583" s="47"/>
      <c r="AP583" s="47"/>
      <c r="AQ583" s="47"/>
      <c r="AR583" s="25"/>
    </row>
    <row r="584" spans="1:44" ht="12.75" customHeight="1" x14ac:dyDescent="0.15">
      <c r="A584" s="47"/>
      <c r="B584" s="47"/>
      <c r="C584" s="47"/>
      <c r="D584" s="47"/>
      <c r="E584" s="47"/>
      <c r="F584" s="47"/>
      <c r="G584" s="47"/>
      <c r="H584" s="47"/>
      <c r="I584" s="111"/>
      <c r="J584" s="52"/>
      <c r="K584" s="148"/>
      <c r="L584" s="52"/>
      <c r="M584" s="148"/>
      <c r="N584" s="52"/>
      <c r="O584" s="148"/>
      <c r="P584" s="52"/>
      <c r="Q584" s="155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52"/>
      <c r="AD584" s="52"/>
      <c r="AE584" s="47"/>
      <c r="AF584" s="69"/>
      <c r="AG584" s="223"/>
      <c r="AJ584" s="47"/>
      <c r="AK584" s="73"/>
      <c r="AL584" s="47"/>
      <c r="AM584" s="47"/>
      <c r="AN584" s="47"/>
      <c r="AO584" s="47"/>
      <c r="AP584" s="47"/>
      <c r="AQ584" s="47"/>
      <c r="AR584" s="25"/>
    </row>
    <row r="585" spans="1:44" ht="12.75" customHeight="1" x14ac:dyDescent="0.15">
      <c r="A585" s="47"/>
      <c r="B585" s="47"/>
      <c r="C585" s="47"/>
      <c r="D585" s="47"/>
      <c r="E585" s="47"/>
      <c r="F585" s="47"/>
      <c r="G585" s="47"/>
      <c r="H585" s="47"/>
      <c r="I585" s="111"/>
      <c r="J585" s="52"/>
      <c r="K585" s="148"/>
      <c r="L585" s="52"/>
      <c r="M585" s="148"/>
      <c r="N585" s="52"/>
      <c r="O585" s="148"/>
      <c r="P585" s="52"/>
      <c r="Q585" s="155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52"/>
      <c r="AD585" s="52"/>
      <c r="AE585" s="47"/>
      <c r="AF585" s="69"/>
      <c r="AG585" s="223"/>
      <c r="AJ585" s="47"/>
      <c r="AK585" s="73"/>
      <c r="AL585" s="47"/>
      <c r="AM585" s="47"/>
      <c r="AN585" s="47"/>
      <c r="AO585" s="47"/>
      <c r="AP585" s="47"/>
      <c r="AQ585" s="47"/>
      <c r="AR585" s="25"/>
    </row>
    <row r="586" spans="1:44" ht="12.75" customHeight="1" x14ac:dyDescent="0.15">
      <c r="A586" s="47"/>
      <c r="B586" s="47"/>
      <c r="C586" s="47"/>
      <c r="D586" s="47"/>
      <c r="E586" s="47"/>
      <c r="F586" s="47"/>
      <c r="G586" s="47"/>
      <c r="H586" s="47"/>
      <c r="I586" s="111"/>
      <c r="J586" s="52"/>
      <c r="K586" s="148"/>
      <c r="L586" s="52"/>
      <c r="M586" s="148"/>
      <c r="N586" s="52"/>
      <c r="O586" s="148"/>
      <c r="P586" s="52"/>
      <c r="Q586" s="155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52"/>
      <c r="AD586" s="52"/>
      <c r="AE586" s="47"/>
      <c r="AF586" s="69"/>
      <c r="AG586" s="223"/>
      <c r="AJ586" s="47"/>
      <c r="AK586" s="73"/>
      <c r="AL586" s="47"/>
      <c r="AM586" s="47"/>
      <c r="AN586" s="47"/>
      <c r="AO586" s="47"/>
      <c r="AP586" s="47"/>
      <c r="AQ586" s="47"/>
      <c r="AR586" s="25"/>
    </row>
    <row r="587" spans="1:44" ht="12.75" customHeight="1" x14ac:dyDescent="0.15">
      <c r="A587" s="47"/>
      <c r="B587" s="47"/>
      <c r="C587" s="47"/>
      <c r="D587" s="47"/>
      <c r="E587" s="47"/>
      <c r="F587" s="47"/>
      <c r="G587" s="47"/>
      <c r="H587" s="47"/>
      <c r="I587" s="111"/>
      <c r="J587" s="52"/>
      <c r="K587" s="148"/>
      <c r="L587" s="52"/>
      <c r="M587" s="148"/>
      <c r="N587" s="52"/>
      <c r="O587" s="148"/>
      <c r="P587" s="52"/>
      <c r="Q587" s="155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52"/>
      <c r="AD587" s="52"/>
      <c r="AE587" s="47"/>
      <c r="AF587" s="69"/>
      <c r="AG587" s="223"/>
      <c r="AJ587" s="47"/>
      <c r="AK587" s="73"/>
      <c r="AL587" s="47"/>
      <c r="AM587" s="47"/>
      <c r="AN587" s="47"/>
      <c r="AO587" s="47"/>
      <c r="AP587" s="47"/>
      <c r="AQ587" s="47"/>
      <c r="AR587" s="25"/>
    </row>
    <row r="588" spans="1:44" ht="12.75" customHeight="1" x14ac:dyDescent="0.15">
      <c r="A588" s="47"/>
      <c r="B588" s="47"/>
      <c r="C588" s="47"/>
      <c r="D588" s="47"/>
      <c r="E588" s="47"/>
      <c r="F588" s="47"/>
      <c r="G588" s="47"/>
      <c r="H588" s="47"/>
      <c r="I588" s="111"/>
      <c r="J588" s="52"/>
      <c r="K588" s="148"/>
      <c r="L588" s="52"/>
      <c r="M588" s="148"/>
      <c r="N588" s="52"/>
      <c r="O588" s="148"/>
      <c r="P588" s="52"/>
      <c r="Q588" s="155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52"/>
      <c r="AD588" s="52"/>
      <c r="AE588" s="47"/>
      <c r="AF588" s="69"/>
      <c r="AG588" s="223"/>
      <c r="AJ588" s="47"/>
      <c r="AK588" s="73"/>
      <c r="AL588" s="47"/>
      <c r="AM588" s="47"/>
      <c r="AN588" s="47"/>
      <c r="AO588" s="47"/>
      <c r="AP588" s="47"/>
      <c r="AQ588" s="47"/>
      <c r="AR588" s="25"/>
    </row>
    <row r="589" spans="1:44" ht="12.75" customHeight="1" x14ac:dyDescent="0.15">
      <c r="A589" s="47"/>
      <c r="B589" s="47"/>
      <c r="C589" s="47"/>
      <c r="D589" s="47"/>
      <c r="E589" s="47"/>
      <c r="F589" s="47"/>
      <c r="G589" s="47"/>
      <c r="H589" s="47"/>
      <c r="I589" s="111"/>
      <c r="J589" s="52"/>
      <c r="K589" s="148"/>
      <c r="L589" s="52"/>
      <c r="M589" s="148"/>
      <c r="N589" s="52"/>
      <c r="O589" s="148"/>
      <c r="P589" s="52"/>
      <c r="Q589" s="155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52"/>
      <c r="AD589" s="52"/>
      <c r="AE589" s="47"/>
      <c r="AF589" s="69"/>
      <c r="AG589" s="223"/>
      <c r="AJ589" s="47"/>
      <c r="AK589" s="73"/>
      <c r="AL589" s="47"/>
      <c r="AM589" s="47"/>
      <c r="AN589" s="47"/>
      <c r="AO589" s="47"/>
      <c r="AP589" s="47"/>
      <c r="AQ589" s="47"/>
      <c r="AR589" s="25"/>
    </row>
    <row r="590" spans="1:44" ht="12.75" customHeight="1" x14ac:dyDescent="0.15">
      <c r="A590" s="47"/>
      <c r="B590" s="47"/>
      <c r="C590" s="47"/>
      <c r="D590" s="47"/>
      <c r="E590" s="47"/>
      <c r="F590" s="47"/>
      <c r="G590" s="47"/>
      <c r="H590" s="47"/>
      <c r="I590" s="111"/>
      <c r="J590" s="52"/>
      <c r="K590" s="148"/>
      <c r="L590" s="52"/>
      <c r="M590" s="148"/>
      <c r="N590" s="52"/>
      <c r="O590" s="148"/>
      <c r="P590" s="52"/>
      <c r="Q590" s="155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52"/>
      <c r="AD590" s="52"/>
      <c r="AE590" s="47"/>
      <c r="AF590" s="69"/>
      <c r="AG590" s="223"/>
      <c r="AJ590" s="47"/>
      <c r="AK590" s="73"/>
      <c r="AL590" s="47"/>
      <c r="AM590" s="47"/>
      <c r="AN590" s="47"/>
      <c r="AO590" s="47"/>
      <c r="AP590" s="47"/>
      <c r="AQ590" s="47"/>
      <c r="AR590" s="25"/>
    </row>
    <row r="591" spans="1:44" ht="12.75" customHeight="1" x14ac:dyDescent="0.15">
      <c r="A591" s="47"/>
      <c r="B591" s="47"/>
      <c r="C591" s="47"/>
      <c r="D591" s="47"/>
      <c r="E591" s="47"/>
      <c r="F591" s="47"/>
      <c r="G591" s="47"/>
      <c r="H591" s="47"/>
      <c r="I591" s="111"/>
      <c r="J591" s="52"/>
      <c r="K591" s="148"/>
      <c r="L591" s="52"/>
      <c r="M591" s="148"/>
      <c r="N591" s="52"/>
      <c r="O591" s="148"/>
      <c r="P591" s="52"/>
      <c r="Q591" s="155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52"/>
      <c r="AD591" s="52"/>
      <c r="AE591" s="47"/>
      <c r="AF591" s="69"/>
      <c r="AG591" s="223"/>
      <c r="AJ591" s="47"/>
      <c r="AK591" s="73"/>
      <c r="AL591" s="47"/>
      <c r="AM591" s="47"/>
      <c r="AN591" s="47"/>
      <c r="AO591" s="47"/>
      <c r="AP591" s="47"/>
      <c r="AQ591" s="47"/>
      <c r="AR591" s="25"/>
    </row>
    <row r="592" spans="1:44" ht="12.75" customHeight="1" x14ac:dyDescent="0.15">
      <c r="A592" s="47"/>
      <c r="B592" s="47"/>
      <c r="C592" s="47"/>
      <c r="D592" s="47"/>
      <c r="E592" s="47"/>
      <c r="F592" s="47"/>
      <c r="G592" s="47"/>
      <c r="H592" s="47"/>
      <c r="I592" s="111"/>
      <c r="J592" s="52"/>
      <c r="K592" s="148"/>
      <c r="L592" s="52"/>
      <c r="M592" s="148"/>
      <c r="N592" s="52"/>
      <c r="O592" s="148"/>
      <c r="P592" s="52"/>
      <c r="Q592" s="155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52"/>
      <c r="AD592" s="52"/>
      <c r="AE592" s="47"/>
      <c r="AF592" s="69"/>
      <c r="AG592" s="223"/>
      <c r="AJ592" s="47"/>
      <c r="AK592" s="73"/>
      <c r="AL592" s="47"/>
      <c r="AM592" s="47"/>
      <c r="AN592" s="47"/>
      <c r="AO592" s="47"/>
      <c r="AP592" s="47"/>
      <c r="AQ592" s="47"/>
      <c r="AR592" s="25"/>
    </row>
    <row r="593" spans="1:44" ht="12.75" customHeight="1" x14ac:dyDescent="0.15">
      <c r="A593" s="47"/>
      <c r="B593" s="47"/>
      <c r="C593" s="47"/>
      <c r="D593" s="47"/>
      <c r="E593" s="47"/>
      <c r="F593" s="47"/>
      <c r="G593" s="47"/>
      <c r="H593" s="47"/>
      <c r="I593" s="111"/>
      <c r="J593" s="52"/>
      <c r="K593" s="148"/>
      <c r="L593" s="52"/>
      <c r="M593" s="148"/>
      <c r="N593" s="52"/>
      <c r="O593" s="148"/>
      <c r="P593" s="52"/>
      <c r="Q593" s="155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52"/>
      <c r="AD593" s="52"/>
      <c r="AE593" s="47"/>
      <c r="AF593" s="69"/>
      <c r="AG593" s="223"/>
      <c r="AJ593" s="47"/>
      <c r="AK593" s="73"/>
      <c r="AL593" s="47"/>
      <c r="AM593" s="47"/>
      <c r="AN593" s="47"/>
      <c r="AO593" s="47"/>
      <c r="AP593" s="47"/>
      <c r="AQ593" s="47"/>
      <c r="AR593" s="25"/>
    </row>
    <row r="594" spans="1:44" ht="12.75" customHeight="1" x14ac:dyDescent="0.15">
      <c r="A594" s="47"/>
      <c r="B594" s="47"/>
      <c r="C594" s="47"/>
      <c r="D594" s="47"/>
      <c r="E594" s="47"/>
      <c r="F594" s="47"/>
      <c r="G594" s="47"/>
      <c r="H594" s="47"/>
      <c r="I594" s="111"/>
      <c r="J594" s="52"/>
      <c r="K594" s="148"/>
      <c r="L594" s="52"/>
      <c r="M594" s="148"/>
      <c r="N594" s="52"/>
      <c r="O594" s="148"/>
      <c r="P594" s="52"/>
      <c r="Q594" s="155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52"/>
      <c r="AD594" s="52"/>
      <c r="AE594" s="47"/>
      <c r="AF594" s="69"/>
      <c r="AG594" s="223"/>
      <c r="AJ594" s="47"/>
      <c r="AK594" s="73"/>
      <c r="AL594" s="47"/>
      <c r="AM594" s="47"/>
      <c r="AN594" s="47"/>
      <c r="AO594" s="47"/>
      <c r="AP594" s="47"/>
      <c r="AQ594" s="47"/>
      <c r="AR594" s="25"/>
    </row>
    <row r="595" spans="1:44" ht="12.75" customHeight="1" x14ac:dyDescent="0.15">
      <c r="A595" s="47"/>
      <c r="B595" s="47"/>
      <c r="C595" s="47"/>
      <c r="D595" s="47"/>
      <c r="E595" s="47"/>
      <c r="F595" s="47"/>
      <c r="G595" s="47"/>
      <c r="H595" s="47"/>
      <c r="I595" s="111"/>
      <c r="J595" s="52"/>
      <c r="K595" s="148"/>
      <c r="L595" s="52"/>
      <c r="M595" s="148"/>
      <c r="N595" s="52"/>
      <c r="O595" s="148"/>
      <c r="P595" s="52"/>
      <c r="Q595" s="155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52"/>
      <c r="AD595" s="52"/>
      <c r="AE595" s="47"/>
      <c r="AF595" s="69"/>
      <c r="AG595" s="223"/>
      <c r="AJ595" s="47"/>
      <c r="AK595" s="73"/>
      <c r="AL595" s="47"/>
      <c r="AM595" s="47"/>
      <c r="AN595" s="47"/>
      <c r="AO595" s="47"/>
      <c r="AP595" s="47"/>
      <c r="AQ595" s="47"/>
      <c r="AR595" s="25"/>
    </row>
    <row r="596" spans="1:44" ht="12.75" customHeight="1" x14ac:dyDescent="0.15">
      <c r="A596" s="47"/>
      <c r="B596" s="47"/>
      <c r="C596" s="47"/>
      <c r="D596" s="47"/>
      <c r="E596" s="47"/>
      <c r="F596" s="47"/>
      <c r="G596" s="47"/>
      <c r="H596" s="47"/>
      <c r="I596" s="111"/>
      <c r="J596" s="52"/>
      <c r="K596" s="148"/>
      <c r="L596" s="52"/>
      <c r="M596" s="148"/>
      <c r="N596" s="52"/>
      <c r="O596" s="148"/>
      <c r="P596" s="52"/>
      <c r="Q596" s="155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52"/>
      <c r="AD596" s="52"/>
      <c r="AE596" s="47"/>
      <c r="AF596" s="69"/>
      <c r="AG596" s="223"/>
      <c r="AJ596" s="47"/>
      <c r="AK596" s="73"/>
      <c r="AL596" s="47"/>
      <c r="AM596" s="47"/>
      <c r="AN596" s="47"/>
      <c r="AO596" s="47"/>
      <c r="AP596" s="47"/>
      <c r="AQ596" s="47"/>
      <c r="AR596" s="25"/>
    </row>
    <row r="597" spans="1:44" ht="12.75" customHeight="1" x14ac:dyDescent="0.15">
      <c r="A597" s="47"/>
      <c r="B597" s="47"/>
      <c r="C597" s="47"/>
      <c r="D597" s="47"/>
      <c r="E597" s="47"/>
      <c r="F597" s="47"/>
      <c r="G597" s="47"/>
      <c r="H597" s="47"/>
      <c r="I597" s="111"/>
      <c r="J597" s="52"/>
      <c r="K597" s="148"/>
      <c r="L597" s="52"/>
      <c r="M597" s="148"/>
      <c r="N597" s="52"/>
      <c r="O597" s="148"/>
      <c r="P597" s="52"/>
      <c r="Q597" s="155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52"/>
      <c r="AD597" s="52"/>
      <c r="AE597" s="47"/>
      <c r="AF597" s="69"/>
      <c r="AG597" s="223"/>
      <c r="AJ597" s="47"/>
      <c r="AK597" s="73"/>
      <c r="AL597" s="47"/>
      <c r="AM597" s="47"/>
      <c r="AN597" s="47"/>
      <c r="AO597" s="47"/>
      <c r="AP597" s="47"/>
      <c r="AQ597" s="47"/>
      <c r="AR597" s="25"/>
    </row>
    <row r="598" spans="1:44" ht="12.75" customHeight="1" x14ac:dyDescent="0.15">
      <c r="A598" s="47"/>
      <c r="B598" s="47"/>
      <c r="C598" s="47"/>
      <c r="D598" s="47"/>
      <c r="E598" s="47"/>
      <c r="F598" s="47"/>
      <c r="G598" s="47"/>
      <c r="H598" s="47"/>
      <c r="I598" s="111"/>
      <c r="J598" s="52"/>
      <c r="K598" s="148"/>
      <c r="L598" s="52"/>
      <c r="M598" s="148"/>
      <c r="N598" s="52"/>
      <c r="O598" s="148"/>
      <c r="P598" s="52"/>
      <c r="Q598" s="155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52"/>
      <c r="AD598" s="52"/>
      <c r="AE598" s="47"/>
      <c r="AF598" s="69"/>
      <c r="AG598" s="223"/>
      <c r="AJ598" s="47"/>
      <c r="AK598" s="73"/>
      <c r="AL598" s="47"/>
      <c r="AM598" s="47"/>
      <c r="AN598" s="47"/>
      <c r="AO598" s="47"/>
      <c r="AP598" s="47"/>
      <c r="AQ598" s="47"/>
      <c r="AR598" s="25"/>
    </row>
    <row r="599" spans="1:44" ht="12.75" customHeight="1" x14ac:dyDescent="0.15">
      <c r="A599" s="47"/>
      <c r="B599" s="47"/>
      <c r="C599" s="47"/>
      <c r="D599" s="47"/>
      <c r="E599" s="47"/>
      <c r="F599" s="47"/>
      <c r="G599" s="47"/>
      <c r="H599" s="47"/>
      <c r="I599" s="111"/>
      <c r="J599" s="52"/>
      <c r="K599" s="148"/>
      <c r="L599" s="52"/>
      <c r="M599" s="148"/>
      <c r="N599" s="52"/>
      <c r="O599" s="148"/>
      <c r="P599" s="52"/>
      <c r="Q599" s="155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52"/>
      <c r="AD599" s="52"/>
      <c r="AE599" s="47"/>
      <c r="AF599" s="69"/>
      <c r="AG599" s="223"/>
      <c r="AJ599" s="47"/>
      <c r="AK599" s="73"/>
      <c r="AL599" s="47"/>
      <c r="AM599" s="47"/>
      <c r="AN599" s="47"/>
      <c r="AO599" s="47"/>
      <c r="AP599" s="47"/>
      <c r="AQ599" s="47"/>
      <c r="AR599" s="25"/>
    </row>
    <row r="600" spans="1:44" ht="12.75" customHeight="1" x14ac:dyDescent="0.15">
      <c r="A600" s="47"/>
      <c r="B600" s="47"/>
      <c r="C600" s="47"/>
      <c r="D600" s="47"/>
      <c r="E600" s="47"/>
      <c r="F600" s="47"/>
      <c r="G600" s="47"/>
      <c r="H600" s="47"/>
      <c r="I600" s="111"/>
      <c r="J600" s="52"/>
      <c r="K600" s="148"/>
      <c r="L600" s="52"/>
      <c r="M600" s="148"/>
      <c r="N600" s="52"/>
      <c r="O600" s="148"/>
      <c r="P600" s="52"/>
      <c r="Q600" s="155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52"/>
      <c r="AD600" s="52"/>
      <c r="AE600" s="47"/>
      <c r="AF600" s="69"/>
      <c r="AG600" s="223"/>
      <c r="AJ600" s="47"/>
      <c r="AK600" s="73"/>
      <c r="AL600" s="47"/>
      <c r="AM600" s="47"/>
      <c r="AN600" s="47"/>
      <c r="AO600" s="47"/>
      <c r="AP600" s="47"/>
      <c r="AQ600" s="47"/>
      <c r="AR600" s="25"/>
    </row>
    <row r="601" spans="1:44" ht="12.75" customHeight="1" x14ac:dyDescent="0.15">
      <c r="A601" s="47"/>
      <c r="B601" s="47"/>
      <c r="C601" s="47"/>
      <c r="D601" s="47"/>
      <c r="E601" s="47"/>
      <c r="F601" s="47"/>
      <c r="G601" s="47"/>
      <c r="H601" s="47"/>
      <c r="I601" s="111"/>
      <c r="J601" s="52"/>
      <c r="K601" s="148"/>
      <c r="L601" s="52"/>
      <c r="M601" s="148"/>
      <c r="N601" s="52"/>
      <c r="O601" s="148"/>
      <c r="P601" s="52"/>
      <c r="Q601" s="155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52"/>
      <c r="AD601" s="52"/>
      <c r="AE601" s="47"/>
      <c r="AF601" s="69"/>
      <c r="AG601" s="223"/>
      <c r="AJ601" s="47"/>
      <c r="AK601" s="73"/>
      <c r="AL601" s="47"/>
      <c r="AM601" s="47"/>
      <c r="AN601" s="47"/>
      <c r="AO601" s="47"/>
      <c r="AP601" s="47"/>
      <c r="AQ601" s="47"/>
      <c r="AR601" s="25"/>
    </row>
    <row r="602" spans="1:44" ht="12.75" customHeight="1" x14ac:dyDescent="0.15">
      <c r="A602" s="47"/>
      <c r="B602" s="47"/>
      <c r="C602" s="47"/>
      <c r="D602" s="47"/>
      <c r="E602" s="47"/>
      <c r="F602" s="47"/>
      <c r="G602" s="47"/>
      <c r="H602" s="47"/>
      <c r="I602" s="111"/>
      <c r="J602" s="52"/>
      <c r="K602" s="148"/>
      <c r="L602" s="52"/>
      <c r="M602" s="148"/>
      <c r="N602" s="52"/>
      <c r="O602" s="148"/>
      <c r="P602" s="52"/>
      <c r="Q602" s="155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52"/>
      <c r="AD602" s="52"/>
      <c r="AE602" s="47"/>
      <c r="AF602" s="69"/>
      <c r="AG602" s="223"/>
      <c r="AJ602" s="47"/>
      <c r="AK602" s="73"/>
      <c r="AL602" s="47"/>
      <c r="AM602" s="47"/>
      <c r="AN602" s="47"/>
      <c r="AO602" s="47"/>
      <c r="AP602" s="47"/>
      <c r="AQ602" s="47"/>
      <c r="AR602" s="25"/>
    </row>
    <row r="603" spans="1:44" ht="12.75" customHeight="1" x14ac:dyDescent="0.15">
      <c r="A603" s="47"/>
      <c r="B603" s="47"/>
      <c r="C603" s="47"/>
      <c r="D603" s="47"/>
      <c r="E603" s="47"/>
      <c r="F603" s="47"/>
      <c r="G603" s="47"/>
      <c r="H603" s="47"/>
      <c r="I603" s="111"/>
      <c r="J603" s="52"/>
      <c r="K603" s="148"/>
      <c r="L603" s="52"/>
      <c r="M603" s="148"/>
      <c r="N603" s="52"/>
      <c r="O603" s="148"/>
      <c r="P603" s="52"/>
      <c r="Q603" s="155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52"/>
      <c r="AD603" s="52"/>
      <c r="AE603" s="47"/>
      <c r="AF603" s="69"/>
      <c r="AG603" s="223"/>
      <c r="AJ603" s="47"/>
      <c r="AK603" s="73"/>
      <c r="AL603" s="47"/>
      <c r="AM603" s="47"/>
      <c r="AN603" s="47"/>
      <c r="AO603" s="47"/>
      <c r="AP603" s="47"/>
      <c r="AQ603" s="47"/>
      <c r="AR603" s="25"/>
    </row>
    <row r="604" spans="1:44" ht="12.75" customHeight="1" x14ac:dyDescent="0.15">
      <c r="A604" s="47"/>
      <c r="B604" s="47"/>
      <c r="C604" s="47"/>
      <c r="D604" s="47"/>
      <c r="E604" s="47"/>
      <c r="F604" s="47"/>
      <c r="G604" s="47"/>
      <c r="H604" s="47"/>
      <c r="I604" s="111"/>
      <c r="J604" s="52"/>
      <c r="K604" s="148"/>
      <c r="L604" s="52"/>
      <c r="M604" s="148"/>
      <c r="N604" s="52"/>
      <c r="O604" s="148"/>
      <c r="P604" s="52"/>
      <c r="Q604" s="155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52"/>
      <c r="AD604" s="52"/>
      <c r="AE604" s="47"/>
      <c r="AF604" s="69"/>
      <c r="AG604" s="223"/>
      <c r="AJ604" s="47"/>
      <c r="AK604" s="73"/>
      <c r="AL604" s="47"/>
      <c r="AM604" s="47"/>
      <c r="AN604" s="47"/>
      <c r="AO604" s="47"/>
      <c r="AP604" s="47"/>
      <c r="AQ604" s="47"/>
      <c r="AR604" s="25"/>
    </row>
    <row r="605" spans="1:44" ht="12.75" customHeight="1" x14ac:dyDescent="0.15">
      <c r="A605" s="47"/>
      <c r="B605" s="47"/>
      <c r="C605" s="47"/>
      <c r="D605" s="47"/>
      <c r="E605" s="47"/>
      <c r="F605" s="47"/>
      <c r="G605" s="47"/>
      <c r="H605" s="47"/>
      <c r="I605" s="111"/>
      <c r="J605" s="52"/>
      <c r="K605" s="148"/>
      <c r="L605" s="52"/>
      <c r="M605" s="148"/>
      <c r="N605" s="52"/>
      <c r="O605" s="148"/>
      <c r="P605" s="52"/>
      <c r="Q605" s="155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52"/>
      <c r="AD605" s="52"/>
      <c r="AE605" s="47"/>
      <c r="AF605" s="69"/>
      <c r="AG605" s="223"/>
      <c r="AJ605" s="47"/>
      <c r="AK605" s="73"/>
      <c r="AL605" s="47"/>
      <c r="AM605" s="47"/>
      <c r="AN605" s="47"/>
      <c r="AO605" s="47"/>
      <c r="AP605" s="47"/>
      <c r="AQ605" s="47"/>
      <c r="AR605" s="25"/>
    </row>
    <row r="606" spans="1:44" ht="12.75" customHeight="1" x14ac:dyDescent="0.15">
      <c r="A606" s="47"/>
      <c r="B606" s="47"/>
      <c r="C606" s="47"/>
      <c r="D606" s="47"/>
      <c r="E606" s="47"/>
      <c r="F606" s="47"/>
      <c r="G606" s="47"/>
      <c r="H606" s="47"/>
      <c r="I606" s="111"/>
      <c r="J606" s="52"/>
      <c r="K606" s="148"/>
      <c r="L606" s="52"/>
      <c r="M606" s="148"/>
      <c r="N606" s="52"/>
      <c r="O606" s="148"/>
      <c r="P606" s="52"/>
      <c r="Q606" s="155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52"/>
      <c r="AD606" s="52"/>
      <c r="AE606" s="47"/>
      <c r="AF606" s="69"/>
      <c r="AG606" s="223"/>
      <c r="AJ606" s="47"/>
      <c r="AK606" s="73"/>
      <c r="AL606" s="47"/>
      <c r="AM606" s="47"/>
      <c r="AN606" s="47"/>
      <c r="AO606" s="47"/>
      <c r="AP606" s="47"/>
      <c r="AQ606" s="47"/>
      <c r="AR606" s="25"/>
    </row>
    <row r="607" spans="1:44" ht="12.75" customHeight="1" x14ac:dyDescent="0.15">
      <c r="A607" s="47"/>
      <c r="B607" s="47"/>
      <c r="C607" s="47"/>
      <c r="D607" s="47"/>
      <c r="E607" s="47"/>
      <c r="F607" s="47"/>
      <c r="G607" s="47"/>
      <c r="H607" s="47"/>
      <c r="I607" s="111"/>
      <c r="J607" s="52"/>
      <c r="K607" s="148"/>
      <c r="L607" s="52"/>
      <c r="M607" s="148"/>
      <c r="N607" s="52"/>
      <c r="O607" s="148"/>
      <c r="P607" s="52"/>
      <c r="Q607" s="155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52"/>
      <c r="AD607" s="52"/>
      <c r="AE607" s="47"/>
      <c r="AF607" s="69"/>
      <c r="AG607" s="223"/>
      <c r="AJ607" s="47"/>
      <c r="AK607" s="73"/>
      <c r="AL607" s="47"/>
      <c r="AM607" s="47"/>
      <c r="AN607" s="47"/>
      <c r="AO607" s="47"/>
      <c r="AP607" s="47"/>
      <c r="AQ607" s="47"/>
      <c r="AR607" s="25"/>
    </row>
    <row r="608" spans="1:44" ht="12.75" customHeight="1" x14ac:dyDescent="0.15">
      <c r="A608" s="47"/>
      <c r="B608" s="47"/>
      <c r="C608" s="47"/>
      <c r="D608" s="47"/>
      <c r="E608" s="47"/>
      <c r="F608" s="47"/>
      <c r="G608" s="47"/>
      <c r="H608" s="47"/>
      <c r="I608" s="111"/>
      <c r="J608" s="52"/>
      <c r="K608" s="148"/>
      <c r="L608" s="52"/>
      <c r="M608" s="148"/>
      <c r="N608" s="52"/>
      <c r="O608" s="148"/>
      <c r="P608" s="52"/>
      <c r="Q608" s="155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52"/>
      <c r="AD608" s="52"/>
      <c r="AE608" s="47"/>
      <c r="AF608" s="69"/>
      <c r="AG608" s="223"/>
      <c r="AJ608" s="47"/>
      <c r="AK608" s="73"/>
      <c r="AL608" s="47"/>
      <c r="AM608" s="47"/>
      <c r="AN608" s="47"/>
      <c r="AO608" s="47"/>
      <c r="AP608" s="47"/>
      <c r="AQ608" s="47"/>
      <c r="AR608" s="25"/>
    </row>
    <row r="609" spans="1:44" ht="12.75" customHeight="1" x14ac:dyDescent="0.15">
      <c r="A609" s="47"/>
      <c r="B609" s="47"/>
      <c r="C609" s="47"/>
      <c r="D609" s="47"/>
      <c r="E609" s="47"/>
      <c r="F609" s="47"/>
      <c r="G609" s="47"/>
      <c r="H609" s="47"/>
      <c r="I609" s="111"/>
      <c r="J609" s="52"/>
      <c r="K609" s="148"/>
      <c r="L609" s="52"/>
      <c r="M609" s="148"/>
      <c r="N609" s="52"/>
      <c r="O609" s="148"/>
      <c r="P609" s="52"/>
      <c r="Q609" s="155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52"/>
      <c r="AD609" s="52"/>
      <c r="AE609" s="47"/>
      <c r="AF609" s="69"/>
      <c r="AG609" s="223"/>
      <c r="AJ609" s="47"/>
      <c r="AK609" s="73"/>
      <c r="AL609" s="47"/>
      <c r="AM609" s="47"/>
      <c r="AN609" s="47"/>
      <c r="AO609" s="47"/>
      <c r="AP609" s="47"/>
      <c r="AQ609" s="47"/>
      <c r="AR609" s="25"/>
    </row>
    <row r="610" spans="1:44" ht="12.75" customHeight="1" x14ac:dyDescent="0.15">
      <c r="A610" s="47"/>
      <c r="B610" s="47"/>
      <c r="C610" s="47"/>
      <c r="D610" s="47"/>
      <c r="E610" s="47"/>
      <c r="F610" s="47"/>
      <c r="G610" s="47"/>
      <c r="H610" s="47"/>
      <c r="I610" s="111"/>
      <c r="J610" s="52"/>
      <c r="K610" s="148"/>
      <c r="L610" s="52"/>
      <c r="M610" s="148"/>
      <c r="N610" s="52"/>
      <c r="O610" s="148"/>
      <c r="P610" s="52"/>
      <c r="Q610" s="155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52"/>
      <c r="AD610" s="52"/>
      <c r="AE610" s="47"/>
      <c r="AF610" s="69"/>
      <c r="AG610" s="223"/>
      <c r="AJ610" s="47"/>
      <c r="AK610" s="73"/>
      <c r="AL610" s="47"/>
      <c r="AM610" s="47"/>
      <c r="AN610" s="47"/>
      <c r="AO610" s="47"/>
      <c r="AP610" s="47"/>
      <c r="AQ610" s="47"/>
      <c r="AR610" s="25"/>
    </row>
    <row r="611" spans="1:44" ht="12.75" customHeight="1" x14ac:dyDescent="0.15">
      <c r="A611" s="47"/>
      <c r="B611" s="47"/>
      <c r="C611" s="47"/>
      <c r="D611" s="47"/>
      <c r="E611" s="47"/>
      <c r="F611" s="47"/>
      <c r="G611" s="47"/>
      <c r="H611" s="47"/>
      <c r="I611" s="111"/>
      <c r="J611" s="52"/>
      <c r="K611" s="148"/>
      <c r="L611" s="52"/>
      <c r="M611" s="148"/>
      <c r="N611" s="52"/>
      <c r="O611" s="148"/>
      <c r="P611" s="52"/>
      <c r="Q611" s="155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52"/>
      <c r="AD611" s="52"/>
      <c r="AE611" s="47"/>
      <c r="AF611" s="69"/>
      <c r="AG611" s="223"/>
      <c r="AJ611" s="47"/>
      <c r="AK611" s="73"/>
      <c r="AL611" s="47"/>
      <c r="AM611" s="47"/>
      <c r="AN611" s="47"/>
      <c r="AO611" s="47"/>
      <c r="AP611" s="47"/>
      <c r="AQ611" s="47"/>
      <c r="AR611" s="25"/>
    </row>
    <row r="612" spans="1:44" ht="12.75" customHeight="1" x14ac:dyDescent="0.15">
      <c r="A612" s="47"/>
      <c r="B612" s="47"/>
      <c r="C612" s="47"/>
      <c r="D612" s="47"/>
      <c r="E612" s="47"/>
      <c r="F612" s="47"/>
      <c r="G612" s="47"/>
      <c r="H612" s="47"/>
      <c r="I612" s="111"/>
      <c r="J612" s="52"/>
      <c r="K612" s="148"/>
      <c r="L612" s="52"/>
      <c r="M612" s="148"/>
      <c r="N612" s="52"/>
      <c r="O612" s="148"/>
      <c r="P612" s="52"/>
      <c r="Q612" s="155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52"/>
      <c r="AD612" s="52"/>
      <c r="AE612" s="47"/>
      <c r="AF612" s="69"/>
      <c r="AG612" s="223"/>
      <c r="AJ612" s="47"/>
      <c r="AK612" s="73"/>
      <c r="AL612" s="47"/>
      <c r="AM612" s="47"/>
      <c r="AN612" s="47"/>
      <c r="AO612" s="47"/>
      <c r="AP612" s="47"/>
      <c r="AQ612" s="47"/>
      <c r="AR612" s="25"/>
    </row>
    <row r="613" spans="1:44" ht="12.75" customHeight="1" x14ac:dyDescent="0.15">
      <c r="A613" s="47"/>
      <c r="B613" s="47"/>
      <c r="C613" s="47"/>
      <c r="D613" s="47"/>
      <c r="E613" s="47"/>
      <c r="F613" s="47"/>
      <c r="G613" s="47"/>
      <c r="H613" s="47"/>
      <c r="I613" s="111"/>
      <c r="J613" s="52"/>
      <c r="K613" s="148"/>
      <c r="L613" s="52"/>
      <c r="M613" s="148"/>
      <c r="N613" s="52"/>
      <c r="O613" s="148"/>
      <c r="P613" s="52"/>
      <c r="Q613" s="155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52"/>
      <c r="AD613" s="52"/>
      <c r="AE613" s="47"/>
      <c r="AF613" s="69"/>
      <c r="AG613" s="223"/>
      <c r="AJ613" s="47"/>
      <c r="AK613" s="73"/>
      <c r="AL613" s="47"/>
      <c r="AM613" s="47"/>
      <c r="AN613" s="47"/>
      <c r="AO613" s="47"/>
      <c r="AP613" s="47"/>
      <c r="AQ613" s="47"/>
      <c r="AR613" s="25"/>
    </row>
    <row r="614" spans="1:44" ht="12.75" customHeight="1" x14ac:dyDescent="0.15">
      <c r="A614" s="47"/>
      <c r="B614" s="47"/>
      <c r="C614" s="47"/>
      <c r="D614" s="47"/>
      <c r="E614" s="47"/>
      <c r="F614" s="47"/>
      <c r="G614" s="47"/>
      <c r="H614" s="47"/>
      <c r="I614" s="111"/>
      <c r="J614" s="52"/>
      <c r="K614" s="148"/>
      <c r="L614" s="52"/>
      <c r="M614" s="148"/>
      <c r="N614" s="52"/>
      <c r="O614" s="148"/>
      <c r="P614" s="52"/>
      <c r="Q614" s="155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52"/>
      <c r="AD614" s="52"/>
      <c r="AE614" s="47"/>
      <c r="AF614" s="69"/>
      <c r="AG614" s="223"/>
      <c r="AJ614" s="47"/>
      <c r="AK614" s="73"/>
      <c r="AL614" s="47"/>
      <c r="AM614" s="47"/>
      <c r="AN614" s="47"/>
      <c r="AO614" s="47"/>
      <c r="AP614" s="47"/>
      <c r="AQ614" s="47"/>
      <c r="AR614" s="25"/>
    </row>
    <row r="615" spans="1:44" ht="12.75" customHeight="1" x14ac:dyDescent="0.15">
      <c r="A615" s="47"/>
      <c r="B615" s="47"/>
      <c r="C615" s="47"/>
      <c r="D615" s="47"/>
      <c r="E615" s="47"/>
      <c r="F615" s="47"/>
      <c r="G615" s="47"/>
      <c r="H615" s="47"/>
      <c r="I615" s="111"/>
      <c r="J615" s="52"/>
      <c r="K615" s="148"/>
      <c r="L615" s="52"/>
      <c r="M615" s="148"/>
      <c r="N615" s="52"/>
      <c r="O615" s="148"/>
      <c r="P615" s="52"/>
      <c r="Q615" s="155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52"/>
      <c r="AD615" s="52"/>
      <c r="AE615" s="47"/>
      <c r="AF615" s="69"/>
      <c r="AG615" s="223"/>
      <c r="AJ615" s="47"/>
      <c r="AK615" s="73"/>
      <c r="AL615" s="47"/>
      <c r="AM615" s="47"/>
      <c r="AN615" s="47"/>
      <c r="AO615" s="47"/>
      <c r="AP615" s="47"/>
      <c r="AQ615" s="47"/>
      <c r="AR615" s="25"/>
    </row>
    <row r="616" spans="1:44" ht="12.75" customHeight="1" x14ac:dyDescent="0.15">
      <c r="A616" s="47"/>
      <c r="B616" s="47"/>
      <c r="C616" s="47"/>
      <c r="D616" s="47"/>
      <c r="E616" s="47"/>
      <c r="F616" s="47"/>
      <c r="G616" s="47"/>
      <c r="H616" s="47"/>
      <c r="I616" s="111"/>
      <c r="J616" s="52"/>
      <c r="K616" s="148"/>
      <c r="L616" s="52"/>
      <c r="M616" s="148"/>
      <c r="N616" s="52"/>
      <c r="O616" s="148"/>
      <c r="P616" s="52"/>
      <c r="Q616" s="155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52"/>
      <c r="AD616" s="52"/>
      <c r="AE616" s="47"/>
      <c r="AF616" s="69"/>
      <c r="AG616" s="223"/>
      <c r="AJ616" s="47"/>
      <c r="AK616" s="73"/>
      <c r="AL616" s="47"/>
      <c r="AM616" s="47"/>
      <c r="AN616" s="47"/>
      <c r="AO616" s="47"/>
      <c r="AP616" s="47"/>
      <c r="AQ616" s="47"/>
      <c r="AR616" s="25"/>
    </row>
    <row r="617" spans="1:44" ht="12.75" customHeight="1" x14ac:dyDescent="0.15">
      <c r="A617" s="47"/>
      <c r="B617" s="47"/>
      <c r="C617" s="47"/>
      <c r="D617" s="47"/>
      <c r="E617" s="47"/>
      <c r="F617" s="47"/>
      <c r="G617" s="47"/>
      <c r="H617" s="47"/>
      <c r="I617" s="111"/>
      <c r="J617" s="52"/>
      <c r="K617" s="148"/>
      <c r="L617" s="52"/>
      <c r="M617" s="148"/>
      <c r="N617" s="52"/>
      <c r="O617" s="148"/>
      <c r="P617" s="52"/>
      <c r="Q617" s="155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52"/>
      <c r="AD617" s="52"/>
      <c r="AE617" s="47"/>
      <c r="AF617" s="69"/>
      <c r="AG617" s="223"/>
      <c r="AJ617" s="47"/>
      <c r="AK617" s="73"/>
      <c r="AL617" s="47"/>
      <c r="AM617" s="47"/>
      <c r="AN617" s="47"/>
      <c r="AO617" s="47"/>
      <c r="AP617" s="47"/>
      <c r="AQ617" s="47"/>
      <c r="AR617" s="25"/>
    </row>
    <row r="618" spans="1:44" ht="12.75" customHeight="1" x14ac:dyDescent="0.15">
      <c r="A618" s="47"/>
      <c r="B618" s="47"/>
      <c r="C618" s="47"/>
      <c r="D618" s="47"/>
      <c r="E618" s="47"/>
      <c r="F618" s="47"/>
      <c r="G618" s="47"/>
      <c r="H618" s="47"/>
      <c r="I618" s="111"/>
      <c r="J618" s="52"/>
      <c r="K618" s="148"/>
      <c r="L618" s="52"/>
      <c r="M618" s="148"/>
      <c r="N618" s="52"/>
      <c r="O618" s="148"/>
      <c r="P618" s="52"/>
      <c r="Q618" s="155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52"/>
      <c r="AD618" s="52"/>
      <c r="AE618" s="47"/>
      <c r="AF618" s="69"/>
      <c r="AG618" s="223"/>
      <c r="AJ618" s="47"/>
      <c r="AK618" s="73"/>
      <c r="AL618" s="47"/>
      <c r="AM618" s="47"/>
      <c r="AN618" s="47"/>
      <c r="AO618" s="47"/>
      <c r="AP618" s="47"/>
      <c r="AQ618" s="47"/>
      <c r="AR618" s="25"/>
    </row>
    <row r="619" spans="1:44" ht="12.75" customHeight="1" x14ac:dyDescent="0.15">
      <c r="A619" s="47"/>
      <c r="B619" s="47"/>
      <c r="C619" s="47"/>
      <c r="D619" s="47"/>
      <c r="E619" s="47"/>
      <c r="F619" s="47"/>
      <c r="G619" s="47"/>
      <c r="H619" s="47"/>
      <c r="I619" s="111"/>
      <c r="J619" s="52"/>
      <c r="K619" s="148"/>
      <c r="L619" s="52"/>
      <c r="M619" s="148"/>
      <c r="N619" s="52"/>
      <c r="O619" s="148"/>
      <c r="P619" s="52"/>
      <c r="Q619" s="155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52"/>
      <c r="AD619" s="52"/>
      <c r="AE619" s="47"/>
      <c r="AF619" s="69"/>
      <c r="AG619" s="223"/>
      <c r="AJ619" s="47"/>
      <c r="AK619" s="73"/>
      <c r="AL619" s="47"/>
      <c r="AM619" s="47"/>
      <c r="AN619" s="47"/>
      <c r="AO619" s="47"/>
      <c r="AP619" s="47"/>
      <c r="AQ619" s="47"/>
      <c r="AR619" s="25"/>
    </row>
    <row r="620" spans="1:44" ht="12.75" customHeight="1" x14ac:dyDescent="0.15">
      <c r="A620" s="47"/>
      <c r="B620" s="47"/>
      <c r="C620" s="47"/>
      <c r="D620" s="47"/>
      <c r="E620" s="47"/>
      <c r="F620" s="47"/>
      <c r="G620" s="47"/>
      <c r="H620" s="47"/>
      <c r="I620" s="111"/>
      <c r="J620" s="52"/>
      <c r="K620" s="148"/>
      <c r="L620" s="52"/>
      <c r="M620" s="148"/>
      <c r="N620" s="52"/>
      <c r="O620" s="148"/>
      <c r="P620" s="52"/>
      <c r="Q620" s="155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52"/>
      <c r="AD620" s="52"/>
      <c r="AE620" s="47"/>
      <c r="AF620" s="69"/>
      <c r="AG620" s="223"/>
      <c r="AJ620" s="47"/>
      <c r="AK620" s="73"/>
      <c r="AL620" s="47"/>
      <c r="AM620" s="47"/>
      <c r="AN620" s="47"/>
      <c r="AO620" s="47"/>
      <c r="AP620" s="47"/>
      <c r="AQ620" s="47"/>
      <c r="AR620" s="25"/>
    </row>
    <row r="621" spans="1:44" ht="12.75" customHeight="1" x14ac:dyDescent="0.15">
      <c r="A621" s="47"/>
      <c r="B621" s="47"/>
      <c r="C621" s="47"/>
      <c r="D621" s="47"/>
      <c r="E621" s="47"/>
      <c r="F621" s="47"/>
      <c r="G621" s="47"/>
      <c r="H621" s="47"/>
      <c r="I621" s="111"/>
      <c r="J621" s="52"/>
      <c r="K621" s="148"/>
      <c r="L621" s="52"/>
      <c r="M621" s="148"/>
      <c r="N621" s="52"/>
      <c r="O621" s="148"/>
      <c r="P621" s="52"/>
      <c r="Q621" s="155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52"/>
      <c r="AD621" s="52"/>
      <c r="AE621" s="47"/>
      <c r="AF621" s="47"/>
      <c r="AG621" s="227"/>
      <c r="AJ621" s="47"/>
      <c r="AK621" s="73"/>
      <c r="AL621" s="47"/>
      <c r="AM621" s="47"/>
      <c r="AN621" s="47"/>
      <c r="AO621" s="47"/>
      <c r="AP621" s="47"/>
      <c r="AQ621" s="47"/>
      <c r="AR621" s="25"/>
    </row>
    <row r="622" spans="1:44" ht="12.75" customHeight="1" x14ac:dyDescent="0.15">
      <c r="A622" s="47"/>
      <c r="B622" s="47"/>
      <c r="C622" s="47"/>
      <c r="D622" s="47"/>
      <c r="E622" s="47"/>
      <c r="F622" s="47"/>
      <c r="G622" s="47"/>
      <c r="H622" s="47"/>
      <c r="I622" s="111"/>
      <c r="J622" s="52"/>
      <c r="K622" s="148"/>
      <c r="L622" s="52"/>
      <c r="M622" s="148"/>
      <c r="N622" s="52"/>
      <c r="O622" s="148"/>
      <c r="P622" s="52"/>
      <c r="Q622" s="155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52"/>
      <c r="AD622" s="52"/>
      <c r="AE622" s="47"/>
      <c r="AF622" s="47"/>
      <c r="AG622" s="227"/>
      <c r="AJ622" s="47"/>
      <c r="AK622" s="73"/>
      <c r="AL622" s="47"/>
      <c r="AM622" s="47"/>
      <c r="AN622" s="47"/>
      <c r="AO622" s="47"/>
      <c r="AP622" s="47"/>
      <c r="AQ622" s="47"/>
      <c r="AR622" s="25"/>
    </row>
    <row r="623" spans="1:44" ht="12.75" customHeight="1" x14ac:dyDescent="0.15">
      <c r="A623" s="47"/>
      <c r="B623" s="47"/>
      <c r="C623" s="47"/>
      <c r="D623" s="47"/>
      <c r="E623" s="47"/>
      <c r="F623" s="47"/>
      <c r="G623" s="47"/>
      <c r="H623" s="47"/>
      <c r="I623" s="111"/>
      <c r="J623" s="52"/>
      <c r="K623" s="148"/>
      <c r="L623" s="52"/>
      <c r="M623" s="148"/>
      <c r="N623" s="52"/>
      <c r="O623" s="148"/>
      <c r="P623" s="52"/>
      <c r="Q623" s="155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52"/>
      <c r="AD623" s="52"/>
      <c r="AE623" s="47"/>
      <c r="AF623" s="47"/>
      <c r="AG623" s="227"/>
      <c r="AJ623" s="47"/>
      <c r="AK623" s="73"/>
      <c r="AL623" s="47"/>
      <c r="AM623" s="47"/>
      <c r="AN623" s="47"/>
      <c r="AO623" s="47"/>
      <c r="AP623" s="47"/>
      <c r="AQ623" s="47"/>
      <c r="AR623" s="25"/>
    </row>
    <row r="624" spans="1:44" ht="12.75" customHeight="1" x14ac:dyDescent="0.15">
      <c r="A624" s="47"/>
      <c r="B624" s="47"/>
      <c r="C624" s="47"/>
      <c r="D624" s="47"/>
      <c r="E624" s="47"/>
      <c r="F624" s="47"/>
      <c r="G624" s="47"/>
      <c r="H624" s="47"/>
      <c r="I624" s="111"/>
      <c r="J624" s="52"/>
      <c r="K624" s="148"/>
      <c r="L624" s="52"/>
      <c r="M624" s="148"/>
      <c r="N624" s="52"/>
      <c r="O624" s="148"/>
      <c r="P624" s="52"/>
      <c r="Q624" s="155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52"/>
      <c r="AD624" s="52"/>
      <c r="AE624" s="47"/>
      <c r="AF624" s="47"/>
      <c r="AG624" s="227"/>
      <c r="AJ624" s="47"/>
      <c r="AK624" s="73"/>
      <c r="AL624" s="47"/>
      <c r="AM624" s="47"/>
      <c r="AN624" s="47"/>
      <c r="AO624" s="47"/>
      <c r="AP624" s="47"/>
      <c r="AQ624" s="47"/>
      <c r="AR624" s="25"/>
    </row>
    <row r="625" spans="1:44" ht="12.75" customHeight="1" x14ac:dyDescent="0.15">
      <c r="A625" s="47"/>
      <c r="B625" s="47"/>
      <c r="C625" s="47"/>
      <c r="D625" s="47"/>
      <c r="E625" s="47"/>
      <c r="F625" s="47"/>
      <c r="G625" s="47"/>
      <c r="H625" s="47"/>
      <c r="I625" s="111"/>
      <c r="J625" s="52"/>
      <c r="K625" s="148"/>
      <c r="L625" s="52"/>
      <c r="M625" s="148"/>
      <c r="N625" s="52"/>
      <c r="O625" s="148"/>
      <c r="P625" s="52"/>
      <c r="Q625" s="155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52"/>
      <c r="AD625" s="52"/>
      <c r="AE625" s="47"/>
      <c r="AF625" s="47"/>
      <c r="AG625" s="227"/>
      <c r="AJ625" s="47"/>
      <c r="AK625" s="73"/>
      <c r="AL625" s="47"/>
      <c r="AM625" s="47"/>
      <c r="AN625" s="47"/>
      <c r="AO625" s="47"/>
      <c r="AP625" s="47"/>
      <c r="AQ625" s="47"/>
      <c r="AR625" s="25"/>
    </row>
    <row r="626" spans="1:44" ht="12.75" customHeight="1" x14ac:dyDescent="0.15">
      <c r="A626" s="47"/>
      <c r="B626" s="47"/>
      <c r="C626" s="47"/>
      <c r="D626" s="47"/>
      <c r="E626" s="47"/>
      <c r="F626" s="47"/>
      <c r="G626" s="47"/>
      <c r="H626" s="47"/>
      <c r="I626" s="111"/>
      <c r="J626" s="52"/>
      <c r="K626" s="148"/>
      <c r="L626" s="52"/>
      <c r="M626" s="148"/>
      <c r="N626" s="52"/>
      <c r="O626" s="148"/>
      <c r="P626" s="52"/>
      <c r="Q626" s="155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52"/>
      <c r="AD626" s="52"/>
      <c r="AE626" s="47"/>
      <c r="AF626" s="47"/>
      <c r="AG626" s="227"/>
      <c r="AJ626" s="47"/>
      <c r="AK626" s="73"/>
      <c r="AL626" s="47"/>
      <c r="AM626" s="47"/>
      <c r="AN626" s="47"/>
      <c r="AO626" s="47"/>
      <c r="AP626" s="47"/>
      <c r="AQ626" s="47"/>
      <c r="AR626" s="25"/>
    </row>
    <row r="627" spans="1:44" ht="12.75" customHeight="1" x14ac:dyDescent="0.15">
      <c r="A627" s="47"/>
      <c r="B627" s="47"/>
      <c r="C627" s="47"/>
      <c r="D627" s="47"/>
      <c r="E627" s="47"/>
      <c r="F627" s="47"/>
      <c r="G627" s="47"/>
      <c r="H627" s="47"/>
      <c r="I627" s="111"/>
      <c r="J627" s="52"/>
      <c r="K627" s="148"/>
      <c r="L627" s="52"/>
      <c r="M627" s="148"/>
      <c r="N627" s="52"/>
      <c r="O627" s="148"/>
      <c r="P627" s="52"/>
      <c r="Q627" s="155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52"/>
      <c r="AD627" s="52"/>
      <c r="AE627" s="47"/>
      <c r="AF627" s="47"/>
      <c r="AG627" s="227"/>
      <c r="AJ627" s="47"/>
      <c r="AK627" s="73"/>
      <c r="AL627" s="47"/>
      <c r="AM627" s="47"/>
      <c r="AN627" s="47"/>
      <c r="AO627" s="47"/>
      <c r="AP627" s="47"/>
      <c r="AQ627" s="47"/>
      <c r="AR627" s="25"/>
    </row>
    <row r="628" spans="1:44" ht="12.75" customHeight="1" x14ac:dyDescent="0.15">
      <c r="A628" s="47"/>
      <c r="B628" s="47"/>
      <c r="C628" s="47"/>
      <c r="D628" s="47"/>
      <c r="E628" s="47"/>
      <c r="F628" s="47"/>
      <c r="G628" s="47"/>
      <c r="H628" s="47"/>
      <c r="I628" s="111"/>
      <c r="J628" s="52"/>
      <c r="K628" s="148"/>
      <c r="L628" s="52"/>
      <c r="M628" s="148"/>
      <c r="N628" s="52"/>
      <c r="O628" s="148"/>
      <c r="P628" s="52"/>
      <c r="Q628" s="155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52"/>
      <c r="AD628" s="52"/>
      <c r="AE628" s="47"/>
      <c r="AF628" s="47"/>
      <c r="AG628" s="227"/>
      <c r="AJ628" s="47"/>
      <c r="AK628" s="73"/>
      <c r="AL628" s="47"/>
      <c r="AM628" s="47"/>
      <c r="AN628" s="47"/>
      <c r="AO628" s="47"/>
      <c r="AP628" s="47"/>
      <c r="AQ628" s="47"/>
      <c r="AR628" s="25"/>
    </row>
    <row r="629" spans="1:44" ht="12.75" customHeight="1" x14ac:dyDescent="0.15">
      <c r="A629" s="47"/>
      <c r="B629" s="47"/>
      <c r="C629" s="47"/>
      <c r="D629" s="47"/>
      <c r="E629" s="47"/>
      <c r="F629" s="47"/>
      <c r="G629" s="47"/>
      <c r="H629" s="47"/>
      <c r="I629" s="111"/>
      <c r="J629" s="52"/>
      <c r="K629" s="148"/>
      <c r="L629" s="52"/>
      <c r="M629" s="148"/>
      <c r="N629" s="52"/>
      <c r="O629" s="148"/>
      <c r="P629" s="52"/>
      <c r="Q629" s="155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52"/>
      <c r="AD629" s="52"/>
      <c r="AE629" s="47"/>
      <c r="AF629" s="47"/>
      <c r="AG629" s="227"/>
      <c r="AJ629" s="47"/>
      <c r="AK629" s="73"/>
      <c r="AL629" s="47"/>
      <c r="AM629" s="47"/>
      <c r="AN629" s="47"/>
      <c r="AO629" s="47"/>
      <c r="AP629" s="47"/>
      <c r="AQ629" s="47"/>
      <c r="AR629" s="25"/>
    </row>
    <row r="630" spans="1:44" ht="12.75" customHeight="1" x14ac:dyDescent="0.15">
      <c r="A630" s="47"/>
      <c r="B630" s="47"/>
      <c r="C630" s="47"/>
      <c r="D630" s="47"/>
      <c r="E630" s="47"/>
      <c r="F630" s="47"/>
      <c r="G630" s="47"/>
      <c r="H630" s="47"/>
      <c r="I630" s="111"/>
      <c r="J630" s="52"/>
      <c r="K630" s="148"/>
      <c r="L630" s="52"/>
      <c r="M630" s="148"/>
      <c r="N630" s="52"/>
      <c r="O630" s="148"/>
      <c r="P630" s="52"/>
      <c r="Q630" s="155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52"/>
      <c r="AD630" s="52"/>
      <c r="AE630" s="47"/>
      <c r="AF630" s="47"/>
      <c r="AG630" s="227"/>
      <c r="AJ630" s="47"/>
      <c r="AK630" s="73"/>
      <c r="AL630" s="47"/>
      <c r="AM630" s="47"/>
      <c r="AN630" s="47"/>
      <c r="AO630" s="47"/>
      <c r="AP630" s="47"/>
      <c r="AQ630" s="47"/>
      <c r="AR630" s="25"/>
    </row>
    <row r="631" spans="1:44" ht="12.75" customHeight="1" x14ac:dyDescent="0.15">
      <c r="A631" s="47"/>
      <c r="B631" s="47"/>
      <c r="C631" s="47"/>
      <c r="D631" s="47"/>
      <c r="E631" s="47"/>
      <c r="F631" s="47"/>
      <c r="G631" s="47"/>
      <c r="H631" s="47"/>
      <c r="I631" s="111"/>
      <c r="J631" s="52"/>
      <c r="K631" s="148"/>
      <c r="L631" s="52"/>
      <c r="M631" s="148"/>
      <c r="N631" s="52"/>
      <c r="O631" s="148"/>
      <c r="P631" s="52"/>
      <c r="Q631" s="155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52"/>
      <c r="AD631" s="52"/>
      <c r="AE631" s="47"/>
      <c r="AF631" s="47"/>
      <c r="AG631" s="227"/>
      <c r="AJ631" s="47"/>
      <c r="AK631" s="73"/>
      <c r="AL631" s="47"/>
      <c r="AM631" s="47"/>
      <c r="AN631" s="47"/>
      <c r="AO631" s="47"/>
      <c r="AP631" s="47"/>
      <c r="AQ631" s="47"/>
      <c r="AR631" s="25"/>
    </row>
    <row r="632" spans="1:44" ht="12.75" customHeight="1" x14ac:dyDescent="0.15">
      <c r="A632" s="47"/>
      <c r="B632" s="47"/>
      <c r="C632" s="47"/>
      <c r="D632" s="47"/>
      <c r="E632" s="47"/>
      <c r="F632" s="47"/>
      <c r="G632" s="47"/>
      <c r="H632" s="47"/>
      <c r="I632" s="111"/>
      <c r="J632" s="52"/>
      <c r="K632" s="148"/>
      <c r="L632" s="52"/>
      <c r="M632" s="148"/>
      <c r="N632" s="52"/>
      <c r="O632" s="148"/>
      <c r="P632" s="52"/>
      <c r="Q632" s="155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52"/>
      <c r="AD632" s="52"/>
      <c r="AE632" s="47"/>
      <c r="AF632" s="47"/>
      <c r="AG632" s="227"/>
      <c r="AJ632" s="47"/>
      <c r="AK632" s="73"/>
      <c r="AL632" s="47"/>
      <c r="AM632" s="47"/>
      <c r="AN632" s="47"/>
      <c r="AO632" s="47"/>
      <c r="AP632" s="47"/>
      <c r="AQ632" s="47"/>
      <c r="AR632" s="25"/>
    </row>
    <row r="633" spans="1:44" ht="12.75" customHeight="1" x14ac:dyDescent="0.15">
      <c r="A633" s="47"/>
      <c r="B633" s="47"/>
      <c r="C633" s="47"/>
      <c r="D633" s="47"/>
      <c r="E633" s="47"/>
      <c r="F633" s="47"/>
      <c r="G633" s="47"/>
      <c r="H633" s="47"/>
      <c r="I633" s="111"/>
      <c r="J633" s="52"/>
      <c r="K633" s="148"/>
      <c r="L633" s="52"/>
      <c r="M633" s="148"/>
      <c r="N633" s="52"/>
      <c r="O633" s="148"/>
      <c r="P633" s="52"/>
      <c r="Q633" s="155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52"/>
      <c r="AD633" s="52"/>
      <c r="AE633" s="47"/>
      <c r="AF633" s="47"/>
      <c r="AG633" s="227"/>
      <c r="AJ633" s="47"/>
      <c r="AK633" s="73"/>
      <c r="AL633" s="47"/>
      <c r="AM633" s="47"/>
      <c r="AN633" s="47"/>
      <c r="AO633" s="47"/>
      <c r="AP633" s="47"/>
      <c r="AQ633" s="47"/>
      <c r="AR633" s="25"/>
    </row>
    <row r="634" spans="1:44" ht="12.75" customHeight="1" x14ac:dyDescent="0.15">
      <c r="A634" s="47"/>
      <c r="B634" s="47"/>
      <c r="C634" s="47"/>
      <c r="D634" s="47"/>
      <c r="E634" s="47"/>
      <c r="F634" s="47"/>
      <c r="G634" s="47"/>
      <c r="H634" s="47"/>
      <c r="I634" s="111"/>
      <c r="J634" s="52"/>
      <c r="K634" s="148"/>
      <c r="L634" s="52"/>
      <c r="M634" s="148"/>
      <c r="N634" s="52"/>
      <c r="O634" s="148"/>
      <c r="P634" s="52"/>
      <c r="Q634" s="155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52"/>
      <c r="AD634" s="52"/>
      <c r="AE634" s="47"/>
      <c r="AF634" s="47"/>
      <c r="AG634" s="227"/>
      <c r="AJ634" s="47"/>
      <c r="AK634" s="73"/>
      <c r="AL634" s="47"/>
      <c r="AM634" s="47"/>
      <c r="AN634" s="47"/>
      <c r="AO634" s="47"/>
      <c r="AP634" s="47"/>
      <c r="AQ634" s="47"/>
      <c r="AR634" s="25"/>
    </row>
    <row r="635" spans="1:44" ht="12.75" customHeight="1" x14ac:dyDescent="0.15">
      <c r="A635" s="47"/>
      <c r="B635" s="47"/>
      <c r="C635" s="47"/>
      <c r="D635" s="47"/>
      <c r="E635" s="47"/>
      <c r="F635" s="47"/>
      <c r="G635" s="47"/>
      <c r="H635" s="47"/>
      <c r="I635" s="111"/>
      <c r="J635" s="52"/>
      <c r="K635" s="148"/>
      <c r="L635" s="52"/>
      <c r="M635" s="148"/>
      <c r="N635" s="52"/>
      <c r="O635" s="148"/>
      <c r="P635" s="52"/>
      <c r="Q635" s="155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52"/>
      <c r="AD635" s="52"/>
      <c r="AE635" s="47"/>
      <c r="AF635" s="47"/>
      <c r="AG635" s="227"/>
      <c r="AJ635" s="47"/>
      <c r="AK635" s="73"/>
      <c r="AL635" s="47"/>
      <c r="AM635" s="47"/>
      <c r="AN635" s="47"/>
      <c r="AO635" s="47"/>
      <c r="AP635" s="47"/>
      <c r="AQ635" s="47"/>
      <c r="AR635" s="25"/>
    </row>
    <row r="636" spans="1:44" ht="12.75" customHeight="1" x14ac:dyDescent="0.15">
      <c r="A636" s="47"/>
      <c r="B636" s="47"/>
      <c r="C636" s="47"/>
      <c r="D636" s="47"/>
      <c r="E636" s="47"/>
      <c r="F636" s="47"/>
      <c r="G636" s="47"/>
      <c r="H636" s="47"/>
      <c r="I636" s="111"/>
      <c r="J636" s="52"/>
      <c r="K636" s="148"/>
      <c r="L636" s="52"/>
      <c r="M636" s="148"/>
      <c r="N636" s="52"/>
      <c r="O636" s="148"/>
      <c r="P636" s="52"/>
      <c r="Q636" s="155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52"/>
      <c r="AD636" s="52"/>
      <c r="AE636" s="47"/>
      <c r="AF636" s="47"/>
      <c r="AG636" s="227"/>
      <c r="AJ636" s="47"/>
      <c r="AK636" s="73"/>
      <c r="AL636" s="47"/>
      <c r="AM636" s="47"/>
      <c r="AN636" s="47"/>
      <c r="AO636" s="47"/>
      <c r="AP636" s="47"/>
      <c r="AQ636" s="47"/>
      <c r="AR636" s="25"/>
    </row>
    <row r="637" spans="1:44" ht="12.75" customHeight="1" x14ac:dyDescent="0.15">
      <c r="A637" s="47"/>
      <c r="B637" s="47"/>
      <c r="C637" s="47"/>
      <c r="D637" s="47"/>
      <c r="E637" s="47"/>
      <c r="F637" s="47"/>
      <c r="G637" s="47"/>
      <c r="H637" s="47"/>
      <c r="I637" s="111"/>
      <c r="J637" s="52"/>
      <c r="K637" s="148"/>
      <c r="L637" s="52"/>
      <c r="M637" s="148"/>
      <c r="N637" s="52"/>
      <c r="O637" s="148"/>
      <c r="P637" s="52"/>
      <c r="Q637" s="155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52"/>
      <c r="AD637" s="52"/>
      <c r="AE637" s="47"/>
      <c r="AF637" s="47"/>
      <c r="AG637" s="227"/>
      <c r="AJ637" s="47"/>
      <c r="AK637" s="73"/>
      <c r="AL637" s="47"/>
      <c r="AM637" s="47"/>
      <c r="AN637" s="47"/>
      <c r="AO637" s="47"/>
      <c r="AP637" s="47"/>
      <c r="AQ637" s="47"/>
      <c r="AR637" s="25"/>
    </row>
    <row r="638" spans="1:44" ht="12.75" customHeight="1" x14ac:dyDescent="0.15">
      <c r="A638" s="47"/>
      <c r="B638" s="47"/>
      <c r="C638" s="47"/>
      <c r="D638" s="47"/>
      <c r="E638" s="47"/>
      <c r="F638" s="47"/>
      <c r="G638" s="47"/>
      <c r="H638" s="47"/>
      <c r="I638" s="111"/>
      <c r="J638" s="52"/>
      <c r="K638" s="148"/>
      <c r="L638" s="52"/>
      <c r="M638" s="148"/>
      <c r="N638" s="52"/>
      <c r="O638" s="148"/>
      <c r="P638" s="52"/>
      <c r="Q638" s="155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52"/>
      <c r="AD638" s="52"/>
      <c r="AE638" s="47"/>
      <c r="AF638" s="47"/>
      <c r="AG638" s="227"/>
      <c r="AJ638" s="47"/>
      <c r="AK638" s="73"/>
      <c r="AL638" s="47"/>
      <c r="AM638" s="47"/>
      <c r="AN638" s="47"/>
      <c r="AO638" s="47"/>
      <c r="AP638" s="47"/>
      <c r="AQ638" s="47"/>
      <c r="AR638" s="25"/>
    </row>
    <row r="639" spans="1:44" ht="12.75" customHeight="1" x14ac:dyDescent="0.15">
      <c r="A639" s="47"/>
      <c r="B639" s="47"/>
      <c r="C639" s="47"/>
      <c r="D639" s="47"/>
      <c r="E639" s="47"/>
      <c r="F639" s="47"/>
      <c r="G639" s="47"/>
      <c r="H639" s="47"/>
      <c r="I639" s="111"/>
      <c r="J639" s="52"/>
      <c r="K639" s="148"/>
      <c r="L639" s="52"/>
      <c r="M639" s="148"/>
      <c r="N639" s="52"/>
      <c r="O639" s="148"/>
      <c r="P639" s="52"/>
      <c r="Q639" s="155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52"/>
      <c r="AD639" s="52"/>
      <c r="AE639" s="47"/>
      <c r="AF639" s="47"/>
      <c r="AG639" s="227"/>
      <c r="AJ639" s="47"/>
      <c r="AK639" s="73"/>
      <c r="AL639" s="47"/>
      <c r="AM639" s="47"/>
      <c r="AN639" s="47"/>
      <c r="AO639" s="47"/>
      <c r="AP639" s="47"/>
      <c r="AQ639" s="47"/>
      <c r="AR639" s="25"/>
    </row>
    <row r="640" spans="1:44" ht="12.75" customHeight="1" x14ac:dyDescent="0.15">
      <c r="A640" s="47"/>
      <c r="B640" s="47"/>
      <c r="C640" s="47"/>
      <c r="D640" s="47"/>
      <c r="E640" s="47"/>
      <c r="F640" s="47"/>
      <c r="G640" s="47"/>
      <c r="H640" s="47"/>
      <c r="I640" s="111"/>
      <c r="J640" s="52"/>
      <c r="K640" s="148"/>
      <c r="L640" s="52"/>
      <c r="M640" s="148"/>
      <c r="N640" s="52"/>
      <c r="O640" s="148"/>
      <c r="P640" s="52"/>
      <c r="Q640" s="155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52"/>
      <c r="AD640" s="52"/>
      <c r="AE640" s="47"/>
      <c r="AF640" s="47"/>
      <c r="AG640" s="227"/>
      <c r="AJ640" s="47"/>
      <c r="AK640" s="73"/>
      <c r="AL640" s="47"/>
      <c r="AM640" s="47"/>
      <c r="AN640" s="47"/>
      <c r="AO640" s="47"/>
      <c r="AP640" s="47"/>
      <c r="AQ640" s="47"/>
      <c r="AR640" s="25"/>
    </row>
    <row r="641" spans="1:44" ht="12.75" customHeight="1" x14ac:dyDescent="0.15">
      <c r="A641" s="47"/>
      <c r="B641" s="47"/>
      <c r="C641" s="47"/>
      <c r="D641" s="47"/>
      <c r="E641" s="47"/>
      <c r="F641" s="47"/>
      <c r="G641" s="47"/>
      <c r="H641" s="47"/>
      <c r="I641" s="111"/>
      <c r="J641" s="52"/>
      <c r="K641" s="148"/>
      <c r="L641" s="52"/>
      <c r="M641" s="148"/>
      <c r="N641" s="52"/>
      <c r="O641" s="148"/>
      <c r="P641" s="52"/>
      <c r="Q641" s="155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52"/>
      <c r="AD641" s="52"/>
      <c r="AE641" s="47"/>
      <c r="AF641" s="47"/>
      <c r="AG641" s="227"/>
      <c r="AJ641" s="47"/>
      <c r="AK641" s="73"/>
      <c r="AL641" s="47"/>
      <c r="AM641" s="47"/>
      <c r="AN641" s="47"/>
      <c r="AO641" s="47"/>
      <c r="AP641" s="47"/>
      <c r="AQ641" s="47"/>
      <c r="AR641" s="25"/>
    </row>
    <row r="642" spans="1:44" ht="12.75" customHeight="1" x14ac:dyDescent="0.15">
      <c r="A642" s="47"/>
      <c r="B642" s="47"/>
      <c r="C642" s="47"/>
      <c r="D642" s="47"/>
      <c r="E642" s="47"/>
      <c r="F642" s="47"/>
      <c r="G642" s="47"/>
      <c r="H642" s="47"/>
      <c r="I642" s="111"/>
      <c r="J642" s="52"/>
      <c r="K642" s="148"/>
      <c r="L642" s="52"/>
      <c r="M642" s="148"/>
      <c r="N642" s="52"/>
      <c r="O642" s="148"/>
      <c r="P642" s="52"/>
      <c r="Q642" s="155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52"/>
      <c r="AD642" s="52"/>
      <c r="AE642" s="47"/>
      <c r="AF642" s="47"/>
      <c r="AG642" s="227"/>
      <c r="AJ642" s="47"/>
      <c r="AK642" s="73"/>
      <c r="AL642" s="47"/>
      <c r="AM642" s="47"/>
      <c r="AN642" s="47"/>
      <c r="AO642" s="47"/>
      <c r="AP642" s="47"/>
      <c r="AQ642" s="47"/>
      <c r="AR642" s="25"/>
    </row>
    <row r="643" spans="1:44" ht="12.75" customHeight="1" x14ac:dyDescent="0.15">
      <c r="A643" s="47"/>
      <c r="B643" s="47"/>
      <c r="C643" s="47"/>
      <c r="D643" s="47"/>
      <c r="E643" s="47"/>
      <c r="F643" s="47"/>
      <c r="G643" s="47"/>
      <c r="H643" s="47"/>
      <c r="I643" s="111"/>
      <c r="J643" s="52"/>
      <c r="K643" s="148"/>
      <c r="L643" s="52"/>
      <c r="M643" s="148"/>
      <c r="N643" s="52"/>
      <c r="O643" s="148"/>
      <c r="P643" s="52"/>
      <c r="Q643" s="155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52"/>
      <c r="AD643" s="52"/>
      <c r="AE643" s="47"/>
      <c r="AF643" s="47"/>
      <c r="AG643" s="227"/>
      <c r="AJ643" s="47"/>
      <c r="AK643" s="73"/>
      <c r="AL643" s="47"/>
      <c r="AM643" s="47"/>
      <c r="AN643" s="47"/>
      <c r="AO643" s="47"/>
      <c r="AP643" s="47"/>
      <c r="AQ643" s="47"/>
      <c r="AR643" s="25"/>
    </row>
    <row r="644" spans="1:44" ht="12.75" customHeight="1" x14ac:dyDescent="0.15">
      <c r="A644" s="47"/>
      <c r="B644" s="47"/>
      <c r="C644" s="47"/>
      <c r="D644" s="47"/>
      <c r="E644" s="47"/>
      <c r="F644" s="47"/>
      <c r="G644" s="47"/>
      <c r="H644" s="47"/>
      <c r="I644" s="111"/>
      <c r="J644" s="52"/>
      <c r="K644" s="148"/>
      <c r="L644" s="52"/>
      <c r="M644" s="148"/>
      <c r="N644" s="52"/>
      <c r="O644" s="148"/>
      <c r="P644" s="52"/>
      <c r="Q644" s="155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52"/>
      <c r="AD644" s="52"/>
      <c r="AE644" s="47"/>
      <c r="AF644" s="47"/>
      <c r="AG644" s="227"/>
      <c r="AJ644" s="47"/>
      <c r="AK644" s="73"/>
      <c r="AL644" s="47"/>
      <c r="AM644" s="47"/>
      <c r="AN644" s="47"/>
      <c r="AO644" s="47"/>
      <c r="AP644" s="47"/>
      <c r="AQ644" s="47"/>
      <c r="AR644" s="25"/>
    </row>
    <row r="645" spans="1:44" ht="12.75" customHeight="1" x14ac:dyDescent="0.15">
      <c r="A645" s="47"/>
      <c r="B645" s="47"/>
      <c r="C645" s="47"/>
      <c r="D645" s="47"/>
      <c r="E645" s="47"/>
      <c r="F645" s="47"/>
      <c r="G645" s="47"/>
      <c r="H645" s="47"/>
      <c r="I645" s="111"/>
      <c r="J645" s="52"/>
      <c r="K645" s="148"/>
      <c r="L645" s="52"/>
      <c r="M645" s="148"/>
      <c r="N645" s="52"/>
      <c r="O645" s="148"/>
      <c r="P645" s="52"/>
      <c r="Q645" s="155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52"/>
      <c r="AD645" s="52"/>
      <c r="AE645" s="47"/>
      <c r="AF645" s="47"/>
      <c r="AG645" s="227"/>
      <c r="AJ645" s="47"/>
      <c r="AK645" s="73"/>
      <c r="AL645" s="47"/>
      <c r="AM645" s="47"/>
      <c r="AN645" s="47"/>
      <c r="AO645" s="47"/>
      <c r="AP645" s="47"/>
      <c r="AQ645" s="47"/>
      <c r="AR645" s="25"/>
    </row>
    <row r="646" spans="1:44" ht="12.75" customHeight="1" x14ac:dyDescent="0.15">
      <c r="A646" s="47"/>
      <c r="B646" s="47"/>
      <c r="C646" s="47"/>
      <c r="D646" s="47"/>
      <c r="E646" s="47"/>
      <c r="F646" s="47"/>
      <c r="G646" s="47"/>
      <c r="H646" s="47"/>
      <c r="I646" s="111"/>
      <c r="J646" s="52"/>
      <c r="K646" s="148"/>
      <c r="L646" s="52"/>
      <c r="M646" s="148"/>
      <c r="N646" s="52"/>
      <c r="O646" s="148"/>
      <c r="P646" s="52"/>
      <c r="Q646" s="155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52"/>
      <c r="AD646" s="52"/>
      <c r="AE646" s="47"/>
      <c r="AF646" s="47"/>
      <c r="AG646" s="227"/>
      <c r="AJ646" s="47"/>
      <c r="AK646" s="73"/>
      <c r="AL646" s="47"/>
      <c r="AM646" s="47"/>
      <c r="AN646" s="47"/>
      <c r="AO646" s="47"/>
      <c r="AP646" s="47"/>
      <c r="AQ646" s="47"/>
      <c r="AR646" s="25"/>
    </row>
    <row r="647" spans="1:44" ht="12.75" customHeight="1" x14ac:dyDescent="0.15">
      <c r="A647" s="47"/>
      <c r="B647" s="47"/>
      <c r="C647" s="47"/>
      <c r="D647" s="47"/>
      <c r="E647" s="47"/>
      <c r="F647" s="47"/>
      <c r="G647" s="47"/>
      <c r="H647" s="47"/>
      <c r="I647" s="111"/>
      <c r="J647" s="52"/>
      <c r="K647" s="148"/>
      <c r="L647" s="52"/>
      <c r="M647" s="148"/>
      <c r="N647" s="52"/>
      <c r="O647" s="148"/>
      <c r="P647" s="52"/>
      <c r="Q647" s="155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52"/>
      <c r="AD647" s="52"/>
      <c r="AE647" s="47"/>
      <c r="AF647" s="47"/>
      <c r="AG647" s="227"/>
      <c r="AJ647" s="47"/>
      <c r="AK647" s="73"/>
      <c r="AL647" s="47"/>
      <c r="AM647" s="47"/>
      <c r="AN647" s="47"/>
      <c r="AO647" s="47"/>
      <c r="AP647" s="47"/>
      <c r="AQ647" s="47"/>
      <c r="AR647" s="25"/>
    </row>
    <row r="648" spans="1:44" ht="12.75" customHeight="1" x14ac:dyDescent="0.15">
      <c r="A648" s="47"/>
      <c r="B648" s="47"/>
      <c r="C648" s="47"/>
      <c r="D648" s="47"/>
      <c r="E648" s="47"/>
      <c r="F648" s="47"/>
      <c r="G648" s="47"/>
      <c r="H648" s="47"/>
      <c r="I648" s="111"/>
      <c r="J648" s="52"/>
      <c r="K648" s="148"/>
      <c r="L648" s="52"/>
      <c r="M648" s="148"/>
      <c r="N648" s="52"/>
      <c r="O648" s="148"/>
      <c r="P648" s="52"/>
      <c r="Q648" s="155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52"/>
      <c r="AD648" s="52"/>
      <c r="AE648" s="47"/>
      <c r="AF648" s="47"/>
      <c r="AG648" s="227"/>
      <c r="AJ648" s="47"/>
      <c r="AK648" s="73"/>
      <c r="AL648" s="47"/>
      <c r="AM648" s="47"/>
      <c r="AN648" s="47"/>
      <c r="AO648" s="47"/>
      <c r="AP648" s="47"/>
      <c r="AQ648" s="47"/>
      <c r="AR648" s="25"/>
    </row>
    <row r="649" spans="1:44" ht="12.75" customHeight="1" x14ac:dyDescent="0.15">
      <c r="A649" s="47"/>
      <c r="B649" s="47"/>
      <c r="C649" s="47"/>
      <c r="D649" s="47"/>
      <c r="E649" s="47"/>
      <c r="F649" s="47"/>
      <c r="G649" s="47"/>
      <c r="H649" s="47"/>
      <c r="I649" s="111"/>
      <c r="J649" s="52"/>
      <c r="K649" s="148"/>
      <c r="L649" s="52"/>
      <c r="M649" s="148"/>
      <c r="N649" s="52"/>
      <c r="O649" s="148"/>
      <c r="P649" s="52"/>
      <c r="Q649" s="155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52"/>
      <c r="AD649" s="52"/>
      <c r="AE649" s="47"/>
      <c r="AF649" s="47"/>
      <c r="AG649" s="227"/>
      <c r="AJ649" s="47"/>
      <c r="AK649" s="73"/>
      <c r="AL649" s="47"/>
      <c r="AM649" s="47"/>
      <c r="AN649" s="47"/>
      <c r="AO649" s="47"/>
      <c r="AP649" s="47"/>
      <c r="AQ649" s="47"/>
      <c r="AR649" s="25"/>
    </row>
    <row r="650" spans="1:44" ht="12.75" customHeight="1" x14ac:dyDescent="0.15">
      <c r="A650" s="47"/>
      <c r="B650" s="47"/>
      <c r="C650" s="47"/>
      <c r="D650" s="47"/>
      <c r="E650" s="47"/>
      <c r="F650" s="47"/>
      <c r="G650" s="47"/>
      <c r="H650" s="47"/>
      <c r="I650" s="111"/>
      <c r="J650" s="52"/>
      <c r="K650" s="148"/>
      <c r="L650" s="52"/>
      <c r="M650" s="148"/>
      <c r="N650" s="52"/>
      <c r="O650" s="148"/>
      <c r="P650" s="52"/>
      <c r="Q650" s="155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52"/>
      <c r="AD650" s="52"/>
      <c r="AE650" s="47"/>
      <c r="AF650" s="47"/>
      <c r="AG650" s="227"/>
      <c r="AJ650" s="47"/>
      <c r="AK650" s="73"/>
      <c r="AL650" s="47"/>
      <c r="AM650" s="47"/>
      <c r="AN650" s="47"/>
      <c r="AO650" s="47"/>
      <c r="AP650" s="47"/>
      <c r="AQ650" s="47"/>
      <c r="AR650" s="25"/>
    </row>
    <row r="651" spans="1:44" ht="12.75" customHeight="1" x14ac:dyDescent="0.15">
      <c r="A651" s="47"/>
      <c r="B651" s="47"/>
      <c r="C651" s="47"/>
      <c r="D651" s="47"/>
      <c r="E651" s="47"/>
      <c r="F651" s="47"/>
      <c r="G651" s="47"/>
      <c r="H651" s="47"/>
      <c r="I651" s="111"/>
      <c r="J651" s="52"/>
      <c r="K651" s="148"/>
      <c r="L651" s="52"/>
      <c r="M651" s="148"/>
      <c r="N651" s="52"/>
      <c r="O651" s="148"/>
      <c r="P651" s="52"/>
      <c r="Q651" s="155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52"/>
      <c r="AD651" s="52"/>
      <c r="AE651" s="47"/>
      <c r="AF651" s="47"/>
      <c r="AG651" s="227"/>
      <c r="AJ651" s="47"/>
      <c r="AK651" s="73"/>
      <c r="AL651" s="47"/>
      <c r="AM651" s="47"/>
      <c r="AN651" s="47"/>
      <c r="AO651" s="47"/>
      <c r="AP651" s="47"/>
      <c r="AQ651" s="47"/>
      <c r="AR651" s="25"/>
    </row>
    <row r="652" spans="1:44" ht="12.75" customHeight="1" x14ac:dyDescent="0.15">
      <c r="A652" s="47"/>
      <c r="B652" s="47"/>
      <c r="C652" s="47"/>
      <c r="D652" s="47"/>
      <c r="E652" s="47"/>
      <c r="F652" s="47"/>
      <c r="G652" s="47"/>
      <c r="H652" s="47"/>
      <c r="I652" s="111"/>
      <c r="J652" s="52"/>
      <c r="K652" s="148"/>
      <c r="L652" s="52"/>
      <c r="M652" s="148"/>
      <c r="N652" s="52"/>
      <c r="O652" s="148"/>
      <c r="P652" s="52"/>
      <c r="Q652" s="155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52"/>
      <c r="AD652" s="52"/>
      <c r="AE652" s="47"/>
      <c r="AF652" s="47"/>
      <c r="AG652" s="227"/>
      <c r="AJ652" s="47"/>
      <c r="AK652" s="73"/>
      <c r="AL652" s="47"/>
      <c r="AM652" s="47"/>
      <c r="AN652" s="47"/>
      <c r="AO652" s="47"/>
      <c r="AP652" s="47"/>
      <c r="AQ652" s="47"/>
      <c r="AR652" s="25"/>
    </row>
    <row r="653" spans="1:44" ht="12.75" customHeight="1" x14ac:dyDescent="0.15">
      <c r="A653" s="47"/>
      <c r="B653" s="47"/>
      <c r="C653" s="47"/>
      <c r="D653" s="47"/>
      <c r="E653" s="47"/>
      <c r="F653" s="47"/>
      <c r="G653" s="47"/>
      <c r="H653" s="47"/>
      <c r="I653" s="111"/>
      <c r="J653" s="52"/>
      <c r="K653" s="148"/>
      <c r="L653" s="52"/>
      <c r="M653" s="148"/>
      <c r="N653" s="52"/>
      <c r="O653" s="148"/>
      <c r="P653" s="52"/>
      <c r="Q653" s="155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52"/>
      <c r="AD653" s="52"/>
      <c r="AE653" s="47"/>
      <c r="AF653" s="47"/>
      <c r="AG653" s="227"/>
      <c r="AJ653" s="47"/>
      <c r="AK653" s="73"/>
      <c r="AL653" s="47"/>
      <c r="AM653" s="47"/>
      <c r="AN653" s="47"/>
      <c r="AO653" s="47"/>
      <c r="AP653" s="47"/>
      <c r="AQ653" s="47"/>
      <c r="AR653" s="25"/>
    </row>
    <row r="654" spans="1:44" ht="12.75" customHeight="1" x14ac:dyDescent="0.15">
      <c r="A654" s="47"/>
      <c r="B654" s="47"/>
      <c r="C654" s="47"/>
      <c r="D654" s="47"/>
      <c r="E654" s="47"/>
      <c r="F654" s="47"/>
      <c r="G654" s="47"/>
      <c r="H654" s="47"/>
      <c r="I654" s="111"/>
      <c r="J654" s="52"/>
      <c r="K654" s="148"/>
      <c r="L654" s="52"/>
      <c r="M654" s="148"/>
      <c r="N654" s="52"/>
      <c r="O654" s="148"/>
      <c r="P654" s="52"/>
      <c r="Q654" s="155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52"/>
      <c r="AD654" s="52"/>
      <c r="AE654" s="47"/>
      <c r="AF654" s="47"/>
      <c r="AG654" s="227"/>
      <c r="AJ654" s="47"/>
      <c r="AK654" s="73"/>
      <c r="AL654" s="47"/>
      <c r="AM654" s="47"/>
      <c r="AN654" s="47"/>
      <c r="AO654" s="47"/>
      <c r="AP654" s="47"/>
      <c r="AQ654" s="47"/>
      <c r="AR654" s="25"/>
    </row>
    <row r="655" spans="1:44" ht="12.75" customHeight="1" x14ac:dyDescent="0.15">
      <c r="A655" s="47"/>
      <c r="B655" s="47"/>
      <c r="C655" s="47"/>
      <c r="D655" s="47"/>
      <c r="E655" s="47"/>
      <c r="F655" s="47"/>
      <c r="G655" s="47"/>
      <c r="H655" s="47"/>
      <c r="I655" s="111"/>
      <c r="J655" s="52"/>
      <c r="K655" s="148"/>
      <c r="L655" s="52"/>
      <c r="M655" s="148"/>
      <c r="N655" s="52"/>
      <c r="O655" s="148"/>
      <c r="P655" s="52"/>
      <c r="Q655" s="155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52"/>
      <c r="AD655" s="52"/>
      <c r="AE655" s="47"/>
      <c r="AF655" s="47"/>
      <c r="AG655" s="227"/>
      <c r="AJ655" s="47"/>
      <c r="AK655" s="73"/>
      <c r="AL655" s="47"/>
      <c r="AM655" s="47"/>
      <c r="AN655" s="47"/>
      <c r="AO655" s="47"/>
      <c r="AP655" s="47"/>
      <c r="AQ655" s="47"/>
      <c r="AR655" s="25"/>
    </row>
    <row r="656" spans="1:44" ht="12.75" customHeight="1" x14ac:dyDescent="0.15">
      <c r="A656" s="47"/>
      <c r="B656" s="47"/>
      <c r="C656" s="47"/>
      <c r="D656" s="47"/>
      <c r="E656" s="47"/>
      <c r="F656" s="47"/>
      <c r="G656" s="47"/>
      <c r="H656" s="47"/>
      <c r="I656" s="111"/>
      <c r="J656" s="52"/>
      <c r="K656" s="148"/>
      <c r="L656" s="52"/>
      <c r="M656" s="148"/>
      <c r="N656" s="52"/>
      <c r="O656" s="148"/>
      <c r="P656" s="52"/>
      <c r="Q656" s="155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52"/>
      <c r="AD656" s="52"/>
      <c r="AE656" s="47"/>
      <c r="AF656" s="47"/>
      <c r="AG656" s="227"/>
      <c r="AJ656" s="47"/>
      <c r="AK656" s="73"/>
      <c r="AL656" s="47"/>
      <c r="AM656" s="47"/>
      <c r="AN656" s="47"/>
      <c r="AO656" s="47"/>
      <c r="AP656" s="47"/>
      <c r="AQ656" s="47"/>
      <c r="AR656" s="25"/>
    </row>
    <row r="657" spans="1:44" ht="12.75" customHeight="1" x14ac:dyDescent="0.15">
      <c r="A657" s="47"/>
      <c r="B657" s="47"/>
      <c r="C657" s="47"/>
      <c r="D657" s="47"/>
      <c r="E657" s="47"/>
      <c r="F657" s="47"/>
      <c r="G657" s="47"/>
      <c r="H657" s="47"/>
      <c r="I657" s="111"/>
      <c r="J657" s="52"/>
      <c r="K657" s="148"/>
      <c r="L657" s="52"/>
      <c r="M657" s="148"/>
      <c r="N657" s="52"/>
      <c r="O657" s="148"/>
      <c r="P657" s="52"/>
      <c r="Q657" s="155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52"/>
      <c r="AD657" s="52"/>
      <c r="AE657" s="47"/>
      <c r="AF657" s="47"/>
      <c r="AG657" s="227"/>
      <c r="AJ657" s="73"/>
      <c r="AK657" s="47"/>
      <c r="AL657" s="47"/>
      <c r="AM657" s="47"/>
      <c r="AN657" s="47"/>
      <c r="AO657" s="47"/>
      <c r="AP657" s="47"/>
      <c r="AQ657" s="47"/>
      <c r="AR657" s="25"/>
    </row>
    <row r="658" spans="1:44" ht="12.75" customHeight="1" x14ac:dyDescent="0.15">
      <c r="A658" s="47"/>
      <c r="B658" s="47"/>
      <c r="C658" s="47"/>
      <c r="D658" s="47"/>
      <c r="E658" s="47"/>
      <c r="F658" s="47"/>
      <c r="G658" s="47"/>
      <c r="H658" s="47"/>
      <c r="I658" s="111"/>
      <c r="J658" s="52"/>
      <c r="K658" s="148"/>
      <c r="L658" s="52"/>
      <c r="M658" s="148"/>
      <c r="N658" s="52"/>
      <c r="O658" s="148"/>
      <c r="P658" s="52"/>
      <c r="Q658" s="155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52"/>
      <c r="AD658" s="52"/>
      <c r="AE658" s="47"/>
      <c r="AF658" s="47"/>
      <c r="AG658" s="227"/>
      <c r="AJ658" s="73"/>
      <c r="AK658" s="47"/>
      <c r="AL658" s="47"/>
      <c r="AM658" s="47"/>
      <c r="AN658" s="47"/>
      <c r="AO658" s="47"/>
      <c r="AP658" s="47"/>
      <c r="AQ658" s="47"/>
      <c r="AR658" s="25"/>
    </row>
    <row r="659" spans="1:44" ht="12.75" customHeight="1" x14ac:dyDescent="0.15">
      <c r="A659" s="47"/>
      <c r="B659" s="47"/>
      <c r="C659" s="47"/>
      <c r="D659" s="47"/>
      <c r="E659" s="47"/>
      <c r="F659" s="47"/>
      <c r="G659" s="47"/>
      <c r="H659" s="47"/>
      <c r="I659" s="111"/>
      <c r="J659" s="52"/>
      <c r="K659" s="148"/>
      <c r="L659" s="52"/>
      <c r="M659" s="148"/>
      <c r="N659" s="52"/>
      <c r="O659" s="148"/>
      <c r="P659" s="52"/>
      <c r="Q659" s="155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52"/>
      <c r="AD659" s="52"/>
      <c r="AE659" s="47"/>
      <c r="AF659" s="47"/>
      <c r="AG659" s="227"/>
      <c r="AJ659" s="73"/>
      <c r="AK659" s="47"/>
      <c r="AL659" s="47"/>
      <c r="AM659" s="47"/>
      <c r="AN659" s="47"/>
      <c r="AO659" s="47"/>
      <c r="AP659" s="47"/>
      <c r="AQ659" s="47"/>
      <c r="AR659" s="25"/>
    </row>
    <row r="660" spans="1:44" ht="12.75" customHeight="1" x14ac:dyDescent="0.15">
      <c r="A660" s="47"/>
      <c r="B660" s="47"/>
      <c r="C660" s="47"/>
      <c r="D660" s="47"/>
      <c r="E660" s="47"/>
      <c r="F660" s="47"/>
      <c r="G660" s="47"/>
      <c r="H660" s="47"/>
      <c r="I660" s="111"/>
      <c r="J660" s="52"/>
      <c r="K660" s="148"/>
      <c r="L660" s="52"/>
      <c r="M660" s="148"/>
      <c r="N660" s="52"/>
      <c r="O660" s="148"/>
      <c r="P660" s="52"/>
      <c r="Q660" s="155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52"/>
      <c r="AD660" s="52"/>
      <c r="AE660" s="47"/>
      <c r="AF660" s="47"/>
      <c r="AG660" s="227"/>
      <c r="AJ660" s="73"/>
      <c r="AK660" s="47"/>
      <c r="AL660" s="47"/>
      <c r="AM660" s="47"/>
      <c r="AN660" s="47"/>
      <c r="AO660" s="47"/>
      <c r="AP660" s="47"/>
      <c r="AQ660" s="47"/>
      <c r="AR660" s="25"/>
    </row>
    <row r="661" spans="1:44" ht="12.75" customHeight="1" x14ac:dyDescent="0.15">
      <c r="A661" s="47"/>
      <c r="B661" s="47"/>
      <c r="C661" s="47"/>
      <c r="D661" s="47"/>
      <c r="E661" s="47"/>
      <c r="F661" s="47"/>
      <c r="G661" s="47"/>
      <c r="H661" s="47"/>
      <c r="I661" s="111"/>
      <c r="J661" s="52"/>
      <c r="K661" s="148"/>
      <c r="L661" s="52"/>
      <c r="M661" s="148"/>
      <c r="N661" s="52"/>
      <c r="O661" s="148"/>
      <c r="P661" s="52"/>
      <c r="Q661" s="155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52"/>
      <c r="AD661" s="52"/>
      <c r="AE661" s="47"/>
      <c r="AF661" s="47"/>
      <c r="AG661" s="227"/>
      <c r="AJ661" s="73"/>
      <c r="AK661" s="47"/>
      <c r="AL661" s="47"/>
      <c r="AM661" s="47"/>
      <c r="AN661" s="47"/>
      <c r="AO661" s="47"/>
      <c r="AP661" s="47"/>
      <c r="AQ661" s="47"/>
      <c r="AR661" s="25"/>
    </row>
    <row r="662" spans="1:44" ht="12.75" customHeight="1" x14ac:dyDescent="0.15">
      <c r="A662" s="47"/>
      <c r="B662" s="47"/>
      <c r="C662" s="47"/>
      <c r="D662" s="47"/>
      <c r="E662" s="47"/>
      <c r="F662" s="47"/>
      <c r="G662" s="47"/>
      <c r="H662" s="47"/>
      <c r="I662" s="111"/>
      <c r="J662" s="52"/>
      <c r="K662" s="148"/>
      <c r="L662" s="52"/>
      <c r="M662" s="148"/>
      <c r="N662" s="52"/>
      <c r="O662" s="148"/>
      <c r="P662" s="52"/>
      <c r="Q662" s="155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52"/>
      <c r="AD662" s="52"/>
      <c r="AE662" s="47"/>
      <c r="AF662" s="47"/>
      <c r="AG662" s="227"/>
      <c r="AJ662" s="73"/>
      <c r="AK662" s="47"/>
      <c r="AL662" s="47"/>
      <c r="AM662" s="47"/>
      <c r="AN662" s="47"/>
      <c r="AO662" s="47"/>
      <c r="AP662" s="47"/>
      <c r="AQ662" s="47"/>
      <c r="AR662" s="25"/>
    </row>
    <row r="663" spans="1:44" ht="12.75" customHeight="1" x14ac:dyDescent="0.15">
      <c r="A663" s="47"/>
      <c r="B663" s="47"/>
      <c r="C663" s="47"/>
      <c r="D663" s="47"/>
      <c r="E663" s="47"/>
      <c r="F663" s="47"/>
      <c r="G663" s="47"/>
      <c r="H663" s="47"/>
      <c r="I663" s="111"/>
      <c r="J663" s="52"/>
      <c r="K663" s="148"/>
      <c r="L663" s="52"/>
      <c r="M663" s="148"/>
      <c r="N663" s="52"/>
      <c r="O663" s="148"/>
      <c r="P663" s="52"/>
      <c r="Q663" s="155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52"/>
      <c r="AD663" s="52"/>
      <c r="AE663" s="47"/>
      <c r="AF663" s="47"/>
      <c r="AG663" s="227"/>
      <c r="AJ663" s="73"/>
      <c r="AK663" s="47"/>
      <c r="AL663" s="47"/>
      <c r="AM663" s="47"/>
      <c r="AN663" s="47"/>
      <c r="AO663" s="47"/>
      <c r="AP663" s="47"/>
      <c r="AQ663" s="47"/>
      <c r="AR663" s="25"/>
    </row>
    <row r="664" spans="1:44" ht="12.75" customHeight="1" x14ac:dyDescent="0.15">
      <c r="A664" s="47"/>
      <c r="B664" s="47"/>
      <c r="C664" s="47"/>
      <c r="D664" s="47"/>
      <c r="E664" s="47"/>
      <c r="F664" s="47"/>
      <c r="G664" s="47"/>
      <c r="H664" s="47"/>
      <c r="I664" s="111"/>
      <c r="J664" s="52"/>
      <c r="K664" s="148"/>
      <c r="L664" s="52"/>
      <c r="M664" s="148"/>
      <c r="N664" s="52"/>
      <c r="O664" s="148"/>
      <c r="P664" s="52"/>
      <c r="Q664" s="155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52"/>
      <c r="AD664" s="52"/>
      <c r="AE664" s="47"/>
      <c r="AF664" s="47"/>
      <c r="AG664" s="227"/>
      <c r="AJ664" s="73"/>
      <c r="AK664" s="47"/>
      <c r="AL664" s="47"/>
      <c r="AM664" s="47"/>
      <c r="AN664" s="47"/>
      <c r="AO664" s="47"/>
      <c r="AP664" s="47"/>
      <c r="AQ664" s="47"/>
      <c r="AR664" s="25"/>
    </row>
    <row r="665" spans="1:44" ht="12.75" customHeight="1" x14ac:dyDescent="0.15">
      <c r="A665" s="47"/>
      <c r="B665" s="47"/>
      <c r="C665" s="47"/>
      <c r="D665" s="47"/>
      <c r="E665" s="47"/>
      <c r="F665" s="47"/>
      <c r="G665" s="47"/>
      <c r="H665" s="47"/>
      <c r="I665" s="111"/>
      <c r="J665" s="52"/>
      <c r="K665" s="148"/>
      <c r="L665" s="52"/>
      <c r="M665" s="148"/>
      <c r="N665" s="52"/>
      <c r="O665" s="148"/>
      <c r="P665" s="52"/>
      <c r="Q665" s="155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52"/>
      <c r="AD665" s="52"/>
      <c r="AE665" s="47"/>
      <c r="AF665" s="47"/>
      <c r="AG665" s="227"/>
      <c r="AJ665" s="73"/>
      <c r="AK665" s="47"/>
      <c r="AL665" s="47"/>
      <c r="AM665" s="47"/>
      <c r="AN665" s="47"/>
      <c r="AO665" s="47"/>
      <c r="AP665" s="47"/>
      <c r="AQ665" s="47"/>
      <c r="AR665" s="25"/>
    </row>
    <row r="666" spans="1:44" ht="12.75" customHeight="1" x14ac:dyDescent="0.15">
      <c r="A666" s="47"/>
      <c r="B666" s="47"/>
      <c r="C666" s="47"/>
      <c r="D666" s="47"/>
      <c r="E666" s="47"/>
      <c r="F666" s="47"/>
      <c r="G666" s="47"/>
      <c r="H666" s="47"/>
      <c r="I666" s="111"/>
      <c r="J666" s="52"/>
      <c r="K666" s="148"/>
      <c r="L666" s="52"/>
      <c r="M666" s="148"/>
      <c r="N666" s="52"/>
      <c r="O666" s="148"/>
      <c r="P666" s="52"/>
      <c r="Q666" s="155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52"/>
      <c r="AD666" s="52"/>
      <c r="AE666" s="47"/>
      <c r="AF666" s="47"/>
      <c r="AG666" s="227"/>
      <c r="AJ666" s="73"/>
      <c r="AK666" s="47"/>
      <c r="AL666" s="47"/>
      <c r="AM666" s="47"/>
      <c r="AN666" s="47"/>
      <c r="AO666" s="47"/>
      <c r="AP666" s="47"/>
      <c r="AQ666" s="47"/>
      <c r="AR666" s="25"/>
    </row>
    <row r="667" spans="1:44" ht="12.75" customHeight="1" x14ac:dyDescent="0.15">
      <c r="A667" s="47"/>
      <c r="B667" s="47"/>
      <c r="C667" s="47"/>
      <c r="D667" s="47"/>
      <c r="E667" s="47"/>
      <c r="F667" s="47"/>
      <c r="G667" s="47"/>
      <c r="H667" s="47"/>
      <c r="I667" s="111"/>
      <c r="J667" s="52"/>
      <c r="K667" s="148"/>
      <c r="L667" s="52"/>
      <c r="M667" s="148"/>
      <c r="N667" s="52"/>
      <c r="O667" s="148"/>
      <c r="P667" s="52"/>
      <c r="Q667" s="155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52"/>
      <c r="AD667" s="52"/>
      <c r="AE667" s="47"/>
      <c r="AF667" s="47"/>
      <c r="AG667" s="227"/>
      <c r="AJ667" s="73"/>
      <c r="AK667" s="47"/>
      <c r="AL667" s="47"/>
      <c r="AM667" s="47"/>
      <c r="AN667" s="47"/>
      <c r="AO667" s="47"/>
      <c r="AP667" s="47"/>
      <c r="AQ667" s="47"/>
      <c r="AR667" s="25"/>
    </row>
    <row r="668" spans="1:44" ht="12.75" customHeight="1" x14ac:dyDescent="0.15">
      <c r="A668" s="47"/>
      <c r="B668" s="47"/>
      <c r="C668" s="47"/>
      <c r="D668" s="47"/>
      <c r="E668" s="47"/>
      <c r="F668" s="47"/>
      <c r="G668" s="47"/>
      <c r="H668" s="47"/>
      <c r="I668" s="111"/>
      <c r="J668" s="52"/>
      <c r="K668" s="148"/>
      <c r="L668" s="52"/>
      <c r="M668" s="148"/>
      <c r="N668" s="52"/>
      <c r="O668" s="148"/>
      <c r="P668" s="52"/>
      <c r="Q668" s="155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52"/>
      <c r="AD668" s="52"/>
      <c r="AE668" s="47"/>
      <c r="AF668" s="47"/>
      <c r="AG668" s="227"/>
      <c r="AJ668" s="73"/>
      <c r="AK668" s="47"/>
      <c r="AL668" s="47"/>
      <c r="AM668" s="47"/>
      <c r="AN668" s="47"/>
      <c r="AO668" s="47"/>
      <c r="AP668" s="47"/>
      <c r="AQ668" s="47"/>
      <c r="AR668" s="25"/>
    </row>
    <row r="669" spans="1:44" ht="12.75" customHeight="1" x14ac:dyDescent="0.15">
      <c r="A669" s="47"/>
      <c r="B669" s="47"/>
      <c r="C669" s="47"/>
      <c r="D669" s="47"/>
      <c r="E669" s="47"/>
      <c r="F669" s="47"/>
      <c r="G669" s="47"/>
      <c r="H669" s="47"/>
      <c r="I669" s="111"/>
      <c r="J669" s="52"/>
      <c r="K669" s="148"/>
      <c r="L669" s="52"/>
      <c r="M669" s="148"/>
      <c r="N669" s="52"/>
      <c r="O669" s="148"/>
      <c r="P669" s="52"/>
      <c r="Q669" s="155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52"/>
      <c r="AD669" s="52"/>
      <c r="AE669" s="47"/>
      <c r="AF669" s="47"/>
      <c r="AG669" s="227"/>
      <c r="AJ669" s="73"/>
      <c r="AK669" s="47"/>
      <c r="AL669" s="47"/>
      <c r="AM669" s="47"/>
      <c r="AN669" s="47"/>
      <c r="AO669" s="47"/>
      <c r="AP669" s="47"/>
      <c r="AQ669" s="47"/>
      <c r="AR669" s="25"/>
    </row>
    <row r="670" spans="1:44" ht="12.75" customHeight="1" x14ac:dyDescent="0.15">
      <c r="A670" s="47"/>
      <c r="B670" s="47"/>
      <c r="C670" s="47"/>
      <c r="D670" s="47"/>
      <c r="E670" s="47"/>
      <c r="F670" s="47"/>
      <c r="G670" s="47"/>
      <c r="H670" s="47"/>
      <c r="I670" s="111"/>
      <c r="J670" s="52"/>
      <c r="K670" s="148"/>
      <c r="L670" s="52"/>
      <c r="M670" s="148"/>
      <c r="N670" s="52"/>
      <c r="O670" s="148"/>
      <c r="P670" s="52"/>
      <c r="Q670" s="155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52"/>
      <c r="AD670" s="52"/>
      <c r="AE670" s="47"/>
      <c r="AF670" s="47"/>
      <c r="AG670" s="227"/>
      <c r="AJ670" s="73"/>
      <c r="AK670" s="47"/>
      <c r="AL670" s="47"/>
      <c r="AM670" s="47"/>
      <c r="AN670" s="47"/>
      <c r="AO670" s="47"/>
      <c r="AP670" s="47"/>
      <c r="AQ670" s="47"/>
      <c r="AR670" s="25"/>
    </row>
    <row r="671" spans="1:44" ht="12.75" customHeight="1" x14ac:dyDescent="0.15">
      <c r="A671" s="47"/>
      <c r="B671" s="47"/>
      <c r="C671" s="47"/>
      <c r="D671" s="47"/>
      <c r="E671" s="47"/>
      <c r="F671" s="47"/>
      <c r="G671" s="47"/>
      <c r="H671" s="47"/>
      <c r="I671" s="111"/>
      <c r="J671" s="52"/>
      <c r="K671" s="148"/>
      <c r="L671" s="52"/>
      <c r="M671" s="148"/>
      <c r="N671" s="52"/>
      <c r="O671" s="148"/>
      <c r="P671" s="52"/>
      <c r="Q671" s="155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52"/>
      <c r="AD671" s="52"/>
      <c r="AE671" s="47"/>
      <c r="AF671" s="47"/>
      <c r="AG671" s="227"/>
      <c r="AJ671" s="73"/>
      <c r="AK671" s="47"/>
      <c r="AL671" s="47"/>
      <c r="AM671" s="47"/>
      <c r="AN671" s="47"/>
      <c r="AO671" s="47"/>
      <c r="AP671" s="47"/>
      <c r="AQ671" s="47"/>
      <c r="AR671" s="25"/>
    </row>
    <row r="672" spans="1:44" ht="12.75" customHeight="1" x14ac:dyDescent="0.15">
      <c r="A672" s="47"/>
      <c r="B672" s="47"/>
      <c r="C672" s="47"/>
      <c r="D672" s="47"/>
      <c r="E672" s="47"/>
      <c r="F672" s="47"/>
      <c r="G672" s="47"/>
      <c r="H672" s="47"/>
      <c r="I672" s="111"/>
      <c r="J672" s="52"/>
      <c r="K672" s="148"/>
      <c r="L672" s="52"/>
      <c r="M672" s="148"/>
      <c r="N672" s="52"/>
      <c r="O672" s="148"/>
      <c r="P672" s="52"/>
      <c r="Q672" s="155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52"/>
      <c r="AD672" s="52"/>
      <c r="AE672" s="47"/>
      <c r="AF672" s="47"/>
      <c r="AG672" s="227"/>
      <c r="AJ672" s="73"/>
      <c r="AK672" s="47"/>
      <c r="AL672" s="47"/>
      <c r="AM672" s="47"/>
      <c r="AN672" s="47"/>
      <c r="AO672" s="47"/>
      <c r="AP672" s="47"/>
      <c r="AQ672" s="47"/>
      <c r="AR672" s="25"/>
    </row>
    <row r="673" spans="1:44" ht="12.75" customHeight="1" x14ac:dyDescent="0.15">
      <c r="A673" s="47"/>
      <c r="B673" s="47"/>
      <c r="C673" s="47"/>
      <c r="D673" s="47"/>
      <c r="E673" s="47"/>
      <c r="F673" s="47"/>
      <c r="G673" s="47"/>
      <c r="H673" s="47"/>
      <c r="I673" s="111"/>
      <c r="J673" s="52"/>
      <c r="K673" s="148"/>
      <c r="L673" s="52"/>
      <c r="M673" s="148"/>
      <c r="N673" s="52"/>
      <c r="O673" s="148"/>
      <c r="P673" s="52"/>
      <c r="Q673" s="155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52"/>
      <c r="AD673" s="52"/>
      <c r="AE673" s="47"/>
      <c r="AF673" s="47"/>
      <c r="AG673" s="227"/>
      <c r="AJ673" s="73"/>
      <c r="AK673" s="47"/>
      <c r="AL673" s="47"/>
      <c r="AM673" s="47"/>
      <c r="AN673" s="47"/>
      <c r="AO673" s="47"/>
      <c r="AP673" s="47"/>
      <c r="AQ673" s="47"/>
      <c r="AR673" s="25"/>
    </row>
    <row r="674" spans="1:44" ht="12.75" customHeight="1" x14ac:dyDescent="0.15">
      <c r="A674" s="47"/>
      <c r="B674" s="47"/>
      <c r="C674" s="47"/>
      <c r="D674" s="47"/>
      <c r="E674" s="47"/>
      <c r="F674" s="47"/>
      <c r="G674" s="47"/>
      <c r="H674" s="47"/>
      <c r="I674" s="111"/>
      <c r="J674" s="52"/>
      <c r="K674" s="148"/>
      <c r="L674" s="52"/>
      <c r="M674" s="148"/>
      <c r="N674" s="52"/>
      <c r="O674" s="148"/>
      <c r="P674" s="52"/>
      <c r="Q674" s="155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52"/>
      <c r="AD674" s="52"/>
      <c r="AE674" s="47"/>
      <c r="AF674" s="47"/>
      <c r="AG674" s="227"/>
      <c r="AJ674" s="73"/>
      <c r="AK674" s="47"/>
      <c r="AL674" s="47"/>
      <c r="AM674" s="47"/>
      <c r="AN674" s="47"/>
      <c r="AO674" s="47"/>
      <c r="AP674" s="47"/>
      <c r="AQ674" s="47"/>
      <c r="AR674" s="25"/>
    </row>
    <row r="675" spans="1:44" ht="12.75" customHeight="1" x14ac:dyDescent="0.15">
      <c r="A675" s="47"/>
      <c r="B675" s="47"/>
      <c r="C675" s="47"/>
      <c r="D675" s="47"/>
      <c r="E675" s="47"/>
      <c r="F675" s="47"/>
      <c r="G675" s="47"/>
      <c r="H675" s="47"/>
      <c r="I675" s="111"/>
      <c r="J675" s="52"/>
      <c r="K675" s="148"/>
      <c r="L675" s="52"/>
      <c r="M675" s="148"/>
      <c r="N675" s="52"/>
      <c r="O675" s="148"/>
      <c r="P675" s="52"/>
      <c r="Q675" s="155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52"/>
      <c r="AD675" s="52"/>
      <c r="AE675" s="47"/>
      <c r="AF675" s="47"/>
      <c r="AG675" s="227"/>
      <c r="AJ675" s="73"/>
      <c r="AK675" s="47"/>
      <c r="AL675" s="47"/>
      <c r="AM675" s="47"/>
      <c r="AN675" s="47"/>
      <c r="AO675" s="47"/>
      <c r="AP675" s="47"/>
      <c r="AQ675" s="47"/>
      <c r="AR675" s="25"/>
    </row>
    <row r="676" spans="1:44" ht="12.75" customHeight="1" x14ac:dyDescent="0.15">
      <c r="A676" s="47"/>
      <c r="B676" s="47"/>
      <c r="C676" s="47"/>
      <c r="D676" s="47"/>
      <c r="E676" s="47"/>
      <c r="F676" s="47"/>
      <c r="G676" s="47"/>
      <c r="H676" s="47"/>
      <c r="I676" s="111"/>
      <c r="J676" s="52"/>
      <c r="K676" s="148"/>
      <c r="L676" s="52"/>
      <c r="M676" s="148"/>
      <c r="N676" s="52"/>
      <c r="O676" s="148"/>
      <c r="P676" s="52"/>
      <c r="Q676" s="155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52"/>
      <c r="AD676" s="52"/>
      <c r="AE676" s="47"/>
      <c r="AF676" s="47"/>
      <c r="AG676" s="227"/>
      <c r="AJ676" s="73"/>
      <c r="AK676" s="47"/>
      <c r="AL676" s="47"/>
      <c r="AM676" s="47"/>
      <c r="AN676" s="47"/>
      <c r="AO676" s="47"/>
      <c r="AP676" s="47"/>
      <c r="AQ676" s="47"/>
      <c r="AR676" s="25"/>
    </row>
    <row r="677" spans="1:44" ht="12.75" customHeight="1" x14ac:dyDescent="0.15">
      <c r="A677" s="47"/>
      <c r="B677" s="47"/>
      <c r="C677" s="47"/>
      <c r="D677" s="47"/>
      <c r="E677" s="47"/>
      <c r="F677" s="47"/>
      <c r="G677" s="47"/>
      <c r="H677" s="47"/>
      <c r="I677" s="111"/>
      <c r="J677" s="52"/>
      <c r="K677" s="148"/>
      <c r="L677" s="52"/>
      <c r="M677" s="148"/>
      <c r="N677" s="52"/>
      <c r="O677" s="148"/>
      <c r="P677" s="52"/>
      <c r="Q677" s="155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52"/>
      <c r="AD677" s="52"/>
      <c r="AE677" s="47"/>
      <c r="AF677" s="47"/>
      <c r="AG677" s="227"/>
      <c r="AJ677" s="73"/>
      <c r="AK677" s="47"/>
      <c r="AL677" s="47"/>
      <c r="AM677" s="47"/>
      <c r="AN677" s="47"/>
      <c r="AO677" s="47"/>
      <c r="AP677" s="47"/>
      <c r="AQ677" s="47"/>
      <c r="AR677" s="25"/>
    </row>
    <row r="678" spans="1:44" ht="12.75" customHeight="1" x14ac:dyDescent="0.15">
      <c r="A678" s="47"/>
      <c r="B678" s="47"/>
      <c r="C678" s="47"/>
      <c r="D678" s="47"/>
      <c r="E678" s="47"/>
      <c r="F678" s="47"/>
      <c r="G678" s="47"/>
      <c r="H678" s="47"/>
      <c r="I678" s="111"/>
      <c r="J678" s="52"/>
      <c r="K678" s="148"/>
      <c r="L678" s="52"/>
      <c r="M678" s="148"/>
      <c r="N678" s="52"/>
      <c r="O678" s="148"/>
      <c r="P678" s="52"/>
      <c r="Q678" s="155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52"/>
      <c r="AD678" s="52"/>
      <c r="AE678" s="47"/>
      <c r="AF678" s="47"/>
      <c r="AG678" s="227"/>
      <c r="AJ678" s="73"/>
      <c r="AK678" s="47"/>
      <c r="AL678" s="47"/>
      <c r="AM678" s="47"/>
      <c r="AN678" s="47"/>
      <c r="AO678" s="47"/>
      <c r="AP678" s="47"/>
      <c r="AQ678" s="47"/>
      <c r="AR678" s="25"/>
    </row>
    <row r="679" spans="1:44" ht="12.75" customHeight="1" x14ac:dyDescent="0.15">
      <c r="A679" s="47"/>
      <c r="B679" s="47"/>
      <c r="C679" s="47"/>
      <c r="D679" s="47"/>
      <c r="E679" s="47"/>
      <c r="F679" s="47"/>
      <c r="G679" s="47"/>
      <c r="H679" s="47"/>
      <c r="I679" s="111"/>
      <c r="J679" s="52"/>
      <c r="K679" s="148"/>
      <c r="L679" s="52"/>
      <c r="M679" s="148"/>
      <c r="N679" s="52"/>
      <c r="O679" s="148"/>
      <c r="P679" s="52"/>
      <c r="Q679" s="155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52"/>
      <c r="AD679" s="52"/>
      <c r="AE679" s="47"/>
      <c r="AF679" s="47"/>
      <c r="AG679" s="227"/>
      <c r="AJ679" s="73"/>
      <c r="AK679" s="47"/>
      <c r="AL679" s="47"/>
      <c r="AM679" s="47"/>
      <c r="AN679" s="47"/>
      <c r="AO679" s="47"/>
      <c r="AP679" s="47"/>
      <c r="AQ679" s="47"/>
      <c r="AR679" s="25"/>
    </row>
    <row r="680" spans="1:44" ht="12.75" customHeight="1" x14ac:dyDescent="0.15">
      <c r="A680" s="47"/>
      <c r="B680" s="47"/>
      <c r="C680" s="47"/>
      <c r="D680" s="47"/>
      <c r="E680" s="47"/>
      <c r="F680" s="47"/>
      <c r="G680" s="47"/>
      <c r="H680" s="47"/>
      <c r="I680" s="111"/>
      <c r="J680" s="52"/>
      <c r="K680" s="148"/>
      <c r="L680" s="52"/>
      <c r="M680" s="148"/>
      <c r="N680" s="52"/>
      <c r="O680" s="148"/>
      <c r="P680" s="52"/>
      <c r="Q680" s="155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52"/>
      <c r="AD680" s="52"/>
      <c r="AE680" s="47"/>
      <c r="AF680" s="47"/>
      <c r="AG680" s="227"/>
      <c r="AJ680" s="73"/>
      <c r="AK680" s="47"/>
      <c r="AL680" s="47"/>
      <c r="AM680" s="47"/>
      <c r="AN680" s="47"/>
      <c r="AO680" s="47"/>
      <c r="AP680" s="47"/>
      <c r="AQ680" s="47"/>
      <c r="AR680" s="25"/>
    </row>
    <row r="681" spans="1:44" ht="12.75" customHeight="1" x14ac:dyDescent="0.15">
      <c r="A681" s="47"/>
      <c r="B681" s="47"/>
      <c r="C681" s="47"/>
      <c r="D681" s="47"/>
      <c r="E681" s="47"/>
      <c r="F681" s="47"/>
      <c r="G681" s="47"/>
      <c r="H681" s="47"/>
      <c r="I681" s="111"/>
      <c r="J681" s="52"/>
      <c r="K681" s="148"/>
      <c r="L681" s="52"/>
      <c r="M681" s="148"/>
      <c r="N681" s="52"/>
      <c r="O681" s="148"/>
      <c r="P681" s="52"/>
      <c r="Q681" s="155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52"/>
      <c r="AD681" s="52"/>
      <c r="AE681" s="47"/>
      <c r="AF681" s="47"/>
      <c r="AG681" s="227"/>
      <c r="AJ681" s="73"/>
      <c r="AK681" s="47"/>
      <c r="AL681" s="47"/>
      <c r="AM681" s="47"/>
      <c r="AN681" s="47"/>
      <c r="AO681" s="47"/>
      <c r="AP681" s="47"/>
      <c r="AQ681" s="47"/>
      <c r="AR681" s="25"/>
    </row>
    <row r="682" spans="1:44" ht="12.75" customHeight="1" x14ac:dyDescent="0.15">
      <c r="A682" s="47"/>
      <c r="B682" s="47"/>
      <c r="C682" s="47"/>
      <c r="D682" s="47"/>
      <c r="E682" s="47"/>
      <c r="F682" s="47"/>
      <c r="G682" s="47"/>
      <c r="H682" s="47"/>
      <c r="I682" s="111"/>
      <c r="J682" s="52"/>
      <c r="K682" s="148"/>
      <c r="L682" s="52"/>
      <c r="M682" s="148"/>
      <c r="N682" s="52"/>
      <c r="O682" s="148"/>
      <c r="P682" s="52"/>
      <c r="Q682" s="155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52"/>
      <c r="AD682" s="52"/>
      <c r="AE682" s="47"/>
      <c r="AF682" s="47"/>
      <c r="AG682" s="227"/>
      <c r="AJ682" s="73"/>
      <c r="AK682" s="47"/>
      <c r="AL682" s="47"/>
      <c r="AM682" s="47"/>
      <c r="AN682" s="47"/>
      <c r="AO682" s="47"/>
      <c r="AP682" s="47"/>
      <c r="AQ682" s="47"/>
      <c r="AR682" s="25"/>
    </row>
    <row r="683" spans="1:44" ht="12.75" customHeight="1" x14ac:dyDescent="0.15">
      <c r="A683" s="47"/>
      <c r="B683" s="47"/>
      <c r="C683" s="47"/>
      <c r="D683" s="47"/>
      <c r="E683" s="47"/>
      <c r="F683" s="47"/>
      <c r="G683" s="47"/>
      <c r="H683" s="47"/>
      <c r="I683" s="111"/>
      <c r="J683" s="52"/>
      <c r="K683" s="148"/>
      <c r="L683" s="52"/>
      <c r="M683" s="148"/>
      <c r="N683" s="52"/>
      <c r="O683" s="148"/>
      <c r="P683" s="52"/>
      <c r="Q683" s="155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52"/>
      <c r="AD683" s="52"/>
      <c r="AE683" s="47"/>
      <c r="AF683" s="47"/>
      <c r="AG683" s="227"/>
      <c r="AJ683" s="73"/>
      <c r="AK683" s="47"/>
      <c r="AL683" s="47"/>
      <c r="AM683" s="47"/>
      <c r="AN683" s="47"/>
      <c r="AO683" s="47"/>
      <c r="AP683" s="47"/>
      <c r="AQ683" s="47"/>
      <c r="AR683" s="25"/>
    </row>
    <row r="684" spans="1:44" ht="12.75" customHeight="1" x14ac:dyDescent="0.15">
      <c r="A684" s="47"/>
      <c r="B684" s="47"/>
      <c r="C684" s="47"/>
      <c r="D684" s="47"/>
      <c r="E684" s="47"/>
      <c r="F684" s="47"/>
      <c r="G684" s="47"/>
      <c r="H684" s="47"/>
      <c r="I684" s="111"/>
      <c r="J684" s="52"/>
      <c r="K684" s="148"/>
      <c r="L684" s="52"/>
      <c r="M684" s="148"/>
      <c r="N684" s="52"/>
      <c r="O684" s="148"/>
      <c r="P684" s="52"/>
      <c r="Q684" s="155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52"/>
      <c r="AD684" s="52"/>
      <c r="AE684" s="47"/>
      <c r="AF684" s="47"/>
      <c r="AG684" s="227"/>
      <c r="AJ684" s="73"/>
      <c r="AK684" s="47"/>
      <c r="AL684" s="47"/>
      <c r="AM684" s="47"/>
      <c r="AN684" s="47"/>
      <c r="AO684" s="47"/>
      <c r="AP684" s="47"/>
      <c r="AQ684" s="47"/>
      <c r="AR684" s="25"/>
    </row>
    <row r="685" spans="1:44" ht="12.75" customHeight="1" x14ac:dyDescent="0.15">
      <c r="A685" s="47"/>
      <c r="B685" s="47"/>
      <c r="C685" s="47"/>
      <c r="D685" s="47"/>
      <c r="E685" s="47"/>
      <c r="F685" s="47"/>
      <c r="G685" s="47"/>
      <c r="H685" s="47"/>
      <c r="I685" s="111"/>
      <c r="J685" s="52"/>
      <c r="K685" s="148"/>
      <c r="L685" s="52"/>
      <c r="M685" s="148"/>
      <c r="N685" s="52"/>
      <c r="O685" s="148"/>
      <c r="P685" s="52"/>
      <c r="Q685" s="155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52"/>
      <c r="AD685" s="52"/>
      <c r="AE685" s="47"/>
      <c r="AF685" s="47"/>
      <c r="AG685" s="227"/>
      <c r="AJ685" s="73"/>
      <c r="AK685" s="47"/>
      <c r="AL685" s="47"/>
      <c r="AM685" s="47"/>
      <c r="AN685" s="47"/>
      <c r="AO685" s="47"/>
      <c r="AP685" s="47"/>
      <c r="AQ685" s="47"/>
      <c r="AR685" s="25"/>
    </row>
    <row r="686" spans="1:44" ht="12.75" customHeight="1" x14ac:dyDescent="0.15">
      <c r="A686" s="47"/>
      <c r="B686" s="47"/>
      <c r="C686" s="47"/>
      <c r="D686" s="47"/>
      <c r="E686" s="47"/>
      <c r="F686" s="47"/>
      <c r="G686" s="47"/>
      <c r="H686" s="47"/>
      <c r="I686" s="111"/>
      <c r="J686" s="52"/>
      <c r="K686" s="148"/>
      <c r="L686" s="52"/>
      <c r="M686" s="148"/>
      <c r="N686" s="52"/>
      <c r="O686" s="148"/>
      <c r="P686" s="52"/>
      <c r="Q686" s="155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52"/>
      <c r="AD686" s="52"/>
      <c r="AE686" s="47"/>
      <c r="AF686" s="47"/>
      <c r="AG686" s="227"/>
      <c r="AJ686" s="73"/>
      <c r="AK686" s="47"/>
      <c r="AL686" s="47"/>
      <c r="AM686" s="47"/>
      <c r="AN686" s="47"/>
      <c r="AO686" s="47"/>
      <c r="AP686" s="47"/>
      <c r="AQ686" s="47"/>
      <c r="AR686" s="25"/>
    </row>
    <row r="687" spans="1:44" ht="12.75" customHeight="1" x14ac:dyDescent="0.15">
      <c r="A687" s="47"/>
      <c r="B687" s="47"/>
      <c r="C687" s="47"/>
      <c r="D687" s="47"/>
      <c r="E687" s="47"/>
      <c r="F687" s="47"/>
      <c r="G687" s="47"/>
      <c r="H687" s="47"/>
      <c r="I687" s="111"/>
      <c r="J687" s="52"/>
      <c r="K687" s="148"/>
      <c r="L687" s="52"/>
      <c r="M687" s="148"/>
      <c r="N687" s="52"/>
      <c r="O687" s="148"/>
      <c r="P687" s="52"/>
      <c r="Q687" s="155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52"/>
      <c r="AD687" s="52"/>
      <c r="AE687" s="47"/>
      <c r="AF687" s="47"/>
      <c r="AG687" s="227"/>
      <c r="AJ687" s="73"/>
      <c r="AK687" s="47"/>
      <c r="AL687" s="47"/>
      <c r="AM687" s="47"/>
      <c r="AN687" s="47"/>
      <c r="AO687" s="47"/>
      <c r="AP687" s="47"/>
      <c r="AQ687" s="47"/>
      <c r="AR687" s="25"/>
    </row>
    <row r="688" spans="1:44" ht="12.75" customHeight="1" x14ac:dyDescent="0.15">
      <c r="A688" s="47"/>
      <c r="B688" s="47"/>
      <c r="C688" s="47"/>
      <c r="D688" s="47"/>
      <c r="E688" s="47"/>
      <c r="F688" s="47"/>
      <c r="G688" s="47"/>
      <c r="H688" s="47"/>
      <c r="I688" s="111"/>
      <c r="J688" s="52"/>
      <c r="K688" s="148"/>
      <c r="L688" s="52"/>
      <c r="M688" s="148"/>
      <c r="N688" s="52"/>
      <c r="O688" s="148"/>
      <c r="P688" s="52"/>
      <c r="Q688" s="155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52"/>
      <c r="AD688" s="52"/>
      <c r="AE688" s="47"/>
      <c r="AF688" s="47"/>
      <c r="AG688" s="227"/>
      <c r="AJ688" s="73"/>
      <c r="AK688" s="47"/>
      <c r="AL688" s="47"/>
      <c r="AM688" s="47"/>
      <c r="AN688" s="47"/>
      <c r="AO688" s="47"/>
      <c r="AP688" s="47"/>
      <c r="AQ688" s="47"/>
      <c r="AR688" s="25"/>
    </row>
    <row r="689" spans="1:44" ht="12.75" customHeight="1" x14ac:dyDescent="0.15">
      <c r="A689" s="47"/>
      <c r="B689" s="47"/>
      <c r="C689" s="47"/>
      <c r="D689" s="47"/>
      <c r="E689" s="47"/>
      <c r="F689" s="47"/>
      <c r="G689" s="47"/>
      <c r="H689" s="47"/>
      <c r="I689" s="111"/>
      <c r="J689" s="52"/>
      <c r="K689" s="148"/>
      <c r="L689" s="52"/>
      <c r="M689" s="148"/>
      <c r="N689" s="52"/>
      <c r="O689" s="148"/>
      <c r="P689" s="52"/>
      <c r="Q689" s="155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52"/>
      <c r="AD689" s="52"/>
      <c r="AE689" s="47"/>
      <c r="AF689" s="47"/>
      <c r="AG689" s="227"/>
      <c r="AJ689" s="73"/>
      <c r="AK689" s="47"/>
      <c r="AL689" s="47"/>
      <c r="AM689" s="47"/>
      <c r="AN689" s="47"/>
      <c r="AO689" s="47"/>
      <c r="AP689" s="47"/>
      <c r="AQ689" s="47"/>
      <c r="AR689" s="25"/>
    </row>
    <row r="690" spans="1:44" ht="12.75" customHeight="1" x14ac:dyDescent="0.15">
      <c r="A690" s="47"/>
      <c r="B690" s="47"/>
      <c r="C690" s="47"/>
      <c r="D690" s="47"/>
      <c r="E690" s="47"/>
      <c r="F690" s="47"/>
      <c r="G690" s="47"/>
      <c r="H690" s="47"/>
      <c r="I690" s="111"/>
      <c r="J690" s="52"/>
      <c r="K690" s="148"/>
      <c r="L690" s="52"/>
      <c r="M690" s="148"/>
      <c r="N690" s="52"/>
      <c r="O690" s="148"/>
      <c r="P690" s="52"/>
      <c r="Q690" s="155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52"/>
      <c r="AD690" s="52"/>
      <c r="AE690" s="47"/>
      <c r="AF690" s="47"/>
      <c r="AG690" s="227"/>
      <c r="AJ690" s="73"/>
      <c r="AK690" s="47"/>
      <c r="AL690" s="47"/>
      <c r="AM690" s="47"/>
      <c r="AN690" s="47"/>
      <c r="AO690" s="47"/>
      <c r="AP690" s="47"/>
      <c r="AQ690" s="47"/>
      <c r="AR690" s="25"/>
    </row>
    <row r="691" spans="1:44" ht="12.75" customHeight="1" x14ac:dyDescent="0.15">
      <c r="A691" s="47"/>
      <c r="B691" s="47"/>
      <c r="C691" s="47"/>
      <c r="D691" s="47"/>
      <c r="E691" s="47"/>
      <c r="F691" s="47"/>
      <c r="G691" s="47"/>
      <c r="H691" s="47"/>
      <c r="I691" s="111"/>
      <c r="J691" s="52"/>
      <c r="K691" s="148"/>
      <c r="L691" s="52"/>
      <c r="M691" s="148"/>
      <c r="N691" s="52"/>
      <c r="O691" s="148"/>
      <c r="P691" s="52"/>
      <c r="Q691" s="155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52"/>
      <c r="AD691" s="52"/>
      <c r="AE691" s="47"/>
      <c r="AF691" s="47"/>
      <c r="AG691" s="227"/>
      <c r="AJ691" s="73"/>
      <c r="AK691" s="47"/>
      <c r="AL691" s="47"/>
      <c r="AM691" s="47"/>
      <c r="AN691" s="47"/>
      <c r="AO691" s="47"/>
      <c r="AP691" s="47"/>
      <c r="AQ691" s="47"/>
      <c r="AR691" s="25"/>
    </row>
    <row r="692" spans="1:44" ht="12.75" customHeight="1" x14ac:dyDescent="0.15">
      <c r="A692" s="47"/>
      <c r="B692" s="47"/>
      <c r="C692" s="47"/>
      <c r="D692" s="47"/>
      <c r="E692" s="47"/>
      <c r="F692" s="47"/>
      <c r="G692" s="47"/>
      <c r="H692" s="47"/>
      <c r="I692" s="111"/>
      <c r="J692" s="52"/>
      <c r="K692" s="148"/>
      <c r="L692" s="52"/>
      <c r="M692" s="148"/>
      <c r="N692" s="52"/>
      <c r="O692" s="148"/>
      <c r="P692" s="52"/>
      <c r="Q692" s="155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52"/>
      <c r="AD692" s="52"/>
      <c r="AE692" s="47"/>
      <c r="AF692" s="47"/>
      <c r="AG692" s="227"/>
      <c r="AJ692" s="73"/>
      <c r="AK692" s="47"/>
      <c r="AL692" s="47"/>
      <c r="AM692" s="47"/>
      <c r="AN692" s="47"/>
      <c r="AO692" s="47"/>
      <c r="AP692" s="47"/>
      <c r="AQ692" s="47"/>
      <c r="AR692" s="25"/>
    </row>
    <row r="693" spans="1:44" ht="12.75" customHeight="1" x14ac:dyDescent="0.15">
      <c r="A693" s="47"/>
      <c r="B693" s="47"/>
      <c r="C693" s="47"/>
      <c r="D693" s="47"/>
      <c r="E693" s="47"/>
      <c r="F693" s="47"/>
      <c r="G693" s="47"/>
      <c r="H693" s="47"/>
      <c r="I693" s="111"/>
      <c r="J693" s="52"/>
      <c r="K693" s="148"/>
      <c r="L693" s="52"/>
      <c r="M693" s="148"/>
      <c r="N693" s="52"/>
      <c r="O693" s="148"/>
      <c r="P693" s="52"/>
      <c r="Q693" s="155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52"/>
      <c r="AD693" s="52"/>
      <c r="AE693" s="47"/>
      <c r="AF693" s="47"/>
      <c r="AG693" s="227"/>
      <c r="AJ693" s="73"/>
      <c r="AK693" s="47"/>
      <c r="AL693" s="47"/>
      <c r="AM693" s="47"/>
      <c r="AN693" s="47"/>
      <c r="AO693" s="47"/>
      <c r="AP693" s="47"/>
      <c r="AQ693" s="47"/>
      <c r="AR693" s="25"/>
    </row>
    <row r="694" spans="1:44" ht="12.75" customHeight="1" x14ac:dyDescent="0.15">
      <c r="A694" s="47"/>
      <c r="B694" s="47"/>
      <c r="C694" s="47"/>
      <c r="D694" s="47"/>
      <c r="E694" s="47"/>
      <c r="F694" s="47"/>
      <c r="G694" s="47"/>
      <c r="H694" s="47"/>
      <c r="I694" s="111"/>
      <c r="J694" s="52"/>
      <c r="K694" s="148"/>
      <c r="L694" s="52"/>
      <c r="M694" s="148"/>
      <c r="N694" s="52"/>
      <c r="O694" s="148"/>
      <c r="P694" s="52"/>
      <c r="Q694" s="155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52"/>
      <c r="AD694" s="52"/>
      <c r="AE694" s="47"/>
      <c r="AF694" s="47"/>
      <c r="AG694" s="227"/>
      <c r="AJ694" s="73"/>
      <c r="AK694" s="47"/>
      <c r="AL694" s="47"/>
      <c r="AM694" s="47"/>
      <c r="AN694" s="47"/>
      <c r="AO694" s="47"/>
      <c r="AP694" s="47"/>
      <c r="AQ694" s="47"/>
      <c r="AR694" s="25"/>
    </row>
    <row r="695" spans="1:44" ht="12.75" customHeight="1" x14ac:dyDescent="0.15">
      <c r="A695" s="47"/>
      <c r="B695" s="47"/>
      <c r="C695" s="47"/>
      <c r="D695" s="47"/>
      <c r="E695" s="47"/>
      <c r="F695" s="47"/>
      <c r="G695" s="47"/>
      <c r="H695" s="47"/>
      <c r="I695" s="111"/>
      <c r="J695" s="52"/>
      <c r="K695" s="148"/>
      <c r="L695" s="52"/>
      <c r="M695" s="148"/>
      <c r="N695" s="52"/>
      <c r="O695" s="148"/>
      <c r="P695" s="52"/>
      <c r="Q695" s="155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52"/>
      <c r="AD695" s="52"/>
      <c r="AE695" s="47"/>
      <c r="AF695" s="47"/>
      <c r="AG695" s="227"/>
      <c r="AJ695" s="73"/>
      <c r="AK695" s="47"/>
      <c r="AL695" s="47"/>
      <c r="AM695" s="47"/>
      <c r="AN695" s="47"/>
      <c r="AO695" s="47"/>
      <c r="AP695" s="47"/>
      <c r="AQ695" s="47"/>
      <c r="AR695" s="25"/>
    </row>
    <row r="696" spans="1:44" ht="12.75" customHeight="1" x14ac:dyDescent="0.15">
      <c r="A696" s="47"/>
      <c r="B696" s="47"/>
      <c r="C696" s="47"/>
      <c r="D696" s="47"/>
      <c r="E696" s="47"/>
      <c r="F696" s="47"/>
      <c r="G696" s="47"/>
      <c r="H696" s="47"/>
      <c r="I696" s="111"/>
      <c r="J696" s="52"/>
      <c r="K696" s="148"/>
      <c r="L696" s="52"/>
      <c r="M696" s="148"/>
      <c r="N696" s="52"/>
      <c r="O696" s="148"/>
      <c r="P696" s="52"/>
      <c r="Q696" s="155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52"/>
      <c r="AD696" s="52"/>
      <c r="AE696" s="47"/>
      <c r="AF696" s="47"/>
      <c r="AG696" s="227"/>
      <c r="AJ696" s="73"/>
      <c r="AK696" s="47"/>
      <c r="AL696" s="47"/>
      <c r="AM696" s="47"/>
      <c r="AN696" s="47"/>
      <c r="AO696" s="47"/>
      <c r="AP696" s="47"/>
      <c r="AQ696" s="47"/>
      <c r="AR696" s="25"/>
    </row>
    <row r="697" spans="1:44" ht="12.75" customHeight="1" x14ac:dyDescent="0.15">
      <c r="A697" s="47"/>
      <c r="B697" s="47"/>
      <c r="C697" s="47"/>
      <c r="D697" s="47"/>
      <c r="E697" s="47"/>
      <c r="F697" s="47"/>
      <c r="G697" s="47"/>
      <c r="H697" s="47"/>
      <c r="I697" s="111"/>
      <c r="J697" s="52"/>
      <c r="K697" s="148"/>
      <c r="L697" s="52"/>
      <c r="M697" s="148"/>
      <c r="N697" s="52"/>
      <c r="O697" s="148"/>
      <c r="P697" s="52"/>
      <c r="Q697" s="155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52"/>
      <c r="AD697" s="52"/>
      <c r="AE697" s="47"/>
      <c r="AF697" s="47"/>
      <c r="AG697" s="227"/>
      <c r="AJ697" s="73"/>
      <c r="AK697" s="47"/>
      <c r="AL697" s="47"/>
      <c r="AM697" s="47"/>
      <c r="AN697" s="47"/>
      <c r="AO697" s="47"/>
      <c r="AP697" s="47"/>
      <c r="AQ697" s="47"/>
      <c r="AR697" s="25"/>
    </row>
    <row r="698" spans="1:44" ht="12.75" customHeight="1" x14ac:dyDescent="0.15">
      <c r="A698" s="47"/>
      <c r="B698" s="47"/>
      <c r="C698" s="47"/>
      <c r="D698" s="47"/>
      <c r="E698" s="47"/>
      <c r="F698" s="47"/>
      <c r="G698" s="47"/>
      <c r="H698" s="47"/>
      <c r="I698" s="111"/>
      <c r="J698" s="52"/>
      <c r="K698" s="148"/>
      <c r="L698" s="52"/>
      <c r="M698" s="148"/>
      <c r="N698" s="52"/>
      <c r="O698" s="148"/>
      <c r="P698" s="52"/>
      <c r="Q698" s="155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52"/>
      <c r="AD698" s="52"/>
      <c r="AE698" s="47"/>
      <c r="AF698" s="47"/>
      <c r="AG698" s="227"/>
      <c r="AJ698" s="73"/>
      <c r="AK698" s="47"/>
      <c r="AL698" s="47"/>
      <c r="AM698" s="47"/>
      <c r="AN698" s="47"/>
      <c r="AO698" s="47"/>
      <c r="AP698" s="47"/>
      <c r="AQ698" s="47"/>
      <c r="AR698" s="25"/>
    </row>
    <row r="699" spans="1:44" ht="12.75" customHeight="1" x14ac:dyDescent="0.15">
      <c r="A699" s="47"/>
      <c r="B699" s="47"/>
      <c r="C699" s="47"/>
      <c r="D699" s="47"/>
      <c r="E699" s="47"/>
      <c r="F699" s="47"/>
      <c r="G699" s="47"/>
      <c r="H699" s="47"/>
      <c r="I699" s="111"/>
      <c r="J699" s="52"/>
      <c r="K699" s="148"/>
      <c r="L699" s="52"/>
      <c r="M699" s="148"/>
      <c r="N699" s="52"/>
      <c r="O699" s="148"/>
      <c r="P699" s="52"/>
      <c r="Q699" s="155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52"/>
      <c r="AD699" s="52"/>
      <c r="AE699" s="47"/>
      <c r="AF699" s="47"/>
      <c r="AG699" s="227"/>
      <c r="AJ699" s="73"/>
      <c r="AK699" s="47"/>
      <c r="AL699" s="47"/>
      <c r="AM699" s="47"/>
      <c r="AN699" s="47"/>
      <c r="AO699" s="47"/>
      <c r="AP699" s="47"/>
      <c r="AQ699" s="47"/>
      <c r="AR699" s="25"/>
    </row>
    <row r="700" spans="1:44" ht="12.75" customHeight="1" x14ac:dyDescent="0.15">
      <c r="A700" s="47"/>
      <c r="B700" s="47"/>
      <c r="C700" s="47"/>
      <c r="D700" s="47"/>
      <c r="E700" s="47"/>
      <c r="F700" s="47"/>
      <c r="G700" s="47"/>
      <c r="H700" s="47"/>
      <c r="I700" s="111"/>
      <c r="J700" s="52"/>
      <c r="K700" s="148"/>
      <c r="L700" s="52"/>
      <c r="M700" s="148"/>
      <c r="N700" s="52"/>
      <c r="O700" s="148"/>
      <c r="P700" s="52"/>
      <c r="Q700" s="155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52"/>
      <c r="AD700" s="52"/>
      <c r="AE700" s="47"/>
      <c r="AF700" s="47"/>
      <c r="AG700" s="227"/>
      <c r="AJ700" s="73"/>
      <c r="AK700" s="47"/>
      <c r="AL700" s="47"/>
      <c r="AM700" s="47"/>
      <c r="AN700" s="47"/>
      <c r="AO700" s="47"/>
      <c r="AP700" s="47"/>
      <c r="AQ700" s="47"/>
      <c r="AR700" s="25"/>
    </row>
    <row r="701" spans="1:44" ht="12.75" customHeight="1" x14ac:dyDescent="0.15">
      <c r="A701" s="47"/>
      <c r="B701" s="47"/>
      <c r="C701" s="47"/>
      <c r="D701" s="47"/>
      <c r="E701" s="47"/>
      <c r="F701" s="47"/>
      <c r="G701" s="47"/>
      <c r="H701" s="47"/>
      <c r="I701" s="111"/>
      <c r="J701" s="52"/>
      <c r="K701" s="148"/>
      <c r="L701" s="52"/>
      <c r="M701" s="148"/>
      <c r="N701" s="52"/>
      <c r="O701" s="148"/>
      <c r="P701" s="52"/>
      <c r="Q701" s="155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52"/>
      <c r="AD701" s="52"/>
      <c r="AE701" s="47"/>
      <c r="AF701" s="47"/>
      <c r="AG701" s="227"/>
      <c r="AJ701" s="73"/>
      <c r="AK701" s="47"/>
      <c r="AL701" s="47"/>
      <c r="AM701" s="47"/>
      <c r="AN701" s="47"/>
      <c r="AO701" s="47"/>
      <c r="AP701" s="47"/>
      <c r="AQ701" s="47"/>
      <c r="AR701" s="25"/>
    </row>
    <row r="702" spans="1:44" ht="12.75" customHeight="1" x14ac:dyDescent="0.15">
      <c r="A702" s="47"/>
      <c r="B702" s="47"/>
      <c r="C702" s="47"/>
      <c r="D702" s="47"/>
      <c r="E702" s="47"/>
      <c r="F702" s="47"/>
      <c r="G702" s="47"/>
      <c r="H702" s="47"/>
      <c r="I702" s="111"/>
      <c r="J702" s="52"/>
      <c r="K702" s="148"/>
      <c r="L702" s="52"/>
      <c r="M702" s="148"/>
      <c r="N702" s="52"/>
      <c r="O702" s="148"/>
      <c r="P702" s="52"/>
      <c r="Q702" s="155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52"/>
      <c r="AD702" s="52"/>
      <c r="AE702" s="47"/>
      <c r="AF702" s="47"/>
      <c r="AG702" s="227"/>
      <c r="AJ702" s="73"/>
      <c r="AK702" s="47"/>
      <c r="AL702" s="47"/>
      <c r="AM702" s="47"/>
      <c r="AN702" s="47"/>
      <c r="AO702" s="47"/>
      <c r="AP702" s="47"/>
      <c r="AQ702" s="47"/>
      <c r="AR702" s="25"/>
    </row>
    <row r="703" spans="1:44" ht="12.75" customHeight="1" x14ac:dyDescent="0.15">
      <c r="A703" s="47"/>
      <c r="B703" s="47"/>
      <c r="C703" s="47"/>
      <c r="D703" s="47"/>
      <c r="E703" s="47"/>
      <c r="F703" s="47"/>
      <c r="G703" s="47"/>
      <c r="H703" s="47"/>
      <c r="I703" s="111"/>
      <c r="J703" s="52"/>
      <c r="K703" s="148"/>
      <c r="L703" s="52"/>
      <c r="M703" s="148"/>
      <c r="N703" s="52"/>
      <c r="O703" s="148"/>
      <c r="P703" s="52"/>
      <c r="Q703" s="155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52"/>
      <c r="AD703" s="52"/>
      <c r="AE703" s="47"/>
      <c r="AF703" s="47"/>
      <c r="AG703" s="227"/>
      <c r="AJ703" s="73"/>
      <c r="AK703" s="47"/>
      <c r="AL703" s="47"/>
      <c r="AM703" s="47"/>
      <c r="AN703" s="47"/>
      <c r="AO703" s="47"/>
      <c r="AP703" s="47"/>
      <c r="AQ703" s="47"/>
      <c r="AR703" s="25"/>
    </row>
    <row r="704" spans="1:44" ht="12.75" customHeight="1" x14ac:dyDescent="0.15">
      <c r="A704" s="47"/>
      <c r="B704" s="47"/>
      <c r="C704" s="47"/>
      <c r="D704" s="47"/>
      <c r="E704" s="47"/>
      <c r="F704" s="47"/>
      <c r="G704" s="47"/>
      <c r="H704" s="47"/>
      <c r="I704" s="111"/>
      <c r="J704" s="52"/>
      <c r="K704" s="148"/>
      <c r="L704" s="52"/>
      <c r="M704" s="148"/>
      <c r="N704" s="52"/>
      <c r="O704" s="148"/>
      <c r="P704" s="52"/>
      <c r="Q704" s="155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52"/>
      <c r="AD704" s="52"/>
      <c r="AE704" s="47"/>
      <c r="AF704" s="47"/>
      <c r="AG704" s="227"/>
      <c r="AJ704" s="73"/>
      <c r="AK704" s="47"/>
      <c r="AL704" s="47"/>
      <c r="AM704" s="47"/>
      <c r="AN704" s="47"/>
      <c r="AO704" s="47"/>
      <c r="AP704" s="47"/>
      <c r="AQ704" s="47"/>
      <c r="AR704" s="25"/>
    </row>
    <row r="705" spans="1:44" ht="12.75" customHeight="1" x14ac:dyDescent="0.15">
      <c r="A705" s="47"/>
      <c r="B705" s="47"/>
      <c r="C705" s="47"/>
      <c r="D705" s="47"/>
      <c r="E705" s="47"/>
      <c r="F705" s="47"/>
      <c r="G705" s="47"/>
      <c r="H705" s="47"/>
      <c r="I705" s="111"/>
      <c r="J705" s="52"/>
      <c r="K705" s="148"/>
      <c r="L705" s="52"/>
      <c r="M705" s="148"/>
      <c r="N705" s="52"/>
      <c r="O705" s="148"/>
      <c r="P705" s="52"/>
      <c r="Q705" s="155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52"/>
      <c r="AD705" s="52"/>
      <c r="AE705" s="47"/>
      <c r="AF705" s="47"/>
      <c r="AG705" s="227"/>
      <c r="AJ705" s="73"/>
      <c r="AK705" s="47"/>
      <c r="AL705" s="47"/>
      <c r="AM705" s="47"/>
      <c r="AN705" s="47"/>
      <c r="AO705" s="47"/>
      <c r="AP705" s="47"/>
      <c r="AQ705" s="47"/>
      <c r="AR705" s="25"/>
    </row>
    <row r="706" spans="1:44" ht="12.75" customHeight="1" x14ac:dyDescent="0.15">
      <c r="A706" s="47"/>
      <c r="B706" s="47"/>
      <c r="C706" s="47"/>
      <c r="D706" s="47"/>
      <c r="E706" s="47"/>
      <c r="F706" s="47"/>
      <c r="G706" s="47"/>
      <c r="H706" s="47"/>
      <c r="I706" s="111"/>
      <c r="J706" s="52"/>
      <c r="K706" s="148"/>
      <c r="L706" s="52"/>
      <c r="M706" s="148"/>
      <c r="N706" s="52"/>
      <c r="O706" s="148"/>
      <c r="P706" s="52"/>
      <c r="Q706" s="155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52"/>
      <c r="AD706" s="52"/>
      <c r="AE706" s="47"/>
      <c r="AF706" s="47"/>
      <c r="AG706" s="227"/>
      <c r="AJ706" s="73"/>
      <c r="AK706" s="47"/>
      <c r="AL706" s="47"/>
      <c r="AM706" s="47"/>
      <c r="AN706" s="47"/>
      <c r="AO706" s="47"/>
      <c r="AP706" s="47"/>
      <c r="AQ706" s="47"/>
      <c r="AR706" s="25"/>
    </row>
    <row r="707" spans="1:44" ht="12.75" customHeight="1" x14ac:dyDescent="0.15">
      <c r="A707" s="47"/>
      <c r="B707" s="47"/>
      <c r="C707" s="47"/>
      <c r="D707" s="47"/>
      <c r="E707" s="47"/>
      <c r="F707" s="47"/>
      <c r="G707" s="47"/>
      <c r="H707" s="47"/>
      <c r="I707" s="111"/>
      <c r="J707" s="52"/>
      <c r="K707" s="148"/>
      <c r="L707" s="52"/>
      <c r="M707" s="148"/>
      <c r="N707" s="52"/>
      <c r="O707" s="148"/>
      <c r="P707" s="52"/>
      <c r="Q707" s="155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52"/>
      <c r="AD707" s="52"/>
      <c r="AE707" s="47"/>
      <c r="AF707" s="47"/>
      <c r="AG707" s="227"/>
      <c r="AJ707" s="73"/>
      <c r="AK707" s="47"/>
      <c r="AL707" s="47"/>
      <c r="AM707" s="47"/>
      <c r="AN707" s="47"/>
      <c r="AO707" s="47"/>
      <c r="AP707" s="47"/>
      <c r="AQ707" s="47"/>
      <c r="AR707" s="25"/>
    </row>
    <row r="708" spans="1:44" ht="12.75" customHeight="1" x14ac:dyDescent="0.15">
      <c r="A708" s="47"/>
      <c r="B708" s="47"/>
      <c r="C708" s="47"/>
      <c r="D708" s="47"/>
      <c r="E708" s="47"/>
      <c r="F708" s="47"/>
      <c r="G708" s="47"/>
      <c r="H708" s="47"/>
      <c r="I708" s="111"/>
      <c r="J708" s="52"/>
      <c r="K708" s="148"/>
      <c r="L708" s="52"/>
      <c r="M708" s="148"/>
      <c r="N708" s="52"/>
      <c r="O708" s="148"/>
      <c r="P708" s="52"/>
      <c r="Q708" s="155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52"/>
      <c r="AD708" s="52"/>
      <c r="AE708" s="47"/>
      <c r="AF708" s="47"/>
      <c r="AG708" s="227"/>
      <c r="AJ708" s="73"/>
      <c r="AK708" s="47"/>
      <c r="AL708" s="47"/>
      <c r="AM708" s="47"/>
      <c r="AN708" s="47"/>
      <c r="AO708" s="47"/>
      <c r="AP708" s="47"/>
      <c r="AQ708" s="47"/>
      <c r="AR708" s="25"/>
    </row>
    <row r="709" spans="1:44" ht="12.75" customHeight="1" x14ac:dyDescent="0.15">
      <c r="A709" s="47"/>
      <c r="B709" s="47"/>
      <c r="C709" s="47"/>
      <c r="D709" s="47"/>
      <c r="E709" s="47"/>
      <c r="F709" s="47"/>
      <c r="G709" s="47"/>
      <c r="H709" s="47"/>
      <c r="I709" s="111"/>
      <c r="J709" s="52"/>
      <c r="K709" s="148"/>
      <c r="L709" s="52"/>
      <c r="M709" s="148"/>
      <c r="N709" s="52"/>
      <c r="O709" s="148"/>
      <c r="P709" s="52"/>
      <c r="Q709" s="155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52"/>
      <c r="AD709" s="52"/>
      <c r="AE709" s="47"/>
      <c r="AF709" s="47"/>
      <c r="AG709" s="227"/>
      <c r="AJ709" s="73"/>
      <c r="AK709" s="47"/>
      <c r="AL709" s="47"/>
      <c r="AM709" s="47"/>
      <c r="AN709" s="47"/>
      <c r="AO709" s="47"/>
      <c r="AP709" s="47"/>
      <c r="AQ709" s="47"/>
      <c r="AR709" s="25"/>
    </row>
    <row r="710" spans="1:44" ht="12.75" customHeight="1" x14ac:dyDescent="0.15">
      <c r="A710" s="47"/>
      <c r="B710" s="47"/>
      <c r="C710" s="47"/>
      <c r="D710" s="47"/>
      <c r="E710" s="47"/>
      <c r="F710" s="47"/>
      <c r="G710" s="47"/>
      <c r="H710" s="47"/>
      <c r="I710" s="111"/>
      <c r="J710" s="52"/>
      <c r="K710" s="148"/>
      <c r="L710" s="52"/>
      <c r="M710" s="148"/>
      <c r="N710" s="52"/>
      <c r="O710" s="148"/>
      <c r="P710" s="52"/>
      <c r="Q710" s="155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52"/>
      <c r="AD710" s="52"/>
      <c r="AE710" s="47"/>
      <c r="AF710" s="47"/>
      <c r="AG710" s="227"/>
      <c r="AJ710" s="73"/>
      <c r="AK710" s="47"/>
      <c r="AL710" s="47"/>
      <c r="AM710" s="47"/>
      <c r="AN710" s="47"/>
      <c r="AO710" s="47"/>
      <c r="AP710" s="47"/>
      <c r="AQ710" s="47"/>
      <c r="AR710" s="25"/>
    </row>
    <row r="711" spans="1:44" ht="12.75" customHeight="1" x14ac:dyDescent="0.15">
      <c r="A711" s="47"/>
      <c r="B711" s="47"/>
      <c r="C711" s="47"/>
      <c r="D711" s="47"/>
      <c r="E711" s="47"/>
      <c r="F711" s="47"/>
      <c r="G711" s="47"/>
      <c r="H711" s="47"/>
      <c r="I711" s="111"/>
      <c r="J711" s="52"/>
      <c r="K711" s="148"/>
      <c r="L711" s="52"/>
      <c r="M711" s="148"/>
      <c r="N711" s="52"/>
      <c r="O711" s="148"/>
      <c r="P711" s="52"/>
      <c r="Q711" s="155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52"/>
      <c r="AD711" s="52"/>
      <c r="AE711" s="47"/>
      <c r="AF711" s="47"/>
      <c r="AG711" s="227"/>
      <c r="AJ711" s="73"/>
      <c r="AK711" s="47"/>
      <c r="AL711" s="47"/>
      <c r="AM711" s="47"/>
      <c r="AN711" s="47"/>
      <c r="AO711" s="47"/>
      <c r="AP711" s="47"/>
      <c r="AQ711" s="47"/>
      <c r="AR711" s="25"/>
    </row>
    <row r="712" spans="1:44" ht="12.75" customHeight="1" x14ac:dyDescent="0.15">
      <c r="A712" s="47"/>
      <c r="B712" s="47"/>
      <c r="C712" s="47"/>
      <c r="D712" s="47"/>
      <c r="E712" s="47"/>
      <c r="F712" s="47"/>
      <c r="G712" s="47"/>
      <c r="H712" s="47"/>
      <c r="I712" s="111"/>
      <c r="J712" s="52"/>
      <c r="K712" s="148"/>
      <c r="L712" s="52"/>
      <c r="M712" s="148"/>
      <c r="N712" s="52"/>
      <c r="O712" s="148"/>
      <c r="P712" s="52"/>
      <c r="Q712" s="155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52"/>
      <c r="AD712" s="52"/>
      <c r="AE712" s="47"/>
      <c r="AF712" s="47"/>
      <c r="AG712" s="227"/>
      <c r="AJ712" s="73"/>
      <c r="AK712" s="47"/>
      <c r="AL712" s="47"/>
      <c r="AM712" s="47"/>
      <c r="AN712" s="47"/>
      <c r="AO712" s="47"/>
      <c r="AP712" s="47"/>
      <c r="AQ712" s="47"/>
      <c r="AR712" s="25"/>
    </row>
    <row r="713" spans="1:44" ht="12.75" customHeight="1" x14ac:dyDescent="0.15">
      <c r="A713" s="47"/>
      <c r="B713" s="47"/>
      <c r="C713" s="47"/>
      <c r="D713" s="47"/>
      <c r="E713" s="47"/>
      <c r="F713" s="47"/>
      <c r="G713" s="47"/>
      <c r="H713" s="47"/>
      <c r="I713" s="111"/>
      <c r="J713" s="52"/>
      <c r="K713" s="148"/>
      <c r="L713" s="52"/>
      <c r="M713" s="148"/>
      <c r="N713" s="52"/>
      <c r="O713" s="148"/>
      <c r="P713" s="52"/>
      <c r="Q713" s="155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52"/>
      <c r="AD713" s="52"/>
      <c r="AE713" s="47"/>
      <c r="AF713" s="47"/>
      <c r="AG713" s="227"/>
      <c r="AJ713" s="73"/>
      <c r="AK713" s="47"/>
      <c r="AL713" s="47"/>
      <c r="AM713" s="47"/>
      <c r="AN713" s="47"/>
      <c r="AO713" s="47"/>
      <c r="AP713" s="47"/>
      <c r="AQ713" s="47"/>
      <c r="AR713" s="25"/>
    </row>
    <row r="714" spans="1:44" ht="12.75" customHeight="1" x14ac:dyDescent="0.15">
      <c r="A714" s="47"/>
      <c r="B714" s="47"/>
      <c r="C714" s="47"/>
      <c r="D714" s="47"/>
      <c r="E714" s="47"/>
      <c r="F714" s="47"/>
      <c r="G714" s="47"/>
      <c r="H714" s="47"/>
      <c r="I714" s="111"/>
      <c r="J714" s="52"/>
      <c r="K714" s="148"/>
      <c r="L714" s="52"/>
      <c r="M714" s="148"/>
      <c r="N714" s="52"/>
      <c r="O714" s="148"/>
      <c r="P714" s="52"/>
      <c r="Q714" s="155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52"/>
      <c r="AD714" s="52"/>
      <c r="AE714" s="47"/>
      <c r="AF714" s="47"/>
      <c r="AG714" s="227"/>
      <c r="AJ714" s="73"/>
      <c r="AK714" s="47"/>
      <c r="AL714" s="47"/>
      <c r="AM714" s="47"/>
      <c r="AN714" s="47"/>
      <c r="AO714" s="47"/>
      <c r="AP714" s="47"/>
      <c r="AQ714" s="47"/>
      <c r="AR714" s="25"/>
    </row>
    <row r="715" spans="1:44" ht="12.75" customHeight="1" x14ac:dyDescent="0.15">
      <c r="A715" s="47"/>
      <c r="B715" s="47"/>
      <c r="C715" s="47"/>
      <c r="D715" s="47"/>
      <c r="E715" s="47"/>
      <c r="F715" s="47"/>
      <c r="G715" s="47"/>
      <c r="H715" s="47"/>
      <c r="I715" s="111"/>
      <c r="J715" s="52"/>
      <c r="K715" s="148"/>
      <c r="L715" s="52"/>
      <c r="M715" s="148"/>
      <c r="N715" s="52"/>
      <c r="O715" s="148"/>
      <c r="P715" s="52"/>
      <c r="Q715" s="155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52"/>
      <c r="AD715" s="52"/>
      <c r="AE715" s="47"/>
      <c r="AF715" s="47"/>
      <c r="AG715" s="227"/>
      <c r="AJ715" s="73"/>
      <c r="AK715" s="47"/>
      <c r="AL715" s="47"/>
      <c r="AM715" s="47"/>
      <c r="AN715" s="47"/>
      <c r="AO715" s="47"/>
      <c r="AP715" s="47"/>
      <c r="AQ715" s="47"/>
      <c r="AR715" s="25"/>
    </row>
    <row r="716" spans="1:44" ht="12.75" customHeight="1" x14ac:dyDescent="0.15">
      <c r="A716" s="47"/>
      <c r="B716" s="47"/>
      <c r="C716" s="47"/>
      <c r="D716" s="47"/>
      <c r="E716" s="47"/>
      <c r="F716" s="47"/>
      <c r="G716" s="47"/>
      <c r="H716" s="47"/>
      <c r="I716" s="111"/>
      <c r="J716" s="52"/>
      <c r="K716" s="148"/>
      <c r="L716" s="52"/>
      <c r="M716" s="148"/>
      <c r="N716" s="52"/>
      <c r="O716" s="148"/>
      <c r="P716" s="52"/>
      <c r="Q716" s="155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52"/>
      <c r="AD716" s="52"/>
      <c r="AE716" s="47"/>
      <c r="AF716" s="47"/>
      <c r="AG716" s="227"/>
      <c r="AJ716" s="73"/>
      <c r="AK716" s="47"/>
      <c r="AL716" s="47"/>
      <c r="AM716" s="47"/>
      <c r="AN716" s="47"/>
      <c r="AO716" s="47"/>
      <c r="AP716" s="47"/>
      <c r="AQ716" s="47"/>
      <c r="AR716" s="25"/>
    </row>
    <row r="717" spans="1:44" ht="12.75" customHeight="1" x14ac:dyDescent="0.15">
      <c r="A717" s="47"/>
      <c r="B717" s="47"/>
      <c r="C717" s="47"/>
      <c r="D717" s="47"/>
      <c r="E717" s="47"/>
      <c r="F717" s="47"/>
      <c r="G717" s="47"/>
      <c r="H717" s="47"/>
      <c r="I717" s="111"/>
      <c r="J717" s="52"/>
      <c r="K717" s="148"/>
      <c r="L717" s="52"/>
      <c r="M717" s="148"/>
      <c r="N717" s="52"/>
      <c r="O717" s="148"/>
      <c r="P717" s="52"/>
      <c r="Q717" s="155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52"/>
      <c r="AD717" s="52"/>
      <c r="AE717" s="47"/>
      <c r="AF717" s="47"/>
      <c r="AG717" s="227"/>
      <c r="AJ717" s="73"/>
      <c r="AK717" s="47"/>
      <c r="AL717" s="47"/>
      <c r="AM717" s="47"/>
      <c r="AN717" s="47"/>
      <c r="AO717" s="47"/>
      <c r="AP717" s="47"/>
      <c r="AQ717" s="47"/>
      <c r="AR717" s="25"/>
    </row>
    <row r="718" spans="1:44" ht="12.75" customHeight="1" x14ac:dyDescent="0.15">
      <c r="A718" s="47"/>
      <c r="B718" s="47"/>
      <c r="C718" s="47"/>
      <c r="D718" s="47"/>
      <c r="E718" s="47"/>
      <c r="F718" s="47"/>
      <c r="G718" s="47"/>
      <c r="H718" s="47"/>
      <c r="I718" s="111"/>
      <c r="J718" s="52"/>
      <c r="K718" s="148"/>
      <c r="L718" s="52"/>
      <c r="M718" s="148"/>
      <c r="N718" s="52"/>
      <c r="O718" s="148"/>
      <c r="P718" s="52"/>
      <c r="Q718" s="155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52"/>
      <c r="AD718" s="52"/>
      <c r="AE718" s="47"/>
      <c r="AF718" s="47"/>
      <c r="AG718" s="227"/>
      <c r="AJ718" s="73"/>
      <c r="AK718" s="47"/>
      <c r="AL718" s="47"/>
      <c r="AM718" s="47"/>
      <c r="AN718" s="47"/>
      <c r="AO718" s="47"/>
      <c r="AP718" s="47"/>
      <c r="AQ718" s="47"/>
      <c r="AR718" s="25"/>
    </row>
    <row r="719" spans="1:44" ht="12.75" customHeight="1" x14ac:dyDescent="0.15">
      <c r="A719" s="47"/>
      <c r="B719" s="47"/>
      <c r="C719" s="47"/>
      <c r="D719" s="47"/>
      <c r="E719" s="47"/>
      <c r="F719" s="47"/>
      <c r="G719" s="47"/>
      <c r="H719" s="47"/>
      <c r="I719" s="111"/>
      <c r="J719" s="52"/>
      <c r="K719" s="148"/>
      <c r="L719" s="52"/>
      <c r="M719" s="148"/>
      <c r="N719" s="52"/>
      <c r="O719" s="148"/>
      <c r="P719" s="52"/>
      <c r="Q719" s="155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52"/>
      <c r="AD719" s="52"/>
      <c r="AE719" s="47"/>
      <c r="AF719" s="47"/>
      <c r="AG719" s="227"/>
      <c r="AJ719" s="73"/>
      <c r="AK719" s="47"/>
      <c r="AL719" s="47"/>
      <c r="AM719" s="47"/>
      <c r="AN719" s="47"/>
      <c r="AO719" s="47"/>
      <c r="AP719" s="47"/>
      <c r="AQ719" s="47"/>
      <c r="AR719" s="25"/>
    </row>
    <row r="720" spans="1:44" ht="12.75" customHeight="1" x14ac:dyDescent="0.15">
      <c r="A720" s="47"/>
      <c r="B720" s="47"/>
      <c r="C720" s="47"/>
      <c r="D720" s="47"/>
      <c r="E720" s="47"/>
      <c r="F720" s="47"/>
      <c r="G720" s="47"/>
      <c r="H720" s="47"/>
      <c r="I720" s="111"/>
      <c r="J720" s="52"/>
      <c r="K720" s="148"/>
      <c r="L720" s="52"/>
      <c r="M720" s="148"/>
      <c r="N720" s="52"/>
      <c r="O720" s="148"/>
      <c r="P720" s="52"/>
      <c r="Q720" s="155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52"/>
      <c r="AD720" s="52"/>
      <c r="AE720" s="47"/>
      <c r="AF720" s="47"/>
      <c r="AG720" s="227"/>
      <c r="AJ720" s="73"/>
      <c r="AK720" s="47"/>
      <c r="AL720" s="47"/>
      <c r="AM720" s="47"/>
      <c r="AN720" s="47"/>
      <c r="AO720" s="47"/>
      <c r="AP720" s="47"/>
      <c r="AQ720" s="47"/>
      <c r="AR720" s="25"/>
    </row>
    <row r="721" spans="1:44" ht="12.75" customHeight="1" x14ac:dyDescent="0.15">
      <c r="A721" s="47"/>
      <c r="B721" s="47"/>
      <c r="C721" s="47"/>
      <c r="D721" s="47"/>
      <c r="E721" s="47"/>
      <c r="F721" s="47"/>
      <c r="G721" s="47"/>
      <c r="H721" s="47"/>
      <c r="I721" s="111"/>
      <c r="J721" s="52"/>
      <c r="K721" s="148"/>
      <c r="L721" s="52"/>
      <c r="M721" s="148"/>
      <c r="N721" s="52"/>
      <c r="O721" s="148"/>
      <c r="P721" s="52"/>
      <c r="Q721" s="155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52"/>
      <c r="AD721" s="52"/>
      <c r="AE721" s="47"/>
      <c r="AF721" s="47"/>
      <c r="AG721" s="227"/>
      <c r="AJ721" s="73"/>
      <c r="AK721" s="47"/>
      <c r="AL721" s="47"/>
      <c r="AM721" s="47"/>
      <c r="AN721" s="47"/>
      <c r="AO721" s="47"/>
      <c r="AP721" s="47"/>
      <c r="AQ721" s="47"/>
      <c r="AR721" s="25"/>
    </row>
    <row r="722" spans="1:44" ht="12.75" customHeight="1" x14ac:dyDescent="0.15">
      <c r="A722" s="47"/>
      <c r="B722" s="47"/>
      <c r="C722" s="47"/>
      <c r="D722" s="47"/>
      <c r="E722" s="47"/>
      <c r="F722" s="47"/>
      <c r="G722" s="47"/>
      <c r="H722" s="47"/>
      <c r="I722" s="111"/>
      <c r="J722" s="52"/>
      <c r="K722" s="148"/>
      <c r="L722" s="52"/>
      <c r="M722" s="148"/>
      <c r="N722" s="52"/>
      <c r="O722" s="148"/>
      <c r="P722" s="52"/>
      <c r="Q722" s="155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52"/>
      <c r="AD722" s="52"/>
      <c r="AE722" s="47"/>
      <c r="AF722" s="47"/>
      <c r="AG722" s="227"/>
      <c r="AJ722" s="73"/>
      <c r="AK722" s="47"/>
      <c r="AL722" s="47"/>
      <c r="AM722" s="47"/>
      <c r="AN722" s="47"/>
      <c r="AO722" s="47"/>
      <c r="AP722" s="47"/>
      <c r="AQ722" s="47"/>
      <c r="AR722" s="25"/>
    </row>
    <row r="723" spans="1:44" ht="12.75" customHeight="1" x14ac:dyDescent="0.15">
      <c r="A723" s="47"/>
      <c r="B723" s="47"/>
      <c r="C723" s="47"/>
      <c r="D723" s="47"/>
      <c r="E723" s="47"/>
      <c r="F723" s="47"/>
      <c r="G723" s="47"/>
      <c r="H723" s="47"/>
      <c r="I723" s="111"/>
      <c r="J723" s="52"/>
      <c r="K723" s="148"/>
      <c r="L723" s="52"/>
      <c r="M723" s="148"/>
      <c r="N723" s="52"/>
      <c r="O723" s="148"/>
      <c r="P723" s="52"/>
      <c r="Q723" s="155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52"/>
      <c r="AD723" s="52"/>
      <c r="AE723" s="47"/>
      <c r="AF723" s="47"/>
      <c r="AG723" s="227"/>
      <c r="AJ723" s="73"/>
      <c r="AK723" s="47"/>
      <c r="AL723" s="47"/>
      <c r="AM723" s="47"/>
      <c r="AN723" s="47"/>
      <c r="AO723" s="47"/>
      <c r="AP723" s="47"/>
      <c r="AQ723" s="47"/>
      <c r="AR723" s="25"/>
    </row>
    <row r="724" spans="1:44" ht="12.75" customHeight="1" x14ac:dyDescent="0.15">
      <c r="A724" s="47"/>
      <c r="B724" s="47"/>
      <c r="C724" s="47"/>
      <c r="D724" s="47"/>
      <c r="E724" s="47"/>
      <c r="F724" s="47"/>
      <c r="G724" s="47"/>
      <c r="H724" s="47"/>
      <c r="I724" s="111"/>
      <c r="J724" s="52"/>
      <c r="K724" s="148"/>
      <c r="L724" s="52"/>
      <c r="M724" s="148"/>
      <c r="N724" s="52"/>
      <c r="O724" s="148"/>
      <c r="P724" s="52"/>
      <c r="Q724" s="155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52"/>
      <c r="AD724" s="52"/>
      <c r="AE724" s="47"/>
      <c r="AF724" s="47"/>
      <c r="AG724" s="227"/>
      <c r="AJ724" s="73"/>
      <c r="AK724" s="47"/>
      <c r="AL724" s="47"/>
      <c r="AM724" s="47"/>
      <c r="AN724" s="47"/>
      <c r="AO724" s="47"/>
      <c r="AP724" s="47"/>
      <c r="AQ724" s="47"/>
      <c r="AR724" s="25"/>
    </row>
    <row r="725" spans="1:44" ht="12.75" customHeight="1" x14ac:dyDescent="0.15">
      <c r="A725" s="47"/>
      <c r="B725" s="47"/>
      <c r="C725" s="47"/>
      <c r="D725" s="47"/>
      <c r="E725" s="47"/>
      <c r="F725" s="47"/>
      <c r="G725" s="47"/>
      <c r="H725" s="47"/>
      <c r="I725" s="111"/>
      <c r="J725" s="52"/>
      <c r="K725" s="148"/>
      <c r="L725" s="52"/>
      <c r="M725" s="148"/>
      <c r="N725" s="52"/>
      <c r="O725" s="148"/>
      <c r="P725" s="52"/>
      <c r="Q725" s="155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52"/>
      <c r="AD725" s="52"/>
      <c r="AE725" s="47"/>
      <c r="AF725" s="47"/>
      <c r="AG725" s="227"/>
      <c r="AJ725" s="73"/>
      <c r="AK725" s="47"/>
      <c r="AL725" s="47"/>
      <c r="AM725" s="47"/>
      <c r="AN725" s="47"/>
      <c r="AO725" s="47"/>
      <c r="AP725" s="47"/>
      <c r="AQ725" s="47"/>
      <c r="AR725" s="25"/>
    </row>
    <row r="726" spans="1:44" ht="12.75" customHeight="1" x14ac:dyDescent="0.15">
      <c r="A726" s="47"/>
      <c r="B726" s="47"/>
      <c r="C726" s="47"/>
      <c r="D726" s="47"/>
      <c r="E726" s="47"/>
      <c r="F726" s="47"/>
      <c r="G726" s="47"/>
      <c r="H726" s="47"/>
      <c r="I726" s="111"/>
      <c r="J726" s="52"/>
      <c r="K726" s="148"/>
      <c r="L726" s="52"/>
      <c r="M726" s="148"/>
      <c r="N726" s="52"/>
      <c r="O726" s="148"/>
      <c r="P726" s="52"/>
      <c r="Q726" s="155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52"/>
      <c r="AD726" s="52"/>
      <c r="AE726" s="47"/>
      <c r="AF726" s="47"/>
      <c r="AG726" s="227"/>
      <c r="AJ726" s="73"/>
      <c r="AK726" s="47"/>
      <c r="AL726" s="47"/>
      <c r="AM726" s="47"/>
      <c r="AN726" s="47"/>
      <c r="AO726" s="47"/>
      <c r="AP726" s="47"/>
      <c r="AQ726" s="47"/>
      <c r="AR726" s="25"/>
    </row>
    <row r="727" spans="1:44" ht="12.75" customHeight="1" x14ac:dyDescent="0.15">
      <c r="A727" s="47"/>
      <c r="B727" s="47"/>
      <c r="C727" s="47"/>
      <c r="D727" s="47"/>
      <c r="E727" s="47"/>
      <c r="F727" s="47"/>
      <c r="G727" s="47"/>
      <c r="H727" s="47"/>
      <c r="I727" s="111"/>
      <c r="J727" s="52"/>
      <c r="K727" s="148"/>
      <c r="L727" s="52"/>
      <c r="M727" s="148"/>
      <c r="N727" s="52"/>
      <c r="O727" s="148"/>
      <c r="P727" s="52"/>
      <c r="Q727" s="155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52"/>
      <c r="AD727" s="52"/>
      <c r="AE727" s="47"/>
      <c r="AF727" s="47"/>
      <c r="AG727" s="227"/>
      <c r="AJ727" s="73"/>
      <c r="AK727" s="47"/>
      <c r="AL727" s="47"/>
      <c r="AM727" s="47"/>
      <c r="AN727" s="47"/>
      <c r="AO727" s="47"/>
      <c r="AP727" s="47"/>
      <c r="AQ727" s="47"/>
      <c r="AR727" s="25"/>
    </row>
    <row r="728" spans="1:44" ht="12.75" customHeight="1" x14ac:dyDescent="0.15">
      <c r="A728" s="47"/>
      <c r="B728" s="47"/>
      <c r="C728" s="47"/>
      <c r="D728" s="47"/>
      <c r="E728" s="47"/>
      <c r="F728" s="47"/>
      <c r="G728" s="47"/>
      <c r="H728" s="47"/>
      <c r="I728" s="111"/>
      <c r="J728" s="52"/>
      <c r="K728" s="148"/>
      <c r="L728" s="52"/>
      <c r="M728" s="148"/>
      <c r="N728" s="52"/>
      <c r="O728" s="148"/>
      <c r="P728" s="52"/>
      <c r="Q728" s="155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52"/>
      <c r="AD728" s="52"/>
      <c r="AE728" s="47"/>
      <c r="AF728" s="47"/>
      <c r="AG728" s="227"/>
      <c r="AJ728" s="73"/>
      <c r="AK728" s="47"/>
      <c r="AL728" s="47"/>
      <c r="AM728" s="47"/>
      <c r="AN728" s="47"/>
      <c r="AO728" s="47"/>
      <c r="AP728" s="47"/>
      <c r="AQ728" s="47"/>
      <c r="AR728" s="25"/>
    </row>
    <row r="729" spans="1:44" ht="12.75" customHeight="1" x14ac:dyDescent="0.15">
      <c r="A729" s="47"/>
      <c r="B729" s="47"/>
      <c r="C729" s="47"/>
      <c r="D729" s="47"/>
      <c r="E729" s="47"/>
      <c r="F729" s="47"/>
      <c r="G729" s="47"/>
      <c r="H729" s="47"/>
      <c r="I729" s="111"/>
      <c r="J729" s="52"/>
      <c r="K729" s="148"/>
      <c r="L729" s="52"/>
      <c r="M729" s="148"/>
      <c r="N729" s="52"/>
      <c r="O729" s="148"/>
      <c r="P729" s="52"/>
      <c r="Q729" s="155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52"/>
      <c r="AD729" s="52"/>
      <c r="AE729" s="47"/>
      <c r="AF729" s="47"/>
      <c r="AG729" s="227"/>
      <c r="AJ729" s="73"/>
      <c r="AK729" s="47"/>
      <c r="AL729" s="47"/>
      <c r="AM729" s="47"/>
      <c r="AN729" s="47"/>
      <c r="AO729" s="47"/>
      <c r="AP729" s="47"/>
      <c r="AQ729" s="47"/>
      <c r="AR729" s="25"/>
    </row>
    <row r="730" spans="1:44" ht="12.75" customHeight="1" x14ac:dyDescent="0.15">
      <c r="A730" s="47"/>
      <c r="B730" s="47"/>
      <c r="C730" s="47"/>
      <c r="D730" s="47"/>
      <c r="E730" s="47"/>
      <c r="F730" s="47"/>
      <c r="G730" s="47"/>
      <c r="H730" s="47"/>
      <c r="I730" s="111"/>
      <c r="J730" s="52"/>
      <c r="K730" s="148"/>
      <c r="L730" s="52"/>
      <c r="M730" s="148"/>
      <c r="N730" s="52"/>
      <c r="O730" s="148"/>
      <c r="P730" s="52"/>
      <c r="Q730" s="155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52"/>
      <c r="AD730" s="52"/>
      <c r="AE730" s="47"/>
      <c r="AF730" s="47"/>
      <c r="AG730" s="227"/>
      <c r="AJ730" s="73"/>
      <c r="AK730" s="47"/>
      <c r="AL730" s="47"/>
      <c r="AM730" s="47"/>
      <c r="AN730" s="47"/>
      <c r="AO730" s="47"/>
      <c r="AP730" s="47"/>
      <c r="AQ730" s="47"/>
      <c r="AR730" s="25"/>
    </row>
    <row r="731" spans="1:44" ht="12.75" customHeight="1" x14ac:dyDescent="0.15">
      <c r="A731" s="47"/>
      <c r="B731" s="47"/>
      <c r="C731" s="47"/>
      <c r="D731" s="47"/>
      <c r="E731" s="47"/>
      <c r="F731" s="47"/>
      <c r="G731" s="47"/>
      <c r="H731" s="47"/>
      <c r="I731" s="111"/>
      <c r="J731" s="52"/>
      <c r="K731" s="148"/>
      <c r="L731" s="52"/>
      <c r="M731" s="148"/>
      <c r="N731" s="52"/>
      <c r="O731" s="148"/>
      <c r="P731" s="52"/>
      <c r="Q731" s="155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52"/>
      <c r="AD731" s="52"/>
      <c r="AE731" s="47"/>
      <c r="AF731" s="47"/>
      <c r="AG731" s="227"/>
      <c r="AJ731" s="73"/>
      <c r="AK731" s="47"/>
      <c r="AL731" s="47"/>
      <c r="AM731" s="47"/>
      <c r="AN731" s="47"/>
      <c r="AO731" s="47"/>
      <c r="AP731" s="47"/>
      <c r="AQ731" s="47"/>
      <c r="AR731" s="25"/>
    </row>
    <row r="732" spans="1:44" ht="12.75" customHeight="1" x14ac:dyDescent="0.15">
      <c r="A732" s="47"/>
      <c r="B732" s="47"/>
      <c r="C732" s="47"/>
      <c r="D732" s="47"/>
      <c r="E732" s="47"/>
      <c r="F732" s="47"/>
      <c r="G732" s="47"/>
      <c r="H732" s="47"/>
      <c r="I732" s="111"/>
      <c r="J732" s="52"/>
      <c r="K732" s="148"/>
      <c r="L732" s="52"/>
      <c r="M732" s="148"/>
      <c r="N732" s="52"/>
      <c r="O732" s="148"/>
      <c r="P732" s="52"/>
      <c r="Q732" s="155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52"/>
      <c r="AD732" s="52"/>
      <c r="AE732" s="47"/>
      <c r="AF732" s="47"/>
      <c r="AG732" s="227"/>
      <c r="AJ732" s="73"/>
      <c r="AK732" s="47"/>
      <c r="AL732" s="47"/>
      <c r="AM732" s="47"/>
      <c r="AN732" s="47"/>
      <c r="AO732" s="47"/>
      <c r="AP732" s="47"/>
      <c r="AQ732" s="47"/>
      <c r="AR732" s="25"/>
    </row>
    <row r="733" spans="1:44" ht="12.75" customHeight="1" x14ac:dyDescent="0.15">
      <c r="A733" s="47"/>
      <c r="B733" s="47"/>
      <c r="C733" s="47"/>
      <c r="D733" s="47"/>
      <c r="E733" s="47"/>
      <c r="F733" s="47"/>
      <c r="G733" s="47"/>
      <c r="H733" s="47"/>
      <c r="I733" s="111"/>
      <c r="J733" s="52"/>
      <c r="K733" s="148"/>
      <c r="L733" s="52"/>
      <c r="M733" s="148"/>
      <c r="N733" s="52"/>
      <c r="O733" s="148"/>
      <c r="P733" s="52"/>
      <c r="Q733" s="155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52"/>
      <c r="AD733" s="52"/>
      <c r="AE733" s="47"/>
      <c r="AF733" s="47"/>
      <c r="AG733" s="227"/>
      <c r="AJ733" s="73"/>
      <c r="AK733" s="47"/>
      <c r="AL733" s="47"/>
      <c r="AM733" s="47"/>
      <c r="AN733" s="47"/>
      <c r="AO733" s="47"/>
      <c r="AP733" s="47"/>
      <c r="AQ733" s="47"/>
      <c r="AR733" s="25"/>
    </row>
    <row r="734" spans="1:44" ht="12.75" customHeight="1" x14ac:dyDescent="0.15">
      <c r="A734" s="47"/>
      <c r="B734" s="47"/>
      <c r="C734" s="47"/>
      <c r="D734" s="47"/>
      <c r="E734" s="47"/>
      <c r="F734" s="47"/>
      <c r="G734" s="47"/>
      <c r="H734" s="47"/>
      <c r="I734" s="111"/>
      <c r="J734" s="52"/>
      <c r="K734" s="148"/>
      <c r="L734" s="52"/>
      <c r="M734" s="148"/>
      <c r="N734" s="52"/>
      <c r="O734" s="148"/>
      <c r="P734" s="52"/>
      <c r="Q734" s="155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52"/>
      <c r="AD734" s="52"/>
      <c r="AE734" s="47"/>
      <c r="AF734" s="47"/>
      <c r="AG734" s="227"/>
      <c r="AJ734" s="73"/>
      <c r="AK734" s="47"/>
      <c r="AL734" s="47"/>
      <c r="AM734" s="47"/>
      <c r="AN734" s="47"/>
      <c r="AO734" s="47"/>
      <c r="AP734" s="47"/>
      <c r="AQ734" s="47"/>
      <c r="AR734" s="25"/>
    </row>
    <row r="735" spans="1:44" ht="12.75" customHeight="1" x14ac:dyDescent="0.15">
      <c r="A735" s="47"/>
      <c r="B735" s="47"/>
      <c r="C735" s="47"/>
      <c r="D735" s="47"/>
      <c r="E735" s="47"/>
      <c r="F735" s="47"/>
      <c r="G735" s="47"/>
      <c r="H735" s="47"/>
      <c r="I735" s="111"/>
      <c r="J735" s="52"/>
      <c r="K735" s="148"/>
      <c r="L735" s="52"/>
      <c r="M735" s="148"/>
      <c r="N735" s="52"/>
      <c r="O735" s="148"/>
      <c r="P735" s="52"/>
      <c r="Q735" s="155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52"/>
      <c r="AD735" s="52"/>
      <c r="AE735" s="47"/>
      <c r="AF735" s="47"/>
      <c r="AG735" s="227"/>
      <c r="AJ735" s="73"/>
      <c r="AK735" s="47"/>
      <c r="AL735" s="47"/>
      <c r="AM735" s="47"/>
      <c r="AN735" s="47"/>
      <c r="AO735" s="47"/>
      <c r="AP735" s="47"/>
      <c r="AQ735" s="47"/>
      <c r="AR735" s="25"/>
    </row>
    <row r="736" spans="1:44" ht="12.75" customHeight="1" x14ac:dyDescent="0.15">
      <c r="A736" s="47"/>
      <c r="B736" s="47"/>
      <c r="C736" s="47"/>
      <c r="D736" s="47"/>
      <c r="E736" s="47"/>
      <c r="F736" s="47"/>
      <c r="G736" s="47"/>
      <c r="H736" s="47"/>
      <c r="I736" s="111"/>
      <c r="J736" s="52"/>
      <c r="K736" s="148"/>
      <c r="L736" s="52"/>
      <c r="M736" s="148"/>
      <c r="N736" s="52"/>
      <c r="O736" s="148"/>
      <c r="P736" s="52"/>
      <c r="Q736" s="155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52"/>
      <c r="AD736" s="52"/>
      <c r="AE736" s="47"/>
      <c r="AF736" s="47"/>
      <c r="AG736" s="227"/>
      <c r="AJ736" s="73"/>
      <c r="AK736" s="47"/>
      <c r="AL736" s="47"/>
      <c r="AM736" s="47"/>
      <c r="AN736" s="47"/>
      <c r="AO736" s="47"/>
      <c r="AP736" s="47"/>
      <c r="AQ736" s="47"/>
      <c r="AR736" s="25"/>
    </row>
    <row r="737" spans="1:44" ht="12.75" customHeight="1" x14ac:dyDescent="0.15">
      <c r="A737" s="47"/>
      <c r="B737" s="47"/>
      <c r="C737" s="47"/>
      <c r="D737" s="47"/>
      <c r="E737" s="47"/>
      <c r="F737" s="47"/>
      <c r="G737" s="47"/>
      <c r="H737" s="47"/>
      <c r="I737" s="111"/>
      <c r="J737" s="52"/>
      <c r="K737" s="148"/>
      <c r="L737" s="52"/>
      <c r="M737" s="148"/>
      <c r="N737" s="52"/>
      <c r="O737" s="148"/>
      <c r="P737" s="52"/>
      <c r="Q737" s="155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52"/>
      <c r="AD737" s="52"/>
      <c r="AE737" s="47"/>
      <c r="AF737" s="47"/>
      <c r="AG737" s="227"/>
      <c r="AJ737" s="73"/>
      <c r="AK737" s="47"/>
      <c r="AL737" s="47"/>
      <c r="AM737" s="47"/>
      <c r="AN737" s="47"/>
      <c r="AO737" s="47"/>
      <c r="AP737" s="47"/>
      <c r="AQ737" s="47"/>
      <c r="AR737" s="25"/>
    </row>
    <row r="738" spans="1:44" ht="12.75" customHeight="1" x14ac:dyDescent="0.15">
      <c r="A738" s="47"/>
      <c r="B738" s="47"/>
      <c r="C738" s="47"/>
      <c r="D738" s="47"/>
      <c r="E738" s="47"/>
      <c r="F738" s="47"/>
      <c r="G738" s="47"/>
      <c r="H738" s="47"/>
      <c r="I738" s="111"/>
      <c r="J738" s="52"/>
      <c r="K738" s="148"/>
      <c r="L738" s="52"/>
      <c r="M738" s="148"/>
      <c r="N738" s="52"/>
      <c r="O738" s="148"/>
      <c r="P738" s="52"/>
      <c r="Q738" s="155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52"/>
      <c r="AD738" s="52"/>
      <c r="AE738" s="47"/>
      <c r="AF738" s="47"/>
      <c r="AG738" s="227"/>
      <c r="AJ738" s="73"/>
      <c r="AK738" s="47"/>
      <c r="AL738" s="47"/>
      <c r="AM738" s="47"/>
      <c r="AN738" s="47"/>
      <c r="AO738" s="47"/>
      <c r="AP738" s="47"/>
      <c r="AQ738" s="47"/>
      <c r="AR738" s="25"/>
    </row>
    <row r="739" spans="1:44" ht="12.75" customHeight="1" x14ac:dyDescent="0.15">
      <c r="A739" s="47"/>
      <c r="B739" s="47"/>
      <c r="C739" s="47"/>
      <c r="D739" s="47"/>
      <c r="E739" s="47"/>
      <c r="F739" s="47"/>
      <c r="G739" s="47"/>
      <c r="H739" s="47"/>
      <c r="I739" s="111"/>
      <c r="J739" s="52"/>
      <c r="K739" s="148"/>
      <c r="L739" s="52"/>
      <c r="M739" s="148"/>
      <c r="N739" s="52"/>
      <c r="O739" s="148"/>
      <c r="P739" s="52"/>
      <c r="Q739" s="155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52"/>
      <c r="AD739" s="52"/>
      <c r="AE739" s="47"/>
      <c r="AF739" s="47"/>
      <c r="AG739" s="227"/>
      <c r="AJ739" s="73"/>
      <c r="AK739" s="47"/>
      <c r="AL739" s="47"/>
      <c r="AM739" s="47"/>
      <c r="AN739" s="47"/>
      <c r="AO739" s="47"/>
      <c r="AP739" s="47"/>
      <c r="AQ739" s="47"/>
      <c r="AR739" s="25"/>
    </row>
    <row r="740" spans="1:44" ht="12.75" customHeight="1" x14ac:dyDescent="0.15">
      <c r="A740" s="47"/>
      <c r="B740" s="47"/>
      <c r="C740" s="47"/>
      <c r="D740" s="47"/>
      <c r="E740" s="47"/>
      <c r="F740" s="47"/>
      <c r="G740" s="47"/>
      <c r="H740" s="47"/>
      <c r="I740" s="111"/>
      <c r="J740" s="52"/>
      <c r="K740" s="148"/>
      <c r="L740" s="52"/>
      <c r="M740" s="148"/>
      <c r="N740" s="52"/>
      <c r="O740" s="148"/>
      <c r="P740" s="52"/>
      <c r="Q740" s="155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52"/>
      <c r="AD740" s="52"/>
      <c r="AE740" s="47"/>
      <c r="AF740" s="47"/>
      <c r="AG740" s="227"/>
      <c r="AJ740" s="73"/>
      <c r="AK740" s="47"/>
      <c r="AL740" s="47"/>
      <c r="AM740" s="47"/>
      <c r="AN740" s="47"/>
      <c r="AO740" s="47"/>
      <c r="AP740" s="47"/>
      <c r="AQ740" s="47"/>
      <c r="AR740" s="25"/>
    </row>
    <row r="741" spans="1:44" ht="12.75" customHeight="1" x14ac:dyDescent="0.15">
      <c r="A741" s="47"/>
      <c r="B741" s="47"/>
      <c r="C741" s="47"/>
      <c r="D741" s="47"/>
      <c r="E741" s="47"/>
      <c r="F741" s="47"/>
      <c r="G741" s="47"/>
      <c r="H741" s="47"/>
      <c r="I741" s="111"/>
      <c r="J741" s="52"/>
      <c r="K741" s="148"/>
      <c r="L741" s="52"/>
      <c r="M741" s="148"/>
      <c r="N741" s="52"/>
      <c r="O741" s="148"/>
      <c r="P741" s="52"/>
      <c r="Q741" s="155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52"/>
      <c r="AD741" s="52"/>
      <c r="AE741" s="47"/>
      <c r="AF741" s="47"/>
      <c r="AG741" s="227"/>
      <c r="AJ741" s="73"/>
      <c r="AK741" s="47"/>
      <c r="AL741" s="47"/>
      <c r="AM741" s="47"/>
      <c r="AN741" s="47"/>
      <c r="AO741" s="47"/>
      <c r="AP741" s="47"/>
      <c r="AQ741" s="47"/>
      <c r="AR741" s="25"/>
    </row>
    <row r="742" spans="1:44" ht="12.75" customHeight="1" x14ac:dyDescent="0.15">
      <c r="A742" s="47"/>
      <c r="B742" s="47"/>
      <c r="C742" s="47"/>
      <c r="D742" s="47"/>
      <c r="E742" s="47"/>
      <c r="F742" s="47"/>
      <c r="G742" s="47"/>
      <c r="H742" s="47"/>
      <c r="I742" s="111"/>
      <c r="J742" s="52"/>
      <c r="K742" s="148"/>
      <c r="L742" s="52"/>
      <c r="M742" s="148"/>
      <c r="N742" s="52"/>
      <c r="O742" s="148"/>
      <c r="P742" s="52"/>
      <c r="Q742" s="155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52"/>
      <c r="AD742" s="52"/>
      <c r="AE742" s="47"/>
      <c r="AF742" s="47"/>
      <c r="AG742" s="227"/>
      <c r="AJ742" s="73"/>
      <c r="AK742" s="47"/>
      <c r="AL742" s="47"/>
      <c r="AM742" s="47"/>
      <c r="AN742" s="47"/>
      <c r="AO742" s="47"/>
      <c r="AP742" s="47"/>
      <c r="AQ742" s="47"/>
      <c r="AR742" s="25"/>
    </row>
    <row r="743" spans="1:44" ht="12.75" customHeight="1" x14ac:dyDescent="0.15">
      <c r="A743" s="47"/>
      <c r="B743" s="47"/>
      <c r="C743" s="47"/>
      <c r="D743" s="47"/>
      <c r="E743" s="47"/>
      <c r="F743" s="47"/>
      <c r="G743" s="47"/>
      <c r="H743" s="47"/>
      <c r="I743" s="111"/>
      <c r="J743" s="52"/>
      <c r="K743" s="148"/>
      <c r="L743" s="52"/>
      <c r="M743" s="148"/>
      <c r="N743" s="52"/>
      <c r="O743" s="148"/>
      <c r="P743" s="52"/>
      <c r="Q743" s="155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52"/>
      <c r="AD743" s="52"/>
      <c r="AE743" s="47"/>
      <c r="AF743" s="47"/>
      <c r="AG743" s="227"/>
      <c r="AJ743" s="73"/>
      <c r="AK743" s="47"/>
      <c r="AL743" s="47"/>
      <c r="AM743" s="47"/>
      <c r="AN743" s="47"/>
      <c r="AO743" s="47"/>
      <c r="AP743" s="47"/>
      <c r="AQ743" s="47"/>
      <c r="AR743" s="25"/>
    </row>
    <row r="744" spans="1:44" ht="12.75" customHeight="1" x14ac:dyDescent="0.15">
      <c r="A744" s="47"/>
      <c r="B744" s="47"/>
      <c r="C744" s="47"/>
      <c r="D744" s="47"/>
      <c r="E744" s="47"/>
      <c r="F744" s="47"/>
      <c r="G744" s="47"/>
      <c r="H744" s="47"/>
      <c r="I744" s="111"/>
      <c r="J744" s="52"/>
      <c r="K744" s="148"/>
      <c r="L744" s="52"/>
      <c r="M744" s="148"/>
      <c r="N744" s="52"/>
      <c r="O744" s="148"/>
      <c r="P744" s="52"/>
      <c r="Q744" s="155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52"/>
      <c r="AD744" s="52"/>
      <c r="AE744" s="47"/>
      <c r="AF744" s="47"/>
      <c r="AG744" s="227"/>
      <c r="AJ744" s="73"/>
      <c r="AK744" s="47"/>
      <c r="AL744" s="47"/>
      <c r="AM744" s="47"/>
      <c r="AN744" s="47"/>
      <c r="AO744" s="47"/>
      <c r="AP744" s="47"/>
      <c r="AQ744" s="47"/>
      <c r="AR744" s="25"/>
    </row>
    <row r="745" spans="1:44" ht="12.75" customHeight="1" x14ac:dyDescent="0.15">
      <c r="A745" s="47"/>
      <c r="B745" s="47"/>
      <c r="C745" s="47"/>
      <c r="D745" s="47"/>
      <c r="E745" s="47"/>
      <c r="F745" s="47"/>
      <c r="G745" s="47"/>
      <c r="H745" s="47"/>
      <c r="I745" s="111"/>
      <c r="J745" s="52"/>
      <c r="K745" s="148"/>
      <c r="L745" s="52"/>
      <c r="M745" s="148"/>
      <c r="N745" s="52"/>
      <c r="O745" s="148"/>
      <c r="P745" s="52"/>
      <c r="Q745" s="155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52"/>
      <c r="AD745" s="52"/>
      <c r="AE745" s="47"/>
      <c r="AF745" s="47"/>
      <c r="AG745" s="227"/>
      <c r="AJ745" s="73"/>
      <c r="AK745" s="47"/>
      <c r="AL745" s="47"/>
      <c r="AM745" s="47"/>
      <c r="AN745" s="47"/>
      <c r="AO745" s="47"/>
      <c r="AP745" s="47"/>
      <c r="AQ745" s="47"/>
      <c r="AR745" s="25"/>
    </row>
    <row r="746" spans="1:44" ht="12.75" customHeight="1" x14ac:dyDescent="0.15">
      <c r="A746" s="47"/>
      <c r="B746" s="47"/>
      <c r="C746" s="47"/>
      <c r="D746" s="47"/>
      <c r="E746" s="47"/>
      <c r="F746" s="47"/>
      <c r="G746" s="47"/>
      <c r="H746" s="47"/>
      <c r="I746" s="111"/>
      <c r="J746" s="52"/>
      <c r="K746" s="148"/>
      <c r="L746" s="52"/>
      <c r="M746" s="148"/>
      <c r="N746" s="52"/>
      <c r="O746" s="148"/>
      <c r="P746" s="52"/>
      <c r="Q746" s="155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52"/>
      <c r="AD746" s="52"/>
      <c r="AE746" s="47"/>
      <c r="AF746" s="47"/>
      <c r="AG746" s="227"/>
      <c r="AJ746" s="73"/>
      <c r="AK746" s="47"/>
      <c r="AL746" s="47"/>
      <c r="AM746" s="47"/>
      <c r="AN746" s="47"/>
      <c r="AO746" s="47"/>
      <c r="AP746" s="47"/>
      <c r="AQ746" s="47"/>
      <c r="AR746" s="25"/>
    </row>
    <row r="747" spans="1:44" ht="12.75" customHeight="1" x14ac:dyDescent="0.15">
      <c r="A747" s="47"/>
      <c r="B747" s="47"/>
      <c r="C747" s="47"/>
      <c r="D747" s="47"/>
      <c r="E747" s="47"/>
      <c r="F747" s="47"/>
      <c r="G747" s="47"/>
      <c r="H747" s="47"/>
      <c r="I747" s="111"/>
      <c r="J747" s="52"/>
      <c r="K747" s="148"/>
      <c r="L747" s="52"/>
      <c r="M747" s="148"/>
      <c r="N747" s="52"/>
      <c r="O747" s="148"/>
      <c r="P747" s="52"/>
      <c r="Q747" s="155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52"/>
      <c r="AD747" s="52"/>
      <c r="AE747" s="47"/>
      <c r="AF747" s="47"/>
      <c r="AG747" s="227"/>
      <c r="AJ747" s="73"/>
      <c r="AK747" s="47"/>
      <c r="AL747" s="47"/>
      <c r="AM747" s="47"/>
      <c r="AN747" s="47"/>
      <c r="AO747" s="47"/>
      <c r="AP747" s="47"/>
      <c r="AQ747" s="47"/>
      <c r="AR747" s="25"/>
    </row>
    <row r="748" spans="1:44" ht="12.75" customHeight="1" x14ac:dyDescent="0.15">
      <c r="A748" s="47"/>
      <c r="B748" s="47"/>
      <c r="C748" s="47"/>
      <c r="D748" s="47"/>
      <c r="E748" s="47"/>
      <c r="F748" s="47"/>
      <c r="G748" s="47"/>
      <c r="H748" s="47"/>
      <c r="I748" s="111"/>
      <c r="J748" s="52"/>
      <c r="K748" s="148"/>
      <c r="L748" s="52"/>
      <c r="M748" s="148"/>
      <c r="N748" s="52"/>
      <c r="O748" s="148"/>
      <c r="P748" s="52"/>
      <c r="Q748" s="155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52"/>
      <c r="AD748" s="52"/>
      <c r="AE748" s="47"/>
      <c r="AF748" s="47"/>
      <c r="AG748" s="227"/>
      <c r="AJ748" s="73"/>
      <c r="AK748" s="47"/>
      <c r="AL748" s="47"/>
      <c r="AM748" s="47"/>
      <c r="AN748" s="47"/>
      <c r="AO748" s="47"/>
      <c r="AP748" s="47"/>
      <c r="AQ748" s="47"/>
      <c r="AR748" s="25"/>
    </row>
    <row r="749" spans="1:44" ht="12.75" customHeight="1" x14ac:dyDescent="0.15">
      <c r="A749" s="47"/>
      <c r="B749" s="47"/>
      <c r="C749" s="47"/>
      <c r="D749" s="47"/>
      <c r="E749" s="47"/>
      <c r="F749" s="47"/>
      <c r="G749" s="47"/>
      <c r="H749" s="47"/>
      <c r="I749" s="111"/>
      <c r="J749" s="52"/>
      <c r="K749" s="148"/>
      <c r="L749" s="52"/>
      <c r="M749" s="148"/>
      <c r="N749" s="52"/>
      <c r="O749" s="148"/>
      <c r="P749" s="52"/>
      <c r="Q749" s="155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52"/>
      <c r="AD749" s="52"/>
      <c r="AE749" s="47"/>
      <c r="AF749" s="47"/>
      <c r="AG749" s="227"/>
      <c r="AJ749" s="73"/>
      <c r="AK749" s="47"/>
      <c r="AL749" s="47"/>
      <c r="AM749" s="47"/>
      <c r="AN749" s="47"/>
      <c r="AO749" s="47"/>
      <c r="AP749" s="47"/>
      <c r="AQ749" s="47"/>
      <c r="AR749" s="25"/>
    </row>
    <row r="750" spans="1:44" ht="12.75" customHeight="1" x14ac:dyDescent="0.15">
      <c r="A750" s="47"/>
      <c r="B750" s="47"/>
      <c r="C750" s="47"/>
      <c r="D750" s="47"/>
      <c r="E750" s="47"/>
      <c r="F750" s="47"/>
      <c r="G750" s="47"/>
      <c r="H750" s="47"/>
      <c r="I750" s="111"/>
      <c r="J750" s="52"/>
      <c r="K750" s="148"/>
      <c r="L750" s="52"/>
      <c r="M750" s="148"/>
      <c r="N750" s="52"/>
      <c r="O750" s="148"/>
      <c r="P750" s="52"/>
      <c r="Q750" s="155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52"/>
      <c r="AD750" s="52"/>
      <c r="AE750" s="47"/>
      <c r="AF750" s="47"/>
      <c r="AG750" s="227"/>
      <c r="AJ750" s="73"/>
      <c r="AK750" s="47"/>
      <c r="AL750" s="47"/>
      <c r="AM750" s="47"/>
      <c r="AN750" s="47"/>
      <c r="AO750" s="47"/>
      <c r="AP750" s="47"/>
      <c r="AQ750" s="47"/>
      <c r="AR750" s="25"/>
    </row>
    <row r="751" spans="1:44" ht="12.75" customHeight="1" x14ac:dyDescent="0.15">
      <c r="A751" s="47"/>
      <c r="B751" s="47"/>
      <c r="C751" s="47"/>
      <c r="D751" s="47"/>
      <c r="E751" s="47"/>
      <c r="F751" s="47"/>
      <c r="G751" s="47"/>
      <c r="H751" s="47"/>
      <c r="I751" s="111"/>
      <c r="J751" s="52"/>
      <c r="K751" s="148"/>
      <c r="L751" s="52"/>
      <c r="M751" s="148"/>
      <c r="N751" s="52"/>
      <c r="O751" s="148"/>
      <c r="P751" s="52"/>
      <c r="Q751" s="155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52"/>
      <c r="AD751" s="52"/>
      <c r="AE751" s="47"/>
      <c r="AF751" s="47"/>
      <c r="AG751" s="227"/>
      <c r="AJ751" s="73"/>
      <c r="AK751" s="47"/>
      <c r="AL751" s="47"/>
      <c r="AM751" s="47"/>
      <c r="AN751" s="47"/>
      <c r="AO751" s="47"/>
      <c r="AP751" s="47"/>
      <c r="AQ751" s="47"/>
      <c r="AR751" s="25"/>
    </row>
    <row r="752" spans="1:44" ht="12.75" customHeight="1" x14ac:dyDescent="0.15">
      <c r="A752" s="47"/>
      <c r="B752" s="47"/>
      <c r="C752" s="47"/>
      <c r="D752" s="47"/>
      <c r="E752" s="47"/>
      <c r="F752" s="47"/>
      <c r="G752" s="47"/>
      <c r="H752" s="47"/>
      <c r="I752" s="111"/>
      <c r="J752" s="52"/>
      <c r="K752" s="148"/>
      <c r="L752" s="52"/>
      <c r="M752" s="148"/>
      <c r="N752" s="52"/>
      <c r="O752" s="148"/>
      <c r="P752" s="52"/>
      <c r="Q752" s="155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52"/>
      <c r="AD752" s="52"/>
      <c r="AE752" s="47"/>
      <c r="AF752" s="47"/>
      <c r="AG752" s="227"/>
      <c r="AJ752" s="73"/>
      <c r="AK752" s="47"/>
      <c r="AL752" s="47"/>
      <c r="AM752" s="47"/>
      <c r="AN752" s="47"/>
      <c r="AO752" s="47"/>
      <c r="AP752" s="47"/>
      <c r="AQ752" s="47"/>
      <c r="AR752" s="25"/>
    </row>
    <row r="753" spans="1:44" ht="12.75" customHeight="1" x14ac:dyDescent="0.15">
      <c r="A753" s="47"/>
      <c r="B753" s="47"/>
      <c r="C753" s="47"/>
      <c r="D753" s="47"/>
      <c r="E753" s="47"/>
      <c r="F753" s="47"/>
      <c r="G753" s="47"/>
      <c r="H753" s="47"/>
      <c r="I753" s="111"/>
      <c r="J753" s="52"/>
      <c r="K753" s="148"/>
      <c r="L753" s="52"/>
      <c r="M753" s="148"/>
      <c r="N753" s="52"/>
      <c r="O753" s="148"/>
      <c r="P753" s="52"/>
      <c r="Q753" s="155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52"/>
      <c r="AD753" s="52"/>
      <c r="AE753" s="47"/>
      <c r="AF753" s="47"/>
      <c r="AG753" s="227"/>
      <c r="AJ753" s="73"/>
      <c r="AK753" s="47"/>
      <c r="AL753" s="47"/>
      <c r="AM753" s="47"/>
      <c r="AN753" s="47"/>
      <c r="AO753" s="47"/>
      <c r="AP753" s="47"/>
      <c r="AQ753" s="47"/>
      <c r="AR753" s="25"/>
    </row>
    <row r="754" spans="1:44" ht="12.75" customHeight="1" x14ac:dyDescent="0.15">
      <c r="A754" s="47"/>
      <c r="B754" s="47"/>
      <c r="C754" s="47"/>
      <c r="D754" s="47"/>
      <c r="E754" s="47"/>
      <c r="F754" s="47"/>
      <c r="G754" s="47"/>
      <c r="H754" s="47"/>
      <c r="I754" s="111"/>
      <c r="J754" s="52"/>
      <c r="K754" s="148"/>
      <c r="L754" s="52"/>
      <c r="M754" s="148"/>
      <c r="N754" s="52"/>
      <c r="O754" s="148"/>
      <c r="P754" s="52"/>
      <c r="Q754" s="155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52"/>
      <c r="AD754" s="52"/>
      <c r="AE754" s="47"/>
      <c r="AF754" s="47"/>
      <c r="AG754" s="227"/>
      <c r="AJ754" s="73"/>
      <c r="AK754" s="47"/>
      <c r="AL754" s="47"/>
      <c r="AM754" s="47"/>
      <c r="AN754" s="47"/>
      <c r="AO754" s="47"/>
      <c r="AP754" s="47"/>
      <c r="AQ754" s="47"/>
      <c r="AR754" s="25"/>
    </row>
    <row r="755" spans="1:44" ht="12.75" customHeight="1" x14ac:dyDescent="0.15">
      <c r="A755" s="47"/>
      <c r="B755" s="47"/>
      <c r="C755" s="47"/>
      <c r="D755" s="47"/>
      <c r="E755" s="47"/>
      <c r="F755" s="47"/>
      <c r="G755" s="47"/>
      <c r="H755" s="47"/>
      <c r="I755" s="111"/>
      <c r="J755" s="52"/>
      <c r="K755" s="148"/>
      <c r="L755" s="52"/>
      <c r="M755" s="148"/>
      <c r="N755" s="52"/>
      <c r="O755" s="148"/>
      <c r="P755" s="52"/>
      <c r="Q755" s="155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52"/>
      <c r="AD755" s="52"/>
      <c r="AE755" s="47"/>
      <c r="AF755" s="47"/>
      <c r="AG755" s="227"/>
      <c r="AJ755" s="73"/>
      <c r="AK755" s="47"/>
      <c r="AL755" s="47"/>
      <c r="AM755" s="47"/>
      <c r="AN755" s="47"/>
      <c r="AO755" s="47"/>
      <c r="AP755" s="47"/>
      <c r="AQ755" s="47"/>
      <c r="AR755" s="25"/>
    </row>
    <row r="756" spans="1:44" ht="12.75" customHeight="1" x14ac:dyDescent="0.15">
      <c r="A756" s="47"/>
      <c r="B756" s="47"/>
      <c r="C756" s="47"/>
      <c r="D756" s="47"/>
      <c r="E756" s="47"/>
      <c r="F756" s="47"/>
      <c r="G756" s="47"/>
      <c r="H756" s="47"/>
      <c r="I756" s="111"/>
      <c r="J756" s="52"/>
      <c r="K756" s="148"/>
      <c r="L756" s="52"/>
      <c r="M756" s="148"/>
      <c r="N756" s="52"/>
      <c r="O756" s="148"/>
      <c r="P756" s="52"/>
      <c r="Q756" s="155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52"/>
      <c r="AD756" s="52"/>
      <c r="AE756" s="47"/>
      <c r="AF756" s="47"/>
      <c r="AG756" s="227"/>
      <c r="AJ756" s="73"/>
      <c r="AK756" s="47"/>
      <c r="AL756" s="47"/>
      <c r="AM756" s="47"/>
      <c r="AN756" s="47"/>
      <c r="AO756" s="47"/>
      <c r="AP756" s="47"/>
      <c r="AQ756" s="47"/>
      <c r="AR756" s="25"/>
    </row>
    <row r="757" spans="1:44" ht="12.75" customHeight="1" x14ac:dyDescent="0.15">
      <c r="A757" s="47"/>
      <c r="B757" s="47"/>
      <c r="C757" s="47"/>
      <c r="D757" s="47"/>
      <c r="E757" s="47"/>
      <c r="F757" s="47"/>
      <c r="G757" s="47"/>
      <c r="H757" s="47"/>
      <c r="I757" s="111"/>
      <c r="J757" s="52"/>
      <c r="K757" s="148"/>
      <c r="L757" s="52"/>
      <c r="M757" s="148"/>
      <c r="N757" s="52"/>
      <c r="O757" s="148"/>
      <c r="P757" s="52"/>
      <c r="Q757" s="155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52"/>
      <c r="AD757" s="52"/>
      <c r="AE757" s="47"/>
      <c r="AF757" s="47"/>
      <c r="AG757" s="227"/>
      <c r="AJ757" s="73"/>
      <c r="AK757" s="47"/>
      <c r="AL757" s="47"/>
      <c r="AM757" s="47"/>
      <c r="AN757" s="47"/>
      <c r="AO757" s="47"/>
      <c r="AP757" s="47"/>
      <c r="AQ757" s="47"/>
      <c r="AR757" s="25"/>
    </row>
    <row r="758" spans="1:44" ht="12.75" customHeight="1" x14ac:dyDescent="0.15">
      <c r="A758" s="47"/>
      <c r="B758" s="47"/>
      <c r="C758" s="47"/>
      <c r="D758" s="47"/>
      <c r="E758" s="47"/>
      <c r="F758" s="47"/>
      <c r="G758" s="47"/>
      <c r="H758" s="47"/>
      <c r="I758" s="111"/>
      <c r="J758" s="52"/>
      <c r="K758" s="148"/>
      <c r="L758" s="52"/>
      <c r="M758" s="148"/>
      <c r="N758" s="52"/>
      <c r="O758" s="148"/>
      <c r="P758" s="52"/>
      <c r="Q758" s="155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52"/>
      <c r="AD758" s="52"/>
      <c r="AE758" s="47"/>
      <c r="AF758" s="47"/>
      <c r="AG758" s="227"/>
      <c r="AJ758" s="73"/>
      <c r="AK758" s="47"/>
      <c r="AL758" s="47"/>
      <c r="AM758" s="47"/>
      <c r="AN758" s="47"/>
      <c r="AO758" s="47"/>
      <c r="AP758" s="47"/>
      <c r="AQ758" s="47"/>
      <c r="AR758" s="25"/>
    </row>
    <row r="759" spans="1:44" ht="12.75" customHeight="1" x14ac:dyDescent="0.15">
      <c r="A759" s="47"/>
      <c r="B759" s="47"/>
      <c r="C759" s="47"/>
      <c r="D759" s="47"/>
      <c r="E759" s="47"/>
      <c r="F759" s="47"/>
      <c r="G759" s="47"/>
      <c r="H759" s="47"/>
      <c r="I759" s="111"/>
      <c r="J759" s="52"/>
      <c r="K759" s="148"/>
      <c r="L759" s="52"/>
      <c r="M759" s="148"/>
      <c r="N759" s="52"/>
      <c r="O759" s="148"/>
      <c r="P759" s="52"/>
      <c r="Q759" s="155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52"/>
      <c r="AD759" s="52"/>
      <c r="AE759" s="47"/>
      <c r="AF759" s="47"/>
      <c r="AG759" s="227"/>
      <c r="AJ759" s="73"/>
      <c r="AK759" s="47"/>
      <c r="AL759" s="47"/>
      <c r="AM759" s="47"/>
      <c r="AN759" s="47"/>
      <c r="AO759" s="47"/>
      <c r="AP759" s="47"/>
      <c r="AQ759" s="47"/>
      <c r="AR759" s="25"/>
    </row>
    <row r="760" spans="1:44" ht="12.75" customHeight="1" x14ac:dyDescent="0.15">
      <c r="A760" s="47"/>
      <c r="B760" s="47"/>
      <c r="C760" s="47"/>
      <c r="D760" s="47"/>
      <c r="E760" s="47"/>
      <c r="F760" s="47"/>
      <c r="G760" s="47"/>
      <c r="H760" s="47"/>
      <c r="I760" s="111"/>
      <c r="J760" s="52"/>
      <c r="K760" s="148"/>
      <c r="L760" s="52"/>
      <c r="M760" s="148"/>
      <c r="N760" s="52"/>
      <c r="O760" s="148"/>
      <c r="P760" s="52"/>
      <c r="Q760" s="155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52"/>
      <c r="AD760" s="52"/>
      <c r="AE760" s="47"/>
      <c r="AF760" s="47"/>
      <c r="AG760" s="227"/>
      <c r="AJ760" s="73"/>
      <c r="AK760" s="47"/>
      <c r="AL760" s="47"/>
      <c r="AM760" s="47"/>
      <c r="AN760" s="47"/>
      <c r="AO760" s="47"/>
      <c r="AP760" s="47"/>
      <c r="AQ760" s="47"/>
      <c r="AR760" s="25"/>
    </row>
    <row r="761" spans="1:44" ht="12.75" customHeight="1" x14ac:dyDescent="0.15">
      <c r="A761" s="47"/>
      <c r="B761" s="47"/>
      <c r="C761" s="47"/>
      <c r="D761" s="47"/>
      <c r="E761" s="47"/>
      <c r="F761" s="47"/>
      <c r="G761" s="47"/>
      <c r="H761" s="47"/>
      <c r="I761" s="111"/>
      <c r="J761" s="52"/>
      <c r="K761" s="148"/>
      <c r="L761" s="52"/>
      <c r="M761" s="148"/>
      <c r="N761" s="52"/>
      <c r="O761" s="148"/>
      <c r="P761" s="52"/>
      <c r="Q761" s="155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52"/>
      <c r="AD761" s="52"/>
      <c r="AE761" s="47"/>
      <c r="AF761" s="47"/>
      <c r="AG761" s="227"/>
      <c r="AJ761" s="73"/>
      <c r="AK761" s="47"/>
      <c r="AL761" s="47"/>
      <c r="AM761" s="47"/>
      <c r="AN761" s="47"/>
      <c r="AO761" s="47"/>
      <c r="AP761" s="47"/>
      <c r="AQ761" s="47"/>
      <c r="AR761" s="25"/>
    </row>
    <row r="762" spans="1:44" ht="12.75" customHeight="1" x14ac:dyDescent="0.15">
      <c r="A762" s="47"/>
      <c r="B762" s="47"/>
      <c r="C762" s="47"/>
      <c r="D762" s="47"/>
      <c r="E762" s="47"/>
      <c r="F762" s="47"/>
      <c r="G762" s="47"/>
      <c r="H762" s="47"/>
      <c r="I762" s="111"/>
      <c r="J762" s="52"/>
      <c r="K762" s="148"/>
      <c r="L762" s="52"/>
      <c r="M762" s="148"/>
      <c r="N762" s="52"/>
      <c r="O762" s="148"/>
      <c r="P762" s="52"/>
      <c r="Q762" s="155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52"/>
      <c r="AD762" s="52"/>
      <c r="AE762" s="47"/>
      <c r="AF762" s="47"/>
      <c r="AG762" s="227"/>
      <c r="AJ762" s="73"/>
      <c r="AK762" s="47"/>
      <c r="AL762" s="47"/>
      <c r="AM762" s="47"/>
      <c r="AN762" s="47"/>
      <c r="AO762" s="47"/>
      <c r="AP762" s="47"/>
      <c r="AQ762" s="47"/>
      <c r="AR762" s="25"/>
    </row>
    <row r="763" spans="1:44" ht="12.75" customHeight="1" x14ac:dyDescent="0.15">
      <c r="A763" s="47"/>
      <c r="B763" s="47"/>
      <c r="C763" s="47"/>
      <c r="D763" s="47"/>
      <c r="E763" s="47"/>
      <c r="F763" s="47"/>
      <c r="G763" s="47"/>
      <c r="H763" s="47"/>
      <c r="I763" s="111"/>
      <c r="J763" s="52"/>
      <c r="K763" s="148"/>
      <c r="L763" s="52"/>
      <c r="M763" s="148"/>
      <c r="N763" s="52"/>
      <c r="O763" s="148"/>
      <c r="P763" s="52"/>
      <c r="Q763" s="155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52"/>
      <c r="AD763" s="52"/>
      <c r="AE763" s="47"/>
      <c r="AF763" s="47"/>
      <c r="AG763" s="227"/>
      <c r="AJ763" s="73"/>
      <c r="AK763" s="47"/>
      <c r="AL763" s="47"/>
      <c r="AM763" s="47"/>
      <c r="AN763" s="47"/>
      <c r="AO763" s="47"/>
      <c r="AP763" s="47"/>
      <c r="AQ763" s="47"/>
      <c r="AR763" s="25"/>
    </row>
    <row r="764" spans="1:44" ht="12.75" customHeight="1" x14ac:dyDescent="0.15">
      <c r="A764" s="47"/>
      <c r="B764" s="47"/>
      <c r="C764" s="47"/>
      <c r="D764" s="47"/>
      <c r="E764" s="47"/>
      <c r="F764" s="47"/>
      <c r="G764" s="47"/>
      <c r="H764" s="47"/>
      <c r="I764" s="111"/>
      <c r="J764" s="52"/>
      <c r="K764" s="148"/>
      <c r="L764" s="52"/>
      <c r="M764" s="148"/>
      <c r="N764" s="52"/>
      <c r="O764" s="148"/>
      <c r="P764" s="52"/>
      <c r="Q764" s="155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52"/>
      <c r="AD764" s="52"/>
      <c r="AE764" s="47"/>
      <c r="AF764" s="47"/>
      <c r="AG764" s="227"/>
      <c r="AJ764" s="73"/>
      <c r="AK764" s="47"/>
      <c r="AL764" s="47"/>
      <c r="AM764" s="47"/>
      <c r="AN764" s="47"/>
      <c r="AO764" s="47"/>
      <c r="AP764" s="47"/>
      <c r="AQ764" s="47"/>
      <c r="AR764" s="25"/>
    </row>
    <row r="765" spans="1:44" ht="12.75" customHeight="1" x14ac:dyDescent="0.15">
      <c r="A765" s="47"/>
      <c r="B765" s="47"/>
      <c r="C765" s="47"/>
      <c r="D765" s="47"/>
      <c r="E765" s="47"/>
      <c r="F765" s="47"/>
      <c r="G765" s="47"/>
      <c r="H765" s="47"/>
      <c r="I765" s="111"/>
      <c r="J765" s="52"/>
      <c r="K765" s="148"/>
      <c r="L765" s="52"/>
      <c r="M765" s="148"/>
      <c r="N765" s="52"/>
      <c r="O765" s="148"/>
      <c r="P765" s="52"/>
      <c r="Q765" s="155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52"/>
      <c r="AD765" s="52"/>
      <c r="AE765" s="47"/>
      <c r="AF765" s="47"/>
      <c r="AG765" s="227"/>
      <c r="AJ765" s="73"/>
      <c r="AK765" s="47"/>
      <c r="AL765" s="47"/>
      <c r="AM765" s="47"/>
      <c r="AN765" s="47"/>
      <c r="AO765" s="47"/>
      <c r="AP765" s="47"/>
      <c r="AQ765" s="47"/>
      <c r="AR765" s="25"/>
    </row>
    <row r="766" spans="1:44" ht="12.75" customHeight="1" x14ac:dyDescent="0.15">
      <c r="A766" s="47"/>
      <c r="B766" s="47"/>
      <c r="C766" s="47"/>
      <c r="D766" s="47"/>
      <c r="E766" s="47"/>
      <c r="F766" s="47"/>
      <c r="G766" s="47"/>
      <c r="H766" s="47"/>
      <c r="I766" s="111"/>
      <c r="J766" s="52"/>
      <c r="K766" s="148"/>
      <c r="L766" s="52"/>
      <c r="M766" s="148"/>
      <c r="N766" s="52"/>
      <c r="O766" s="148"/>
      <c r="P766" s="52"/>
      <c r="Q766" s="155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52"/>
      <c r="AD766" s="52"/>
      <c r="AE766" s="47"/>
      <c r="AF766" s="47"/>
      <c r="AG766" s="227"/>
      <c r="AJ766" s="73"/>
      <c r="AK766" s="47"/>
      <c r="AL766" s="47"/>
      <c r="AM766" s="47"/>
      <c r="AN766" s="47"/>
      <c r="AO766" s="47"/>
      <c r="AP766" s="47"/>
      <c r="AQ766" s="47"/>
      <c r="AR766" s="25"/>
    </row>
    <row r="767" spans="1:44" ht="12.75" customHeight="1" x14ac:dyDescent="0.15">
      <c r="A767" s="47"/>
      <c r="B767" s="47"/>
      <c r="C767" s="47"/>
      <c r="D767" s="47"/>
      <c r="E767" s="47"/>
      <c r="F767" s="47"/>
      <c r="G767" s="47"/>
      <c r="H767" s="47"/>
      <c r="I767" s="111"/>
      <c r="J767" s="52"/>
      <c r="K767" s="148"/>
      <c r="L767" s="52"/>
      <c r="M767" s="148"/>
      <c r="N767" s="52"/>
      <c r="O767" s="148"/>
      <c r="P767" s="52"/>
      <c r="Q767" s="155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52"/>
      <c r="AD767" s="52"/>
      <c r="AE767" s="47"/>
      <c r="AF767" s="47"/>
      <c r="AG767" s="227"/>
      <c r="AJ767" s="73"/>
      <c r="AK767" s="47"/>
      <c r="AL767" s="47"/>
      <c r="AM767" s="47"/>
      <c r="AN767" s="47"/>
      <c r="AO767" s="47"/>
      <c r="AP767" s="47"/>
      <c r="AQ767" s="47"/>
      <c r="AR767" s="25"/>
    </row>
    <row r="768" spans="1:44" ht="12.75" customHeight="1" x14ac:dyDescent="0.15">
      <c r="A768" s="47"/>
      <c r="B768" s="47"/>
      <c r="C768" s="47"/>
      <c r="D768" s="47"/>
      <c r="E768" s="47"/>
      <c r="F768" s="47"/>
      <c r="G768" s="47"/>
      <c r="H768" s="47"/>
      <c r="I768" s="111"/>
      <c r="J768" s="52"/>
      <c r="K768" s="148"/>
      <c r="L768" s="52"/>
      <c r="M768" s="148"/>
      <c r="N768" s="52"/>
      <c r="O768" s="148"/>
      <c r="P768" s="52"/>
      <c r="Q768" s="155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52"/>
      <c r="AD768" s="52"/>
      <c r="AE768" s="47"/>
      <c r="AF768" s="47"/>
      <c r="AG768" s="227"/>
      <c r="AJ768" s="73"/>
      <c r="AK768" s="47"/>
      <c r="AL768" s="47"/>
      <c r="AM768" s="47"/>
      <c r="AN768" s="47"/>
      <c r="AO768" s="47"/>
      <c r="AP768" s="47"/>
      <c r="AQ768" s="47"/>
      <c r="AR768" s="25"/>
    </row>
    <row r="769" spans="1:44" ht="12.75" customHeight="1" x14ac:dyDescent="0.15">
      <c r="A769" s="47"/>
      <c r="B769" s="47"/>
      <c r="C769" s="47"/>
      <c r="D769" s="47"/>
      <c r="E769" s="47"/>
      <c r="F769" s="47"/>
      <c r="G769" s="47"/>
      <c r="H769" s="47"/>
      <c r="I769" s="111"/>
      <c r="J769" s="52"/>
      <c r="K769" s="148"/>
      <c r="L769" s="52"/>
      <c r="M769" s="148"/>
      <c r="N769" s="52"/>
      <c r="O769" s="148"/>
      <c r="P769" s="52"/>
      <c r="Q769" s="155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52"/>
      <c r="AD769" s="52"/>
      <c r="AE769" s="47"/>
      <c r="AF769" s="47"/>
      <c r="AG769" s="227"/>
      <c r="AJ769" s="73"/>
      <c r="AK769" s="47"/>
      <c r="AL769" s="47"/>
      <c r="AM769" s="47"/>
      <c r="AN769" s="47"/>
      <c r="AO769" s="47"/>
      <c r="AP769" s="47"/>
      <c r="AQ769" s="47"/>
      <c r="AR769" s="25"/>
    </row>
    <row r="770" spans="1:44" ht="12.75" customHeight="1" x14ac:dyDescent="0.15">
      <c r="A770" s="47"/>
      <c r="B770" s="47"/>
      <c r="C770" s="47"/>
      <c r="D770" s="47"/>
      <c r="E770" s="47"/>
      <c r="F770" s="47"/>
      <c r="G770" s="47"/>
      <c r="H770" s="47"/>
      <c r="I770" s="111"/>
      <c r="J770" s="52"/>
      <c r="K770" s="148"/>
      <c r="L770" s="52"/>
      <c r="M770" s="148"/>
      <c r="N770" s="52"/>
      <c r="O770" s="148"/>
      <c r="P770" s="52"/>
      <c r="Q770" s="155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52"/>
      <c r="AD770" s="52"/>
      <c r="AE770" s="47"/>
      <c r="AF770" s="47"/>
      <c r="AG770" s="227"/>
      <c r="AJ770" s="73"/>
      <c r="AK770" s="47"/>
      <c r="AL770" s="47"/>
      <c r="AM770" s="47"/>
      <c r="AN770" s="47"/>
      <c r="AO770" s="47"/>
      <c r="AP770" s="47"/>
      <c r="AQ770" s="47"/>
      <c r="AR770" s="25"/>
    </row>
    <row r="771" spans="1:44" ht="12.75" customHeight="1" x14ac:dyDescent="0.15">
      <c r="A771" s="47"/>
      <c r="B771" s="47"/>
      <c r="C771" s="47"/>
      <c r="D771" s="47"/>
      <c r="E771" s="47"/>
      <c r="F771" s="47"/>
      <c r="G771" s="47"/>
      <c r="H771" s="47"/>
      <c r="I771" s="111"/>
      <c r="J771" s="52"/>
      <c r="K771" s="148"/>
      <c r="L771" s="52"/>
      <c r="M771" s="148"/>
      <c r="N771" s="52"/>
      <c r="O771" s="148"/>
      <c r="P771" s="52"/>
      <c r="Q771" s="155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52"/>
      <c r="AD771" s="52"/>
      <c r="AE771" s="47"/>
      <c r="AF771" s="47"/>
      <c r="AG771" s="227"/>
      <c r="AJ771" s="73"/>
      <c r="AK771" s="47"/>
      <c r="AL771" s="47"/>
      <c r="AM771" s="47"/>
      <c r="AN771" s="47"/>
      <c r="AO771" s="47"/>
      <c r="AP771" s="47"/>
      <c r="AQ771" s="47"/>
      <c r="AR771" s="25"/>
    </row>
    <row r="772" spans="1:44" ht="12.75" customHeight="1" x14ac:dyDescent="0.15">
      <c r="A772" s="47"/>
      <c r="B772" s="47"/>
      <c r="C772" s="47"/>
      <c r="D772" s="47"/>
      <c r="E772" s="47"/>
      <c r="F772" s="47"/>
      <c r="G772" s="47"/>
      <c r="H772" s="47"/>
      <c r="I772" s="111"/>
      <c r="J772" s="52"/>
      <c r="K772" s="148"/>
      <c r="L772" s="52"/>
      <c r="M772" s="148"/>
      <c r="N772" s="52"/>
      <c r="O772" s="148"/>
      <c r="P772" s="52"/>
      <c r="Q772" s="155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52"/>
      <c r="AD772" s="52"/>
      <c r="AE772" s="47"/>
      <c r="AF772" s="47"/>
      <c r="AG772" s="227"/>
      <c r="AJ772" s="73"/>
      <c r="AK772" s="47"/>
      <c r="AL772" s="47"/>
      <c r="AM772" s="47"/>
      <c r="AN772" s="47"/>
      <c r="AO772" s="47"/>
      <c r="AP772" s="47"/>
      <c r="AQ772" s="47"/>
      <c r="AR772" s="25"/>
    </row>
    <row r="773" spans="1:44" ht="12.75" customHeight="1" x14ac:dyDescent="0.15">
      <c r="A773" s="47"/>
      <c r="B773" s="47"/>
      <c r="C773" s="47"/>
      <c r="D773" s="47"/>
      <c r="E773" s="47"/>
      <c r="F773" s="47"/>
      <c r="G773" s="47"/>
      <c r="H773" s="47"/>
      <c r="I773" s="111"/>
      <c r="J773" s="52"/>
      <c r="K773" s="148"/>
      <c r="L773" s="52"/>
      <c r="M773" s="148"/>
      <c r="N773" s="52"/>
      <c r="O773" s="148"/>
      <c r="P773" s="52"/>
      <c r="Q773" s="155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52"/>
      <c r="AD773" s="52"/>
      <c r="AE773" s="47"/>
      <c r="AF773" s="47"/>
      <c r="AG773" s="227"/>
      <c r="AJ773" s="73"/>
      <c r="AK773" s="47"/>
      <c r="AL773" s="47"/>
      <c r="AM773" s="47"/>
      <c r="AN773" s="47"/>
      <c r="AO773" s="47"/>
      <c r="AP773" s="47"/>
      <c r="AQ773" s="47"/>
      <c r="AR773" s="25"/>
    </row>
    <row r="774" spans="1:44" ht="12.75" customHeight="1" x14ac:dyDescent="0.15">
      <c r="A774" s="47"/>
      <c r="B774" s="47"/>
      <c r="C774" s="47"/>
      <c r="D774" s="47"/>
      <c r="E774" s="47"/>
      <c r="F774" s="47"/>
      <c r="G774" s="47"/>
      <c r="H774" s="47"/>
      <c r="I774" s="111"/>
      <c r="J774" s="52"/>
      <c r="K774" s="148"/>
      <c r="L774" s="52"/>
      <c r="M774" s="148"/>
      <c r="N774" s="52"/>
      <c r="O774" s="148"/>
      <c r="P774" s="52"/>
      <c r="Q774" s="155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52"/>
      <c r="AD774" s="52"/>
      <c r="AE774" s="47"/>
      <c r="AF774" s="47"/>
      <c r="AG774" s="227"/>
      <c r="AJ774" s="73"/>
      <c r="AK774" s="47"/>
      <c r="AL774" s="47"/>
      <c r="AM774" s="47"/>
      <c r="AN774" s="47"/>
      <c r="AO774" s="47"/>
      <c r="AP774" s="47"/>
      <c r="AQ774" s="47"/>
      <c r="AR774" s="25"/>
    </row>
    <row r="775" spans="1:44" ht="12.75" customHeight="1" x14ac:dyDescent="0.15">
      <c r="A775" s="47"/>
      <c r="B775" s="47"/>
      <c r="C775" s="47"/>
      <c r="D775" s="47"/>
      <c r="E775" s="47"/>
      <c r="F775" s="47"/>
      <c r="G775" s="47"/>
      <c r="H775" s="47"/>
      <c r="I775" s="111"/>
      <c r="J775" s="52"/>
      <c r="K775" s="148"/>
      <c r="L775" s="52"/>
      <c r="M775" s="148"/>
      <c r="N775" s="52"/>
      <c r="O775" s="148"/>
      <c r="P775" s="52"/>
      <c r="Q775" s="155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52"/>
      <c r="AD775" s="52"/>
      <c r="AE775" s="47"/>
      <c r="AF775" s="47"/>
      <c r="AG775" s="227"/>
      <c r="AJ775" s="73"/>
      <c r="AK775" s="47"/>
      <c r="AL775" s="47"/>
      <c r="AM775" s="47"/>
      <c r="AN775" s="47"/>
      <c r="AO775" s="47"/>
      <c r="AP775" s="47"/>
      <c r="AQ775" s="47"/>
      <c r="AR775" s="25"/>
    </row>
    <row r="776" spans="1:44" ht="12.75" customHeight="1" x14ac:dyDescent="0.15">
      <c r="A776" s="47"/>
      <c r="B776" s="47"/>
      <c r="C776" s="47"/>
      <c r="D776" s="47"/>
      <c r="E776" s="47"/>
      <c r="F776" s="47"/>
      <c r="G776" s="47"/>
      <c r="H776" s="47"/>
      <c r="I776" s="111"/>
      <c r="J776" s="52"/>
      <c r="K776" s="148"/>
      <c r="L776" s="52"/>
      <c r="M776" s="148"/>
      <c r="N776" s="52"/>
      <c r="O776" s="148"/>
      <c r="P776" s="52"/>
      <c r="Q776" s="155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52"/>
      <c r="AD776" s="52"/>
      <c r="AE776" s="47"/>
      <c r="AF776" s="47"/>
      <c r="AG776" s="227"/>
      <c r="AJ776" s="73"/>
      <c r="AK776" s="47"/>
      <c r="AL776" s="47"/>
      <c r="AM776" s="47"/>
      <c r="AN776" s="47"/>
      <c r="AO776" s="47"/>
      <c r="AP776" s="47"/>
      <c r="AQ776" s="47"/>
      <c r="AR776" s="25"/>
    </row>
    <row r="777" spans="1:44" ht="12.75" customHeight="1" x14ac:dyDescent="0.15">
      <c r="A777" s="47"/>
      <c r="B777" s="47"/>
      <c r="C777" s="47"/>
      <c r="D777" s="47"/>
      <c r="E777" s="47"/>
      <c r="F777" s="47"/>
      <c r="G777" s="47"/>
      <c r="H777" s="47"/>
      <c r="I777" s="111"/>
      <c r="J777" s="52"/>
      <c r="K777" s="148"/>
      <c r="L777" s="52"/>
      <c r="M777" s="148"/>
      <c r="N777" s="52"/>
      <c r="O777" s="148"/>
      <c r="P777" s="52"/>
      <c r="Q777" s="155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52"/>
      <c r="AD777" s="52"/>
      <c r="AE777" s="47"/>
      <c r="AF777" s="47"/>
      <c r="AG777" s="227"/>
      <c r="AJ777" s="73"/>
      <c r="AK777" s="47"/>
      <c r="AL777" s="47"/>
      <c r="AM777" s="47"/>
      <c r="AN777" s="47"/>
      <c r="AO777" s="47"/>
      <c r="AP777" s="47"/>
      <c r="AQ777" s="47"/>
      <c r="AR777" s="25"/>
    </row>
    <row r="778" spans="1:44" ht="12.75" customHeight="1" x14ac:dyDescent="0.15">
      <c r="A778" s="47"/>
      <c r="B778" s="47"/>
      <c r="C778" s="47"/>
      <c r="D778" s="47"/>
      <c r="E778" s="47"/>
      <c r="F778" s="47"/>
      <c r="G778" s="47"/>
      <c r="H778" s="47"/>
      <c r="I778" s="111"/>
      <c r="J778" s="52"/>
      <c r="K778" s="148"/>
      <c r="L778" s="52"/>
      <c r="M778" s="148"/>
      <c r="N778" s="52"/>
      <c r="O778" s="148"/>
      <c r="P778" s="52"/>
      <c r="Q778" s="155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52"/>
      <c r="AD778" s="52"/>
      <c r="AE778" s="47"/>
      <c r="AF778" s="47"/>
      <c r="AG778" s="227"/>
      <c r="AJ778" s="73"/>
      <c r="AK778" s="47"/>
      <c r="AL778" s="47"/>
      <c r="AM778" s="47"/>
      <c r="AN778" s="47"/>
      <c r="AO778" s="47"/>
      <c r="AP778" s="47"/>
      <c r="AQ778" s="47"/>
      <c r="AR778" s="25"/>
    </row>
    <row r="779" spans="1:44" ht="12.75" customHeight="1" x14ac:dyDescent="0.15">
      <c r="A779" s="47"/>
      <c r="B779" s="47"/>
      <c r="C779" s="47"/>
      <c r="D779" s="47"/>
      <c r="E779" s="47"/>
      <c r="F779" s="47"/>
      <c r="G779" s="47"/>
      <c r="H779" s="47"/>
      <c r="I779" s="111"/>
      <c r="J779" s="52"/>
      <c r="K779" s="148"/>
      <c r="L779" s="52"/>
      <c r="M779" s="148"/>
      <c r="N779" s="52"/>
      <c r="O779" s="148"/>
      <c r="P779" s="52"/>
      <c r="Q779" s="155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52"/>
      <c r="AD779" s="52"/>
      <c r="AE779" s="47"/>
      <c r="AF779" s="47"/>
      <c r="AG779" s="227"/>
      <c r="AJ779" s="73"/>
      <c r="AK779" s="47"/>
      <c r="AL779" s="47"/>
      <c r="AM779" s="47"/>
      <c r="AN779" s="47"/>
      <c r="AO779" s="47"/>
      <c r="AP779" s="47"/>
      <c r="AQ779" s="47"/>
      <c r="AR779" s="25"/>
    </row>
    <row r="780" spans="1:44" ht="12.75" customHeight="1" x14ac:dyDescent="0.15">
      <c r="A780" s="47"/>
      <c r="B780" s="47"/>
      <c r="C780" s="47"/>
      <c r="D780" s="47"/>
      <c r="E780" s="47"/>
      <c r="F780" s="47"/>
      <c r="G780" s="47"/>
      <c r="H780" s="47"/>
      <c r="I780" s="111"/>
      <c r="J780" s="52"/>
      <c r="K780" s="148"/>
      <c r="L780" s="52"/>
      <c r="M780" s="148"/>
      <c r="N780" s="52"/>
      <c r="O780" s="148"/>
      <c r="P780" s="52"/>
      <c r="Q780" s="155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52"/>
      <c r="AD780" s="52"/>
      <c r="AE780" s="47"/>
      <c r="AF780" s="47"/>
      <c r="AG780" s="227"/>
      <c r="AJ780" s="73"/>
      <c r="AK780" s="47"/>
      <c r="AL780" s="47"/>
      <c r="AM780" s="47"/>
      <c r="AN780" s="47"/>
      <c r="AO780" s="47"/>
      <c r="AP780" s="47"/>
      <c r="AQ780" s="47"/>
      <c r="AR780" s="25"/>
    </row>
    <row r="781" spans="1:44" ht="12.75" customHeight="1" x14ac:dyDescent="0.15">
      <c r="A781" s="47"/>
      <c r="B781" s="47"/>
      <c r="C781" s="47"/>
      <c r="D781" s="47"/>
      <c r="E781" s="47"/>
      <c r="F781" s="47"/>
      <c r="G781" s="47"/>
      <c r="H781" s="47"/>
      <c r="I781" s="111"/>
      <c r="J781" s="52"/>
      <c r="K781" s="148"/>
      <c r="L781" s="52"/>
      <c r="M781" s="148"/>
      <c r="N781" s="52"/>
      <c r="O781" s="148"/>
      <c r="P781" s="52"/>
      <c r="Q781" s="155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52"/>
      <c r="AD781" s="52"/>
      <c r="AE781" s="47"/>
      <c r="AF781" s="47"/>
      <c r="AG781" s="227"/>
      <c r="AJ781" s="73"/>
      <c r="AK781" s="47"/>
      <c r="AL781" s="47"/>
      <c r="AM781" s="47"/>
      <c r="AN781" s="47"/>
      <c r="AO781" s="47"/>
      <c r="AP781" s="47"/>
      <c r="AQ781" s="47"/>
      <c r="AR781" s="25"/>
    </row>
    <row r="782" spans="1:44" ht="12.75" customHeight="1" x14ac:dyDescent="0.15">
      <c r="A782" s="47"/>
      <c r="B782" s="47"/>
      <c r="C782" s="47"/>
      <c r="D782" s="47"/>
      <c r="E782" s="47"/>
      <c r="F782" s="47"/>
      <c r="G782" s="47"/>
      <c r="H782" s="47"/>
      <c r="I782" s="111"/>
      <c r="J782" s="52"/>
      <c r="K782" s="148"/>
      <c r="L782" s="52"/>
      <c r="M782" s="148"/>
      <c r="N782" s="52"/>
      <c r="O782" s="148"/>
      <c r="P782" s="52"/>
      <c r="Q782" s="155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52"/>
      <c r="AD782" s="52"/>
      <c r="AE782" s="47"/>
      <c r="AF782" s="47"/>
      <c r="AG782" s="227"/>
      <c r="AJ782" s="73"/>
      <c r="AK782" s="47"/>
      <c r="AL782" s="47"/>
      <c r="AM782" s="47"/>
      <c r="AN782" s="47"/>
      <c r="AO782" s="47"/>
      <c r="AP782" s="47"/>
      <c r="AQ782" s="47"/>
      <c r="AR782" s="25"/>
    </row>
    <row r="783" spans="1:44" ht="12.75" customHeight="1" x14ac:dyDescent="0.15">
      <c r="A783" s="47"/>
      <c r="B783" s="47"/>
      <c r="C783" s="47"/>
      <c r="D783" s="47"/>
      <c r="E783" s="47"/>
      <c r="F783" s="47"/>
      <c r="G783" s="47"/>
      <c r="H783" s="47"/>
      <c r="I783" s="111"/>
      <c r="J783" s="52"/>
      <c r="K783" s="148"/>
      <c r="L783" s="52"/>
      <c r="M783" s="148"/>
      <c r="N783" s="52"/>
      <c r="O783" s="148"/>
      <c r="P783" s="52"/>
      <c r="Q783" s="155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52"/>
      <c r="AD783" s="52"/>
      <c r="AE783" s="47"/>
      <c r="AF783" s="47"/>
      <c r="AG783" s="227"/>
      <c r="AJ783" s="73"/>
      <c r="AK783" s="47"/>
      <c r="AL783" s="47"/>
      <c r="AM783" s="47"/>
      <c r="AN783" s="47"/>
      <c r="AO783" s="47"/>
      <c r="AP783" s="47"/>
      <c r="AQ783" s="47"/>
      <c r="AR783" s="25"/>
    </row>
    <row r="784" spans="1:44" ht="12.75" customHeight="1" x14ac:dyDescent="0.15">
      <c r="A784" s="47"/>
      <c r="B784" s="47"/>
      <c r="C784" s="47"/>
      <c r="D784" s="47"/>
      <c r="E784" s="47"/>
      <c r="F784" s="47"/>
      <c r="G784" s="47"/>
      <c r="H784" s="47"/>
      <c r="I784" s="111"/>
      <c r="J784" s="52"/>
      <c r="K784" s="148"/>
      <c r="L784" s="52"/>
      <c r="M784" s="148"/>
      <c r="N784" s="52"/>
      <c r="O784" s="148"/>
      <c r="P784" s="52"/>
      <c r="Q784" s="155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52"/>
      <c r="AD784" s="52"/>
      <c r="AE784" s="47"/>
      <c r="AF784" s="47"/>
      <c r="AG784" s="227"/>
      <c r="AJ784" s="73"/>
      <c r="AK784" s="47"/>
      <c r="AL784" s="47"/>
      <c r="AM784" s="47"/>
      <c r="AN784" s="47"/>
      <c r="AO784" s="47"/>
      <c r="AP784" s="47"/>
      <c r="AQ784" s="47"/>
      <c r="AR784" s="25"/>
    </row>
    <row r="785" spans="1:44" ht="12.75" customHeight="1" x14ac:dyDescent="0.15">
      <c r="A785" s="47"/>
      <c r="B785" s="47"/>
      <c r="C785" s="47"/>
      <c r="D785" s="47"/>
      <c r="E785" s="47"/>
      <c r="F785" s="47"/>
      <c r="G785" s="47"/>
      <c r="H785" s="47"/>
      <c r="I785" s="111"/>
      <c r="J785" s="52"/>
      <c r="K785" s="148"/>
      <c r="L785" s="52"/>
      <c r="M785" s="148"/>
      <c r="N785" s="52"/>
      <c r="O785" s="148"/>
      <c r="P785" s="52"/>
      <c r="Q785" s="155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52"/>
      <c r="AD785" s="52"/>
      <c r="AE785" s="47"/>
      <c r="AF785" s="47"/>
      <c r="AG785" s="227"/>
      <c r="AJ785" s="73"/>
      <c r="AK785" s="47"/>
      <c r="AL785" s="47"/>
      <c r="AM785" s="47"/>
      <c r="AN785" s="47"/>
      <c r="AO785" s="47"/>
      <c r="AP785" s="47"/>
      <c r="AQ785" s="47"/>
      <c r="AR785" s="25"/>
    </row>
    <row r="786" spans="1:44" ht="12.75" customHeight="1" x14ac:dyDescent="0.15">
      <c r="A786" s="47"/>
      <c r="B786" s="47"/>
      <c r="C786" s="47"/>
      <c r="D786" s="47"/>
      <c r="E786" s="47"/>
      <c r="F786" s="47"/>
      <c r="G786" s="47"/>
      <c r="H786" s="47"/>
      <c r="I786" s="111"/>
      <c r="J786" s="52"/>
      <c r="K786" s="148"/>
      <c r="L786" s="52"/>
      <c r="M786" s="148"/>
      <c r="N786" s="52"/>
      <c r="O786" s="148"/>
      <c r="P786" s="52"/>
      <c r="Q786" s="155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52"/>
      <c r="AD786" s="52"/>
      <c r="AE786" s="47"/>
      <c r="AF786" s="47"/>
      <c r="AG786" s="227"/>
      <c r="AJ786" s="73"/>
      <c r="AK786" s="47"/>
      <c r="AL786" s="47"/>
      <c r="AM786" s="47"/>
      <c r="AN786" s="47"/>
      <c r="AO786" s="47"/>
      <c r="AP786" s="47"/>
      <c r="AQ786" s="47"/>
      <c r="AR786" s="25"/>
    </row>
    <row r="787" spans="1:44" ht="12.75" customHeight="1" x14ac:dyDescent="0.15">
      <c r="A787" s="47"/>
      <c r="B787" s="47"/>
      <c r="C787" s="47"/>
      <c r="D787" s="47"/>
      <c r="E787" s="47"/>
      <c r="F787" s="47"/>
      <c r="G787" s="47"/>
      <c r="H787" s="47"/>
      <c r="I787" s="111"/>
      <c r="J787" s="52"/>
      <c r="K787" s="148"/>
      <c r="L787" s="52"/>
      <c r="M787" s="148"/>
      <c r="N787" s="52"/>
      <c r="O787" s="148"/>
      <c r="P787" s="52"/>
      <c r="Q787" s="155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52"/>
      <c r="AD787" s="52"/>
      <c r="AE787" s="47"/>
      <c r="AF787" s="47"/>
      <c r="AG787" s="227"/>
      <c r="AJ787" s="73"/>
      <c r="AK787" s="47"/>
      <c r="AL787" s="47"/>
      <c r="AM787" s="47"/>
      <c r="AN787" s="47"/>
      <c r="AO787" s="47"/>
      <c r="AP787" s="47"/>
      <c r="AQ787" s="47"/>
      <c r="AR787" s="25"/>
    </row>
    <row r="788" spans="1:44" ht="12.75" customHeight="1" x14ac:dyDescent="0.15">
      <c r="A788" s="47"/>
      <c r="B788" s="47"/>
      <c r="C788" s="47"/>
      <c r="D788" s="47"/>
      <c r="E788" s="47"/>
      <c r="F788" s="47"/>
      <c r="G788" s="47"/>
      <c r="H788" s="47"/>
      <c r="I788" s="111"/>
      <c r="J788" s="52"/>
      <c r="K788" s="148"/>
      <c r="L788" s="52"/>
      <c r="M788" s="148"/>
      <c r="N788" s="52"/>
      <c r="O788" s="148"/>
      <c r="P788" s="52"/>
      <c r="Q788" s="155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52"/>
      <c r="AD788" s="52"/>
      <c r="AE788" s="47"/>
      <c r="AF788" s="47"/>
      <c r="AG788" s="227"/>
      <c r="AJ788" s="73"/>
      <c r="AK788" s="47"/>
      <c r="AL788" s="47"/>
      <c r="AM788" s="47"/>
      <c r="AN788" s="47"/>
      <c r="AO788" s="47"/>
      <c r="AP788" s="47"/>
      <c r="AQ788" s="47"/>
      <c r="AR788" s="25"/>
    </row>
    <row r="789" spans="1:44" ht="12.75" customHeight="1" x14ac:dyDescent="0.15">
      <c r="A789" s="47"/>
      <c r="B789" s="47"/>
      <c r="C789" s="47"/>
      <c r="D789" s="47"/>
      <c r="E789" s="47"/>
      <c r="F789" s="47"/>
      <c r="G789" s="47"/>
      <c r="H789" s="47"/>
      <c r="I789" s="111"/>
      <c r="J789" s="52"/>
      <c r="K789" s="148"/>
      <c r="L789" s="52"/>
      <c r="M789" s="148"/>
      <c r="N789" s="52"/>
      <c r="O789" s="148"/>
      <c r="P789" s="52"/>
      <c r="Q789" s="155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52"/>
      <c r="AD789" s="52"/>
      <c r="AE789" s="47"/>
      <c r="AF789" s="47"/>
      <c r="AG789" s="227"/>
      <c r="AJ789" s="73"/>
      <c r="AK789" s="47"/>
      <c r="AL789" s="47"/>
      <c r="AM789" s="47"/>
      <c r="AN789" s="47"/>
      <c r="AO789" s="47"/>
      <c r="AP789" s="47"/>
      <c r="AQ789" s="47"/>
      <c r="AR789" s="25"/>
    </row>
    <row r="790" spans="1:44" ht="12.75" customHeight="1" x14ac:dyDescent="0.15">
      <c r="A790" s="47"/>
      <c r="B790" s="47"/>
      <c r="C790" s="47"/>
      <c r="D790" s="47"/>
      <c r="E790" s="47"/>
      <c r="F790" s="47"/>
      <c r="G790" s="47"/>
      <c r="H790" s="47"/>
      <c r="I790" s="111"/>
      <c r="J790" s="52"/>
      <c r="K790" s="148"/>
      <c r="L790" s="52"/>
      <c r="M790" s="148"/>
      <c r="N790" s="52"/>
      <c r="O790" s="148"/>
      <c r="P790" s="52"/>
      <c r="Q790" s="155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52"/>
      <c r="AD790" s="52"/>
      <c r="AE790" s="47"/>
      <c r="AF790" s="47"/>
      <c r="AG790" s="227"/>
      <c r="AJ790" s="73"/>
      <c r="AK790" s="47"/>
      <c r="AL790" s="47"/>
      <c r="AM790" s="47"/>
      <c r="AN790" s="47"/>
      <c r="AO790" s="47"/>
      <c r="AP790" s="47"/>
      <c r="AQ790" s="47"/>
      <c r="AR790" s="25"/>
    </row>
    <row r="791" spans="1:44" ht="12.75" customHeight="1" x14ac:dyDescent="0.15">
      <c r="A791" s="47"/>
      <c r="B791" s="47"/>
      <c r="C791" s="47"/>
      <c r="D791" s="47"/>
      <c r="E791" s="47"/>
      <c r="F791" s="47"/>
      <c r="G791" s="47"/>
      <c r="H791" s="47"/>
      <c r="I791" s="111"/>
      <c r="J791" s="52"/>
      <c r="K791" s="148"/>
      <c r="L791" s="52"/>
      <c r="M791" s="148"/>
      <c r="N791" s="52"/>
      <c r="O791" s="148"/>
      <c r="P791" s="52"/>
      <c r="Q791" s="155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52"/>
      <c r="AD791" s="52"/>
      <c r="AE791" s="47"/>
      <c r="AF791" s="47"/>
      <c r="AG791" s="223"/>
      <c r="AH791" s="228"/>
      <c r="AI791" s="229"/>
      <c r="AJ791" s="47"/>
      <c r="AK791" s="47"/>
      <c r="AL791" s="47"/>
      <c r="AM791" s="47"/>
      <c r="AN791" s="47"/>
      <c r="AO791" s="47"/>
      <c r="AP791" s="47"/>
      <c r="AQ791" s="47"/>
      <c r="AR791" s="25"/>
    </row>
    <row r="792" spans="1:44" ht="12.75" customHeight="1" x14ac:dyDescent="0.15">
      <c r="A792" s="47"/>
      <c r="B792" s="47"/>
      <c r="C792" s="47"/>
      <c r="D792" s="47"/>
      <c r="E792" s="47"/>
      <c r="F792" s="47"/>
      <c r="G792" s="47"/>
      <c r="H792" s="47"/>
      <c r="I792" s="111"/>
      <c r="J792" s="52"/>
      <c r="K792" s="148"/>
      <c r="L792" s="52"/>
      <c r="M792" s="148"/>
      <c r="N792" s="52"/>
      <c r="O792" s="148"/>
      <c r="P792" s="52"/>
      <c r="Q792" s="155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52"/>
      <c r="AD792" s="52"/>
      <c r="AE792" s="47"/>
      <c r="AF792" s="47"/>
      <c r="AG792" s="223"/>
      <c r="AH792" s="47"/>
      <c r="AI792" s="223"/>
      <c r="AJ792" s="47"/>
      <c r="AK792" s="47"/>
      <c r="AL792" s="47"/>
      <c r="AM792" s="47"/>
      <c r="AN792" s="47"/>
      <c r="AO792" s="47"/>
      <c r="AP792" s="47"/>
      <c r="AQ792" s="47"/>
      <c r="AR792" s="25"/>
    </row>
    <row r="793" spans="1:44" ht="12.75" customHeight="1" x14ac:dyDescent="0.15">
      <c r="A793" s="47"/>
      <c r="B793" s="47"/>
      <c r="C793" s="47"/>
      <c r="D793" s="47"/>
      <c r="E793" s="47"/>
      <c r="F793" s="47"/>
      <c r="G793" s="47"/>
      <c r="H793" s="47"/>
      <c r="I793" s="111"/>
      <c r="J793" s="52"/>
      <c r="K793" s="148"/>
      <c r="L793" s="52"/>
      <c r="M793" s="148"/>
      <c r="N793" s="52"/>
      <c r="O793" s="148"/>
      <c r="P793" s="52"/>
      <c r="Q793" s="155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52"/>
      <c r="AD793" s="52"/>
      <c r="AE793" s="47"/>
      <c r="AF793" s="47"/>
      <c r="AG793" s="223"/>
      <c r="AH793" s="47"/>
      <c r="AI793" s="223"/>
      <c r="AJ793" s="47"/>
      <c r="AK793" s="47"/>
      <c r="AL793" s="47"/>
      <c r="AM793" s="47"/>
      <c r="AN793" s="47"/>
      <c r="AO793" s="47"/>
      <c r="AP793" s="47"/>
      <c r="AQ793" s="47"/>
      <c r="AR793" s="25"/>
    </row>
    <row r="794" spans="1:44" ht="12.75" customHeight="1" x14ac:dyDescent="0.15">
      <c r="A794" s="47"/>
      <c r="B794" s="47"/>
      <c r="C794" s="47"/>
      <c r="D794" s="47"/>
      <c r="E794" s="47"/>
      <c r="F794" s="47"/>
      <c r="G794" s="47"/>
      <c r="H794" s="47"/>
      <c r="I794" s="111"/>
      <c r="J794" s="52"/>
      <c r="K794" s="148"/>
      <c r="L794" s="52"/>
      <c r="M794" s="148"/>
      <c r="N794" s="52"/>
      <c r="O794" s="148"/>
      <c r="P794" s="52"/>
      <c r="Q794" s="155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52"/>
      <c r="AD794" s="52"/>
      <c r="AE794" s="47"/>
      <c r="AF794" s="47"/>
      <c r="AG794" s="223"/>
      <c r="AH794" s="47"/>
      <c r="AI794" s="223"/>
      <c r="AJ794" s="47"/>
      <c r="AK794" s="47"/>
      <c r="AL794" s="47"/>
      <c r="AM794" s="47"/>
      <c r="AN794" s="47"/>
      <c r="AO794" s="47"/>
      <c r="AP794" s="47"/>
      <c r="AQ794" s="47"/>
      <c r="AR794" s="25"/>
    </row>
    <row r="795" spans="1:44" ht="12.75" customHeight="1" x14ac:dyDescent="0.15">
      <c r="A795" s="47"/>
      <c r="B795" s="47"/>
      <c r="C795" s="47"/>
      <c r="D795" s="47"/>
      <c r="E795" s="47"/>
      <c r="F795" s="47"/>
      <c r="G795" s="47"/>
      <c r="H795" s="47"/>
      <c r="I795" s="111"/>
      <c r="J795" s="52"/>
      <c r="K795" s="148"/>
      <c r="L795" s="52"/>
      <c r="M795" s="148"/>
      <c r="N795" s="52"/>
      <c r="O795" s="148"/>
      <c r="P795" s="52"/>
      <c r="Q795" s="155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52"/>
      <c r="AD795" s="52"/>
      <c r="AE795" s="47"/>
      <c r="AF795" s="47"/>
      <c r="AG795" s="223"/>
      <c r="AH795" s="47"/>
      <c r="AI795" s="223"/>
      <c r="AJ795" s="47"/>
      <c r="AK795" s="47"/>
      <c r="AL795" s="47"/>
      <c r="AM795" s="47"/>
      <c r="AN795" s="47"/>
      <c r="AO795" s="47"/>
      <c r="AP795" s="47"/>
      <c r="AQ795" s="47"/>
      <c r="AR795" s="25"/>
    </row>
    <row r="796" spans="1:44" ht="12.75" customHeight="1" x14ac:dyDescent="0.15">
      <c r="A796" s="47"/>
      <c r="B796" s="47"/>
      <c r="C796" s="47"/>
      <c r="D796" s="47"/>
      <c r="E796" s="47"/>
      <c r="F796" s="47"/>
      <c r="G796" s="47"/>
      <c r="H796" s="47"/>
      <c r="I796" s="111"/>
      <c r="J796" s="52"/>
      <c r="K796" s="148"/>
      <c r="L796" s="52"/>
      <c r="M796" s="148"/>
      <c r="N796" s="52"/>
      <c r="O796" s="148"/>
      <c r="P796" s="52"/>
      <c r="Q796" s="155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52"/>
      <c r="AD796" s="52"/>
      <c r="AE796" s="47"/>
      <c r="AF796" s="47"/>
      <c r="AG796" s="223"/>
      <c r="AH796" s="47"/>
      <c r="AI796" s="223"/>
      <c r="AJ796" s="47"/>
      <c r="AK796" s="47"/>
      <c r="AL796" s="47"/>
      <c r="AM796" s="47"/>
      <c r="AN796" s="47"/>
      <c r="AO796" s="47"/>
      <c r="AP796" s="47"/>
      <c r="AQ796" s="47"/>
      <c r="AR796" s="25"/>
    </row>
    <row r="797" spans="1:44" ht="12.75" customHeight="1" x14ac:dyDescent="0.15">
      <c r="A797" s="47"/>
      <c r="B797" s="47"/>
      <c r="C797" s="47"/>
      <c r="D797" s="47"/>
      <c r="E797" s="47"/>
      <c r="F797" s="47"/>
      <c r="G797" s="47"/>
      <c r="H797" s="47"/>
      <c r="I797" s="111"/>
      <c r="J797" s="52"/>
      <c r="K797" s="148"/>
      <c r="L797" s="52"/>
      <c r="M797" s="148"/>
      <c r="N797" s="52"/>
      <c r="O797" s="148"/>
      <c r="P797" s="52"/>
      <c r="Q797" s="155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52"/>
      <c r="AD797" s="52"/>
      <c r="AE797" s="47"/>
      <c r="AF797" s="47"/>
      <c r="AG797" s="223"/>
      <c r="AH797" s="47"/>
      <c r="AI797" s="223"/>
      <c r="AJ797" s="47"/>
      <c r="AK797" s="47"/>
      <c r="AL797" s="47"/>
      <c r="AM797" s="47"/>
      <c r="AN797" s="47"/>
      <c r="AO797" s="47"/>
      <c r="AP797" s="47"/>
      <c r="AQ797" s="47"/>
      <c r="AR797" s="25"/>
    </row>
    <row r="798" spans="1:44" ht="12.75" customHeight="1" x14ac:dyDescent="0.15">
      <c r="A798" s="47"/>
      <c r="B798" s="47"/>
      <c r="C798" s="47"/>
      <c r="D798" s="47"/>
      <c r="E798" s="47"/>
      <c r="F798" s="47"/>
      <c r="G798" s="47"/>
      <c r="H798" s="47"/>
      <c r="I798" s="111"/>
      <c r="J798" s="52"/>
      <c r="K798" s="148"/>
      <c r="L798" s="52"/>
      <c r="M798" s="148"/>
      <c r="N798" s="52"/>
      <c r="O798" s="148"/>
      <c r="P798" s="52"/>
      <c r="Q798" s="155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52"/>
      <c r="AD798" s="52"/>
      <c r="AE798" s="47"/>
      <c r="AF798" s="47"/>
      <c r="AG798" s="223"/>
      <c r="AH798" s="47"/>
      <c r="AI798" s="223"/>
      <c r="AJ798" s="47"/>
      <c r="AK798" s="47"/>
      <c r="AL798" s="47"/>
      <c r="AM798" s="47"/>
      <c r="AN798" s="47"/>
      <c r="AO798" s="47"/>
      <c r="AP798" s="47"/>
      <c r="AQ798" s="47"/>
      <c r="AR798" s="25"/>
    </row>
    <row r="799" spans="1:44" ht="12.75" customHeight="1" x14ac:dyDescent="0.15">
      <c r="A799" s="47"/>
      <c r="B799" s="47"/>
      <c r="C799" s="47"/>
      <c r="D799" s="47"/>
      <c r="E799" s="47"/>
      <c r="F799" s="47"/>
      <c r="G799" s="47"/>
      <c r="H799" s="47"/>
      <c r="I799" s="111"/>
      <c r="J799" s="52"/>
      <c r="K799" s="148"/>
      <c r="L799" s="52"/>
      <c r="M799" s="148"/>
      <c r="N799" s="52"/>
      <c r="O799" s="148"/>
      <c r="P799" s="52"/>
      <c r="Q799" s="155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52"/>
      <c r="AD799" s="52"/>
      <c r="AE799" s="47"/>
      <c r="AF799" s="47"/>
      <c r="AG799" s="223"/>
      <c r="AH799" s="47"/>
      <c r="AI799" s="223"/>
      <c r="AJ799" s="47"/>
      <c r="AK799" s="47"/>
      <c r="AL799" s="47"/>
      <c r="AM799" s="47"/>
      <c r="AN799" s="47"/>
      <c r="AO799" s="47"/>
      <c r="AP799" s="47"/>
      <c r="AQ799" s="47"/>
      <c r="AR799" s="25"/>
    </row>
    <row r="800" spans="1:44" ht="12.75" customHeight="1" x14ac:dyDescent="0.15">
      <c r="A800" s="47"/>
      <c r="B800" s="47"/>
      <c r="C800" s="47"/>
      <c r="D800" s="47"/>
      <c r="E800" s="47"/>
      <c r="F800" s="47"/>
      <c r="G800" s="47"/>
      <c r="H800" s="47"/>
      <c r="I800" s="111"/>
      <c r="J800" s="52"/>
      <c r="K800" s="148"/>
      <c r="L800" s="52"/>
      <c r="M800" s="148"/>
      <c r="N800" s="52"/>
      <c r="O800" s="148"/>
      <c r="P800" s="52"/>
      <c r="Q800" s="155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52"/>
      <c r="AD800" s="52"/>
      <c r="AE800" s="47"/>
      <c r="AF800" s="47"/>
      <c r="AG800" s="223"/>
      <c r="AH800" s="47"/>
      <c r="AI800" s="223"/>
      <c r="AJ800" s="47"/>
      <c r="AK800" s="47"/>
      <c r="AL800" s="47"/>
      <c r="AM800" s="47"/>
      <c r="AN800" s="47"/>
      <c r="AO800" s="47"/>
      <c r="AP800" s="47"/>
      <c r="AQ800" s="47"/>
      <c r="AR800" s="25"/>
    </row>
    <row r="801" spans="1:44" ht="12.75" customHeight="1" x14ac:dyDescent="0.15">
      <c r="A801" s="47"/>
      <c r="B801" s="47"/>
      <c r="C801" s="47"/>
      <c r="D801" s="47"/>
      <c r="E801" s="47"/>
      <c r="F801" s="47"/>
      <c r="G801" s="47"/>
      <c r="H801" s="47"/>
      <c r="I801" s="111"/>
      <c r="J801" s="52"/>
      <c r="K801" s="148"/>
      <c r="L801" s="52"/>
      <c r="M801" s="148"/>
      <c r="N801" s="52"/>
      <c r="O801" s="148"/>
      <c r="P801" s="52"/>
      <c r="Q801" s="155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52"/>
      <c r="AD801" s="52"/>
      <c r="AE801" s="47"/>
      <c r="AF801" s="47"/>
      <c r="AG801" s="223"/>
      <c r="AH801" s="47"/>
      <c r="AI801" s="223"/>
      <c r="AJ801" s="47"/>
      <c r="AK801" s="47"/>
      <c r="AL801" s="47"/>
      <c r="AM801" s="47"/>
      <c r="AN801" s="47"/>
      <c r="AO801" s="47"/>
      <c r="AP801" s="47"/>
      <c r="AQ801" s="47"/>
      <c r="AR801" s="25"/>
    </row>
    <row r="802" spans="1:44" ht="12.75" customHeight="1" x14ac:dyDescent="0.15">
      <c r="A802" s="47"/>
      <c r="B802" s="47"/>
      <c r="C802" s="47"/>
      <c r="D802" s="47"/>
      <c r="E802" s="47"/>
      <c r="F802" s="47"/>
      <c r="G802" s="47"/>
      <c r="H802" s="47"/>
      <c r="I802" s="111"/>
      <c r="J802" s="52"/>
      <c r="K802" s="148"/>
      <c r="L802" s="52"/>
      <c r="M802" s="148"/>
      <c r="N802" s="52"/>
      <c r="O802" s="148"/>
      <c r="P802" s="52"/>
      <c r="Q802" s="155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52"/>
      <c r="AD802" s="52"/>
      <c r="AE802" s="47"/>
      <c r="AF802" s="47"/>
      <c r="AG802" s="223"/>
      <c r="AH802" s="47"/>
      <c r="AI802" s="223"/>
      <c r="AJ802" s="47"/>
      <c r="AK802" s="47"/>
      <c r="AL802" s="47"/>
      <c r="AM802" s="47"/>
      <c r="AN802" s="47"/>
      <c r="AO802" s="47"/>
      <c r="AP802" s="47"/>
      <c r="AQ802" s="47"/>
      <c r="AR802" s="25"/>
    </row>
    <row r="803" spans="1:44" ht="12.75" customHeight="1" x14ac:dyDescent="0.15">
      <c r="A803" s="47"/>
      <c r="B803" s="47"/>
      <c r="C803" s="47"/>
      <c r="D803" s="47"/>
      <c r="E803" s="47"/>
      <c r="F803" s="47"/>
      <c r="G803" s="47"/>
      <c r="H803" s="47"/>
      <c r="I803" s="111"/>
      <c r="J803" s="52"/>
      <c r="K803" s="148"/>
      <c r="L803" s="52"/>
      <c r="M803" s="148"/>
      <c r="N803" s="52"/>
      <c r="O803" s="148"/>
      <c r="P803" s="52"/>
      <c r="Q803" s="155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52"/>
      <c r="AD803" s="52"/>
      <c r="AE803" s="47"/>
      <c r="AF803" s="47"/>
      <c r="AG803" s="223"/>
      <c r="AH803" s="47"/>
      <c r="AI803" s="223"/>
      <c r="AJ803" s="47"/>
      <c r="AK803" s="47"/>
      <c r="AL803" s="47"/>
      <c r="AM803" s="47"/>
      <c r="AN803" s="47"/>
      <c r="AO803" s="47"/>
      <c r="AP803" s="47"/>
      <c r="AQ803" s="47"/>
      <c r="AR803" s="25"/>
    </row>
    <row r="804" spans="1:44" ht="12.75" customHeight="1" x14ac:dyDescent="0.15">
      <c r="A804" s="47"/>
      <c r="B804" s="47"/>
      <c r="C804" s="47"/>
      <c r="D804" s="47"/>
      <c r="E804" s="47"/>
      <c r="F804" s="47"/>
      <c r="G804" s="47"/>
      <c r="H804" s="47"/>
      <c r="I804" s="111"/>
      <c r="J804" s="52"/>
      <c r="K804" s="148"/>
      <c r="L804" s="52"/>
      <c r="M804" s="148"/>
      <c r="N804" s="52"/>
      <c r="O804" s="148"/>
      <c r="P804" s="52"/>
      <c r="Q804" s="155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52"/>
      <c r="AD804" s="52"/>
      <c r="AE804" s="47"/>
      <c r="AF804" s="47"/>
      <c r="AG804" s="223"/>
      <c r="AH804" s="47"/>
      <c r="AI804" s="223"/>
      <c r="AJ804" s="47"/>
      <c r="AK804" s="47"/>
      <c r="AL804" s="47"/>
      <c r="AM804" s="47"/>
      <c r="AN804" s="47"/>
      <c r="AO804" s="47"/>
      <c r="AP804" s="47"/>
      <c r="AQ804" s="47"/>
      <c r="AR804" s="25"/>
    </row>
    <row r="805" spans="1:44" ht="12.75" customHeight="1" x14ac:dyDescent="0.15">
      <c r="A805" s="47"/>
      <c r="B805" s="47"/>
      <c r="C805" s="47"/>
      <c r="D805" s="47"/>
      <c r="E805" s="47"/>
      <c r="F805" s="47"/>
      <c r="G805" s="47"/>
      <c r="H805" s="47"/>
      <c r="I805" s="111"/>
      <c r="J805" s="52"/>
      <c r="K805" s="148"/>
      <c r="L805" s="52"/>
      <c r="M805" s="148"/>
      <c r="N805" s="52"/>
      <c r="O805" s="148"/>
      <c r="P805" s="52"/>
      <c r="Q805" s="155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52"/>
      <c r="AD805" s="52"/>
      <c r="AE805" s="47"/>
      <c r="AF805" s="47"/>
      <c r="AG805" s="223"/>
      <c r="AH805" s="47"/>
      <c r="AI805" s="223"/>
      <c r="AJ805" s="47"/>
      <c r="AK805" s="47"/>
      <c r="AL805" s="47"/>
      <c r="AM805" s="47"/>
      <c r="AN805" s="47"/>
      <c r="AO805" s="47"/>
      <c r="AP805" s="47"/>
      <c r="AQ805" s="47"/>
      <c r="AR805" s="25"/>
    </row>
    <row r="806" spans="1:44" ht="12.75" customHeight="1" x14ac:dyDescent="0.15">
      <c r="A806" s="47"/>
      <c r="B806" s="47"/>
      <c r="C806" s="47"/>
      <c r="D806" s="47"/>
      <c r="E806" s="47"/>
      <c r="F806" s="47"/>
      <c r="G806" s="47"/>
      <c r="H806" s="47"/>
      <c r="I806" s="111"/>
      <c r="J806" s="52"/>
      <c r="K806" s="148"/>
      <c r="L806" s="52"/>
      <c r="M806" s="148"/>
      <c r="N806" s="52"/>
      <c r="O806" s="148"/>
      <c r="P806" s="52"/>
      <c r="Q806" s="155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52"/>
      <c r="AD806" s="52"/>
      <c r="AE806" s="47"/>
      <c r="AF806" s="47"/>
      <c r="AG806" s="223"/>
      <c r="AH806" s="47"/>
      <c r="AI806" s="223"/>
      <c r="AJ806" s="47"/>
      <c r="AK806" s="47"/>
      <c r="AL806" s="47"/>
      <c r="AM806" s="47"/>
      <c r="AN806" s="47"/>
      <c r="AO806" s="47"/>
      <c r="AP806" s="47"/>
      <c r="AQ806" s="47"/>
      <c r="AR806" s="25"/>
    </row>
    <row r="807" spans="1:44" ht="12.75" customHeight="1" x14ac:dyDescent="0.15">
      <c r="A807" s="47"/>
      <c r="B807" s="47"/>
      <c r="C807" s="47"/>
      <c r="D807" s="47"/>
      <c r="E807" s="47"/>
      <c r="F807" s="47"/>
      <c r="G807" s="47"/>
      <c r="H807" s="47"/>
      <c r="I807" s="111"/>
      <c r="J807" s="52"/>
      <c r="K807" s="148"/>
      <c r="L807" s="52"/>
      <c r="M807" s="148"/>
      <c r="N807" s="52"/>
      <c r="O807" s="148"/>
      <c r="P807" s="52"/>
      <c r="Q807" s="155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52"/>
      <c r="AD807" s="52"/>
      <c r="AE807" s="47"/>
      <c r="AF807" s="47"/>
      <c r="AG807" s="223"/>
      <c r="AH807" s="47"/>
      <c r="AI807" s="223"/>
      <c r="AJ807" s="47"/>
      <c r="AK807" s="47"/>
      <c r="AL807" s="47"/>
      <c r="AM807" s="47"/>
      <c r="AN807" s="47"/>
      <c r="AO807" s="47"/>
      <c r="AP807" s="47"/>
      <c r="AQ807" s="47"/>
      <c r="AR807" s="25"/>
    </row>
    <row r="808" spans="1:44" ht="12.75" customHeight="1" x14ac:dyDescent="0.15">
      <c r="A808" s="47"/>
      <c r="B808" s="47"/>
      <c r="C808" s="47"/>
      <c r="D808" s="47"/>
      <c r="E808" s="47"/>
      <c r="F808" s="47"/>
      <c r="G808" s="47"/>
      <c r="H808" s="47"/>
      <c r="I808" s="111"/>
      <c r="J808" s="52"/>
      <c r="K808" s="148"/>
      <c r="L808" s="52"/>
      <c r="M808" s="148"/>
      <c r="N808" s="52"/>
      <c r="O808" s="148"/>
      <c r="P808" s="52"/>
      <c r="Q808" s="155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52"/>
      <c r="AD808" s="52"/>
      <c r="AE808" s="47"/>
      <c r="AF808" s="47"/>
      <c r="AG808" s="223"/>
      <c r="AH808" s="47"/>
      <c r="AI808" s="223"/>
      <c r="AJ808" s="47"/>
      <c r="AK808" s="47"/>
      <c r="AL808" s="47"/>
      <c r="AM808" s="47"/>
      <c r="AN808" s="47"/>
      <c r="AO808" s="47"/>
      <c r="AP808" s="47"/>
      <c r="AQ808" s="47"/>
      <c r="AR808" s="25"/>
    </row>
    <row r="809" spans="1:44" ht="12.75" customHeight="1" x14ac:dyDescent="0.15">
      <c r="A809" s="47"/>
      <c r="B809" s="47"/>
      <c r="C809" s="47"/>
      <c r="D809" s="47"/>
      <c r="E809" s="47"/>
      <c r="F809" s="47"/>
      <c r="G809" s="47"/>
      <c r="H809" s="47"/>
      <c r="I809" s="111"/>
      <c r="J809" s="52"/>
      <c r="K809" s="148"/>
      <c r="L809" s="52"/>
      <c r="M809" s="148"/>
      <c r="N809" s="52"/>
      <c r="O809" s="148"/>
      <c r="P809" s="52"/>
      <c r="Q809" s="155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52"/>
      <c r="AD809" s="52"/>
      <c r="AE809" s="47"/>
      <c r="AF809" s="47"/>
      <c r="AG809" s="223"/>
      <c r="AH809" s="47"/>
      <c r="AI809" s="223"/>
      <c r="AJ809" s="47"/>
      <c r="AK809" s="47"/>
      <c r="AL809" s="47"/>
      <c r="AM809" s="47"/>
      <c r="AN809" s="47"/>
      <c r="AO809" s="47"/>
      <c r="AP809" s="47"/>
      <c r="AQ809" s="47"/>
      <c r="AR809" s="25"/>
    </row>
    <row r="810" spans="1:44" ht="12.75" customHeight="1" x14ac:dyDescent="0.15">
      <c r="A810" s="47"/>
      <c r="B810" s="47"/>
      <c r="C810" s="47"/>
      <c r="D810" s="47"/>
      <c r="E810" s="47"/>
      <c r="F810" s="47"/>
      <c r="G810" s="47"/>
      <c r="H810" s="47"/>
      <c r="I810" s="111"/>
      <c r="J810" s="52"/>
      <c r="K810" s="148"/>
      <c r="L810" s="52"/>
      <c r="M810" s="148"/>
      <c r="N810" s="52"/>
      <c r="O810" s="148"/>
      <c r="P810" s="52"/>
      <c r="Q810" s="155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52"/>
      <c r="AD810" s="52"/>
      <c r="AE810" s="47"/>
      <c r="AF810" s="47"/>
      <c r="AG810" s="223"/>
      <c r="AH810" s="47"/>
      <c r="AI810" s="223"/>
      <c r="AJ810" s="47"/>
      <c r="AK810" s="47"/>
      <c r="AL810" s="47"/>
      <c r="AM810" s="47"/>
      <c r="AN810" s="47"/>
      <c r="AO810" s="47"/>
      <c r="AP810" s="47"/>
      <c r="AQ810" s="47"/>
      <c r="AR810" s="25"/>
    </row>
    <row r="811" spans="1:44" ht="12.75" customHeight="1" x14ac:dyDescent="0.15">
      <c r="A811" s="47"/>
      <c r="B811" s="47"/>
      <c r="C811" s="47"/>
      <c r="D811" s="47"/>
      <c r="E811" s="47"/>
      <c r="F811" s="47"/>
      <c r="G811" s="47"/>
      <c r="H811" s="47"/>
      <c r="I811" s="111"/>
      <c r="J811" s="52"/>
      <c r="K811" s="148"/>
      <c r="L811" s="52"/>
      <c r="M811" s="148"/>
      <c r="N811" s="52"/>
      <c r="O811" s="148"/>
      <c r="P811" s="52"/>
      <c r="Q811" s="155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52"/>
      <c r="AD811" s="52"/>
      <c r="AE811" s="47"/>
      <c r="AF811" s="47"/>
      <c r="AG811" s="223"/>
      <c r="AH811" s="47"/>
      <c r="AI811" s="223"/>
      <c r="AJ811" s="47"/>
      <c r="AK811" s="47"/>
      <c r="AL811" s="47"/>
      <c r="AM811" s="47"/>
      <c r="AN811" s="47"/>
      <c r="AO811" s="47"/>
      <c r="AP811" s="47"/>
      <c r="AQ811" s="47"/>
      <c r="AR811" s="25"/>
    </row>
    <row r="812" spans="1:44" ht="12.75" customHeight="1" x14ac:dyDescent="0.15">
      <c r="A812" s="47"/>
      <c r="B812" s="47"/>
      <c r="C812" s="47"/>
      <c r="D812" s="47"/>
      <c r="E812" s="47"/>
      <c r="F812" s="47"/>
      <c r="G812" s="47"/>
      <c r="H812" s="47"/>
      <c r="I812" s="111"/>
      <c r="J812" s="52"/>
      <c r="K812" s="148"/>
      <c r="L812" s="52"/>
      <c r="M812" s="148"/>
      <c r="N812" s="52"/>
      <c r="O812" s="148"/>
      <c r="P812" s="52"/>
      <c r="Q812" s="155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52"/>
      <c r="AD812" s="52"/>
      <c r="AE812" s="47"/>
      <c r="AF812" s="47"/>
      <c r="AG812" s="223"/>
      <c r="AH812" s="47"/>
      <c r="AI812" s="223"/>
      <c r="AJ812" s="47"/>
      <c r="AK812" s="47"/>
      <c r="AL812" s="47"/>
      <c r="AM812" s="47"/>
      <c r="AN812" s="47"/>
      <c r="AO812" s="47"/>
      <c r="AP812" s="47"/>
      <c r="AQ812" s="47"/>
      <c r="AR812" s="25"/>
    </row>
    <row r="813" spans="1:44" ht="12.75" customHeight="1" x14ac:dyDescent="0.15">
      <c r="A813" s="47"/>
      <c r="B813" s="47"/>
      <c r="C813" s="47"/>
      <c r="D813" s="47"/>
      <c r="E813" s="47"/>
      <c r="F813" s="47"/>
      <c r="G813" s="47"/>
      <c r="H813" s="47"/>
      <c r="I813" s="111"/>
      <c r="J813" s="52"/>
      <c r="K813" s="148"/>
      <c r="L813" s="52"/>
      <c r="M813" s="148"/>
      <c r="N813" s="52"/>
      <c r="O813" s="148"/>
      <c r="P813" s="52"/>
      <c r="Q813" s="155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52"/>
      <c r="AD813" s="52"/>
      <c r="AE813" s="47"/>
      <c r="AF813" s="47"/>
      <c r="AG813" s="223"/>
      <c r="AH813" s="47"/>
      <c r="AI813" s="223"/>
      <c r="AJ813" s="47"/>
      <c r="AK813" s="47"/>
      <c r="AL813" s="47"/>
      <c r="AM813" s="47"/>
      <c r="AN813" s="47"/>
      <c r="AO813" s="47"/>
      <c r="AP813" s="47"/>
      <c r="AQ813" s="47"/>
      <c r="AR813" s="25"/>
    </row>
    <row r="814" spans="1:44" ht="12.75" customHeight="1" x14ac:dyDescent="0.15">
      <c r="A814" s="47"/>
      <c r="B814" s="47"/>
      <c r="C814" s="47"/>
      <c r="D814" s="47"/>
      <c r="E814" s="47"/>
      <c r="F814" s="47"/>
      <c r="G814" s="47"/>
      <c r="H814" s="47"/>
      <c r="I814" s="111"/>
      <c r="J814" s="52"/>
      <c r="K814" s="148"/>
      <c r="L814" s="52"/>
      <c r="M814" s="148"/>
      <c r="N814" s="52"/>
      <c r="O814" s="148"/>
      <c r="P814" s="52"/>
      <c r="Q814" s="155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52"/>
      <c r="AD814" s="52"/>
      <c r="AE814" s="47"/>
      <c r="AF814" s="47"/>
      <c r="AG814" s="223"/>
      <c r="AH814" s="47"/>
      <c r="AI814" s="223"/>
      <c r="AJ814" s="47"/>
      <c r="AK814" s="47"/>
      <c r="AL814" s="47"/>
      <c r="AM814" s="47"/>
      <c r="AN814" s="47"/>
      <c r="AO814" s="47"/>
      <c r="AP814" s="47"/>
      <c r="AQ814" s="47"/>
      <c r="AR814" s="25"/>
    </row>
    <row r="815" spans="1:44" ht="12.75" customHeight="1" x14ac:dyDescent="0.15">
      <c r="A815" s="47"/>
      <c r="B815" s="47"/>
      <c r="C815" s="47"/>
      <c r="D815" s="47"/>
      <c r="E815" s="47"/>
      <c r="F815" s="47"/>
      <c r="G815" s="47"/>
      <c r="H815" s="47"/>
      <c r="I815" s="111"/>
      <c r="J815" s="52"/>
      <c r="K815" s="148"/>
      <c r="L815" s="52"/>
      <c r="M815" s="148"/>
      <c r="N815" s="52"/>
      <c r="O815" s="148"/>
      <c r="P815" s="52"/>
      <c r="Q815" s="155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52"/>
      <c r="AD815" s="52"/>
      <c r="AE815" s="47"/>
      <c r="AF815" s="47"/>
      <c r="AG815" s="223"/>
      <c r="AH815" s="47"/>
      <c r="AI815" s="223"/>
      <c r="AJ815" s="47"/>
      <c r="AK815" s="47"/>
      <c r="AL815" s="47"/>
      <c r="AM815" s="47"/>
      <c r="AN815" s="47"/>
      <c r="AO815" s="47"/>
      <c r="AP815" s="47"/>
      <c r="AQ815" s="47"/>
      <c r="AR815" s="25"/>
    </row>
    <row r="816" spans="1:44" ht="12.75" customHeight="1" x14ac:dyDescent="0.15">
      <c r="A816" s="47"/>
      <c r="B816" s="47"/>
      <c r="C816" s="47"/>
      <c r="D816" s="47"/>
      <c r="E816" s="47"/>
      <c r="F816" s="47"/>
      <c r="G816" s="47"/>
      <c r="H816" s="47"/>
      <c r="I816" s="111"/>
      <c r="J816" s="52"/>
      <c r="K816" s="148"/>
      <c r="L816" s="52"/>
      <c r="M816" s="148"/>
      <c r="N816" s="52"/>
      <c r="O816" s="148"/>
      <c r="P816" s="52"/>
      <c r="Q816" s="155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52"/>
      <c r="AD816" s="52"/>
      <c r="AE816" s="47"/>
      <c r="AF816" s="47"/>
      <c r="AG816" s="223"/>
      <c r="AH816" s="47"/>
      <c r="AI816" s="223"/>
      <c r="AJ816" s="47"/>
      <c r="AK816" s="47"/>
      <c r="AL816" s="47"/>
      <c r="AM816" s="47"/>
      <c r="AN816" s="47"/>
      <c r="AO816" s="47"/>
      <c r="AP816" s="47"/>
      <c r="AQ816" s="47"/>
      <c r="AR816" s="25"/>
    </row>
    <row r="817" spans="1:44" ht="12.75" customHeight="1" x14ac:dyDescent="0.15">
      <c r="A817" s="47"/>
      <c r="B817" s="47"/>
      <c r="C817" s="47"/>
      <c r="D817" s="47"/>
      <c r="E817" s="47"/>
      <c r="F817" s="47"/>
      <c r="G817" s="47"/>
      <c r="H817" s="47"/>
      <c r="I817" s="111"/>
      <c r="J817" s="52"/>
      <c r="K817" s="148"/>
      <c r="L817" s="52"/>
      <c r="M817" s="148"/>
      <c r="N817" s="52"/>
      <c r="O817" s="148"/>
      <c r="P817" s="52"/>
      <c r="Q817" s="155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52"/>
      <c r="AD817" s="52"/>
      <c r="AE817" s="47"/>
      <c r="AF817" s="47"/>
      <c r="AG817" s="223"/>
      <c r="AH817" s="47"/>
      <c r="AI817" s="223"/>
      <c r="AJ817" s="47"/>
      <c r="AK817" s="47"/>
      <c r="AL817" s="47"/>
      <c r="AM817" s="47"/>
      <c r="AN817" s="47"/>
      <c r="AO817" s="47"/>
      <c r="AP817" s="47"/>
      <c r="AQ817" s="47"/>
      <c r="AR817" s="25"/>
    </row>
    <row r="818" spans="1:44" ht="12.75" customHeight="1" x14ac:dyDescent="0.15">
      <c r="A818" s="47"/>
      <c r="B818" s="47"/>
      <c r="C818" s="47"/>
      <c r="D818" s="47"/>
      <c r="E818" s="47"/>
      <c r="F818" s="47"/>
      <c r="G818" s="47"/>
      <c r="H818" s="47"/>
      <c r="I818" s="111"/>
      <c r="J818" s="52"/>
      <c r="K818" s="148"/>
      <c r="L818" s="52"/>
      <c r="M818" s="148"/>
      <c r="N818" s="52"/>
      <c r="O818" s="148"/>
      <c r="P818" s="52"/>
      <c r="Q818" s="155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52"/>
      <c r="AD818" s="52"/>
      <c r="AE818" s="47"/>
      <c r="AF818" s="47"/>
      <c r="AG818" s="223"/>
      <c r="AH818" s="47"/>
      <c r="AI818" s="223"/>
      <c r="AJ818" s="47"/>
      <c r="AK818" s="47"/>
      <c r="AL818" s="47"/>
      <c r="AM818" s="47"/>
      <c r="AN818" s="47"/>
      <c r="AO818" s="47"/>
      <c r="AP818" s="47"/>
      <c r="AQ818" s="47"/>
      <c r="AR818" s="25"/>
    </row>
    <row r="819" spans="1:44" ht="12.75" customHeight="1" x14ac:dyDescent="0.15">
      <c r="A819" s="47"/>
      <c r="B819" s="47"/>
      <c r="C819" s="47"/>
      <c r="D819" s="47"/>
      <c r="E819" s="47"/>
      <c r="F819" s="47"/>
      <c r="G819" s="47"/>
      <c r="H819" s="47"/>
      <c r="I819" s="111"/>
      <c r="J819" s="52"/>
      <c r="K819" s="148"/>
      <c r="L819" s="52"/>
      <c r="M819" s="148"/>
      <c r="N819" s="52"/>
      <c r="O819" s="148"/>
      <c r="P819" s="52"/>
      <c r="Q819" s="155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52"/>
      <c r="AD819" s="52"/>
      <c r="AE819" s="47"/>
      <c r="AF819" s="47"/>
      <c r="AG819" s="223"/>
      <c r="AH819" s="47"/>
      <c r="AI819" s="223"/>
      <c r="AJ819" s="47"/>
      <c r="AK819" s="47"/>
      <c r="AL819" s="47"/>
      <c r="AM819" s="47"/>
      <c r="AN819" s="47"/>
      <c r="AO819" s="47"/>
      <c r="AP819" s="47"/>
      <c r="AQ819" s="47"/>
      <c r="AR819" s="25"/>
    </row>
    <row r="820" spans="1:44" ht="12.75" customHeight="1" x14ac:dyDescent="0.15">
      <c r="A820" s="47"/>
      <c r="B820" s="47"/>
      <c r="C820" s="47"/>
      <c r="D820" s="47"/>
      <c r="E820" s="47"/>
      <c r="F820" s="47"/>
      <c r="G820" s="47"/>
      <c r="H820" s="47"/>
      <c r="I820" s="111"/>
      <c r="J820" s="52"/>
      <c r="K820" s="148"/>
      <c r="L820" s="52"/>
      <c r="M820" s="148"/>
      <c r="N820" s="52"/>
      <c r="O820" s="148"/>
      <c r="P820" s="52"/>
      <c r="Q820" s="155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52"/>
      <c r="AD820" s="52"/>
      <c r="AE820" s="47"/>
      <c r="AF820" s="47"/>
      <c r="AG820" s="223"/>
      <c r="AH820" s="47"/>
      <c r="AI820" s="223"/>
      <c r="AJ820" s="47"/>
      <c r="AK820" s="47"/>
      <c r="AL820" s="47"/>
      <c r="AM820" s="47"/>
      <c r="AN820" s="47"/>
      <c r="AO820" s="47"/>
      <c r="AP820" s="47"/>
      <c r="AQ820" s="47"/>
      <c r="AR820" s="25"/>
    </row>
    <row r="821" spans="1:44" ht="12.75" customHeight="1" x14ac:dyDescent="0.15">
      <c r="A821" s="47"/>
      <c r="B821" s="47"/>
      <c r="C821" s="47"/>
      <c r="D821" s="47"/>
      <c r="E821" s="47"/>
      <c r="F821" s="47"/>
      <c r="G821" s="47"/>
      <c r="H821" s="47"/>
      <c r="I821" s="111"/>
      <c r="J821" s="52"/>
      <c r="K821" s="148"/>
      <c r="L821" s="52"/>
      <c r="M821" s="148"/>
      <c r="N821" s="52"/>
      <c r="O821" s="148"/>
      <c r="P821" s="52"/>
      <c r="Q821" s="155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52"/>
      <c r="AD821" s="52"/>
      <c r="AE821" s="47"/>
      <c r="AF821" s="47"/>
      <c r="AG821" s="223"/>
      <c r="AH821" s="47"/>
      <c r="AI821" s="223"/>
      <c r="AJ821" s="47"/>
      <c r="AK821" s="47"/>
      <c r="AL821" s="47"/>
      <c r="AM821" s="47"/>
      <c r="AN821" s="47"/>
      <c r="AO821" s="47"/>
      <c r="AP821" s="47"/>
      <c r="AQ821" s="47"/>
      <c r="AR821" s="25"/>
    </row>
    <row r="822" spans="1:44" ht="12.75" customHeight="1" x14ac:dyDescent="0.15">
      <c r="A822" s="47"/>
      <c r="B822" s="47"/>
      <c r="C822" s="47"/>
      <c r="D822" s="47"/>
      <c r="E822" s="47"/>
      <c r="F822" s="47"/>
      <c r="G822" s="47"/>
      <c r="H822" s="47"/>
      <c r="I822" s="111"/>
      <c r="J822" s="52"/>
      <c r="K822" s="148"/>
      <c r="L822" s="52"/>
      <c r="M822" s="148"/>
      <c r="N822" s="52"/>
      <c r="O822" s="148"/>
      <c r="P822" s="52"/>
      <c r="Q822" s="155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52"/>
      <c r="AD822" s="52"/>
      <c r="AE822" s="47"/>
      <c r="AF822" s="47"/>
      <c r="AG822" s="223"/>
      <c r="AH822" s="47"/>
      <c r="AI822" s="223"/>
      <c r="AJ822" s="47"/>
      <c r="AK822" s="47"/>
      <c r="AL822" s="47"/>
      <c r="AM822" s="47"/>
      <c r="AN822" s="47"/>
      <c r="AO822" s="47"/>
      <c r="AP822" s="47"/>
      <c r="AQ822" s="47"/>
      <c r="AR822" s="25"/>
    </row>
    <row r="823" spans="1:44" ht="12.75" customHeight="1" x14ac:dyDescent="0.15">
      <c r="A823" s="47"/>
      <c r="B823" s="47"/>
      <c r="C823" s="47"/>
      <c r="D823" s="47"/>
      <c r="E823" s="47"/>
      <c r="F823" s="47"/>
      <c r="G823" s="47"/>
      <c r="H823" s="47"/>
      <c r="I823" s="111"/>
      <c r="J823" s="52"/>
      <c r="K823" s="148"/>
      <c r="L823" s="52"/>
      <c r="M823" s="148"/>
      <c r="N823" s="52"/>
      <c r="O823" s="148"/>
      <c r="P823" s="52"/>
      <c r="Q823" s="155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52"/>
      <c r="AD823" s="52"/>
      <c r="AE823" s="47"/>
      <c r="AF823" s="47"/>
      <c r="AG823" s="223"/>
      <c r="AH823" s="47"/>
      <c r="AI823" s="223"/>
      <c r="AJ823" s="47"/>
      <c r="AK823" s="47"/>
      <c r="AL823" s="47"/>
      <c r="AM823" s="47"/>
      <c r="AN823" s="47"/>
      <c r="AO823" s="47"/>
      <c r="AP823" s="47"/>
      <c r="AQ823" s="47"/>
      <c r="AR823" s="25"/>
    </row>
    <row r="824" spans="1:44" ht="12.75" customHeight="1" x14ac:dyDescent="0.15">
      <c r="A824" s="47"/>
      <c r="B824" s="47"/>
      <c r="C824" s="47"/>
      <c r="D824" s="47"/>
      <c r="E824" s="47"/>
      <c r="F824" s="47"/>
      <c r="G824" s="47"/>
      <c r="H824" s="47"/>
      <c r="I824" s="111"/>
      <c r="J824" s="52"/>
      <c r="K824" s="148"/>
      <c r="L824" s="52"/>
      <c r="M824" s="148"/>
      <c r="N824" s="52"/>
      <c r="O824" s="148"/>
      <c r="P824" s="52"/>
      <c r="Q824" s="155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52"/>
      <c r="AD824" s="52"/>
      <c r="AE824" s="47"/>
      <c r="AF824" s="47"/>
      <c r="AG824" s="223"/>
      <c r="AH824" s="47"/>
      <c r="AI824" s="223"/>
      <c r="AJ824" s="47"/>
      <c r="AK824" s="47"/>
      <c r="AL824" s="47"/>
      <c r="AM824" s="47"/>
      <c r="AN824" s="47"/>
      <c r="AO824" s="47"/>
      <c r="AP824" s="47"/>
      <c r="AQ824" s="47"/>
      <c r="AR824" s="25"/>
    </row>
    <row r="825" spans="1:44" ht="12.75" customHeight="1" x14ac:dyDescent="0.15">
      <c r="A825" s="47"/>
      <c r="B825" s="47"/>
      <c r="C825" s="47"/>
      <c r="D825" s="47"/>
      <c r="E825" s="47"/>
      <c r="F825" s="47"/>
      <c r="G825" s="47"/>
      <c r="H825" s="47"/>
      <c r="I825" s="111"/>
      <c r="J825" s="52"/>
      <c r="K825" s="148"/>
      <c r="L825" s="52"/>
      <c r="M825" s="148"/>
      <c r="N825" s="52"/>
      <c r="O825" s="148"/>
      <c r="P825" s="52"/>
      <c r="Q825" s="155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52"/>
      <c r="AD825" s="52"/>
      <c r="AE825" s="47"/>
      <c r="AF825" s="47"/>
      <c r="AG825" s="223"/>
      <c r="AH825" s="47"/>
      <c r="AI825" s="223"/>
      <c r="AJ825" s="47"/>
      <c r="AK825" s="47"/>
      <c r="AL825" s="47"/>
      <c r="AM825" s="47"/>
      <c r="AN825" s="47"/>
      <c r="AO825" s="47"/>
      <c r="AP825" s="47"/>
      <c r="AQ825" s="47"/>
      <c r="AR825" s="25"/>
    </row>
    <row r="826" spans="1:44" ht="12.75" customHeight="1" x14ac:dyDescent="0.15">
      <c r="A826" s="47"/>
      <c r="B826" s="47"/>
      <c r="C826" s="47"/>
      <c r="D826" s="47"/>
      <c r="E826" s="47"/>
      <c r="F826" s="47"/>
      <c r="G826" s="47"/>
      <c r="H826" s="47"/>
      <c r="I826" s="111"/>
      <c r="J826" s="52"/>
      <c r="K826" s="148"/>
      <c r="L826" s="52"/>
      <c r="M826" s="148"/>
      <c r="N826" s="52"/>
      <c r="O826" s="148"/>
      <c r="P826" s="52"/>
      <c r="Q826" s="155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52"/>
      <c r="AD826" s="52"/>
      <c r="AE826" s="47"/>
      <c r="AF826" s="47"/>
      <c r="AG826" s="223"/>
      <c r="AH826" s="47"/>
      <c r="AI826" s="223"/>
      <c r="AJ826" s="47"/>
      <c r="AK826" s="47"/>
      <c r="AL826" s="47"/>
      <c r="AM826" s="47"/>
      <c r="AN826" s="47"/>
      <c r="AO826" s="47"/>
      <c r="AP826" s="47"/>
      <c r="AQ826" s="47"/>
      <c r="AR826" s="25"/>
    </row>
    <row r="827" spans="1:44" ht="12.75" customHeight="1" x14ac:dyDescent="0.15">
      <c r="A827" s="47"/>
      <c r="B827" s="47"/>
      <c r="C827" s="47"/>
      <c r="D827" s="47"/>
      <c r="E827" s="47"/>
      <c r="F827" s="47"/>
      <c r="G827" s="47"/>
      <c r="H827" s="47"/>
      <c r="I827" s="111"/>
      <c r="J827" s="52"/>
      <c r="K827" s="148"/>
      <c r="L827" s="52"/>
      <c r="M827" s="148"/>
      <c r="N827" s="52"/>
      <c r="O827" s="148"/>
      <c r="P827" s="52"/>
      <c r="Q827" s="155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52"/>
      <c r="AD827" s="52"/>
      <c r="AE827" s="47"/>
      <c r="AF827" s="47"/>
      <c r="AG827" s="223"/>
      <c r="AH827" s="47"/>
      <c r="AI827" s="223"/>
      <c r="AJ827" s="47"/>
      <c r="AK827" s="47"/>
      <c r="AL827" s="47"/>
      <c r="AM827" s="47"/>
      <c r="AN827" s="47"/>
      <c r="AO827" s="47"/>
      <c r="AP827" s="47"/>
      <c r="AQ827" s="47"/>
      <c r="AR827" s="25"/>
    </row>
    <row r="828" spans="1:44" ht="12.75" customHeight="1" x14ac:dyDescent="0.15">
      <c r="A828" s="47"/>
      <c r="B828" s="47"/>
      <c r="C828" s="47"/>
      <c r="D828" s="47"/>
      <c r="E828" s="47"/>
      <c r="F828" s="47"/>
      <c r="G828" s="47"/>
      <c r="H828" s="47"/>
      <c r="I828" s="111"/>
      <c r="J828" s="52"/>
      <c r="K828" s="148"/>
      <c r="L828" s="52"/>
      <c r="M828" s="148"/>
      <c r="N828" s="52"/>
      <c r="O828" s="148"/>
      <c r="P828" s="52"/>
      <c r="Q828" s="155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52"/>
      <c r="AD828" s="52"/>
      <c r="AE828" s="47"/>
      <c r="AF828" s="47"/>
      <c r="AG828" s="223"/>
      <c r="AH828" s="47"/>
      <c r="AI828" s="223"/>
      <c r="AJ828" s="47"/>
      <c r="AK828" s="47"/>
      <c r="AL828" s="47"/>
      <c r="AM828" s="47"/>
      <c r="AN828" s="47"/>
      <c r="AO828" s="47"/>
      <c r="AP828" s="47"/>
      <c r="AQ828" s="47"/>
      <c r="AR828" s="25"/>
    </row>
    <row r="829" spans="1:44" ht="12.75" customHeight="1" x14ac:dyDescent="0.15">
      <c r="A829" s="47"/>
      <c r="B829" s="47"/>
      <c r="C829" s="47"/>
      <c r="D829" s="47"/>
      <c r="E829" s="47"/>
      <c r="F829" s="47"/>
      <c r="G829" s="47"/>
      <c r="H829" s="47"/>
      <c r="I829" s="111"/>
      <c r="J829" s="52"/>
      <c r="K829" s="148"/>
      <c r="L829" s="52"/>
      <c r="M829" s="148"/>
      <c r="N829" s="52"/>
      <c r="O829" s="148"/>
      <c r="P829" s="52"/>
      <c r="Q829" s="155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52"/>
      <c r="AD829" s="52"/>
      <c r="AE829" s="47"/>
      <c r="AF829" s="47"/>
      <c r="AG829" s="223"/>
      <c r="AH829" s="47"/>
      <c r="AI829" s="223"/>
      <c r="AJ829" s="47"/>
      <c r="AK829" s="47"/>
      <c r="AL829" s="47"/>
      <c r="AM829" s="47"/>
      <c r="AN829" s="47"/>
      <c r="AO829" s="47"/>
      <c r="AP829" s="47"/>
      <c r="AQ829" s="47"/>
      <c r="AR829" s="25"/>
    </row>
    <row r="830" spans="1:44" ht="12.75" customHeight="1" x14ac:dyDescent="0.15">
      <c r="A830" s="47"/>
      <c r="B830" s="47"/>
      <c r="C830" s="47"/>
      <c r="D830" s="47"/>
      <c r="E830" s="47"/>
      <c r="F830" s="47"/>
      <c r="G830" s="47"/>
      <c r="H830" s="47"/>
      <c r="I830" s="111"/>
      <c r="J830" s="52"/>
      <c r="K830" s="148"/>
      <c r="L830" s="52"/>
      <c r="M830" s="148"/>
      <c r="N830" s="52"/>
      <c r="O830" s="148"/>
      <c r="P830" s="52"/>
      <c r="Q830" s="155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52"/>
      <c r="AD830" s="52"/>
      <c r="AE830" s="47"/>
      <c r="AF830" s="47"/>
      <c r="AG830" s="223"/>
      <c r="AH830" s="47"/>
      <c r="AI830" s="223"/>
      <c r="AJ830" s="47"/>
      <c r="AK830" s="47"/>
      <c r="AL830" s="47"/>
      <c r="AM830" s="47"/>
      <c r="AN830" s="47"/>
      <c r="AO830" s="47"/>
      <c r="AP830" s="47"/>
      <c r="AQ830" s="47"/>
      <c r="AR830" s="25"/>
    </row>
    <row r="831" spans="1:44" ht="12.75" customHeight="1" x14ac:dyDescent="0.15">
      <c r="A831" s="47"/>
      <c r="B831" s="47"/>
      <c r="C831" s="47"/>
      <c r="D831" s="47"/>
      <c r="E831" s="47"/>
      <c r="F831" s="47"/>
      <c r="G831" s="47"/>
      <c r="H831" s="47"/>
      <c r="I831" s="111"/>
      <c r="J831" s="52"/>
      <c r="K831" s="148"/>
      <c r="L831" s="52"/>
      <c r="M831" s="148"/>
      <c r="N831" s="52"/>
      <c r="O831" s="148"/>
      <c r="P831" s="52"/>
      <c r="Q831" s="155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52"/>
      <c r="AD831" s="52"/>
      <c r="AE831" s="47"/>
      <c r="AF831" s="47"/>
      <c r="AG831" s="223"/>
      <c r="AH831" s="47"/>
      <c r="AI831" s="223"/>
      <c r="AJ831" s="47"/>
      <c r="AK831" s="47"/>
      <c r="AL831" s="47"/>
      <c r="AM831" s="47"/>
      <c r="AN831" s="47"/>
      <c r="AO831" s="47"/>
      <c r="AP831" s="47"/>
      <c r="AQ831" s="47"/>
      <c r="AR831" s="25"/>
    </row>
    <row r="832" spans="1:44" ht="12.75" customHeight="1" x14ac:dyDescent="0.15">
      <c r="A832" s="47"/>
      <c r="B832" s="47"/>
      <c r="C832" s="47"/>
      <c r="D832" s="47"/>
      <c r="E832" s="47"/>
      <c r="F832" s="47"/>
      <c r="G832" s="47"/>
      <c r="H832" s="47"/>
      <c r="I832" s="111"/>
      <c r="J832" s="52"/>
      <c r="K832" s="148"/>
      <c r="L832" s="52"/>
      <c r="M832" s="148"/>
      <c r="N832" s="52"/>
      <c r="O832" s="148"/>
      <c r="P832" s="52"/>
      <c r="Q832" s="155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52"/>
      <c r="AD832" s="52"/>
      <c r="AE832" s="47"/>
      <c r="AF832" s="47"/>
      <c r="AG832" s="223"/>
      <c r="AH832" s="47"/>
      <c r="AI832" s="223"/>
      <c r="AJ832" s="47"/>
      <c r="AK832" s="47"/>
      <c r="AL832" s="47"/>
      <c r="AM832" s="47"/>
      <c r="AN832" s="47"/>
      <c r="AO832" s="47"/>
      <c r="AP832" s="47"/>
      <c r="AQ832" s="47"/>
      <c r="AR832" s="25"/>
    </row>
    <row r="833" spans="1:44" ht="12.75" customHeight="1" x14ac:dyDescent="0.15">
      <c r="A833" s="47"/>
      <c r="B833" s="47"/>
      <c r="C833" s="47"/>
      <c r="D833" s="47"/>
      <c r="E833" s="47"/>
      <c r="F833" s="47"/>
      <c r="G833" s="47"/>
      <c r="H833" s="47"/>
      <c r="I833" s="111"/>
      <c r="J833" s="52"/>
      <c r="K833" s="148"/>
      <c r="L833" s="52"/>
      <c r="M833" s="148"/>
      <c r="N833" s="52"/>
      <c r="O833" s="148"/>
      <c r="P833" s="52"/>
      <c r="Q833" s="155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52"/>
      <c r="AD833" s="52"/>
      <c r="AE833" s="47"/>
      <c r="AF833" s="47"/>
      <c r="AG833" s="223"/>
      <c r="AH833" s="47"/>
      <c r="AI833" s="223"/>
      <c r="AJ833" s="47"/>
      <c r="AK833" s="47"/>
      <c r="AL833" s="47"/>
      <c r="AM833" s="47"/>
      <c r="AN833" s="47"/>
      <c r="AO833" s="47"/>
      <c r="AP833" s="47"/>
      <c r="AQ833" s="47"/>
      <c r="AR833" s="25"/>
    </row>
    <row r="834" spans="1:44" ht="12.75" customHeight="1" x14ac:dyDescent="0.15">
      <c r="A834" s="47"/>
      <c r="B834" s="47"/>
      <c r="C834" s="47"/>
      <c r="D834" s="47"/>
      <c r="E834" s="47"/>
      <c r="F834" s="47"/>
      <c r="G834" s="47"/>
      <c r="H834" s="47"/>
      <c r="I834" s="111"/>
      <c r="J834" s="52"/>
      <c r="K834" s="148"/>
      <c r="L834" s="52"/>
      <c r="M834" s="148"/>
      <c r="N834" s="52"/>
      <c r="O834" s="148"/>
      <c r="P834" s="52"/>
      <c r="Q834" s="155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52"/>
      <c r="AD834" s="52"/>
      <c r="AE834" s="47"/>
      <c r="AF834" s="47"/>
      <c r="AG834" s="223"/>
      <c r="AH834" s="47"/>
      <c r="AI834" s="223"/>
      <c r="AJ834" s="47"/>
      <c r="AK834" s="47"/>
      <c r="AL834" s="47"/>
      <c r="AM834" s="47"/>
      <c r="AN834" s="47"/>
      <c r="AO834" s="47"/>
      <c r="AP834" s="47"/>
      <c r="AQ834" s="47"/>
      <c r="AR834" s="25"/>
    </row>
    <row r="835" spans="1:44" ht="12.75" customHeight="1" x14ac:dyDescent="0.15">
      <c r="A835" s="47"/>
      <c r="B835" s="47"/>
      <c r="C835" s="47"/>
      <c r="D835" s="47"/>
      <c r="E835" s="47"/>
      <c r="F835" s="47"/>
      <c r="G835" s="47"/>
      <c r="H835" s="47"/>
      <c r="I835" s="111"/>
      <c r="J835" s="52"/>
      <c r="K835" s="148"/>
      <c r="L835" s="52"/>
      <c r="M835" s="148"/>
      <c r="N835" s="52"/>
      <c r="O835" s="148"/>
      <c r="P835" s="52"/>
      <c r="Q835" s="155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52"/>
      <c r="AD835" s="52"/>
      <c r="AE835" s="47"/>
      <c r="AF835" s="47"/>
      <c r="AG835" s="223"/>
      <c r="AH835" s="47"/>
      <c r="AI835" s="223"/>
      <c r="AJ835" s="47"/>
      <c r="AK835" s="47"/>
      <c r="AL835" s="47"/>
      <c r="AM835" s="47"/>
      <c r="AN835" s="47"/>
      <c r="AO835" s="47"/>
      <c r="AP835" s="47"/>
      <c r="AQ835" s="47"/>
      <c r="AR835" s="25"/>
    </row>
    <row r="836" spans="1:44" ht="12.75" customHeight="1" x14ac:dyDescent="0.15">
      <c r="A836" s="47"/>
      <c r="B836" s="47"/>
      <c r="C836" s="47"/>
      <c r="D836" s="47"/>
      <c r="E836" s="47"/>
      <c r="F836" s="47"/>
      <c r="G836" s="47"/>
      <c r="H836" s="47"/>
      <c r="I836" s="111"/>
      <c r="J836" s="52"/>
      <c r="K836" s="148"/>
      <c r="L836" s="52"/>
      <c r="M836" s="148"/>
      <c r="N836" s="52"/>
      <c r="O836" s="148"/>
      <c r="P836" s="52"/>
      <c r="Q836" s="155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52"/>
      <c r="AD836" s="52"/>
      <c r="AE836" s="47"/>
      <c r="AF836" s="47"/>
      <c r="AG836" s="223"/>
      <c r="AH836" s="47"/>
      <c r="AI836" s="223"/>
      <c r="AJ836" s="47"/>
      <c r="AK836" s="47"/>
      <c r="AL836" s="47"/>
      <c r="AM836" s="47"/>
      <c r="AN836" s="47"/>
      <c r="AO836" s="47"/>
      <c r="AP836" s="47"/>
      <c r="AQ836" s="47"/>
      <c r="AR836" s="25"/>
    </row>
    <row r="837" spans="1:44" ht="12.75" customHeight="1" x14ac:dyDescent="0.15">
      <c r="A837" s="47"/>
      <c r="B837" s="47"/>
      <c r="C837" s="47"/>
      <c r="D837" s="47"/>
      <c r="E837" s="47"/>
      <c r="F837" s="47"/>
      <c r="G837" s="47"/>
      <c r="H837" s="47"/>
      <c r="I837" s="111"/>
      <c r="J837" s="52"/>
      <c r="K837" s="148"/>
      <c r="L837" s="52"/>
      <c r="M837" s="148"/>
      <c r="N837" s="52"/>
      <c r="O837" s="148"/>
      <c r="P837" s="52"/>
      <c r="Q837" s="155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52"/>
      <c r="AD837" s="52"/>
      <c r="AE837" s="47"/>
      <c r="AF837" s="47"/>
      <c r="AG837" s="223"/>
      <c r="AH837" s="47"/>
      <c r="AI837" s="223"/>
      <c r="AJ837" s="47"/>
      <c r="AK837" s="47"/>
      <c r="AL837" s="47"/>
      <c r="AM837" s="47"/>
      <c r="AN837" s="47"/>
      <c r="AO837" s="47"/>
      <c r="AP837" s="47"/>
      <c r="AQ837" s="47"/>
      <c r="AR837" s="25"/>
    </row>
    <row r="838" spans="1:44" ht="12.75" customHeight="1" x14ac:dyDescent="0.15">
      <c r="A838" s="47"/>
      <c r="B838" s="47"/>
      <c r="C838" s="47"/>
      <c r="D838" s="47"/>
      <c r="E838" s="47"/>
      <c r="F838" s="47"/>
      <c r="G838" s="47"/>
      <c r="H838" s="47"/>
      <c r="I838" s="111"/>
      <c r="J838" s="52"/>
      <c r="K838" s="148"/>
      <c r="L838" s="52"/>
      <c r="M838" s="148"/>
      <c r="N838" s="52"/>
      <c r="O838" s="148"/>
      <c r="P838" s="52"/>
      <c r="Q838" s="155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52"/>
      <c r="AD838" s="52"/>
      <c r="AE838" s="47"/>
      <c r="AF838" s="47"/>
      <c r="AG838" s="223"/>
      <c r="AH838" s="47"/>
      <c r="AI838" s="223"/>
      <c r="AJ838" s="47"/>
      <c r="AK838" s="47"/>
      <c r="AL838" s="47"/>
      <c r="AM838" s="47"/>
      <c r="AN838" s="47"/>
      <c r="AO838" s="47"/>
      <c r="AP838" s="47"/>
      <c r="AQ838" s="47"/>
      <c r="AR838" s="25"/>
    </row>
    <row r="839" spans="1:44" ht="12.75" customHeight="1" x14ac:dyDescent="0.15">
      <c r="A839" s="47"/>
      <c r="B839" s="47"/>
      <c r="C839" s="47"/>
      <c r="D839" s="47"/>
      <c r="E839" s="47"/>
      <c r="F839" s="47"/>
      <c r="G839" s="47"/>
      <c r="H839" s="47"/>
      <c r="I839" s="111"/>
      <c r="J839" s="52"/>
      <c r="K839" s="148"/>
      <c r="L839" s="52"/>
      <c r="M839" s="148"/>
      <c r="N839" s="52"/>
      <c r="O839" s="148"/>
      <c r="P839" s="52"/>
      <c r="Q839" s="155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52"/>
      <c r="AD839" s="52"/>
      <c r="AE839" s="47"/>
      <c r="AF839" s="47"/>
      <c r="AG839" s="223"/>
      <c r="AH839" s="47"/>
      <c r="AI839" s="223"/>
      <c r="AJ839" s="47"/>
      <c r="AK839" s="47"/>
      <c r="AL839" s="47"/>
      <c r="AM839" s="47"/>
      <c r="AN839" s="47"/>
      <c r="AO839" s="47"/>
      <c r="AP839" s="47"/>
      <c r="AQ839" s="47"/>
      <c r="AR839" s="25"/>
    </row>
    <row r="840" spans="1:44" ht="12.75" customHeight="1" x14ac:dyDescent="0.15">
      <c r="A840" s="47"/>
      <c r="B840" s="47"/>
      <c r="C840" s="47"/>
      <c r="D840" s="47"/>
      <c r="E840" s="47"/>
      <c r="F840" s="47"/>
      <c r="G840" s="47"/>
      <c r="H840" s="47"/>
      <c r="I840" s="111"/>
      <c r="J840" s="52"/>
      <c r="K840" s="148"/>
      <c r="L840" s="52"/>
      <c r="M840" s="148"/>
      <c r="N840" s="52"/>
      <c r="O840" s="148"/>
      <c r="P840" s="52"/>
      <c r="Q840" s="155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52"/>
      <c r="AD840" s="52"/>
      <c r="AE840" s="47"/>
      <c r="AF840" s="47"/>
      <c r="AG840" s="223"/>
      <c r="AH840" s="47"/>
      <c r="AI840" s="223"/>
      <c r="AJ840" s="47"/>
      <c r="AK840" s="47"/>
      <c r="AL840" s="47"/>
      <c r="AM840" s="47"/>
      <c r="AN840" s="47"/>
      <c r="AO840" s="47"/>
      <c r="AP840" s="47"/>
      <c r="AQ840" s="47"/>
      <c r="AR840" s="25"/>
    </row>
    <row r="841" spans="1:44" ht="12.75" customHeight="1" x14ac:dyDescent="0.15">
      <c r="A841" s="47"/>
      <c r="B841" s="47"/>
      <c r="C841" s="47"/>
      <c r="D841" s="47"/>
      <c r="E841" s="47"/>
      <c r="F841" s="47"/>
      <c r="G841" s="47"/>
      <c r="H841" s="47"/>
      <c r="I841" s="111"/>
      <c r="J841" s="52"/>
      <c r="K841" s="148"/>
      <c r="L841" s="52"/>
      <c r="M841" s="148"/>
      <c r="N841" s="52"/>
      <c r="O841" s="148"/>
      <c r="P841" s="52"/>
      <c r="Q841" s="155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52"/>
      <c r="AD841" s="52"/>
      <c r="AE841" s="47"/>
      <c r="AF841" s="47"/>
      <c r="AG841" s="223"/>
      <c r="AH841" s="47"/>
      <c r="AI841" s="223"/>
      <c r="AJ841" s="47"/>
      <c r="AK841" s="47"/>
      <c r="AL841" s="47"/>
      <c r="AM841" s="47"/>
      <c r="AN841" s="47"/>
      <c r="AO841" s="47"/>
      <c r="AP841" s="47"/>
      <c r="AQ841" s="47"/>
      <c r="AR841" s="25"/>
    </row>
    <row r="842" spans="1:44" ht="12.75" customHeight="1" x14ac:dyDescent="0.15">
      <c r="A842" s="47"/>
      <c r="B842" s="47"/>
      <c r="C842" s="47"/>
      <c r="D842" s="47"/>
      <c r="E842" s="47"/>
      <c r="F842" s="47"/>
      <c r="G842" s="47"/>
      <c r="H842" s="47"/>
      <c r="I842" s="111"/>
      <c r="J842" s="52"/>
      <c r="K842" s="148"/>
      <c r="L842" s="52"/>
      <c r="M842" s="148"/>
      <c r="N842" s="52"/>
      <c r="O842" s="148"/>
      <c r="P842" s="52"/>
      <c r="Q842" s="155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52"/>
      <c r="AD842" s="52"/>
      <c r="AE842" s="47"/>
      <c r="AF842" s="47"/>
      <c r="AG842" s="223"/>
      <c r="AH842" s="47"/>
      <c r="AI842" s="223"/>
      <c r="AJ842" s="47"/>
      <c r="AK842" s="47"/>
      <c r="AL842" s="47"/>
      <c r="AM842" s="47"/>
      <c r="AN842" s="47"/>
      <c r="AO842" s="47"/>
      <c r="AP842" s="47"/>
      <c r="AQ842" s="47"/>
      <c r="AR842" s="25"/>
    </row>
    <row r="843" spans="1:44" ht="12.75" customHeight="1" x14ac:dyDescent="0.15">
      <c r="A843" s="47"/>
      <c r="B843" s="47"/>
      <c r="C843" s="47"/>
      <c r="D843" s="47"/>
      <c r="E843" s="47"/>
      <c r="F843" s="47"/>
      <c r="G843" s="47"/>
      <c r="H843" s="47"/>
      <c r="I843" s="111"/>
      <c r="J843" s="52"/>
      <c r="K843" s="148"/>
      <c r="L843" s="52"/>
      <c r="M843" s="148"/>
      <c r="N843" s="52"/>
      <c r="O843" s="148"/>
      <c r="P843" s="52"/>
      <c r="Q843" s="155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52"/>
      <c r="AD843" s="52"/>
      <c r="AE843" s="47"/>
      <c r="AF843" s="47"/>
      <c r="AG843" s="223"/>
      <c r="AH843" s="47"/>
      <c r="AI843" s="223"/>
      <c r="AJ843" s="47"/>
      <c r="AK843" s="47"/>
      <c r="AL843" s="47"/>
      <c r="AM843" s="47"/>
      <c r="AN843" s="47"/>
      <c r="AO843" s="47"/>
      <c r="AP843" s="47"/>
      <c r="AQ843" s="47"/>
      <c r="AR843" s="25"/>
    </row>
    <row r="844" spans="1:44" ht="12.75" customHeight="1" x14ac:dyDescent="0.15">
      <c r="A844" s="47"/>
      <c r="B844" s="47"/>
      <c r="C844" s="47"/>
      <c r="D844" s="47"/>
      <c r="E844" s="47"/>
      <c r="F844" s="47"/>
      <c r="G844" s="47"/>
      <c r="H844" s="47"/>
      <c r="I844" s="111"/>
      <c r="J844" s="52"/>
      <c r="K844" s="148"/>
      <c r="L844" s="52"/>
      <c r="M844" s="148"/>
      <c r="N844" s="52"/>
      <c r="O844" s="148"/>
      <c r="P844" s="52"/>
      <c r="Q844" s="155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52"/>
      <c r="AD844" s="52"/>
      <c r="AE844" s="47"/>
      <c r="AF844" s="47"/>
      <c r="AG844" s="223"/>
      <c r="AH844" s="47"/>
      <c r="AI844" s="223"/>
      <c r="AJ844" s="47"/>
      <c r="AK844" s="47"/>
      <c r="AL844" s="47"/>
      <c r="AM844" s="47"/>
      <c r="AN844" s="47"/>
      <c r="AO844" s="47"/>
      <c r="AP844" s="47"/>
      <c r="AQ844" s="47"/>
      <c r="AR844" s="25"/>
    </row>
    <row r="845" spans="1:44" ht="12.75" customHeight="1" x14ac:dyDescent="0.15">
      <c r="A845" s="47"/>
      <c r="B845" s="47"/>
      <c r="C845" s="47"/>
      <c r="D845" s="47"/>
      <c r="E845" s="47"/>
      <c r="F845" s="47"/>
      <c r="G845" s="47"/>
      <c r="H845" s="47"/>
      <c r="I845" s="111"/>
      <c r="J845" s="52"/>
      <c r="K845" s="148"/>
      <c r="L845" s="52"/>
      <c r="M845" s="148"/>
      <c r="N845" s="52"/>
      <c r="O845" s="148"/>
      <c r="P845" s="52"/>
      <c r="Q845" s="155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52"/>
      <c r="AD845" s="52"/>
      <c r="AE845" s="47"/>
      <c r="AF845" s="47"/>
      <c r="AG845" s="223"/>
      <c r="AH845" s="47"/>
      <c r="AI845" s="223"/>
      <c r="AJ845" s="47"/>
      <c r="AK845" s="47"/>
      <c r="AL845" s="47"/>
      <c r="AM845" s="47"/>
      <c r="AN845" s="47"/>
      <c r="AO845" s="47"/>
      <c r="AP845" s="47"/>
      <c r="AQ845" s="47"/>
      <c r="AR845" s="25"/>
    </row>
    <row r="846" spans="1:44" ht="12.75" customHeight="1" x14ac:dyDescent="0.15">
      <c r="A846" s="47"/>
      <c r="B846" s="47"/>
      <c r="C846" s="47"/>
      <c r="D846" s="47"/>
      <c r="E846" s="47"/>
      <c r="F846" s="47"/>
      <c r="G846" s="47"/>
      <c r="H846" s="47"/>
      <c r="I846" s="111"/>
      <c r="J846" s="52"/>
      <c r="K846" s="148"/>
      <c r="L846" s="52"/>
      <c r="M846" s="148"/>
      <c r="N846" s="52"/>
      <c r="O846" s="148"/>
      <c r="P846" s="52"/>
      <c r="Q846" s="155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52"/>
      <c r="AD846" s="52"/>
      <c r="AE846" s="47"/>
      <c r="AF846" s="47"/>
      <c r="AG846" s="223"/>
      <c r="AH846" s="47"/>
      <c r="AI846" s="223"/>
      <c r="AJ846" s="47"/>
      <c r="AK846" s="47"/>
      <c r="AL846" s="47"/>
      <c r="AM846" s="47"/>
      <c r="AN846" s="47"/>
      <c r="AO846" s="47"/>
      <c r="AP846" s="47"/>
      <c r="AQ846" s="47"/>
      <c r="AR846" s="25"/>
    </row>
    <row r="847" spans="1:44" ht="12.75" customHeight="1" x14ac:dyDescent="0.15">
      <c r="A847" s="47"/>
      <c r="B847" s="47"/>
      <c r="C847" s="47"/>
      <c r="D847" s="47"/>
      <c r="E847" s="47"/>
      <c r="F847" s="47"/>
      <c r="G847" s="47"/>
      <c r="H847" s="47"/>
      <c r="I847" s="111"/>
      <c r="J847" s="52"/>
      <c r="K847" s="148"/>
      <c r="L847" s="52"/>
      <c r="M847" s="148"/>
      <c r="N847" s="52"/>
      <c r="O847" s="148"/>
      <c r="P847" s="52"/>
      <c r="Q847" s="155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52"/>
      <c r="AD847" s="52"/>
      <c r="AE847" s="47"/>
      <c r="AF847" s="47"/>
      <c r="AG847" s="223"/>
      <c r="AH847" s="47"/>
      <c r="AI847" s="223"/>
      <c r="AJ847" s="47"/>
      <c r="AK847" s="47"/>
      <c r="AL847" s="47"/>
      <c r="AM847" s="47"/>
      <c r="AN847" s="47"/>
      <c r="AO847" s="47"/>
      <c r="AP847" s="47"/>
      <c r="AQ847" s="47"/>
      <c r="AR847" s="25"/>
    </row>
    <row r="848" spans="1:44" ht="12.75" customHeight="1" x14ac:dyDescent="0.15">
      <c r="A848" s="47"/>
      <c r="B848" s="47"/>
      <c r="C848" s="47"/>
      <c r="D848" s="47"/>
      <c r="E848" s="47"/>
      <c r="F848" s="47"/>
      <c r="G848" s="47"/>
      <c r="H848" s="47"/>
      <c r="I848" s="111"/>
      <c r="J848" s="52"/>
      <c r="K848" s="148"/>
      <c r="L848" s="52"/>
      <c r="M848" s="148"/>
      <c r="N848" s="52"/>
      <c r="O848" s="148"/>
      <c r="P848" s="52"/>
      <c r="Q848" s="155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52"/>
      <c r="AD848" s="52"/>
      <c r="AE848" s="47"/>
      <c r="AF848" s="47"/>
      <c r="AG848" s="223"/>
      <c r="AH848" s="47"/>
      <c r="AI848" s="223"/>
      <c r="AJ848" s="47"/>
      <c r="AK848" s="47"/>
      <c r="AL848" s="47"/>
      <c r="AM848" s="47"/>
      <c r="AN848" s="47"/>
      <c r="AO848" s="47"/>
      <c r="AP848" s="47"/>
      <c r="AQ848" s="47"/>
      <c r="AR848" s="25"/>
    </row>
    <row r="849" spans="1:44" ht="12.75" customHeight="1" x14ac:dyDescent="0.15">
      <c r="A849" s="47"/>
      <c r="B849" s="47"/>
      <c r="C849" s="47"/>
      <c r="D849" s="47"/>
      <c r="E849" s="47"/>
      <c r="F849" s="47"/>
      <c r="G849" s="47"/>
      <c r="H849" s="47"/>
      <c r="I849" s="111"/>
      <c r="J849" s="52"/>
      <c r="K849" s="148"/>
      <c r="L849" s="52"/>
      <c r="M849" s="148"/>
      <c r="N849" s="52"/>
      <c r="O849" s="148"/>
      <c r="P849" s="52"/>
      <c r="Q849" s="155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52"/>
      <c r="AD849" s="52"/>
      <c r="AE849" s="47"/>
      <c r="AF849" s="47"/>
      <c r="AG849" s="223"/>
      <c r="AH849" s="47"/>
      <c r="AI849" s="223"/>
      <c r="AJ849" s="47"/>
      <c r="AK849" s="47"/>
      <c r="AL849" s="47"/>
      <c r="AM849" s="47"/>
      <c r="AN849" s="47"/>
      <c r="AO849" s="47"/>
      <c r="AP849" s="47"/>
      <c r="AQ849" s="47"/>
      <c r="AR849" s="25"/>
    </row>
    <row r="850" spans="1:44" ht="12.75" customHeight="1" x14ac:dyDescent="0.15">
      <c r="A850" s="47"/>
      <c r="B850" s="47"/>
      <c r="C850" s="47"/>
      <c r="D850" s="47"/>
      <c r="E850" s="47"/>
      <c r="F850" s="47"/>
      <c r="G850" s="47"/>
      <c r="H850" s="47"/>
      <c r="I850" s="111"/>
      <c r="J850" s="52"/>
      <c r="K850" s="148"/>
      <c r="L850" s="52"/>
      <c r="M850" s="148"/>
      <c r="N850" s="52"/>
      <c r="O850" s="148"/>
      <c r="P850" s="52"/>
      <c r="Q850" s="155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52"/>
      <c r="AD850" s="52"/>
      <c r="AE850" s="47"/>
      <c r="AF850" s="47"/>
      <c r="AG850" s="223"/>
      <c r="AH850" s="47"/>
      <c r="AI850" s="223"/>
      <c r="AJ850" s="47"/>
      <c r="AK850" s="47"/>
      <c r="AL850" s="47"/>
      <c r="AM850" s="47"/>
      <c r="AN850" s="47"/>
      <c r="AO850" s="47"/>
      <c r="AP850" s="47"/>
      <c r="AQ850" s="47"/>
      <c r="AR850" s="25"/>
    </row>
    <row r="851" spans="1:44" ht="12.75" customHeight="1" x14ac:dyDescent="0.15">
      <c r="A851" s="47"/>
      <c r="B851" s="47"/>
      <c r="C851" s="47"/>
      <c r="D851" s="47"/>
      <c r="E851" s="47"/>
      <c r="F851" s="47"/>
      <c r="G851" s="47"/>
      <c r="H851" s="47"/>
      <c r="I851" s="111"/>
      <c r="J851" s="52"/>
      <c r="K851" s="148"/>
      <c r="L851" s="52"/>
      <c r="M851" s="148"/>
      <c r="N851" s="52"/>
      <c r="O851" s="148"/>
      <c r="P851" s="52"/>
      <c r="Q851" s="155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52"/>
      <c r="AD851" s="52"/>
      <c r="AE851" s="47"/>
      <c r="AF851" s="47"/>
      <c r="AG851" s="223"/>
      <c r="AH851" s="47"/>
      <c r="AI851" s="223"/>
      <c r="AJ851" s="47"/>
      <c r="AK851" s="47"/>
      <c r="AL851" s="47"/>
      <c r="AM851" s="47"/>
      <c r="AN851" s="47"/>
      <c r="AO851" s="47"/>
      <c r="AP851" s="47"/>
      <c r="AQ851" s="47"/>
      <c r="AR851" s="25"/>
    </row>
    <row r="852" spans="1:44" ht="12.75" customHeight="1" x14ac:dyDescent="0.15">
      <c r="A852" s="47"/>
      <c r="B852" s="47"/>
      <c r="C852" s="47"/>
      <c r="D852" s="47"/>
      <c r="E852" s="47"/>
      <c r="F852" s="47"/>
      <c r="G852" s="47"/>
      <c r="H852" s="47"/>
      <c r="I852" s="111"/>
      <c r="J852" s="52"/>
      <c r="K852" s="148"/>
      <c r="L852" s="52"/>
      <c r="M852" s="148"/>
      <c r="N852" s="52"/>
      <c r="O852" s="148"/>
      <c r="P852" s="52"/>
      <c r="Q852" s="155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52"/>
      <c r="AD852" s="52"/>
      <c r="AE852" s="47"/>
      <c r="AF852" s="47"/>
      <c r="AG852" s="223"/>
      <c r="AH852" s="47"/>
      <c r="AI852" s="223"/>
      <c r="AJ852" s="47"/>
      <c r="AK852" s="47"/>
      <c r="AL852" s="47"/>
      <c r="AM852" s="47"/>
      <c r="AN852" s="47"/>
      <c r="AO852" s="47"/>
      <c r="AP852" s="47"/>
      <c r="AQ852" s="47"/>
      <c r="AR852" s="25"/>
    </row>
    <row r="853" spans="1:44" ht="12.75" customHeight="1" x14ac:dyDescent="0.15">
      <c r="A853" s="47"/>
      <c r="B853" s="47"/>
      <c r="C853" s="47"/>
      <c r="D853" s="47"/>
      <c r="E853" s="47"/>
      <c r="F853" s="47"/>
      <c r="G853" s="47"/>
      <c r="H853" s="47"/>
      <c r="I853" s="111"/>
      <c r="J853" s="52"/>
      <c r="K853" s="148"/>
      <c r="L853" s="52"/>
      <c r="M853" s="148"/>
      <c r="N853" s="52"/>
      <c r="O853" s="148"/>
      <c r="P853" s="52"/>
      <c r="Q853" s="155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52"/>
      <c r="AD853" s="52"/>
      <c r="AE853" s="47"/>
      <c r="AF853" s="47"/>
      <c r="AG853" s="223"/>
      <c r="AH853" s="47"/>
      <c r="AI853" s="223"/>
      <c r="AJ853" s="47"/>
      <c r="AK853" s="47"/>
      <c r="AL853" s="47"/>
      <c r="AM853" s="47"/>
      <c r="AN853" s="47"/>
      <c r="AO853" s="47"/>
      <c r="AP853" s="47"/>
      <c r="AQ853" s="47"/>
      <c r="AR853" s="25"/>
    </row>
    <row r="854" spans="1:44" ht="12.75" customHeight="1" x14ac:dyDescent="0.15">
      <c r="A854" s="47"/>
      <c r="B854" s="47"/>
      <c r="C854" s="47"/>
      <c r="D854" s="47"/>
      <c r="E854" s="47"/>
      <c r="F854" s="47"/>
      <c r="G854" s="47"/>
      <c r="H854" s="47"/>
      <c r="I854" s="111"/>
      <c r="J854" s="52"/>
      <c r="K854" s="148"/>
      <c r="L854" s="52"/>
      <c r="M854" s="148"/>
      <c r="N854" s="52"/>
      <c r="O854" s="148"/>
      <c r="P854" s="52"/>
      <c r="Q854" s="155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52"/>
      <c r="AD854" s="52"/>
      <c r="AE854" s="47"/>
      <c r="AF854" s="47"/>
      <c r="AG854" s="223"/>
      <c r="AH854" s="47"/>
      <c r="AI854" s="223"/>
      <c r="AJ854" s="47"/>
      <c r="AK854" s="47"/>
      <c r="AL854" s="47"/>
      <c r="AM854" s="47"/>
      <c r="AN854" s="47"/>
      <c r="AO854" s="47"/>
      <c r="AP854" s="47"/>
      <c r="AQ854" s="47"/>
      <c r="AR854" s="25"/>
    </row>
    <row r="855" spans="1:44" ht="12.75" customHeight="1" x14ac:dyDescent="0.15">
      <c r="A855" s="47"/>
      <c r="B855" s="47"/>
      <c r="C855" s="47"/>
      <c r="D855" s="47"/>
      <c r="E855" s="47"/>
      <c r="F855" s="47"/>
      <c r="G855" s="47"/>
      <c r="H855" s="47"/>
      <c r="I855" s="111"/>
      <c r="J855" s="52"/>
      <c r="K855" s="148"/>
      <c r="L855" s="52"/>
      <c r="M855" s="148"/>
      <c r="N855" s="52"/>
      <c r="O855" s="148"/>
      <c r="P855" s="52"/>
      <c r="Q855" s="155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52"/>
      <c r="AD855" s="52"/>
      <c r="AE855" s="47"/>
      <c r="AF855" s="47"/>
      <c r="AG855" s="223"/>
      <c r="AH855" s="47"/>
      <c r="AI855" s="223"/>
      <c r="AJ855" s="47"/>
      <c r="AK855" s="47"/>
      <c r="AL855" s="47"/>
      <c r="AM855" s="47"/>
      <c r="AN855" s="47"/>
      <c r="AO855" s="47"/>
      <c r="AP855" s="47"/>
      <c r="AQ855" s="47"/>
      <c r="AR855" s="25"/>
    </row>
    <row r="856" spans="1:44" ht="12.75" customHeight="1" x14ac:dyDescent="0.15">
      <c r="A856" s="47"/>
      <c r="B856" s="47"/>
      <c r="C856" s="47"/>
      <c r="D856" s="47"/>
      <c r="E856" s="47"/>
      <c r="F856" s="47"/>
      <c r="G856" s="47"/>
      <c r="H856" s="47"/>
      <c r="I856" s="111"/>
      <c r="J856" s="52"/>
      <c r="K856" s="148"/>
      <c r="L856" s="52"/>
      <c r="M856" s="148"/>
      <c r="N856" s="52"/>
      <c r="O856" s="148"/>
      <c r="P856" s="52"/>
      <c r="Q856" s="155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52"/>
      <c r="AD856" s="52"/>
      <c r="AE856" s="47"/>
      <c r="AF856" s="47"/>
      <c r="AG856" s="223"/>
      <c r="AH856" s="47"/>
      <c r="AI856" s="223"/>
      <c r="AJ856" s="47"/>
      <c r="AK856" s="47"/>
      <c r="AL856" s="47"/>
      <c r="AM856" s="47"/>
      <c r="AN856" s="47"/>
      <c r="AO856" s="47"/>
      <c r="AP856" s="47"/>
      <c r="AQ856" s="47"/>
      <c r="AR856" s="25"/>
    </row>
    <row r="857" spans="1:44" ht="12.75" customHeight="1" x14ac:dyDescent="0.15">
      <c r="A857" s="47"/>
      <c r="B857" s="47"/>
      <c r="C857" s="47"/>
      <c r="D857" s="47"/>
      <c r="E857" s="47"/>
      <c r="F857" s="47"/>
      <c r="G857" s="47"/>
      <c r="H857" s="47"/>
      <c r="I857" s="111"/>
      <c r="J857" s="52"/>
      <c r="K857" s="148"/>
      <c r="L857" s="52"/>
      <c r="M857" s="148"/>
      <c r="N857" s="52"/>
      <c r="O857" s="148"/>
      <c r="P857" s="52"/>
      <c r="Q857" s="155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52"/>
      <c r="AD857" s="52"/>
      <c r="AE857" s="47"/>
      <c r="AF857" s="47"/>
      <c r="AG857" s="223"/>
      <c r="AH857" s="47"/>
      <c r="AI857" s="223"/>
      <c r="AJ857" s="47"/>
      <c r="AK857" s="47"/>
      <c r="AL857" s="47"/>
      <c r="AM857" s="47"/>
      <c r="AN857" s="47"/>
      <c r="AO857" s="47"/>
      <c r="AP857" s="47"/>
      <c r="AQ857" s="47"/>
      <c r="AR857" s="25"/>
    </row>
    <row r="858" spans="1:44" ht="12.75" customHeight="1" x14ac:dyDescent="0.15">
      <c r="A858" s="47"/>
      <c r="B858" s="47"/>
      <c r="C858" s="47"/>
      <c r="D858" s="47"/>
      <c r="E858" s="47"/>
      <c r="F858" s="47"/>
      <c r="G858" s="47"/>
      <c r="H858" s="47"/>
      <c r="I858" s="111"/>
      <c r="J858" s="52"/>
      <c r="K858" s="148"/>
      <c r="L858" s="52"/>
      <c r="M858" s="148"/>
      <c r="N858" s="52"/>
      <c r="O858" s="148"/>
      <c r="P858" s="52"/>
      <c r="Q858" s="155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52"/>
      <c r="AD858" s="52"/>
      <c r="AE858" s="47"/>
      <c r="AF858" s="47"/>
      <c r="AG858" s="223"/>
      <c r="AH858" s="47"/>
      <c r="AI858" s="223"/>
      <c r="AJ858" s="47"/>
      <c r="AK858" s="47"/>
      <c r="AL858" s="47"/>
      <c r="AM858" s="47"/>
      <c r="AN858" s="47"/>
      <c r="AO858" s="47"/>
      <c r="AP858" s="47"/>
      <c r="AQ858" s="47"/>
      <c r="AR858" s="25"/>
    </row>
    <row r="859" spans="1:44" ht="12.75" customHeight="1" x14ac:dyDescent="0.15">
      <c r="A859" s="47"/>
      <c r="B859" s="47"/>
      <c r="C859" s="47"/>
      <c r="D859" s="47"/>
      <c r="E859" s="47"/>
      <c r="F859" s="47"/>
      <c r="G859" s="47"/>
      <c r="H859" s="47"/>
      <c r="I859" s="111"/>
      <c r="J859" s="52"/>
      <c r="K859" s="148"/>
      <c r="L859" s="52"/>
      <c r="M859" s="148"/>
      <c r="N859" s="52"/>
      <c r="O859" s="148"/>
      <c r="P859" s="52"/>
      <c r="Q859" s="155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52"/>
      <c r="AD859" s="52"/>
      <c r="AE859" s="47"/>
      <c r="AF859" s="47"/>
      <c r="AG859" s="223"/>
      <c r="AH859" s="47"/>
      <c r="AI859" s="223"/>
      <c r="AJ859" s="47"/>
      <c r="AK859" s="47"/>
      <c r="AL859" s="47"/>
      <c r="AM859" s="47"/>
      <c r="AN859" s="47"/>
      <c r="AO859" s="47"/>
      <c r="AP859" s="47"/>
      <c r="AQ859" s="47"/>
      <c r="AR859" s="25"/>
    </row>
    <row r="860" spans="1:44" ht="12.75" customHeight="1" x14ac:dyDescent="0.15">
      <c r="A860" s="47"/>
      <c r="B860" s="47"/>
      <c r="C860" s="47"/>
      <c r="D860" s="47"/>
      <c r="E860" s="47"/>
      <c r="F860" s="47"/>
      <c r="G860" s="47"/>
      <c r="H860" s="47"/>
      <c r="I860" s="111"/>
      <c r="J860" s="52"/>
      <c r="K860" s="148"/>
      <c r="L860" s="52"/>
      <c r="M860" s="148"/>
      <c r="N860" s="52"/>
      <c r="O860" s="148"/>
      <c r="P860" s="52"/>
      <c r="Q860" s="155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52"/>
      <c r="AD860" s="52"/>
      <c r="AE860" s="47"/>
      <c r="AF860" s="47"/>
      <c r="AG860" s="223"/>
      <c r="AH860" s="47"/>
      <c r="AI860" s="223"/>
      <c r="AJ860" s="47"/>
      <c r="AK860" s="47"/>
      <c r="AL860" s="47"/>
      <c r="AM860" s="47"/>
      <c r="AN860" s="47"/>
      <c r="AO860" s="47"/>
      <c r="AP860" s="47"/>
      <c r="AQ860" s="47"/>
      <c r="AR860" s="25"/>
    </row>
    <row r="861" spans="1:44" ht="12.75" customHeight="1" x14ac:dyDescent="0.15">
      <c r="A861" s="47"/>
      <c r="B861" s="47"/>
      <c r="C861" s="47"/>
      <c r="D861" s="47"/>
      <c r="E861" s="47"/>
      <c r="F861" s="47"/>
      <c r="G861" s="47"/>
      <c r="H861" s="47"/>
      <c r="I861" s="111"/>
      <c r="J861" s="52"/>
      <c r="K861" s="148"/>
      <c r="L861" s="52"/>
      <c r="M861" s="148"/>
      <c r="N861" s="52"/>
      <c r="O861" s="148"/>
      <c r="P861" s="52"/>
      <c r="Q861" s="155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52"/>
      <c r="AD861" s="52"/>
      <c r="AE861" s="47"/>
      <c r="AF861" s="47"/>
      <c r="AG861" s="223"/>
      <c r="AH861" s="47"/>
      <c r="AI861" s="223"/>
      <c r="AJ861" s="47"/>
      <c r="AK861" s="47"/>
      <c r="AL861" s="47"/>
      <c r="AM861" s="47"/>
      <c r="AN861" s="47"/>
      <c r="AO861" s="47"/>
      <c r="AP861" s="47"/>
      <c r="AQ861" s="47"/>
      <c r="AR861" s="25"/>
    </row>
    <row r="862" spans="1:44" ht="12.75" customHeight="1" x14ac:dyDescent="0.15">
      <c r="A862" s="47"/>
      <c r="B862" s="47"/>
      <c r="C862" s="47"/>
      <c r="D862" s="47"/>
      <c r="E862" s="47"/>
      <c r="F862" s="47"/>
      <c r="G862" s="47"/>
      <c r="H862" s="47"/>
      <c r="I862" s="111"/>
      <c r="J862" s="52"/>
      <c r="K862" s="148"/>
      <c r="L862" s="52"/>
      <c r="M862" s="148"/>
      <c r="N862" s="52"/>
      <c r="O862" s="148"/>
      <c r="P862" s="52"/>
      <c r="Q862" s="155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52"/>
      <c r="AD862" s="52"/>
      <c r="AE862" s="47"/>
      <c r="AF862" s="47"/>
      <c r="AG862" s="223"/>
      <c r="AH862" s="47"/>
      <c r="AI862" s="223"/>
      <c r="AJ862" s="47"/>
      <c r="AK862" s="47"/>
      <c r="AL862" s="47"/>
      <c r="AM862" s="47"/>
      <c r="AN862" s="47"/>
      <c r="AO862" s="47"/>
      <c r="AP862" s="47"/>
      <c r="AQ862" s="47"/>
      <c r="AR862" s="25"/>
    </row>
    <row r="863" spans="1:44" ht="12.75" customHeight="1" x14ac:dyDescent="0.15">
      <c r="A863" s="47"/>
      <c r="B863" s="47"/>
      <c r="C863" s="47"/>
      <c r="D863" s="47"/>
      <c r="E863" s="47"/>
      <c r="F863" s="47"/>
      <c r="G863" s="47"/>
      <c r="H863" s="47"/>
      <c r="I863" s="111"/>
      <c r="J863" s="52"/>
      <c r="K863" s="148"/>
      <c r="L863" s="52"/>
      <c r="M863" s="148"/>
      <c r="N863" s="52"/>
      <c r="O863" s="148"/>
      <c r="P863" s="52"/>
      <c r="Q863" s="155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52"/>
      <c r="AD863" s="52"/>
      <c r="AE863" s="47"/>
      <c r="AF863" s="47"/>
      <c r="AG863" s="223"/>
      <c r="AH863" s="47"/>
      <c r="AI863" s="223"/>
      <c r="AJ863" s="47"/>
      <c r="AK863" s="47"/>
      <c r="AL863" s="47"/>
      <c r="AM863" s="47"/>
      <c r="AN863" s="47"/>
      <c r="AO863" s="47"/>
      <c r="AP863" s="47"/>
      <c r="AQ863" s="47"/>
      <c r="AR863" s="25"/>
    </row>
    <row r="864" spans="1:44" ht="12.75" customHeight="1" x14ac:dyDescent="0.15">
      <c r="A864" s="47"/>
      <c r="B864" s="47"/>
      <c r="C864" s="47"/>
      <c r="D864" s="47"/>
      <c r="E864" s="47"/>
      <c r="F864" s="47"/>
      <c r="G864" s="47"/>
      <c r="H864" s="47"/>
      <c r="I864" s="111"/>
      <c r="J864" s="52"/>
      <c r="K864" s="148"/>
      <c r="L864" s="52"/>
      <c r="M864" s="148"/>
      <c r="N864" s="52"/>
      <c r="O864" s="148"/>
      <c r="P864" s="52"/>
      <c r="Q864" s="155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52"/>
      <c r="AD864" s="52"/>
      <c r="AE864" s="47"/>
      <c r="AF864" s="47"/>
      <c r="AG864" s="223"/>
      <c r="AH864" s="47"/>
      <c r="AI864" s="223"/>
      <c r="AJ864" s="47"/>
      <c r="AK864" s="47"/>
      <c r="AL864" s="47"/>
      <c r="AM864" s="47"/>
      <c r="AN864" s="47"/>
      <c r="AO864" s="47"/>
      <c r="AP864" s="47"/>
      <c r="AQ864" s="47"/>
      <c r="AR864" s="25"/>
    </row>
    <row r="865" spans="1:44" ht="12.75" customHeight="1" x14ac:dyDescent="0.15">
      <c r="A865" s="47"/>
      <c r="B865" s="47"/>
      <c r="C865" s="47"/>
      <c r="D865" s="47"/>
      <c r="E865" s="47"/>
      <c r="F865" s="47"/>
      <c r="G865" s="47"/>
      <c r="H865" s="47"/>
      <c r="I865" s="111"/>
      <c r="J865" s="52"/>
      <c r="K865" s="148"/>
      <c r="L865" s="52"/>
      <c r="M865" s="148"/>
      <c r="N865" s="52"/>
      <c r="O865" s="148"/>
      <c r="P865" s="52"/>
      <c r="Q865" s="155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52"/>
      <c r="AD865" s="52"/>
      <c r="AE865" s="47"/>
      <c r="AF865" s="47"/>
      <c r="AG865" s="223"/>
      <c r="AH865" s="47"/>
      <c r="AI865" s="223"/>
      <c r="AJ865" s="47"/>
      <c r="AK865" s="47"/>
      <c r="AL865" s="47"/>
      <c r="AM865" s="47"/>
      <c r="AN865" s="47"/>
      <c r="AO865" s="47"/>
      <c r="AP865" s="47"/>
      <c r="AQ865" s="47"/>
      <c r="AR865" s="25"/>
    </row>
    <row r="866" spans="1:44" ht="12.75" customHeight="1" x14ac:dyDescent="0.15">
      <c r="A866" s="47"/>
      <c r="B866" s="47"/>
      <c r="C866" s="47"/>
      <c r="D866" s="47"/>
      <c r="E866" s="47"/>
      <c r="F866" s="47"/>
      <c r="G866" s="47"/>
      <c r="H866" s="47"/>
      <c r="I866" s="111"/>
      <c r="J866" s="52"/>
      <c r="K866" s="148"/>
      <c r="L866" s="52"/>
      <c r="M866" s="148"/>
      <c r="N866" s="52"/>
      <c r="O866" s="148"/>
      <c r="P866" s="52"/>
      <c r="Q866" s="155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52"/>
      <c r="AD866" s="52"/>
      <c r="AE866" s="47"/>
      <c r="AF866" s="47"/>
      <c r="AG866" s="223"/>
      <c r="AH866" s="47"/>
      <c r="AI866" s="223"/>
      <c r="AJ866" s="47"/>
      <c r="AK866" s="47"/>
      <c r="AL866" s="47"/>
      <c r="AM866" s="47"/>
      <c r="AN866" s="47"/>
      <c r="AO866" s="47"/>
      <c r="AP866" s="47"/>
      <c r="AQ866" s="47"/>
      <c r="AR866" s="25"/>
    </row>
    <row r="867" spans="1:44" ht="12.75" customHeight="1" x14ac:dyDescent="0.15">
      <c r="A867" s="47"/>
      <c r="B867" s="47"/>
      <c r="C867" s="47"/>
      <c r="D867" s="47"/>
      <c r="E867" s="47"/>
      <c r="F867" s="47"/>
      <c r="G867" s="47"/>
      <c r="H867" s="47"/>
      <c r="I867" s="111"/>
      <c r="J867" s="52"/>
      <c r="K867" s="148"/>
      <c r="L867" s="52"/>
      <c r="M867" s="148"/>
      <c r="N867" s="52"/>
      <c r="O867" s="148"/>
      <c r="P867" s="52"/>
      <c r="Q867" s="155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52"/>
      <c r="AD867" s="52"/>
      <c r="AE867" s="47"/>
      <c r="AF867" s="47"/>
      <c r="AG867" s="223"/>
      <c r="AH867" s="47"/>
      <c r="AI867" s="223"/>
      <c r="AJ867" s="47"/>
      <c r="AK867" s="47"/>
      <c r="AL867" s="47"/>
      <c r="AM867" s="47"/>
      <c r="AN867" s="47"/>
      <c r="AO867" s="47"/>
      <c r="AP867" s="47"/>
      <c r="AQ867" s="47"/>
      <c r="AR867" s="25"/>
    </row>
    <row r="868" spans="1:44" ht="12.75" customHeight="1" x14ac:dyDescent="0.15">
      <c r="A868" s="47"/>
      <c r="B868" s="47"/>
      <c r="C868" s="47"/>
      <c r="D868" s="47"/>
      <c r="E868" s="47"/>
      <c r="F868" s="47"/>
      <c r="G868" s="47"/>
      <c r="H868" s="47"/>
      <c r="I868" s="111"/>
      <c r="J868" s="52"/>
      <c r="K868" s="148"/>
      <c r="L868" s="52"/>
      <c r="M868" s="148"/>
      <c r="N868" s="52"/>
      <c r="O868" s="148"/>
      <c r="P868" s="52"/>
      <c r="Q868" s="155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52"/>
      <c r="AD868" s="52"/>
      <c r="AE868" s="47"/>
      <c r="AF868" s="47"/>
      <c r="AG868" s="223"/>
      <c r="AH868" s="47"/>
      <c r="AI868" s="223"/>
      <c r="AJ868" s="47"/>
      <c r="AK868" s="47"/>
      <c r="AL868" s="47"/>
      <c r="AM868" s="47"/>
      <c r="AN868" s="47"/>
      <c r="AO868" s="47"/>
      <c r="AP868" s="47"/>
      <c r="AQ868" s="47"/>
      <c r="AR868" s="25"/>
    </row>
    <row r="869" spans="1:44" ht="12.75" customHeight="1" x14ac:dyDescent="0.15">
      <c r="A869" s="47"/>
      <c r="B869" s="47"/>
      <c r="C869" s="47"/>
      <c r="D869" s="47"/>
      <c r="E869" s="47"/>
      <c r="F869" s="47"/>
      <c r="G869" s="47"/>
      <c r="H869" s="47"/>
      <c r="I869" s="111"/>
      <c r="J869" s="52"/>
      <c r="K869" s="148"/>
      <c r="L869" s="52"/>
      <c r="M869" s="148"/>
      <c r="N869" s="52"/>
      <c r="O869" s="148"/>
      <c r="P869" s="52"/>
      <c r="Q869" s="155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52"/>
      <c r="AD869" s="52"/>
      <c r="AE869" s="47"/>
      <c r="AF869" s="47"/>
      <c r="AG869" s="223"/>
      <c r="AH869" s="47"/>
      <c r="AI869" s="223"/>
      <c r="AJ869" s="47"/>
      <c r="AK869" s="47"/>
      <c r="AL869" s="47"/>
      <c r="AM869" s="47"/>
      <c r="AN869" s="47"/>
      <c r="AO869" s="47"/>
      <c r="AP869" s="47"/>
      <c r="AQ869" s="47"/>
      <c r="AR869" s="25"/>
    </row>
    <row r="870" spans="1:44" ht="12.75" customHeight="1" x14ac:dyDescent="0.15">
      <c r="A870" s="47"/>
      <c r="B870" s="47"/>
      <c r="C870" s="47"/>
      <c r="D870" s="47"/>
      <c r="E870" s="47"/>
      <c r="F870" s="47"/>
      <c r="G870" s="47"/>
      <c r="H870" s="47"/>
      <c r="I870" s="111"/>
      <c r="J870" s="52"/>
      <c r="K870" s="148"/>
      <c r="L870" s="52"/>
      <c r="M870" s="148"/>
      <c r="N870" s="52"/>
      <c r="O870" s="148"/>
      <c r="P870" s="52"/>
      <c r="Q870" s="155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52"/>
      <c r="AD870" s="52"/>
      <c r="AE870" s="47"/>
      <c r="AF870" s="47"/>
      <c r="AG870" s="223"/>
      <c r="AH870" s="47"/>
      <c r="AI870" s="223"/>
      <c r="AJ870" s="47"/>
      <c r="AK870" s="47"/>
      <c r="AL870" s="47"/>
      <c r="AM870" s="47"/>
      <c r="AN870" s="47"/>
      <c r="AO870" s="47"/>
      <c r="AP870" s="47"/>
      <c r="AQ870" s="47"/>
      <c r="AR870" s="25"/>
    </row>
    <row r="871" spans="1:44" ht="12.75" customHeight="1" x14ac:dyDescent="0.15">
      <c r="A871" s="47"/>
      <c r="B871" s="47"/>
      <c r="C871" s="47"/>
      <c r="D871" s="47"/>
      <c r="E871" s="47"/>
      <c r="F871" s="47"/>
      <c r="G871" s="47"/>
      <c r="H871" s="47"/>
      <c r="I871" s="111"/>
      <c r="J871" s="52"/>
      <c r="K871" s="148"/>
      <c r="L871" s="52"/>
      <c r="M871" s="148"/>
      <c r="N871" s="52"/>
      <c r="O871" s="148"/>
      <c r="P871" s="52"/>
      <c r="Q871" s="155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52"/>
      <c r="AD871" s="52"/>
      <c r="AE871" s="47"/>
      <c r="AF871" s="47"/>
      <c r="AG871" s="223"/>
      <c r="AH871" s="47"/>
      <c r="AI871" s="223"/>
      <c r="AJ871" s="47"/>
      <c r="AK871" s="47"/>
      <c r="AL871" s="47"/>
      <c r="AM871" s="47"/>
      <c r="AN871" s="47"/>
      <c r="AO871" s="47"/>
      <c r="AP871" s="47"/>
      <c r="AQ871" s="47"/>
      <c r="AR871" s="25"/>
    </row>
    <row r="872" spans="1:44" ht="12.75" customHeight="1" x14ac:dyDescent="0.15">
      <c r="A872" s="47"/>
      <c r="B872" s="47"/>
      <c r="C872" s="47"/>
      <c r="D872" s="47"/>
      <c r="E872" s="47"/>
      <c r="F872" s="47"/>
      <c r="G872" s="47"/>
      <c r="H872" s="47"/>
      <c r="I872" s="111"/>
      <c r="J872" s="52"/>
      <c r="K872" s="148"/>
      <c r="L872" s="52"/>
      <c r="M872" s="148"/>
      <c r="N872" s="52"/>
      <c r="O872" s="148"/>
      <c r="P872" s="52"/>
      <c r="Q872" s="155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52"/>
      <c r="AD872" s="52"/>
      <c r="AE872" s="47"/>
      <c r="AF872" s="47"/>
      <c r="AG872" s="223"/>
      <c r="AH872" s="47"/>
      <c r="AI872" s="223"/>
      <c r="AJ872" s="47"/>
      <c r="AK872" s="47"/>
      <c r="AL872" s="47"/>
      <c r="AM872" s="47"/>
      <c r="AN872" s="47"/>
      <c r="AO872" s="47"/>
      <c r="AP872" s="47"/>
      <c r="AQ872" s="47"/>
      <c r="AR872" s="25"/>
    </row>
    <row r="873" spans="1:44" ht="12.75" customHeight="1" x14ac:dyDescent="0.15">
      <c r="A873" s="47"/>
      <c r="B873" s="47"/>
      <c r="C873" s="47"/>
      <c r="D873" s="47"/>
      <c r="E873" s="47"/>
      <c r="F873" s="47"/>
      <c r="G873" s="47"/>
      <c r="H873" s="47"/>
      <c r="I873" s="111"/>
      <c r="J873" s="52"/>
      <c r="K873" s="148"/>
      <c r="L873" s="52"/>
      <c r="M873" s="148"/>
      <c r="N873" s="52"/>
      <c r="O873" s="148"/>
      <c r="P873" s="52"/>
      <c r="Q873" s="155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52"/>
      <c r="AD873" s="52"/>
      <c r="AE873" s="47"/>
      <c r="AF873" s="47"/>
      <c r="AG873" s="223"/>
      <c r="AH873" s="47"/>
      <c r="AI873" s="223"/>
      <c r="AJ873" s="47"/>
      <c r="AK873" s="47"/>
      <c r="AL873" s="47"/>
      <c r="AM873" s="47"/>
      <c r="AN873" s="47"/>
      <c r="AO873" s="47"/>
      <c r="AP873" s="47"/>
      <c r="AQ873" s="47"/>
      <c r="AR873" s="25"/>
    </row>
    <row r="874" spans="1:44" ht="12.75" customHeight="1" x14ac:dyDescent="0.15">
      <c r="A874" s="47"/>
      <c r="B874" s="47"/>
      <c r="C874" s="47"/>
      <c r="D874" s="47"/>
      <c r="E874" s="47"/>
      <c r="F874" s="47"/>
      <c r="G874" s="47"/>
      <c r="H874" s="47"/>
      <c r="I874" s="111"/>
      <c r="J874" s="52"/>
      <c r="K874" s="148"/>
      <c r="L874" s="52"/>
      <c r="M874" s="148"/>
      <c r="N874" s="52"/>
      <c r="O874" s="148"/>
      <c r="P874" s="52"/>
      <c r="Q874" s="155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52"/>
      <c r="AD874" s="52"/>
      <c r="AE874" s="47"/>
      <c r="AF874" s="47"/>
      <c r="AG874" s="223"/>
      <c r="AH874" s="47"/>
      <c r="AI874" s="223"/>
      <c r="AJ874" s="47"/>
      <c r="AK874" s="47"/>
      <c r="AL874" s="47"/>
      <c r="AM874" s="47"/>
      <c r="AN874" s="47"/>
      <c r="AO874" s="47"/>
      <c r="AP874" s="47"/>
      <c r="AQ874" s="47"/>
      <c r="AR874" s="25"/>
    </row>
    <row r="875" spans="1:44" ht="12.75" customHeight="1" x14ac:dyDescent="0.15">
      <c r="A875" s="47"/>
      <c r="B875" s="47"/>
      <c r="C875" s="47"/>
      <c r="D875" s="47"/>
      <c r="E875" s="47"/>
      <c r="F875" s="47"/>
      <c r="G875" s="47"/>
      <c r="H875" s="47"/>
      <c r="I875" s="111"/>
      <c r="J875" s="52"/>
      <c r="K875" s="148"/>
      <c r="L875" s="52"/>
      <c r="M875" s="148"/>
      <c r="N875" s="52"/>
      <c r="O875" s="148"/>
      <c r="P875" s="52"/>
      <c r="Q875" s="155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52"/>
      <c r="AD875" s="52"/>
      <c r="AE875" s="47"/>
      <c r="AF875" s="47"/>
      <c r="AG875" s="223"/>
      <c r="AH875" s="47"/>
      <c r="AI875" s="223"/>
      <c r="AJ875" s="47"/>
      <c r="AK875" s="47"/>
      <c r="AL875" s="47"/>
      <c r="AM875" s="47"/>
      <c r="AN875" s="47"/>
      <c r="AO875" s="47"/>
      <c r="AP875" s="47"/>
      <c r="AQ875" s="47"/>
      <c r="AR875" s="25"/>
    </row>
    <row r="876" spans="1:44" ht="12.75" customHeight="1" x14ac:dyDescent="0.15">
      <c r="A876" s="47"/>
      <c r="B876" s="47"/>
      <c r="C876" s="47"/>
      <c r="D876" s="47"/>
      <c r="E876" s="47"/>
      <c r="F876" s="47"/>
      <c r="G876" s="47"/>
      <c r="H876" s="47"/>
      <c r="I876" s="111"/>
      <c r="J876" s="52"/>
      <c r="K876" s="148"/>
      <c r="L876" s="52"/>
      <c r="M876" s="148"/>
      <c r="N876" s="52"/>
      <c r="O876" s="148"/>
      <c r="P876" s="52"/>
      <c r="Q876" s="155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52"/>
      <c r="AD876" s="52"/>
      <c r="AE876" s="47"/>
      <c r="AF876" s="47"/>
      <c r="AG876" s="223"/>
      <c r="AH876" s="47"/>
      <c r="AI876" s="223"/>
      <c r="AJ876" s="47"/>
      <c r="AK876" s="47"/>
      <c r="AL876" s="47"/>
      <c r="AM876" s="47"/>
      <c r="AN876" s="47"/>
      <c r="AO876" s="47"/>
      <c r="AP876" s="47"/>
      <c r="AQ876" s="47"/>
      <c r="AR876" s="25"/>
    </row>
    <row r="877" spans="1:44" ht="12.75" customHeight="1" x14ac:dyDescent="0.15">
      <c r="A877" s="47"/>
      <c r="B877" s="47"/>
      <c r="C877" s="47"/>
      <c r="D877" s="47"/>
      <c r="E877" s="47"/>
      <c r="F877" s="47"/>
      <c r="G877" s="47"/>
      <c r="H877" s="47"/>
      <c r="I877" s="111"/>
      <c r="J877" s="52"/>
      <c r="K877" s="148"/>
      <c r="L877" s="52"/>
      <c r="M877" s="148"/>
      <c r="N877" s="52"/>
      <c r="O877" s="148"/>
      <c r="P877" s="52"/>
      <c r="Q877" s="155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52"/>
      <c r="AD877" s="52"/>
      <c r="AE877" s="47"/>
      <c r="AF877" s="47"/>
      <c r="AG877" s="223"/>
      <c r="AH877" s="47"/>
      <c r="AI877" s="223"/>
      <c r="AJ877" s="47"/>
      <c r="AK877" s="47"/>
      <c r="AL877" s="47"/>
      <c r="AM877" s="47"/>
      <c r="AN877" s="47"/>
      <c r="AO877" s="47"/>
      <c r="AP877" s="47"/>
      <c r="AQ877" s="47"/>
      <c r="AR877" s="25"/>
    </row>
    <row r="878" spans="1:44" ht="12.75" customHeight="1" x14ac:dyDescent="0.15"/>
    <row r="879" spans="1:44" ht="12.75" customHeight="1" x14ac:dyDescent="0.15"/>
    <row r="880" spans="1:44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</sheetData>
  <autoFilter ref="A5:AQ153" xr:uid="{E14342BA-FF31-4CF4-9C16-3D5A2090796F}">
    <filterColumn colId="1" showButton="0"/>
    <filterColumn colId="9" showButton="0"/>
    <filterColumn colId="11" showButton="0"/>
    <filterColumn colId="13" showButton="0"/>
    <filterColumn colId="15" showButton="0"/>
    <filterColumn colId="32" showButton="0"/>
    <filterColumn colId="33" showButton="0"/>
    <filterColumn colId="34" showButton="0"/>
  </autoFilter>
  <mergeCells count="13">
    <mergeCell ref="Y3:AE3"/>
    <mergeCell ref="AG4:AJ4"/>
    <mergeCell ref="AG5:AJ5"/>
    <mergeCell ref="B4:C4"/>
    <mergeCell ref="B5:C5"/>
    <mergeCell ref="L4:M4"/>
    <mergeCell ref="J4:K4"/>
    <mergeCell ref="P4:Q4"/>
    <mergeCell ref="L5:M5"/>
    <mergeCell ref="J5:K5"/>
    <mergeCell ref="P5:Q5"/>
    <mergeCell ref="N4:O4"/>
    <mergeCell ref="N5:O5"/>
  </mergeCells>
  <phoneticPr fontId="21" type="noConversion"/>
  <conditionalFormatting sqref="A3">
    <cfRule type="containsText" dxfId="749" priority="250" operator="containsText" text="N/A">
      <formula>NOT(ISERROR(SEARCH("N/A",A3)))</formula>
    </cfRule>
  </conditionalFormatting>
  <conditionalFormatting sqref="A6:A799">
    <cfRule type="expression" dxfId="748" priority="219">
      <formula>ISTEXT(A6)</formula>
    </cfRule>
  </conditionalFormatting>
  <conditionalFormatting sqref="A5:XFD6 A4:W4 A7:AN7 A8:XFD79 I80:XFD80 Y81:XFD81 A82:XFD1048576 A1:XFD3 A81:W81 A80:G80">
    <cfRule type="containsText" dxfId="747" priority="305" operator="containsText" text="N/A">
      <formula>NOT(ISERROR(SEARCH("N/A",A1)))</formula>
    </cfRule>
  </conditionalFormatting>
  <conditionalFormatting sqref="B6:B799">
    <cfRule type="expression" dxfId="746" priority="218">
      <formula>ISTEXT(A6)</formula>
    </cfRule>
  </conditionalFormatting>
  <conditionalFormatting sqref="B8:C50">
    <cfRule type="containsText" dxfId="745" priority="164" operator="containsText" text="N/A">
      <formula>NOT(ISERROR(SEARCH("N/A",B8)))</formula>
    </cfRule>
  </conditionalFormatting>
  <conditionalFormatting sqref="B52:C86">
    <cfRule type="containsText" dxfId="744" priority="112" operator="containsText" text="N/A">
      <formula>NOT(ISERROR(SEARCH("N/A",B52)))</formula>
    </cfRule>
  </conditionalFormatting>
  <conditionalFormatting sqref="B89:C153">
    <cfRule type="containsText" dxfId="743" priority="6" operator="containsText" text="N/A">
      <formula>NOT(ISERROR(SEARCH("N/A",B89)))</formula>
    </cfRule>
  </conditionalFormatting>
  <conditionalFormatting sqref="C6:C799">
    <cfRule type="expression" dxfId="742" priority="217">
      <formula>ISTEXT(A6)</formula>
    </cfRule>
  </conditionalFormatting>
  <conditionalFormatting sqref="D6:D799">
    <cfRule type="expression" dxfId="741" priority="216">
      <formula>ISTEXT(A6)</formula>
    </cfRule>
  </conditionalFormatting>
  <conditionalFormatting sqref="E6:E799">
    <cfRule type="expression" dxfId="740" priority="215">
      <formula>ISTEXT(A6)</formula>
    </cfRule>
  </conditionalFormatting>
  <conditionalFormatting sqref="E12:E13">
    <cfRule type="expression" dxfId="739" priority="1">
      <formula>ISTEXT(XER12)</formula>
    </cfRule>
  </conditionalFormatting>
  <conditionalFormatting sqref="F6:F799">
    <cfRule type="expression" dxfId="738" priority="214">
      <formula>ISTEXT(A6)</formula>
    </cfRule>
  </conditionalFormatting>
  <conditionalFormatting sqref="G6:G799">
    <cfRule type="expression" dxfId="737" priority="122">
      <formula>ISTEXT(A6)</formula>
    </cfRule>
  </conditionalFormatting>
  <conditionalFormatting sqref="I6:I799">
    <cfRule type="expression" dxfId="736" priority="213">
      <formula>ISTEXT(A6)</formula>
    </cfRule>
  </conditionalFormatting>
  <conditionalFormatting sqref="J1:J1048576">
    <cfRule type="cellIs" dxfId="735" priority="220" operator="lessThan">
      <formula>0</formula>
    </cfRule>
  </conditionalFormatting>
  <conditionalFormatting sqref="J4">
    <cfRule type="dataBar" priority="302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{B14008D2-D325-4310-9670-30582E10D5D5}</x14:id>
        </ext>
      </extLst>
    </cfRule>
  </conditionalFormatting>
  <conditionalFormatting sqref="J5">
    <cfRule type="dataBar" priority="299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{783F3A24-8B71-497D-A9B0-ABB05407F48D}</x14:id>
        </ext>
      </extLst>
    </cfRule>
  </conditionalFormatting>
  <conditionalFormatting sqref="J6:J799">
    <cfRule type="expression" dxfId="734" priority="212">
      <formula>ISTEXT(A6)</formula>
    </cfRule>
  </conditionalFormatting>
  <conditionalFormatting sqref="K1:K1048576">
    <cfRule type="dataBar" priority="221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{E0AE8DD3-3F42-43D9-AF6E-649CC27FF070}</x14:id>
        </ext>
      </extLst>
    </cfRule>
  </conditionalFormatting>
  <conditionalFormatting sqref="K6:K799">
    <cfRule type="expression" dxfId="733" priority="211">
      <formula>ISTEXT(A6)</formula>
    </cfRule>
  </conditionalFormatting>
  <conditionalFormatting sqref="L6:L799">
    <cfRule type="expression" dxfId="732" priority="210">
      <formula>ISTEXT(A6)</formula>
    </cfRule>
  </conditionalFormatting>
  <conditionalFormatting sqref="M1:M1048576 O1:O1048576">
    <cfRule type="dataBar" priority="222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{82D0919B-992A-4E4D-B6D5-5B152EB4A6AA}</x14:id>
        </ext>
      </extLst>
    </cfRule>
  </conditionalFormatting>
  <conditionalFormatting sqref="M6:M799">
    <cfRule type="expression" dxfId="731" priority="209">
      <formula>ISTEXT(A6)</formula>
    </cfRule>
  </conditionalFormatting>
  <conditionalFormatting sqref="N6:N799">
    <cfRule type="expression" dxfId="730" priority="208">
      <formula>ISTEXT(A6)</formula>
    </cfRule>
  </conditionalFormatting>
  <conditionalFormatting sqref="O6:O799">
    <cfRule type="expression" dxfId="729" priority="207">
      <formula>ISTEXT(A6)</formula>
    </cfRule>
  </conditionalFormatting>
  <conditionalFormatting sqref="P5">
    <cfRule type="containsText" dxfId="728" priority="298" operator="containsText" text="N/A">
      <formula>NOT(ISERROR(SEARCH("N/A",P5)))</formula>
    </cfRule>
  </conditionalFormatting>
  <conditionalFormatting sqref="P6:P799">
    <cfRule type="expression" dxfId="727" priority="206">
      <formula>ISTEXT(A6)</formula>
    </cfRule>
  </conditionalFormatting>
  <conditionalFormatting sqref="Q1:Q1048576">
    <cfRule type="dataBar" priority="373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{EFA8A05C-962F-4A7C-BB01-38411DE823E1}</x14:id>
        </ext>
      </extLst>
    </cfRule>
  </conditionalFormatting>
  <conditionalFormatting sqref="Q6:Q799">
    <cfRule type="expression" dxfId="726" priority="154">
      <formula>ISTEXT(A6)</formula>
    </cfRule>
  </conditionalFormatting>
  <conditionalFormatting sqref="R6:R799 S83:V83 R84:V88">
    <cfRule type="expression" dxfId="725" priority="203">
      <formula>ISTEXT(A6)</formula>
    </cfRule>
  </conditionalFormatting>
  <conditionalFormatting sqref="S4">
    <cfRule type="containsText" dxfId="724" priority="159" operator="containsText" text="N/A">
      <formula>NOT(ISERROR(SEARCH("N/A",S4)))</formula>
    </cfRule>
  </conditionalFormatting>
  <conditionalFormatting sqref="S6:S799 V29 V33 V35 V37 V39 V41 V43 V45 V47 V49">
    <cfRule type="expression" dxfId="723" priority="476">
      <formula>ISTEXT(A6)</formula>
    </cfRule>
  </conditionalFormatting>
  <conditionalFormatting sqref="T6:T799 U63:V63 T64:V64 T70:V70 U74:V74 T75:V75 U76:V76 T77:V77">
    <cfRule type="expression" dxfId="722" priority="202">
      <formula>ISTEXT(A6)</formula>
    </cfRule>
  </conditionalFormatting>
  <conditionalFormatting sqref="T4:V4">
    <cfRule type="containsText" dxfId="721" priority="271" operator="containsText" text="N/A">
      <formula>NOT(ISERROR(SEARCH("N/A",T4)))</formula>
    </cfRule>
  </conditionalFormatting>
  <conditionalFormatting sqref="U6:U799">
    <cfRule type="expression" dxfId="720" priority="494">
      <formula>ISTEXT(A6)</formula>
    </cfRule>
  </conditionalFormatting>
  <conditionalFormatting sqref="U89:U153">
    <cfRule type="expression" dxfId="719" priority="93">
      <formula>ISTEXT(D89)</formula>
    </cfRule>
  </conditionalFormatting>
  <conditionalFormatting sqref="V6:V799">
    <cfRule type="expression" dxfId="718" priority="201">
      <formula>ISTEXT(A6)</formula>
    </cfRule>
  </conditionalFormatting>
  <conditionalFormatting sqref="X6:X799 Y83:AE83 X84:AE86 AA87:AA150">
    <cfRule type="expression" dxfId="717" priority="750">
      <formula>ISTEXT(A6)</formula>
    </cfRule>
  </conditionalFormatting>
  <conditionalFormatting sqref="X4:Y4">
    <cfRule type="containsText" dxfId="716" priority="124" operator="containsText" text="N/A">
      <formula>NOT(ISERROR(SEARCH("N/A",X4)))</formula>
    </cfRule>
  </conditionalFormatting>
  <conditionalFormatting sqref="X4:XFD4">
    <cfRule type="containsText" dxfId="715" priority="125" operator="containsText" text="N/A">
      <formula>NOT(ISERROR(SEARCH("N/A",X4)))</formula>
    </cfRule>
  </conditionalFormatting>
  <conditionalFormatting sqref="Y6:Y799">
    <cfRule type="expression" dxfId="714" priority="199">
      <formula>ISTEXT(A6)</formula>
    </cfRule>
  </conditionalFormatting>
  <conditionalFormatting sqref="Z6:Z799">
    <cfRule type="expression" dxfId="713" priority="198">
      <formula>ISTEXT(A6)</formula>
    </cfRule>
  </conditionalFormatting>
  <conditionalFormatting sqref="Z27 Z30:Z32 Z34 Z36 Z38 Z40 Z42 Z44 Z46 Z48 Z50:Z55">
    <cfRule type="expression" dxfId="712" priority="448">
      <formula>ISTEXT(#REF!)</formula>
    </cfRule>
  </conditionalFormatting>
  <conditionalFormatting sqref="AA4:AA5">
    <cfRule type="containsText" dxfId="711" priority="191" operator="containsText" text="N/A">
      <formula>NOT(ISERROR(SEARCH("N/A",AA4)))</formula>
    </cfRule>
  </conditionalFormatting>
  <conditionalFormatting sqref="AA6:AA799">
    <cfRule type="expression" dxfId="710" priority="196">
      <formula>ISTEXT(A6)</formula>
    </cfRule>
  </conditionalFormatting>
  <conditionalFormatting sqref="AB6:AB799 AC63:AE63 AB64:AE64 AE65:AE69 AB70:AE70 AE71:AE73 AC74:AE74 AB75:AE75 AC76:AE76 AB77:AE77">
    <cfRule type="expression" dxfId="709" priority="195">
      <formula>ISTEXT(A6)</formula>
    </cfRule>
  </conditionalFormatting>
  <conditionalFormatting sqref="AB5:AE5">
    <cfRule type="containsText" dxfId="708" priority="155" operator="containsText" text="N/A">
      <formula>NOT(ISERROR(SEARCH("N/A",AB5)))</formula>
    </cfRule>
  </conditionalFormatting>
  <conditionalFormatting sqref="AC6:AC799 AD88:AE88 AE89:AE107">
    <cfRule type="expression" dxfId="707" priority="194">
      <formula>ISTEXT(A6)</formula>
    </cfRule>
  </conditionalFormatting>
  <conditionalFormatting sqref="AD6:AD799">
    <cfRule type="expression" dxfId="706" priority="193">
      <formula>ISTEXT(A6)</formula>
    </cfRule>
  </conditionalFormatting>
  <conditionalFormatting sqref="AE6:AE799">
    <cfRule type="expression" dxfId="705" priority="192">
      <formula>ISTEXT(A6)</formula>
    </cfRule>
  </conditionalFormatting>
  <conditionalFormatting sqref="AE79:AE82">
    <cfRule type="expression" dxfId="704" priority="118">
      <formula>ISTEXT(D79)</formula>
    </cfRule>
  </conditionalFormatting>
  <conditionalFormatting sqref="AG6:AG799">
    <cfRule type="expression" dxfId="703" priority="200">
      <formula>ISTEXT(A6)</formula>
    </cfRule>
  </conditionalFormatting>
  <conditionalFormatting sqref="AH6:AH799">
    <cfRule type="containsText" dxfId="702" priority="267" operator="containsText" text="F">
      <formula>NOT(ISERROR(SEARCH("F",AH6)))</formula>
    </cfRule>
    <cfRule type="containsText" dxfId="701" priority="268" operator="containsText" text="D">
      <formula>NOT(ISERROR(SEARCH("D",AH6)))</formula>
    </cfRule>
    <cfRule type="containsText" dxfId="700" priority="266" operator="containsText" text="E">
      <formula>NOT(ISERROR(SEARCH("E",AH6)))</formula>
    </cfRule>
    <cfRule type="containsText" dxfId="699" priority="262" operator="containsText" text="A1">
      <formula>NOT(ISERROR(SEARCH("A1",AH6)))</formula>
    </cfRule>
    <cfRule type="containsText" dxfId="698" priority="263" operator="containsText" text="A2">
      <formula>NOT(ISERROR(SEARCH("A2",AH6)))</formula>
    </cfRule>
    <cfRule type="containsText" dxfId="697" priority="264" operator="containsText" text="B">
      <formula>NOT(ISERROR(SEARCH("B",AH6)))</formula>
    </cfRule>
    <cfRule type="containsText" dxfId="696" priority="265" operator="containsText" text="C">
      <formula>NOT(ISERROR(SEARCH("C",AH6)))</formula>
    </cfRule>
  </conditionalFormatting>
  <conditionalFormatting sqref="AI6:AI799">
    <cfRule type="expression" dxfId="695" priority="252">
      <formula>AH6="F"</formula>
    </cfRule>
    <cfRule type="expression" dxfId="694" priority="253">
      <formula>AH6="E"</formula>
    </cfRule>
    <cfRule type="expression" dxfId="693" priority="254">
      <formula>AH6="D"</formula>
    </cfRule>
    <cfRule type="expression" dxfId="692" priority="255">
      <formula>AH6="C"</formula>
    </cfRule>
    <cfRule type="expression" dxfId="691" priority="256">
      <formula>AH6="B"</formula>
    </cfRule>
    <cfRule type="expression" dxfId="690" priority="257">
      <formula>AH6="A2"</formula>
    </cfRule>
    <cfRule type="expression" dxfId="689" priority="258">
      <formula>AH6="A1"</formula>
    </cfRule>
  </conditionalFormatting>
  <conditionalFormatting sqref="AJ6:AJ799">
    <cfRule type="expression" dxfId="688" priority="190">
      <formula>ISTEXT(A6)</formula>
    </cfRule>
  </conditionalFormatting>
  <conditionalFormatting sqref="AL6:AL799">
    <cfRule type="expression" dxfId="687" priority="197">
      <formula>ISTEXT(A6)</formula>
    </cfRule>
  </conditionalFormatting>
  <conditionalFormatting sqref="AM6:AM799">
    <cfRule type="expression" dxfId="686" priority="189">
      <formula>ISTEXT(A6)</formula>
    </cfRule>
  </conditionalFormatting>
  <conditionalFormatting sqref="AO6:AO799">
    <cfRule type="expression" dxfId="685" priority="3">
      <formula>ISTEXT(A6)</formula>
    </cfRule>
  </conditionalFormatting>
  <conditionalFormatting sqref="AO7">
    <cfRule type="expression" dxfId="684" priority="5">
      <formula>ISTEXT(#REF!)</formula>
    </cfRule>
  </conditionalFormatting>
  <conditionalFormatting sqref="AO7:XFD7">
    <cfRule type="containsText" dxfId="683" priority="4" operator="containsText" text="N/A">
      <formula>NOT(ISERROR(SEARCH("N/A",AO7)))</formula>
    </cfRule>
  </conditionalFormatting>
  <conditionalFormatting sqref="AP6:AP799">
    <cfRule type="expression" dxfId="682" priority="2">
      <formula>ISTEXT(A6)</formula>
    </cfRule>
  </conditionalFormatting>
  <conditionalFormatting sqref="AP28:AQ28">
    <cfRule type="containsText" dxfId="681" priority="261" operator="containsText" text="N/A">
      <formula>NOT(ISERROR(SEARCH("N/A",AP28)))</formula>
    </cfRule>
  </conditionalFormatting>
  <conditionalFormatting sqref="AQ6:AQ799">
    <cfRule type="expression" dxfId="680" priority="186">
      <formula>ISTEXT(A6)</formula>
    </cfRule>
  </conditionalFormatting>
  <hyperlinks>
    <hyperlink ref="AO6" r:id="rId1" xr:uid="{A93ABDC5-7452-4CA6-9CBA-0700AF8D7755}"/>
    <hyperlink ref="AO10" r:id="rId2" xr:uid="{6BB5B8D7-7808-4453-8200-75593A14D96F}"/>
    <hyperlink ref="AO11" r:id="rId3" xr:uid="{257A9061-B4E0-4D4B-8905-9B9DC226844A}"/>
    <hyperlink ref="R15" r:id="rId4" display="Produktspecifik" xr:uid="{BC6A9467-219C-49BD-942C-EFFDDDDE4BF4}"/>
    <hyperlink ref="R14" r:id="rId5" display="Produktspecifik" xr:uid="{D38F3510-3A7D-4750-AF48-E61E42F62D34}"/>
    <hyperlink ref="AO14" r:id="rId6" xr:uid="{FAC9800F-1D2E-4EC7-90E0-B280D4BAF81D}"/>
    <hyperlink ref="AO15" r:id="rId7" xr:uid="{1031F064-396E-45A0-A197-A6BFF72853E8}"/>
    <hyperlink ref="AO9" r:id="rId8" xr:uid="{DC364991-6B61-49AF-A4ED-8BB93B2C388C}"/>
    <hyperlink ref="AO8" r:id="rId9" xr:uid="{7558F34E-8D37-412C-968E-2952A3F79752}"/>
    <hyperlink ref="AO16" r:id="rId10" xr:uid="{346665C3-DA4C-40D8-ABF8-C26C5A04273A}"/>
    <hyperlink ref="AO17" r:id="rId11" xr:uid="{F99E2779-AA37-4A4B-BF4E-4DE737306000}"/>
    <hyperlink ref="R12" r:id="rId12" xr:uid="{72CB8F91-6F72-4D83-85D4-A2F7DEB517B1}"/>
    <hyperlink ref="R16" r:id="rId13" display="Produktspecifik" xr:uid="{EC9FA1F5-2702-4047-9570-957FAFC132C8}"/>
    <hyperlink ref="E17" r:id="rId14" xr:uid="{7D6A2930-4A26-4C09-8DBC-1A4C1804159C}"/>
    <hyperlink ref="E16" r:id="rId15" xr:uid="{7076A9D2-2CED-4C59-BDB6-D306D49C9C4A}"/>
    <hyperlink ref="E15" r:id="rId16" xr:uid="{F846134D-B3AE-4D01-BA06-4FDF90A10E68}"/>
    <hyperlink ref="E14" r:id="rId17" xr:uid="{10DF3447-294C-4642-8F15-3BE5A9031DB3}"/>
    <hyperlink ref="E7" r:id="rId18" xr:uid="{E445FE41-8CB7-402F-B69D-85ECD2ADC69F}"/>
    <hyperlink ref="E18" r:id="rId19" xr:uid="{4B59CA78-DDDE-4322-9B63-13CB0B143B5A}"/>
    <hyperlink ref="AO18" r:id="rId20" xr:uid="{980EE998-7EDD-4D2D-BC69-D7C09CEE20A1}"/>
    <hyperlink ref="R18" r:id="rId21" display="Produktspecifik" xr:uid="{830C3F30-0063-41C0-94E9-B08BEA5A24A7}"/>
    <hyperlink ref="E19" r:id="rId22" xr:uid="{2A68107A-E90C-436A-A7E3-312078BD5B1E}"/>
    <hyperlink ref="R19" r:id="rId23" display="Produktspecifik" xr:uid="{1A87BB49-2DF3-40DD-900A-AE57675C3D5D}"/>
    <hyperlink ref="AO19" r:id="rId24" xr:uid="{99F35B42-BB87-4256-ACAE-29712A9A5FDD}"/>
    <hyperlink ref="AP20" r:id="rId25" xr:uid="{C03AB0BF-EB70-4E66-A1D0-21032CDBA774}"/>
    <hyperlink ref="AO20" r:id="rId26" xr:uid="{50392F33-2193-41FF-8760-AAF1AC536C5B}"/>
    <hyperlink ref="AO21" r:id="rId27" xr:uid="{E3F98C98-48EE-4DDD-B13F-FEBE98FF5530}"/>
    <hyperlink ref="AQ20" r:id="rId28" xr:uid="{426C92D6-4926-4EBF-96E6-AFF9EC43FC64}"/>
    <hyperlink ref="R22" r:id="rId29" xr:uid="{F36A0AFE-BD83-47F3-858A-869E1D66BC33}"/>
    <hyperlink ref="E22" r:id="rId30" xr:uid="{447D7073-D2E8-4989-9441-74FFA64695C4}"/>
    <hyperlink ref="AO22" r:id="rId31" xr:uid="{73F475D9-B2D2-42F9-90E8-A718DC565795}"/>
    <hyperlink ref="AP22" r:id="rId32" xr:uid="{4341CE83-D9F3-4FF2-B67D-8B61AB37259C}"/>
    <hyperlink ref="AO23" r:id="rId33" xr:uid="{15E896DE-3905-4FD4-ACBE-56EF399AB285}"/>
    <hyperlink ref="R23" r:id="rId34" xr:uid="{A2BDDD9B-8AE6-4EBB-8273-A429BA011E50}"/>
    <hyperlink ref="E23" r:id="rId35" xr:uid="{AF04773D-740E-4722-8A48-03231177EB1A}"/>
    <hyperlink ref="R24" r:id="rId36" xr:uid="{36D8B45E-B120-4E88-9ADC-5E910343A38C}"/>
    <hyperlink ref="E24" r:id="rId37" xr:uid="{7033B86B-851D-41CE-9B34-072F63646962}"/>
    <hyperlink ref="R8" r:id="rId38" xr:uid="{D5E221DB-11C8-49B7-8CFD-3FA02E91F79C}"/>
    <hyperlink ref="R9" r:id="rId39" xr:uid="{1505BE6C-51A2-42DD-B6C0-49BEDE176464}"/>
    <hyperlink ref="AP25" r:id="rId40" display="Link" xr:uid="{FED08CD1-4F48-4CF3-9139-3A88D22F0CC8}"/>
    <hyperlink ref="AO25" r:id="rId41" xr:uid="{3694628E-ED83-40E1-AF33-E2A047FC7371}"/>
    <hyperlink ref="R25" r:id="rId42" xr:uid="{15016CB2-0703-4755-8495-876145ACC6B4}"/>
    <hyperlink ref="E25" r:id="rId43" xr:uid="{320E1783-E675-4EB7-842D-DF0142A0E76D}"/>
    <hyperlink ref="E8" r:id="rId44" xr:uid="{3E8B92E1-FA00-486F-B7C2-6E0FABA4068B}"/>
    <hyperlink ref="E9" r:id="rId45" xr:uid="{BC49347C-0961-4624-95D7-722A10BE5BC1}"/>
    <hyperlink ref="AP26" r:id="rId46" display="Link" xr:uid="{7A44FC7E-54F4-44C7-9562-749AAA18F1F1}"/>
    <hyperlink ref="AO26" r:id="rId47" xr:uid="{8F5D4A87-DF77-4614-9512-5E11D31AED08}"/>
    <hyperlink ref="R26" r:id="rId48" xr:uid="{F3EC3E39-82FD-4A5C-A539-1B72C5FFF57C}"/>
    <hyperlink ref="E26" r:id="rId49" xr:uid="{51443F9F-7653-43CE-8480-FBBFFCB66725}"/>
    <hyperlink ref="R28" r:id="rId50" xr:uid="{0191588D-5CBC-40C3-AB06-BFC02D41C687}"/>
    <hyperlink ref="E28" r:id="rId51" xr:uid="{766A0527-800E-497E-AEFB-3E9D45055BC4}"/>
    <hyperlink ref="AO28" r:id="rId52" xr:uid="{8B655548-3CC1-41E6-87FA-AA7A9107AC72}"/>
    <hyperlink ref="AO29" r:id="rId53" xr:uid="{B6DBAD36-6FFB-47DF-99D8-9D3342D40AA0}"/>
    <hyperlink ref="R27" r:id="rId54" xr:uid="{DE0A8CFF-BA10-4DC1-AEFD-16BB4E5D19C7}"/>
    <hyperlink ref="R30" r:id="rId55" xr:uid="{0B352F23-AF24-4813-A3F2-87B9A48DF413}"/>
    <hyperlink ref="R31" r:id="rId56" xr:uid="{C4A69679-D2D1-48FF-B3DF-EB00A445F715}"/>
    <hyperlink ref="AO32" r:id="rId57" xr:uid="{C4B120CA-3E9C-403D-9945-E335CB6BA74F}"/>
    <hyperlink ref="AP32" r:id="rId58" xr:uid="{8AE667BE-57CC-4731-8926-8A973D4BDC79}"/>
    <hyperlink ref="AO33" r:id="rId59" xr:uid="{032ED497-F575-4472-B1B1-A3368FEBAF80}"/>
    <hyperlink ref="AP28" r:id="rId60" xr:uid="{CD601F6E-DAC2-4131-A076-2E30F58EA49D}"/>
    <hyperlink ref="AP19" r:id="rId61" xr:uid="{0659AAEF-EAF6-490E-9A85-B533F4322D15}"/>
    <hyperlink ref="E34" r:id="rId62" xr:uid="{E83AB6E4-5BB0-4C27-AC27-B3FFA6E56BDF}"/>
    <hyperlink ref="E35" r:id="rId63" xr:uid="{7C4F30BE-D245-4368-B45E-B40048EF1459}"/>
    <hyperlink ref="E36" r:id="rId64" xr:uid="{93B190AA-C2CB-4C7A-80DD-69C151B8390C}"/>
    <hyperlink ref="E37" r:id="rId65" xr:uid="{F90EFFCD-DFF9-4CB4-B08E-AB6FC48785E1}"/>
    <hyperlink ref="E40" r:id="rId66" xr:uid="{436E1F7C-8D51-42B7-A561-D606434AD0CD}"/>
    <hyperlink ref="E41" r:id="rId67" xr:uid="{9591DED1-32F2-40D2-8D64-CA42DCD45998}"/>
    <hyperlink ref="E42" r:id="rId68" xr:uid="{917B2675-36DC-428E-BFCD-9D355D211AF3}"/>
    <hyperlink ref="E43" r:id="rId69" xr:uid="{B31C9871-2333-4F8C-A4D4-C317B36DF3BA}"/>
    <hyperlink ref="E44" r:id="rId70" xr:uid="{71691689-912D-46DE-A28C-763819E20486}"/>
    <hyperlink ref="E45" r:id="rId71" xr:uid="{BB73DCAD-69FB-4FB5-A1F1-AF03238CF0DE}"/>
    <hyperlink ref="E46" r:id="rId72" xr:uid="{3788D692-7F44-44D3-9C71-9BD1C02F190D}"/>
    <hyperlink ref="E47" r:id="rId73" xr:uid="{925DD0B4-388B-4C0B-BF8C-B71A1DE07F61}"/>
    <hyperlink ref="E48" r:id="rId74" xr:uid="{A4806211-63D3-44BD-AEF4-BAC088A6F72E}"/>
    <hyperlink ref="E49" r:id="rId75" xr:uid="{D4BD751B-531B-4F56-912B-C93CEE70C3B7}"/>
    <hyperlink ref="E50" r:id="rId76" xr:uid="{762C5B7C-BC78-4E3F-A5A5-9B71D6BD4E21}"/>
    <hyperlink ref="AO34" r:id="rId77" xr:uid="{0250A559-F308-40DD-AD74-7F027318BF54}"/>
    <hyperlink ref="AO35:AO50" r:id="rId78" display="Link" xr:uid="{86079C3E-DB92-4400-B7F7-389AE708FF49}"/>
    <hyperlink ref="R38" r:id="rId79" xr:uid="{5BC5D83C-9DF7-4CDE-A113-3B7FB3A29099}"/>
    <hyperlink ref="R39" r:id="rId80" xr:uid="{A9E5F4BB-0AB6-438B-90BE-56133A683459}"/>
    <hyperlink ref="E39" r:id="rId81" xr:uid="{59EA6CE2-7CB2-44EF-87FA-33331C6310BC}"/>
    <hyperlink ref="E38" r:id="rId82" xr:uid="{2B4D21E9-3D7C-41DC-B272-B36F00D9106D}"/>
    <hyperlink ref="R34" r:id="rId83" xr:uid="{3990F45E-7F97-45F7-8F79-6ECA925EBC91}"/>
    <hyperlink ref="R35" r:id="rId84" xr:uid="{328AB9A6-EEE3-4E21-87B6-E92F641D5DB9}"/>
    <hyperlink ref="R36" r:id="rId85" xr:uid="{A153AAE4-DCBE-475A-BA80-395FA489170B}"/>
    <hyperlink ref="AO12" r:id="rId86" xr:uid="{491F4BAD-C7D2-4498-A382-E38BBB365297}"/>
    <hyperlink ref="AO13" r:id="rId87" xr:uid="{AA46B45F-7ED9-4A6C-A268-541AC63B497B}"/>
    <hyperlink ref="AO24" r:id="rId88" xr:uid="{EF85417E-4E47-4761-AF1F-AA959B3367FE}"/>
    <hyperlink ref="AO27" r:id="rId89" xr:uid="{BE1A6BBE-6E97-403A-A3F3-7B220BCD0BBF}"/>
    <hyperlink ref="AO30" r:id="rId90" xr:uid="{4E75E5C0-5C97-46C7-A218-8A307C73339B}"/>
    <hyperlink ref="AO31" r:id="rId91" xr:uid="{3C63C295-62BE-4899-B2BA-4CC04B0DC269}"/>
    <hyperlink ref="R52" r:id="rId92" xr:uid="{AF167948-E7D5-46FE-8CD2-DE9856F4A803}"/>
    <hyperlink ref="AO52" r:id="rId93" xr:uid="{B44DA1A7-64C0-40DF-8376-F5C2508BAD49}"/>
    <hyperlink ref="R53" r:id="rId94" xr:uid="{60E176F9-F4A4-481A-A41A-0664F681C1BD}"/>
    <hyperlink ref="AO53" r:id="rId95" xr:uid="{4B9546FB-3CF7-403C-BA0E-8B8001567B60}"/>
    <hyperlink ref="R54" r:id="rId96" xr:uid="{BF0D0F3D-0E9C-4D1B-B25B-6FC3DCFB01F5}"/>
    <hyperlink ref="AO54" r:id="rId97" xr:uid="{94E7E35A-94D0-4139-A857-6044DE85C380}"/>
    <hyperlink ref="R55" r:id="rId98" xr:uid="{762BC833-F01C-45B3-9624-AA50436A3AEC}"/>
    <hyperlink ref="AO55" r:id="rId99" xr:uid="{BB91C063-88DC-4247-BBA2-2D845646E7D3}"/>
    <hyperlink ref="R56" r:id="rId100" xr:uid="{ECB6EF0A-AD6D-4587-BAEC-CD23D06FE41C}"/>
    <hyperlink ref="E56" r:id="rId101" xr:uid="{D80A46CC-D7E6-463C-B850-021B55DCF7A8}"/>
    <hyperlink ref="AO56" r:id="rId102" xr:uid="{3E9E81B0-C511-4FA3-BF79-BFB6C410AD0A}"/>
    <hyperlink ref="R57" r:id="rId103" xr:uid="{DC9C929B-FA7F-42B0-B201-618D4451F203}"/>
    <hyperlink ref="E57" r:id="rId104" xr:uid="{15280214-CE7F-4092-85A1-DB1C88626D84}"/>
    <hyperlink ref="R58" r:id="rId105" xr:uid="{D1B09CB5-AA98-4756-A7FE-3E8134963F9F}"/>
    <hyperlink ref="E58" r:id="rId106" xr:uid="{A3986623-034B-49C0-BB3B-8966D7474535}"/>
    <hyperlink ref="R59" r:id="rId107" xr:uid="{D3B34242-4664-4D98-88CE-BAF911E00D98}"/>
    <hyperlink ref="E59" r:id="rId108" xr:uid="{CBFFA5F6-9A6B-4B10-845B-59DBA3631C83}"/>
    <hyperlink ref="R60" r:id="rId109" xr:uid="{14412B9C-5173-4146-81FF-5831290550E4}"/>
    <hyperlink ref="E60" r:id="rId110" xr:uid="{E86FE6B9-0177-4912-BA09-336DF0373C77}"/>
    <hyperlink ref="R61" r:id="rId111" xr:uid="{8A0FA235-E714-45DA-84D2-F832606B1832}"/>
    <hyperlink ref="E61" r:id="rId112" xr:uid="{FA132238-D152-444D-9F9C-870BE672C4C6}"/>
    <hyperlink ref="AO61" r:id="rId113" xr:uid="{DFA19AF8-C642-4A0B-85CC-A3E6E9CF077B}"/>
    <hyperlink ref="AO59:AO60" r:id="rId114" display="Link" xr:uid="{ED762D2C-A029-4BFE-B951-88DB63D4EDB6}"/>
    <hyperlink ref="AO57:AO58" r:id="rId115" display="Link" xr:uid="{322A26B2-26E9-46A6-83D1-36B4185B0020}"/>
    <hyperlink ref="R62" r:id="rId116" xr:uid="{6E1618B6-D9A2-4FFC-BED9-4ACE66FD62E4}"/>
    <hyperlink ref="E62" r:id="rId117" xr:uid="{AEE4D696-7BDD-4FC3-A5C7-6F312665D032}"/>
    <hyperlink ref="AO62" r:id="rId118" xr:uid="{459876F0-B6A1-421B-8D90-7619C615BE27}"/>
    <hyperlink ref="AO63" r:id="rId119" xr:uid="{4CE6012F-0A12-4998-B45A-225A51E935D2}"/>
    <hyperlink ref="AO64" r:id="rId120" xr:uid="{254EB4B0-738E-452B-A64F-4C3E5E5271A6}"/>
    <hyperlink ref="R65" r:id="rId121" xr:uid="{532817B3-43F7-4A4F-8D55-6B9AECBC2A1F}"/>
    <hyperlink ref="E65" r:id="rId122" xr:uid="{CCFFC0D8-4D8F-4252-BFFA-D219107EC84F}"/>
    <hyperlink ref="AO65" r:id="rId123" xr:uid="{40D42A49-AE5D-49C3-B52B-C218065367E0}"/>
    <hyperlink ref="R66" r:id="rId124" xr:uid="{DB259673-433E-452F-82B7-BB7ACC0A6234}"/>
    <hyperlink ref="E66" r:id="rId125" xr:uid="{DBB9F4C7-2A07-4AAF-A278-6B02899E7A25}"/>
    <hyperlink ref="AO66" r:id="rId126" xr:uid="{61A03034-7FD2-4B9D-A1A8-EB8D821DB041}"/>
    <hyperlink ref="R67" r:id="rId127" xr:uid="{85E1459D-79E6-4308-A2C6-8A158215EFB7}"/>
    <hyperlink ref="E67" r:id="rId128" xr:uid="{B298E715-60A2-43E5-BE90-95D28DEE68D9}"/>
    <hyperlink ref="AO67" r:id="rId129" xr:uid="{FFAC21E3-3224-48D8-9785-C519C4B14F12}"/>
    <hyperlink ref="R68" r:id="rId130" xr:uid="{4E087F86-1C9C-4C14-893A-E342CAF9ED7F}"/>
    <hyperlink ref="E68" r:id="rId131" xr:uid="{0DE3D752-E145-40C9-B058-300F6863CF4A}"/>
    <hyperlink ref="AO68" r:id="rId132" xr:uid="{BFE70A73-8EFA-4099-9312-8995933EF6CA}"/>
    <hyperlink ref="R69" r:id="rId133" xr:uid="{44CA78CE-E2CE-451A-9FE6-F866C2D47AF1}"/>
    <hyperlink ref="E69" r:id="rId134" xr:uid="{33D67F87-5246-42D5-B7F1-64B1350B185E}"/>
    <hyperlink ref="AO69" r:id="rId135" xr:uid="{A32518F2-71DD-4FBD-B969-3280FFDFC05C}"/>
    <hyperlink ref="AO70" r:id="rId136" xr:uid="{6155DC68-523A-48CB-97C8-FD7E41158049}"/>
    <hyperlink ref="R71" r:id="rId137" xr:uid="{2BC6FAA6-A186-4690-AD12-74801FF94F4D}"/>
    <hyperlink ref="E71" r:id="rId138" xr:uid="{DE9AF3F6-D271-4EE0-8B5F-F3655F75C27B}"/>
    <hyperlink ref="AO71" r:id="rId139" xr:uid="{25F2522D-82AC-4932-87CB-2D0630242142}"/>
    <hyperlink ref="R72" r:id="rId140" xr:uid="{4B8F688E-2E72-491A-A17C-F4ADD1407A13}"/>
    <hyperlink ref="E72" r:id="rId141" xr:uid="{85C378E9-EA9D-4E8A-976F-647FA1C26C24}"/>
    <hyperlink ref="AO72" r:id="rId142" xr:uid="{4337E8FC-712F-4030-8149-69F15915C879}"/>
    <hyperlink ref="R73" r:id="rId143" xr:uid="{100541DE-0E87-4B1B-BA79-658DEF457BCC}"/>
    <hyperlink ref="E73" r:id="rId144" xr:uid="{4042F859-1267-42E4-9AE2-F9BFDB1D1E37}"/>
    <hyperlink ref="AO73" r:id="rId145" xr:uid="{EF7E5477-1E83-488A-84F9-307CBB7BB545}"/>
    <hyperlink ref="AO75" r:id="rId146" xr:uid="{B6DBF61A-E9D9-4621-82FE-F52ED39C8D60}"/>
    <hyperlink ref="AO74" r:id="rId147" xr:uid="{A0EB1407-A07E-4E12-BD16-083308571AF5}"/>
    <hyperlink ref="AO77" r:id="rId148" xr:uid="{470637B8-84EA-4183-B818-7C55C22E3458}"/>
    <hyperlink ref="AO76" r:id="rId149" xr:uid="{1763550A-B5F6-4862-B025-2C44165EDFF3}"/>
    <hyperlink ref="R78" r:id="rId150" xr:uid="{94666F9E-344F-46D9-91DF-8F516915CC61}"/>
    <hyperlink ref="AO79" r:id="rId151" xr:uid="{E8B2C1C8-7ADB-4B54-A825-1990F3C2FCCF}"/>
    <hyperlink ref="R79" r:id="rId152" xr:uid="{ED23362D-52B2-4829-B852-281D06B49372}"/>
    <hyperlink ref="AO80" r:id="rId153" xr:uid="{29618A6F-2783-4AF7-A845-4B4495DABD75}"/>
    <hyperlink ref="R80" r:id="rId154" xr:uid="{1AA22BFC-0024-4B89-B43D-EADE1AEF2681}"/>
    <hyperlink ref="AO78" r:id="rId155" xr:uid="{DD88D4C5-196D-4EF2-B489-2283BDB15F69}"/>
    <hyperlink ref="AO81" r:id="rId156" xr:uid="{19C2ABEA-F7A8-4611-BB71-F4450510172E}"/>
    <hyperlink ref="R81" r:id="rId157" xr:uid="{A543DC51-BFC8-4632-9FFA-32B0CA900ED7}"/>
    <hyperlink ref="R82" r:id="rId158" xr:uid="{90FC7138-3B29-4A46-A630-226332D310C3}"/>
    <hyperlink ref="AO82" r:id="rId159" xr:uid="{D8A883B6-C9B0-4FBB-8A20-1E16981FBA40}"/>
    <hyperlink ref="AO83" r:id="rId160" xr:uid="{E00FDB0D-03D8-4CC9-9750-31C77C6C1E0D}"/>
    <hyperlink ref="AO84" r:id="rId161" xr:uid="{981AD4AF-F201-4DFB-8554-9FC54D1573B5}"/>
    <hyperlink ref="AO85" r:id="rId162" xr:uid="{1AA72E77-1077-4878-A7A4-4C92773E2769}"/>
    <hyperlink ref="AO86" r:id="rId163" xr:uid="{CF4F113A-325C-4D77-AD25-9BE36D69D6EE}"/>
    <hyperlink ref="R33" r:id="rId164" xr:uid="{78E59805-7540-499D-9E0D-223CC1691929}"/>
    <hyperlink ref="E33" r:id="rId165" xr:uid="{CE69CC13-7FBB-4876-98CD-3D8249A48DA4}"/>
    <hyperlink ref="R87" r:id="rId166" xr:uid="{B63E1C82-04C4-4412-8854-29FF995D1452}"/>
    <hyperlink ref="AO87" r:id="rId167" xr:uid="{46F4E1FC-B8A4-4F78-9D36-1EDD8080B3AE}"/>
    <hyperlink ref="AO88" r:id="rId168" xr:uid="{CC5DB40A-0366-4670-9345-4E6F00536B6A}"/>
    <hyperlink ref="R88" r:id="rId169" xr:uid="{DBCFE43B-635A-4FF4-B797-7AEC5EC8A1A1}"/>
    <hyperlink ref="R89" r:id="rId170" xr:uid="{E35A1D0C-B8D9-4116-91D6-07087E60B7BD}"/>
    <hyperlink ref="AO89" r:id="rId171" xr:uid="{B162F5F5-4209-4869-9B72-116CCF752F2F}"/>
    <hyperlink ref="AO90:AO94" r:id="rId172" display="Link" xr:uid="{6359AC17-120C-4993-B2A6-28FBBD276836}"/>
    <hyperlink ref="R90" r:id="rId173" xr:uid="{C885FA91-46F1-40E0-871A-79754386551A}"/>
    <hyperlink ref="R91" r:id="rId174" xr:uid="{E1354059-3F9E-43A0-B793-69DC291D6AB8}"/>
    <hyperlink ref="R92" r:id="rId175" xr:uid="{2E6DE2CF-9E5B-41D8-9E6F-8349D80BEFA4}"/>
    <hyperlink ref="R93" r:id="rId176" xr:uid="{7D841AC0-5CC4-4018-8099-4769776B60AB}"/>
    <hyperlink ref="R94" r:id="rId177" xr:uid="{2BE8BFE2-112A-4A14-AD44-CD9FA976FFDF}"/>
    <hyperlink ref="R95" r:id="rId178" xr:uid="{B0472B1D-6ED8-4560-8E62-3A13DE7365AF}"/>
    <hyperlink ref="R96" r:id="rId179" xr:uid="{BF1A73CB-1EFF-432D-9BBF-6E6BF1FA8E37}"/>
    <hyperlink ref="AO95" r:id="rId180" xr:uid="{3A4CB23F-4A97-4800-92E2-9E81C359C770}"/>
    <hyperlink ref="AO96" r:id="rId181" xr:uid="{2C22A34E-6855-4822-9D0F-FB800D7D9BE6}"/>
    <hyperlink ref="AO97" r:id="rId182" xr:uid="{99218BB2-2FAF-429A-9396-28AE432A2548}"/>
    <hyperlink ref="AO98" r:id="rId183" xr:uid="{7D0A7FCE-F906-4356-B5CB-AC5AD22C1B56}"/>
    <hyperlink ref="R97" r:id="rId184" xr:uid="{4BB26064-1937-4F68-AF2D-25A6CA417BCF}"/>
    <hyperlink ref="R98" r:id="rId185" xr:uid="{CF0C43C5-6B6A-4C2D-AA54-DA306E63F9E7}"/>
    <hyperlink ref="R99" r:id="rId186" xr:uid="{DC4EE951-F43F-444C-8D77-4E305DC2C0BA}"/>
    <hyperlink ref="R100" r:id="rId187" xr:uid="{45B58FD4-1B48-4413-9FF4-5FFB67040D20}"/>
    <hyperlink ref="AO99:AO100" r:id="rId188" display="Link" xr:uid="{02DB8B75-0B4A-492E-980C-6122947A5FE4}"/>
    <hyperlink ref="R101" r:id="rId189" xr:uid="{5DD0CCCB-C457-4A4F-9948-82B81C2C171C}"/>
    <hyperlink ref="AO101" r:id="rId190" xr:uid="{2B4B33BC-C9B5-4283-8291-EAA295A942C6}"/>
    <hyperlink ref="AO102:AO103" r:id="rId191" display="Link" xr:uid="{7818910D-1F7E-4AEF-9F48-8787EB84F210}"/>
    <hyperlink ref="AO104" r:id="rId192" xr:uid="{05972FB8-9242-41BF-82B0-C22A2D328045}"/>
    <hyperlink ref="R102" r:id="rId193" xr:uid="{7932E50A-871C-4847-B6DE-848C79663525}"/>
    <hyperlink ref="R103:R104" r:id="rId194" display="EPD" xr:uid="{04D23FBD-8B07-4A00-A530-E8C10F8A24E4}"/>
    <hyperlink ref="AO105" r:id="rId195" xr:uid="{585EA0EF-46B3-4E54-A18F-372218181132}"/>
    <hyperlink ref="AO106:AO107" r:id="rId196" display="Link" xr:uid="{8C4B74F1-3C4B-4498-97CE-7A9FB98B0634}"/>
    <hyperlink ref="R105" r:id="rId197" xr:uid="{922F59EA-C3CC-4681-B173-E0133EC0CD09}"/>
    <hyperlink ref="R106:R107" r:id="rId198" display="EPD" xr:uid="{11B5C01E-B187-4729-B989-9FDFA6DA19B0}"/>
    <hyperlink ref="R108" r:id="rId199" xr:uid="{F96D78C2-9445-43A1-9EF7-FE47D911609B}"/>
    <hyperlink ref="AO108" r:id="rId200" xr:uid="{021E58F9-1CA7-44A0-A80B-E0F393B54E80}"/>
    <hyperlink ref="R109" r:id="rId201" xr:uid="{ECF4710C-580B-4462-9CD7-21A44F4A7164}"/>
    <hyperlink ref="AO109" r:id="rId202" xr:uid="{F3C0C095-A32F-4636-AA6A-B7939A75B029}"/>
    <hyperlink ref="AO110" r:id="rId203" xr:uid="{08CE937E-CE93-48D7-B12C-4E67C3D49788}"/>
    <hyperlink ref="AO111" r:id="rId204" xr:uid="{9B3CA304-4CBE-45DF-82D9-B04A63C4EA51}"/>
    <hyperlink ref="R110" r:id="rId205" xr:uid="{3F3C356F-046D-414A-AD05-863D1D7289DF}"/>
    <hyperlink ref="R111" r:id="rId206" xr:uid="{27BAA7C7-8FF1-4CD7-8872-E63360886EDD}"/>
    <hyperlink ref="R112" r:id="rId207" xr:uid="{08039432-078D-4FA5-ABE1-F7AD2AF2ADC3}"/>
    <hyperlink ref="AO112" r:id="rId208" xr:uid="{F3D11FBF-C3BA-4D2D-840D-1BF82EAE7C03}"/>
    <hyperlink ref="R113" r:id="rId209" xr:uid="{E8658782-83E2-4EA2-97B4-679F9F34ECCC}"/>
    <hyperlink ref="AO113" r:id="rId210" xr:uid="{2E14C39D-BA82-4AAA-A251-8C0496A2FF70}"/>
    <hyperlink ref="R114" r:id="rId211" xr:uid="{C5CA15AA-9BEC-4E36-A5AF-188FB4C2265B}"/>
    <hyperlink ref="R115" r:id="rId212" xr:uid="{60BB94DD-8E8B-4EFC-AC59-2C90CE1E5148}"/>
    <hyperlink ref="AO114" r:id="rId213" xr:uid="{764ACC9F-2C13-45AF-8639-54BACBD1F6AE}"/>
    <hyperlink ref="AO115" r:id="rId214" xr:uid="{65AF2558-A812-421D-A3F8-EDCEB559311F}"/>
    <hyperlink ref="R116" r:id="rId215" xr:uid="{2EF87063-EA38-4733-ACA3-5A2CCE488B37}"/>
    <hyperlink ref="AO116" r:id="rId216" xr:uid="{28E8ABAA-0B87-40B9-90F5-7ACC61B1DCAA}"/>
    <hyperlink ref="R117" r:id="rId217" xr:uid="{B15D7372-072B-4887-86A3-2A87377FF9BB}"/>
    <hyperlink ref="AO117" r:id="rId218" xr:uid="{0E662DC5-1879-40DF-A5CE-C60A728A8CBA}"/>
    <hyperlink ref="R118" r:id="rId219" xr:uid="{D18DE704-9EFB-4B7C-B26C-92428572B38C}"/>
    <hyperlink ref="AO118" r:id="rId220" xr:uid="{F17A96C9-41CC-4341-BE1E-C4595809BD0E}"/>
    <hyperlink ref="R119" r:id="rId221" xr:uid="{2DE1944A-9C77-455E-9FFB-D37A3F644E6B}"/>
    <hyperlink ref="AO119" r:id="rId222" xr:uid="{8F5648B3-8F12-42A7-858B-39EB1C740CB9}"/>
    <hyperlink ref="R120" r:id="rId223" xr:uid="{EECD9F09-6B8E-437A-AA95-72F131D1376F}"/>
    <hyperlink ref="AO120" r:id="rId224" xr:uid="{363E6DFF-37CA-4537-8BFD-A1C48B7E72CF}"/>
    <hyperlink ref="AO121" r:id="rId225" xr:uid="{9A705DFF-0ABD-4F55-98D0-0FB834DDDFEC}"/>
    <hyperlink ref="R121" r:id="rId226" xr:uid="{06CFA425-E0DC-4459-81EF-E37164C2AB8F}"/>
    <hyperlink ref="R122" r:id="rId227" xr:uid="{70B555F8-C009-4A31-8E8D-7F934FB074AD}"/>
    <hyperlink ref="AO122:AO123" r:id="rId228" display="Link" xr:uid="{A94A3407-CA2D-4A79-A64C-468296287027}"/>
    <hyperlink ref="R123" r:id="rId229" xr:uid="{74CD6E9B-D281-47FC-9B22-9626708A5CC0}"/>
    <hyperlink ref="R124" r:id="rId230" xr:uid="{F8BE4E73-9749-462A-B2AB-D0DB2466C37F}"/>
    <hyperlink ref="AO124:AO125" r:id="rId231" display="Link" xr:uid="{31F88CBC-FA08-45C2-9EC7-35CD3C3EE529}"/>
    <hyperlink ref="R125" r:id="rId232" xr:uid="{1EC0ED6D-D0D7-4CD6-BBA2-A2E97420FA18}"/>
    <hyperlink ref="R126" r:id="rId233" xr:uid="{BF3EDCB6-AF7E-4151-BE28-7AC1CC703D66}"/>
    <hyperlink ref="R127" r:id="rId234" xr:uid="{AD2519D9-8479-47AA-8CC6-15E0A137C97D}"/>
    <hyperlink ref="AO126:AO127" r:id="rId235" display="Link" xr:uid="{E8789C6B-3909-413B-8EE4-0E644805D321}"/>
    <hyperlink ref="R128" r:id="rId236" xr:uid="{7A27636F-6C63-42C0-A6AF-38E4722883D4}"/>
    <hyperlink ref="R129" r:id="rId237" xr:uid="{DB38FFB6-E4CE-43F5-BFA6-6CE530E7A6E3}"/>
    <hyperlink ref="AO128:AO129" r:id="rId238" display="Link" xr:uid="{56906C46-FCC2-462A-A1E5-17AF0B22074C}"/>
    <hyperlink ref="AO130:AO131" r:id="rId239" display="Link" xr:uid="{2A574EC1-7F32-4D20-A56E-6D7BE78F17EA}"/>
    <hyperlink ref="R130" r:id="rId240" xr:uid="{F0787C88-D105-4531-9FF9-0845E328DFA7}"/>
    <hyperlink ref="R131" r:id="rId241" xr:uid="{71215FFA-A83F-419F-B0FA-69A16EDF6948}"/>
    <hyperlink ref="R132" r:id="rId242" xr:uid="{735BBDF5-C03C-4D1C-9334-B3DA37D6E9FD}"/>
    <hyperlink ref="AO132:AO133" r:id="rId243" display="Link" xr:uid="{5D8A6661-61F4-403A-96E4-9B0C08C16F19}"/>
    <hyperlink ref="R133" r:id="rId244" xr:uid="{E6E42227-E749-4E3C-8F9B-C89AB50E4C88}"/>
    <hyperlink ref="R134" r:id="rId245" xr:uid="{EDA65463-98D2-4FCB-9114-8BC476A80179}"/>
    <hyperlink ref="AO134:AO135" r:id="rId246" display="Link" xr:uid="{1B84BCC7-EBD6-4F47-A307-5A5A091A0B1A}"/>
    <hyperlink ref="R135" r:id="rId247" xr:uid="{A9045604-6BCB-4F8F-A14D-AAFBD14873C8}"/>
    <hyperlink ref="R136" r:id="rId248" xr:uid="{71476556-A4B7-4B1F-BBD2-7C5D4BCABA38}"/>
    <hyperlink ref="AO136" r:id="rId249" xr:uid="{578192CC-36AC-4829-B0E2-8D16073E0264}"/>
    <hyperlink ref="R137" r:id="rId250" xr:uid="{F9B6AC5D-5C89-43A4-9C70-D89130D19E61}"/>
    <hyperlink ref="AO137" r:id="rId251" xr:uid="{56DBC721-0FE4-4534-AC71-8BE9245317E1}"/>
    <hyperlink ref="R138" r:id="rId252" xr:uid="{8E09533B-BCE1-4922-AEA1-3AC7DEF87183}"/>
    <hyperlink ref="AO138" r:id="rId253" xr:uid="{96497242-E05D-4DA7-8CC3-DA711612C391}"/>
    <hyperlink ref="AO139" r:id="rId254" xr:uid="{FF637666-E2ED-4BD5-B3D9-2743D509510F}"/>
    <hyperlink ref="R139" r:id="rId255" xr:uid="{C75BB124-CC86-4E93-99D4-C59CB8AAF84B}"/>
    <hyperlink ref="R140" r:id="rId256" xr:uid="{BAB1FB45-0B79-4731-9B4A-1D999350B7D9}"/>
    <hyperlink ref="AO140" r:id="rId257" xr:uid="{AF2570EB-E2DE-4C5B-ACB6-CEAD6C780E6E}"/>
    <hyperlink ref="AO141" r:id="rId258" xr:uid="{DC4E3414-3D6D-4E55-A7F1-27F7575595FE}"/>
    <hyperlink ref="R141" r:id="rId259" xr:uid="{52DA0792-C5DE-4598-B2CB-9425A6A0B66B}"/>
    <hyperlink ref="AO142" r:id="rId260" xr:uid="{C5A303A6-DCB2-4748-84FA-67A3C65696FD}"/>
    <hyperlink ref="R142" r:id="rId261" xr:uid="{FC95D560-18C1-43A4-9262-B3DC1190190B}"/>
    <hyperlink ref="R143" r:id="rId262" xr:uid="{EC167274-7126-4DC6-A390-E3AD97404D21}"/>
    <hyperlink ref="AO143" r:id="rId263" xr:uid="{45E41563-2E1E-4B0C-B0D2-A01EC118DBFA}"/>
    <hyperlink ref="R144" r:id="rId264" xr:uid="{3D16278A-46BC-4800-B4FE-687D539FA9E1}"/>
    <hyperlink ref="AO144:AO146" r:id="rId265" display="Link" xr:uid="{009BEF87-83A9-4358-8E50-47EF088B3158}"/>
    <hyperlink ref="R145" r:id="rId266" xr:uid="{D16CA22B-4B0A-4090-87B9-5560B0BC547A}"/>
    <hyperlink ref="AO146" r:id="rId267" xr:uid="{222BDC6D-2C57-42DA-9026-51667F9742D3}"/>
    <hyperlink ref="R146" r:id="rId268" xr:uid="{F0970233-D282-44E7-AFCC-62E5858F7D33}"/>
    <hyperlink ref="R147" r:id="rId269" xr:uid="{A0083130-A9D5-4A62-B532-493A8BBC024C}"/>
    <hyperlink ref="AO147" r:id="rId270" xr:uid="{CF28602E-D9AC-40BD-8831-8F1A485B4807}"/>
    <hyperlink ref="R148" r:id="rId271" xr:uid="{6A3B8700-C7B0-462B-8884-04FAC9D562E8}"/>
    <hyperlink ref="AO148" r:id="rId272" xr:uid="{53D9C2C4-8E18-4833-AF26-86215AE6D0E2}"/>
    <hyperlink ref="R149" r:id="rId273" xr:uid="{11CB1654-56E6-4264-8C0B-C87A25EEEA45}"/>
    <hyperlink ref="AO149" r:id="rId274" xr:uid="{1A6891AF-5870-4189-A7EF-CBD2662DF546}"/>
    <hyperlink ref="R150" r:id="rId275" xr:uid="{321D6AE9-6283-4B31-8558-503867FD5937}"/>
    <hyperlink ref="AO150" r:id="rId276" xr:uid="{2BFEE24F-86F1-4C72-8B09-C38EF6A78396}"/>
    <hyperlink ref="R151" r:id="rId277" xr:uid="{5E7E7D1A-1BCF-4273-AD72-EE6C5AF13062}"/>
    <hyperlink ref="R152" r:id="rId278" xr:uid="{42017FB6-45C3-419A-ABC8-4FB50D1DECC5}"/>
    <hyperlink ref="R153" r:id="rId279" xr:uid="{493A2105-5E62-4BC5-AA84-2F0CB7CDA500}"/>
    <hyperlink ref="AO7" r:id="rId280" xr:uid="{B3671A1A-DADC-4EF5-9217-B63893DA190A}"/>
    <hyperlink ref="AO152" r:id="rId281" xr:uid="{7A91D22E-6E07-440B-AE37-0D355601BCA5}"/>
    <hyperlink ref="AO153" r:id="rId282" xr:uid="{DED99F1E-1342-46C2-A04B-CF563E8917E3}"/>
    <hyperlink ref="AO151" r:id="rId283" xr:uid="{F8184F38-4B2D-49E8-AE8D-020A231DECE5}"/>
    <hyperlink ref="R13" r:id="rId284" xr:uid="{A86EDA85-3F76-4EC7-AFDD-4600E8A44496}"/>
    <hyperlink ref="E12" r:id="rId285" xr:uid="{DB055DE9-7D89-415A-8847-670FE13C6212}"/>
    <hyperlink ref="E13" r:id="rId286" xr:uid="{EA24AAE6-CA17-4CF8-AF0A-E0A9F352F94D}"/>
  </hyperlinks>
  <pageMargins left="0.7" right="0.7" top="0.75" bottom="0.75" header="0.3" footer="0.3"/>
  <pageSetup paperSize="9" orientation="portrait" r:id="rId287"/>
  <drawing r:id="rId288"/>
  <legacyDrawing r:id="rId289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14008D2-D325-4310-9670-30582E10D5D5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J4</xm:sqref>
        </x14:conditionalFormatting>
        <x14:conditionalFormatting xmlns:xm="http://schemas.microsoft.com/office/excel/2006/main">
          <x14:cfRule type="dataBar" id="{783F3A24-8B71-497D-A9B0-ABB05407F48D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J5</xm:sqref>
        </x14:conditionalFormatting>
        <x14:conditionalFormatting xmlns:xm="http://schemas.microsoft.com/office/excel/2006/main">
          <x14:cfRule type="dataBar" id="{E0AE8DD3-3F42-43D9-AF6E-649CC27FF070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82D0919B-992A-4E4D-B6D5-5B152EB4A6AA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M1:M1048576 O1:O1048576</xm:sqref>
        </x14:conditionalFormatting>
        <x14:conditionalFormatting xmlns:xm="http://schemas.microsoft.com/office/excel/2006/main">
          <x14:cfRule type="dataBar" id="{EFA8A05C-962F-4A7C-BB01-38411DE823E1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Q1:Q1048576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4AB1A-8AA4-4F2A-894B-B2B279A8148F}">
  <sheetPr>
    <tabColor rgb="FF6A9495"/>
  </sheetPr>
  <dimension ref="A1:AR956"/>
  <sheetViews>
    <sheetView showGridLines="0" zoomScale="60" zoomScaleNormal="60" workbookViewId="0">
      <pane xSplit="1" ySplit="5" topLeftCell="C6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14.44140625" defaultRowHeight="13.8" outlineLevelCol="1" x14ac:dyDescent="0.25"/>
  <cols>
    <col min="1" max="1" width="46.6640625" style="17" customWidth="1"/>
    <col min="2" max="2" width="10.33203125" style="16" hidden="1" customWidth="1"/>
    <col min="3" max="3" width="9.88671875" style="16" customWidth="1"/>
    <col min="4" max="4" width="20.44140625" style="16" customWidth="1"/>
    <col min="5" max="5" width="18.33203125" style="16" customWidth="1"/>
    <col min="6" max="6" width="13.6640625" style="16" customWidth="1"/>
    <col min="7" max="7" width="3.6640625" style="16" customWidth="1"/>
    <col min="8" max="8" width="7.6640625" style="4" customWidth="1"/>
    <col min="9" max="9" width="10.6640625" style="32" customWidth="1"/>
    <col min="10" max="10" width="15.6640625" style="159" customWidth="1"/>
    <col min="11" max="11" width="10.6640625" style="32" customWidth="1"/>
    <col min="12" max="12" width="15.6640625" style="154" customWidth="1"/>
    <col min="13" max="13" width="10.6640625" style="32" customWidth="1"/>
    <col min="14" max="14" width="15.6640625" style="153" customWidth="1"/>
    <col min="15" max="15" width="10.6640625" style="32" customWidth="1"/>
    <col min="16" max="16" width="15.6640625" style="159" customWidth="1"/>
    <col min="17" max="17" width="14.6640625" style="16" customWidth="1"/>
    <col min="18" max="18" width="13.5546875" style="16" customWidth="1"/>
    <col min="19" max="19" width="12.109375" style="16" customWidth="1"/>
    <col min="20" max="20" width="16.109375" style="16" customWidth="1"/>
    <col min="21" max="21" width="10" style="16" customWidth="1"/>
    <col min="22" max="22" width="3.6640625" style="17" hidden="1" customWidth="1" outlineLevel="1"/>
    <col min="23" max="23" width="32.33203125" style="16" hidden="1" customWidth="1" outlineLevel="1"/>
    <col min="24" max="24" width="11.6640625" style="16" hidden="1" customWidth="1" outlineLevel="1"/>
    <col min="25" max="25" width="12.44140625" style="16" hidden="1" customWidth="1" outlineLevel="1"/>
    <col min="26" max="26" width="17.6640625" style="19" hidden="1" customWidth="1" outlineLevel="1"/>
    <col min="27" max="28" width="13.6640625" style="19" hidden="1" customWidth="1" outlineLevel="1"/>
    <col min="29" max="29" width="13.88671875" style="19" hidden="1" customWidth="1" outlineLevel="1"/>
    <col min="30" max="30" width="18.44140625" style="19" hidden="1" customWidth="1" outlineLevel="1"/>
    <col min="31" max="31" width="3.6640625" style="16" customWidth="1" collapsed="1"/>
    <col min="32" max="32" width="2.33203125" style="17" customWidth="1"/>
    <col min="33" max="33" width="4.33203125" style="4" customWidth="1"/>
    <col min="34" max="34" width="4.33203125" style="7" customWidth="1"/>
    <col min="35" max="35" width="2.33203125" style="17" customWidth="1"/>
    <col min="36" max="36" width="3.6640625" style="17" customWidth="1"/>
    <col min="37" max="37" width="12.44140625" style="16" customWidth="1"/>
    <col min="38" max="38" width="11" style="16" customWidth="1"/>
    <col min="39" max="39" width="11.109375" style="16" customWidth="1"/>
    <col min="40" max="40" width="3.6640625" style="17" customWidth="1"/>
    <col min="41" max="42" width="7.6640625" style="16" customWidth="1"/>
    <col min="43" max="43" width="3.6640625" style="17" customWidth="1"/>
    <col min="44" max="16384" width="14.44140625" style="17"/>
  </cols>
  <sheetData>
    <row r="1" spans="1:43" ht="24" hidden="1" customHeight="1" x14ac:dyDescent="0.25">
      <c r="I1" s="44" t="s">
        <v>297</v>
      </c>
      <c r="J1" s="142">
        <f>SUBTOTAL(4,I6:P800)</f>
        <v>185.61598720000001</v>
      </c>
    </row>
    <row r="2" spans="1:43" ht="25.2" hidden="1" customHeight="1" x14ac:dyDescent="0.25">
      <c r="I2" s="44" t="s">
        <v>298</v>
      </c>
      <c r="J2" s="142">
        <f>SUBTOTAL(5,I6:P800)</f>
        <v>-97.951199999999986</v>
      </c>
    </row>
    <row r="3" spans="1:43" ht="49.95" customHeight="1" x14ac:dyDescent="0.25">
      <c r="A3" s="16"/>
      <c r="W3" s="17"/>
      <c r="X3" s="284" t="s">
        <v>372</v>
      </c>
      <c r="Y3" s="284"/>
      <c r="Z3" s="284"/>
      <c r="AA3" s="284"/>
      <c r="AB3" s="284"/>
      <c r="AC3" s="284"/>
      <c r="AD3" s="284"/>
    </row>
    <row r="4" spans="1:43" s="21" customFormat="1" ht="30" customHeight="1" x14ac:dyDescent="0.3">
      <c r="A4" s="60" t="s">
        <v>0</v>
      </c>
      <c r="B4" s="288" t="s">
        <v>207</v>
      </c>
      <c r="C4" s="288"/>
      <c r="D4" s="56" t="s">
        <v>1</v>
      </c>
      <c r="E4" s="56" t="s">
        <v>134</v>
      </c>
      <c r="F4" s="56" t="s">
        <v>2</v>
      </c>
      <c r="G4" s="126"/>
      <c r="H4" s="56" t="s">
        <v>245</v>
      </c>
      <c r="I4" s="291" t="s">
        <v>197</v>
      </c>
      <c r="J4" s="291"/>
      <c r="K4" s="287" t="s">
        <v>198</v>
      </c>
      <c r="L4" s="288"/>
      <c r="M4" s="287" t="s">
        <v>303</v>
      </c>
      <c r="N4" s="288"/>
      <c r="O4" s="291" t="s">
        <v>202</v>
      </c>
      <c r="P4" s="291"/>
      <c r="Q4" s="56" t="s">
        <v>5</v>
      </c>
      <c r="R4" s="20" t="s">
        <v>371</v>
      </c>
      <c r="S4" s="20" t="s">
        <v>242</v>
      </c>
      <c r="T4" s="56" t="s">
        <v>4</v>
      </c>
      <c r="U4" s="20" t="s">
        <v>243</v>
      </c>
      <c r="V4" s="51"/>
      <c r="W4" s="20" t="s">
        <v>532</v>
      </c>
      <c r="X4" s="20" t="s">
        <v>193</v>
      </c>
      <c r="Y4" s="20" t="s">
        <v>246</v>
      </c>
      <c r="Z4" s="20" t="s">
        <v>203</v>
      </c>
      <c r="AA4" s="56" t="s">
        <v>6</v>
      </c>
      <c r="AB4" s="56" t="s">
        <v>7</v>
      </c>
      <c r="AC4" s="56" t="s">
        <v>8</v>
      </c>
      <c r="AD4" s="20" t="s">
        <v>202</v>
      </c>
      <c r="AE4" s="126"/>
      <c r="AF4" s="287" t="s">
        <v>199</v>
      </c>
      <c r="AG4" s="288"/>
      <c r="AH4" s="288"/>
      <c r="AI4" s="288"/>
      <c r="AJ4" s="126"/>
      <c r="AK4" s="20" t="s">
        <v>166</v>
      </c>
      <c r="AL4" s="56" t="s">
        <v>3</v>
      </c>
      <c r="AM4" s="20" t="s">
        <v>201</v>
      </c>
      <c r="AN4" s="126"/>
      <c r="AO4" s="56" t="s">
        <v>186</v>
      </c>
      <c r="AP4" s="56"/>
    </row>
    <row r="5" spans="1:43" s="23" customFormat="1" ht="20.399999999999999" customHeight="1" x14ac:dyDescent="0.3">
      <c r="A5" s="24"/>
      <c r="B5" s="290"/>
      <c r="C5" s="290"/>
      <c r="D5" s="22"/>
      <c r="E5" s="22"/>
      <c r="F5" s="22"/>
      <c r="G5" s="127"/>
      <c r="H5" s="22" t="s">
        <v>288</v>
      </c>
      <c r="I5" s="293" t="s">
        <v>275</v>
      </c>
      <c r="J5" s="293"/>
      <c r="K5" s="289" t="s">
        <v>275</v>
      </c>
      <c r="L5" s="289"/>
      <c r="M5" s="289" t="s">
        <v>275</v>
      </c>
      <c r="N5" s="289"/>
      <c r="O5" s="293" t="s">
        <v>275</v>
      </c>
      <c r="P5" s="293"/>
      <c r="Q5" s="22"/>
      <c r="R5" s="163"/>
      <c r="S5" s="22"/>
      <c r="T5" s="22" t="s">
        <v>194</v>
      </c>
      <c r="U5" s="22" t="s">
        <v>10</v>
      </c>
      <c r="V5" s="43"/>
      <c r="W5" s="22"/>
      <c r="X5" s="22"/>
      <c r="Y5" s="22" t="s">
        <v>206</v>
      </c>
      <c r="Z5" s="22" t="s">
        <v>373</v>
      </c>
      <c r="AA5" s="22" t="s">
        <v>373</v>
      </c>
      <c r="AB5" s="22" t="s">
        <v>373</v>
      </c>
      <c r="AC5" s="22" t="s">
        <v>373</v>
      </c>
      <c r="AD5" s="22" t="s">
        <v>373</v>
      </c>
      <c r="AE5" s="127"/>
      <c r="AF5" s="290" t="s">
        <v>11</v>
      </c>
      <c r="AG5" s="290"/>
      <c r="AH5" s="290"/>
      <c r="AI5" s="290"/>
      <c r="AJ5" s="127"/>
      <c r="AK5" s="22" t="s">
        <v>206</v>
      </c>
      <c r="AL5" s="22" t="s">
        <v>229</v>
      </c>
      <c r="AM5" s="22" t="s">
        <v>9</v>
      </c>
      <c r="AN5" s="127"/>
      <c r="AO5" s="22"/>
      <c r="AP5" s="22"/>
    </row>
    <row r="6" spans="1:43" ht="25.2" customHeight="1" x14ac:dyDescent="0.15">
      <c r="A6" s="25" t="s">
        <v>280</v>
      </c>
      <c r="B6" s="69" t="s">
        <v>210</v>
      </c>
      <c r="C6" s="73"/>
      <c r="D6" s="47" t="s">
        <v>219</v>
      </c>
      <c r="E6" s="88" t="s">
        <v>146</v>
      </c>
      <c r="F6" s="47" t="s">
        <v>301</v>
      </c>
      <c r="G6" s="40"/>
      <c r="H6" s="111">
        <v>1</v>
      </c>
      <c r="I6" s="52">
        <f t="shared" ref="I6:I37" si="0">IF(AB6="N/A","N/A",IF(J6="","N/A",J6))</f>
        <v>1.738</v>
      </c>
      <c r="J6" s="148" cm="1">
        <f t="array" ref="J6">IF(AB6="N/A","",_xlfn.IFS(X6="m2",((Z6/(Y6/AK6))*H6),X6="m3",((Z6/(Y6/AK6))*H6),X6="kg",(((Z6*AL6)/(1/AK6))*H6),X6="ton",(((Z6/1000*AL6)/(1/AK6))*H6),X6="N/A",""))</f>
        <v>1.738</v>
      </c>
      <c r="K6" s="52">
        <f t="shared" ref="K6:K37" si="1">IF(L6="","N/A",L6)</f>
        <v>1.23</v>
      </c>
      <c r="L6" s="155" cm="1">
        <f t="array" ref="L6">(_xlfn.IFS(X6="m2",((AA6/(Y6/AK6))*H6),X6="m3",((AA6/(Y6/AK6))*H6),X6="kg",(((AA6*AL6)/(1/AK6))*H6),X6="ton",(((AA6/1000*AL6)/(1/AK6))*H6),X6="N/A",""))</f>
        <v>1.23</v>
      </c>
      <c r="M6" s="52">
        <f t="shared" ref="M6:M37" si="2">IF(N6="","N/A",N6)</f>
        <v>0.50800000000000001</v>
      </c>
      <c r="N6" s="148" cm="1">
        <f t="array" ref="N6">IF(AB6="N/A","",_xlfn.IFS(X6="m2",((AB6/(Y6/AK6))*H6),X6="m3",((AB6/(Y6/AK6))*H6),X6="kg",(((AB6*AL6)/(1/AK6))*H6),X6="ton",(((AB6/1000*AL6)/(1/AK6))*H6),X6="N/A",""))</f>
        <v>0.50800000000000001</v>
      </c>
      <c r="O6" s="52">
        <f t="shared" ref="O6:O37" si="3">IF(P6="","N/A",P6)</f>
        <v>-0.56200000000000006</v>
      </c>
      <c r="P6" s="148" cm="1">
        <f t="array" ref="P6">IF(AD6="N/A","",_xlfn.IFS(X6="m2",((AD6/(Y6/AK6))*H6),X6="m3",((AD6/(Y6/AK6))*H6),X6="kg",(((AD6*AL6)/(1/AK6))*H6),X6="ton",(((AD6/1000*AL6)/(1/AK6))*H6),X6="N/A",""))</f>
        <v>-0.56200000000000006</v>
      </c>
      <c r="Q6" s="88" t="s">
        <v>5</v>
      </c>
      <c r="R6" s="165"/>
      <c r="S6" s="47">
        <v>2027</v>
      </c>
      <c r="T6" s="47" t="s">
        <v>28</v>
      </c>
      <c r="U6" s="47">
        <v>60</v>
      </c>
      <c r="W6" s="47" t="s">
        <v>602</v>
      </c>
      <c r="X6" s="52" t="s">
        <v>15</v>
      </c>
      <c r="Y6" s="47">
        <v>1.2500000000000001E-2</v>
      </c>
      <c r="Z6" s="52">
        <f t="shared" ref="Z6:Z37" si="4">IF(AB6="N/A","N/A",SUM(AA6:AB6))</f>
        <v>1.738</v>
      </c>
      <c r="AA6" s="52">
        <v>1.23</v>
      </c>
      <c r="AB6" s="52">
        <f>0.037+0.471</f>
        <v>0.50800000000000001</v>
      </c>
      <c r="AC6" s="52">
        <v>-0.17199999999999999</v>
      </c>
      <c r="AD6" s="52">
        <v>-0.56200000000000006</v>
      </c>
      <c r="AE6" s="40"/>
      <c r="AF6" s="103" t="str">
        <f t="shared" ref="AF6:AF37" si="5">AG6&amp;" "&amp;AH6</f>
        <v>A2 s1
d0</v>
      </c>
      <c r="AG6" s="75" t="s">
        <v>214</v>
      </c>
      <c r="AH6" s="121" t="s">
        <v>176</v>
      </c>
      <c r="AI6" s="120"/>
      <c r="AJ6" s="45"/>
      <c r="AK6" s="47">
        <v>1.2500000000000001E-2</v>
      </c>
      <c r="AL6" s="47">
        <v>664</v>
      </c>
      <c r="AM6" s="47" t="s">
        <v>191</v>
      </c>
      <c r="AN6" s="45"/>
      <c r="AO6" s="105" t="s">
        <v>17</v>
      </c>
      <c r="AP6" s="73"/>
      <c r="AQ6" s="26"/>
    </row>
    <row r="7" spans="1:43" ht="25.2" customHeight="1" x14ac:dyDescent="0.15">
      <c r="A7" s="25" t="s">
        <v>1223</v>
      </c>
      <c r="B7" s="69" t="s">
        <v>210</v>
      </c>
      <c r="C7" s="73"/>
      <c r="D7" s="47" t="s">
        <v>219</v>
      </c>
      <c r="E7" s="88" t="s">
        <v>146</v>
      </c>
      <c r="F7" s="47" t="s">
        <v>301</v>
      </c>
      <c r="G7" s="40"/>
      <c r="H7" s="111">
        <v>1</v>
      </c>
      <c r="I7" s="52">
        <f t="shared" si="0"/>
        <v>0.89200000000000002</v>
      </c>
      <c r="J7" s="148" cm="1">
        <f t="array" ref="J7">IF(AB7="N/A","",_xlfn.IFS(X7="m2",((Z7/(Y7/AK7))*H7),X7="m3",((Z7/(Y7/AK7))*H7),X7="kg",(((Z7*AL7)/(1/AK7))*H7),X7="ton",(((Z7/1000*AL7)/(1/AK7))*H7),X7="N/A",""))</f>
        <v>0.89200000000000002</v>
      </c>
      <c r="K7" s="52">
        <f t="shared" si="1"/>
        <v>0.38400000000000001</v>
      </c>
      <c r="L7" s="155" cm="1">
        <f t="array" ref="L7">(_xlfn.IFS(X7="m2",((AA7/(Y7/AK7))*H7),X7="m3",((AA7/(Y7/AK7))*H7),X7="kg",(((AA7*AL7)/(1/AK7))*H7),X7="ton",(((AA7/1000*AL7)/(1/AK7))*H7),X7="N/A",""))</f>
        <v>0.38400000000000001</v>
      </c>
      <c r="M7" s="52">
        <f t="shared" si="2"/>
        <v>0.50800000000000001</v>
      </c>
      <c r="N7" s="148" cm="1">
        <f t="array" ref="N7">IF(AB7="N/A","",_xlfn.IFS(X7="m2",((AB7/(Y7/AK7))*H7),X7="m3",((AB7/(Y7/AK7))*H7),X7="kg",(((AB7*AL7)/(1/AK7))*H7),X7="ton",(((AB7/1000*AL7)/(1/AK7))*H7),X7="N/A",""))</f>
        <v>0.50800000000000001</v>
      </c>
      <c r="O7" s="52">
        <f t="shared" si="3"/>
        <v>-0.48799999999999999</v>
      </c>
      <c r="P7" s="148" cm="1">
        <f t="array" ref="P7">IF(AD7="N/A","",_xlfn.IFS(X7="m2",((AD7/(Y7/AK7))*H7),X7="m3",((AD7/(Y7/AK7))*H7),X7="kg",(((AD7*AL7)/(1/AK7))*H7),X7="ton",(((AD7/1000*AL7)/(1/AK7))*H7),X7="N/A",""))</f>
        <v>-0.48799999999999999</v>
      </c>
      <c r="Q7" s="88" t="s">
        <v>5</v>
      </c>
      <c r="R7" s="165" t="s">
        <v>377</v>
      </c>
      <c r="S7" s="47">
        <v>2027</v>
      </c>
      <c r="T7" s="47" t="s">
        <v>28</v>
      </c>
      <c r="U7" s="47">
        <v>60</v>
      </c>
      <c r="W7" s="47" t="s">
        <v>1224</v>
      </c>
      <c r="X7" s="52" t="s">
        <v>15</v>
      </c>
      <c r="Y7" s="47">
        <v>1.2500000000000001E-2</v>
      </c>
      <c r="Z7" s="52">
        <f t="shared" si="4"/>
        <v>0.89200000000000002</v>
      </c>
      <c r="AA7" s="52">
        <v>0.38400000000000001</v>
      </c>
      <c r="AB7" s="52">
        <f>0.508+0</f>
        <v>0.50800000000000001</v>
      </c>
      <c r="AC7" s="52">
        <v>-0.17199999999999999</v>
      </c>
      <c r="AD7" s="52">
        <v>-0.48799999999999999</v>
      </c>
      <c r="AE7" s="40"/>
      <c r="AF7" s="103" t="str">
        <f t="shared" si="5"/>
        <v>A2 s1
d0</v>
      </c>
      <c r="AG7" s="75" t="s">
        <v>214</v>
      </c>
      <c r="AH7" s="121" t="s">
        <v>176</v>
      </c>
      <c r="AI7" s="120"/>
      <c r="AJ7" s="45"/>
      <c r="AK7" s="47">
        <v>1.2500000000000001E-2</v>
      </c>
      <c r="AL7" s="47">
        <v>664</v>
      </c>
      <c r="AM7" s="47" t="s">
        <v>191</v>
      </c>
      <c r="AN7" s="45"/>
      <c r="AO7" s="105" t="s">
        <v>17</v>
      </c>
      <c r="AP7" s="73"/>
      <c r="AQ7" s="26"/>
    </row>
    <row r="8" spans="1:43" ht="25.2" customHeight="1" x14ac:dyDescent="0.15">
      <c r="A8" s="25" t="s">
        <v>56</v>
      </c>
      <c r="B8" s="69" t="s">
        <v>210</v>
      </c>
      <c r="C8" s="73"/>
      <c r="D8" s="47" t="s">
        <v>57</v>
      </c>
      <c r="E8" s="47" t="s">
        <v>143</v>
      </c>
      <c r="F8" s="47" t="s">
        <v>43</v>
      </c>
      <c r="H8" s="111">
        <v>1</v>
      </c>
      <c r="I8" s="52" t="str">
        <f t="shared" si="0"/>
        <v>N/A</v>
      </c>
      <c r="J8" s="148" t="str" cm="1">
        <f t="array" ref="J8">IF(AB8="N/A","",_xlfn.IFS(X8="m2",((Z8/(Y8/AK8))*H8),X8="m3",((Z8/(Y8/AK8))*H8),X8="kg",(((Z8*AL8)/(1/AK8))*H8),X8="ton",(((Z8/1000*AL8)/(1/AK8))*H8),X8="N/A",""))</f>
        <v/>
      </c>
      <c r="K8" s="52" t="str">
        <f t="shared" si="1"/>
        <v>N/A</v>
      </c>
      <c r="L8" s="155" t="str" cm="1">
        <f t="array" ref="L8">(_xlfn.IFS(X8="m2",((AA8/(Y8/AK8))*H8),X8="m3",((AA8/(Y8/AK8))*H8),X8="kg",(((AA8*AL8)/(1/AK8))*H8),X8="ton",(((AA8/1000*AL8)/(1/AK8))*H8),X8="N/A",""))</f>
        <v/>
      </c>
      <c r="M8" s="52" t="str">
        <f t="shared" si="2"/>
        <v>N/A</v>
      </c>
      <c r="N8" s="148" t="str" cm="1">
        <f t="array" ref="N8">IF(AB8="N/A","",_xlfn.IFS(X8="m2",((AB8/(Y8/AK8))*H8),X8="m3",((AB8/(Y8/AK8))*H8),X8="kg",(((AB8*AL8)/(1/AK8))*H8),X8="ton",(((AB8/1000*AL8)/(1/AK8))*H8),X8="N/A",""))</f>
        <v/>
      </c>
      <c r="O8" s="52" t="str">
        <f t="shared" si="3"/>
        <v>N/A</v>
      </c>
      <c r="P8" s="148" t="str" cm="1">
        <f t="array" ref="P8">IF(AD8="N/A","",_xlfn.IFS(X8="m2",((AD8/(Y8/AK8))*H8),X8="m3",((AD8/(Y8/AK8))*H8),X8="kg",(((AD8*AL8)/(1/AK8))*H8),X8="ton",(((AD8/1000*AL8)/(1/AK8))*H8),X8="N/A",""))</f>
        <v/>
      </c>
      <c r="Q8" s="47" t="s">
        <v>191</v>
      </c>
      <c r="R8" s="47"/>
      <c r="S8" s="47" t="s">
        <v>191</v>
      </c>
      <c r="T8" s="47" t="s">
        <v>191</v>
      </c>
      <c r="U8" s="47" t="s">
        <v>191</v>
      </c>
      <c r="W8" s="47" t="s">
        <v>191</v>
      </c>
      <c r="X8" s="47" t="s">
        <v>191</v>
      </c>
      <c r="Y8" s="47" t="s">
        <v>191</v>
      </c>
      <c r="Z8" s="52" t="str">
        <f t="shared" si="4"/>
        <v>N/A</v>
      </c>
      <c r="AA8" s="52" t="s">
        <v>191</v>
      </c>
      <c r="AB8" s="52" t="s">
        <v>191</v>
      </c>
      <c r="AC8" s="52" t="s">
        <v>191</v>
      </c>
      <c r="AD8" s="52" t="s">
        <v>191</v>
      </c>
      <c r="AF8" s="103" t="str">
        <f t="shared" si="5"/>
        <v xml:space="preserve">A1 </v>
      </c>
      <c r="AG8" s="75" t="s">
        <v>58</v>
      </c>
      <c r="AH8" s="76"/>
      <c r="AI8" s="96"/>
      <c r="AK8" s="47" t="s">
        <v>191</v>
      </c>
      <c r="AL8" s="47">
        <v>1450</v>
      </c>
      <c r="AM8" s="47">
        <v>1100</v>
      </c>
      <c r="AO8" s="160" t="s">
        <v>17</v>
      </c>
      <c r="AP8" s="81"/>
      <c r="AQ8" s="26"/>
    </row>
    <row r="9" spans="1:43" ht="25.2" customHeight="1" x14ac:dyDescent="0.15">
      <c r="A9" s="25" t="s">
        <v>281</v>
      </c>
      <c r="B9" s="69" t="s">
        <v>210</v>
      </c>
      <c r="C9" s="73"/>
      <c r="D9" s="47" t="s">
        <v>219</v>
      </c>
      <c r="E9" s="88" t="s">
        <v>146</v>
      </c>
      <c r="F9" s="47" t="s">
        <v>301</v>
      </c>
      <c r="G9" s="40"/>
      <c r="H9" s="111">
        <v>1</v>
      </c>
      <c r="I9" s="52">
        <f t="shared" si="0"/>
        <v>2.2134999999999998</v>
      </c>
      <c r="J9" s="148" cm="1">
        <f t="array" ref="J9">IF(AB9="N/A","",_xlfn.IFS(X9="m2",((Z9/(Y9/AK9))*H9),X9="m3",((Z9/(Y9/AK9))*H9),X9="kg",(((Z9*AL9)/(1/AK9))*H9),X9="ton",(((Z9/1000*AL9)/(1/AK9))*H9),X9="N/A",""))</f>
        <v>2.2134999999999998</v>
      </c>
      <c r="K9" s="52">
        <f t="shared" si="1"/>
        <v>1.67</v>
      </c>
      <c r="L9" s="155" cm="1">
        <f t="array" ref="L9">(_xlfn.IFS(X9="m2",((AA9/(Y9/AK9))*H9),X9="m3",((AA9/(Y9/AK9))*H9),X9="kg",(((AA9*AL9)/(1/AK9))*H9),X9="ton",(((AA9/1000*AL9)/(1/AK9))*H9),X9="N/A",""))</f>
        <v>1.67</v>
      </c>
      <c r="M9" s="52">
        <f t="shared" si="2"/>
        <v>0.54349999999999998</v>
      </c>
      <c r="N9" s="148" cm="1">
        <f t="array" ref="N9">IF(AB9="N/A","",_xlfn.IFS(X9="m2",((AB9/(Y9/AK9))*H9),X9="m3",((AB9/(Y9/AK9))*H9),X9="kg",(((AB9*AL9)/(1/AK9))*H9),X9="ton",(((AB9/1000*AL9)/(1/AK9))*H9),X9="N/A",""))</f>
        <v>0.54349999999999998</v>
      </c>
      <c r="O9" s="52">
        <f t="shared" si="3"/>
        <v>-0.61099999999999999</v>
      </c>
      <c r="P9" s="148" cm="1">
        <f t="array" ref="P9">IF(AD9="N/A","",_xlfn.IFS(X9="m2",((AD9/(Y9/AK9))*H9),X9="m3",((AD9/(Y9/AK9))*H9),X9="kg",(((AD9*AL9)/(1/AK9))*H9),X9="ton",(((AD9/1000*AL9)/(1/AK9))*H9),X9="N/A",""))</f>
        <v>-0.61099999999999999</v>
      </c>
      <c r="Q9" s="88" t="s">
        <v>5</v>
      </c>
      <c r="R9" s="165"/>
      <c r="S9" s="47">
        <v>2027</v>
      </c>
      <c r="T9" s="47" t="s">
        <v>28</v>
      </c>
      <c r="U9" s="47">
        <v>60</v>
      </c>
      <c r="W9" s="47" t="s">
        <v>603</v>
      </c>
      <c r="X9" s="52" t="s">
        <v>15</v>
      </c>
      <c r="Y9" s="47">
        <v>1.2500000000000001E-2</v>
      </c>
      <c r="Z9" s="52">
        <f t="shared" si="4"/>
        <v>2.2134999999999998</v>
      </c>
      <c r="AA9" s="52">
        <v>1.67</v>
      </c>
      <c r="AB9" s="52">
        <f>0.0335+0.51</f>
        <v>0.54349999999999998</v>
      </c>
      <c r="AC9" s="52">
        <v>-0.185</v>
      </c>
      <c r="AD9" s="52">
        <v>-0.61099999999999999</v>
      </c>
      <c r="AE9" s="40"/>
      <c r="AF9" s="103" t="str">
        <f t="shared" si="5"/>
        <v>A2 s1
d0</v>
      </c>
      <c r="AG9" s="75" t="s">
        <v>214</v>
      </c>
      <c r="AH9" s="121" t="s">
        <v>176</v>
      </c>
      <c r="AI9" s="120"/>
      <c r="AJ9" s="45"/>
      <c r="AK9" s="47">
        <v>1.2500000000000001E-2</v>
      </c>
      <c r="AL9" s="47">
        <v>736</v>
      </c>
      <c r="AM9" s="47" t="s">
        <v>191</v>
      </c>
      <c r="AN9" s="45"/>
      <c r="AO9" s="105" t="s">
        <v>17</v>
      </c>
      <c r="AP9" s="73"/>
      <c r="AQ9" s="26"/>
    </row>
    <row r="10" spans="1:43" ht="25.2" customHeight="1" x14ac:dyDescent="0.15">
      <c r="A10" s="25" t="s">
        <v>23</v>
      </c>
      <c r="B10" s="69" t="s">
        <v>208</v>
      </c>
      <c r="C10" s="73"/>
      <c r="D10" s="47" t="s">
        <v>18</v>
      </c>
      <c r="E10" s="47" t="s">
        <v>141</v>
      </c>
      <c r="F10" s="47" t="s">
        <v>24</v>
      </c>
      <c r="H10" s="111">
        <v>1</v>
      </c>
      <c r="I10" s="52" t="str">
        <f t="shared" si="0"/>
        <v>N/A</v>
      </c>
      <c r="J10" s="148" t="str" cm="1">
        <f t="array" ref="J10">IF(AB10="N/A","",_xlfn.IFS(X10="m2",((Z10/(Y10/AK10))*H10),X10="m3",((Z10/(Y10/AK10))*H10),X10="kg",(((Z10*AL10)/(1/AK10))*H10),X10="ton",(((Z10/1000*AL10)/(1/AK10))*H10),X10="N/A",""))</f>
        <v/>
      </c>
      <c r="K10" s="52" t="str">
        <f t="shared" si="1"/>
        <v>N/A</v>
      </c>
      <c r="L10" s="155" t="str" cm="1">
        <f t="array" ref="L10">(_xlfn.IFS(X10="m2",((AA10/(Y10/AK10))*H10),X10="m3",((AA10/(Y10/AK10))*H10),X10="kg",(((AA10*AL10)/(1/AK10))*H10),X10="ton",(((AA10/1000*AL10)/(1/AK10))*H10),X10="N/A",""))</f>
        <v/>
      </c>
      <c r="M10" s="52" t="str">
        <f t="shared" si="2"/>
        <v>N/A</v>
      </c>
      <c r="N10" s="148" t="str" cm="1">
        <f t="array" ref="N10">IF(AB10="N/A","",_xlfn.IFS(X10="m2",((AB10/(Y10/AK10))*H10),X10="m3",((AB10/(Y10/AK10))*H10),X10="kg",(((AB10*AL10)/(1/AK10))*H10),X10="ton",(((AB10/1000*AL10)/(1/AK10))*H10),X10="N/A",""))</f>
        <v/>
      </c>
      <c r="O10" s="52" t="str">
        <f t="shared" si="3"/>
        <v>N/A</v>
      </c>
      <c r="P10" s="148" t="str" cm="1">
        <f t="array" ref="P10">IF(AD10="N/A","",_xlfn.IFS(X10="m2",((AD10/(Y10/AK10))*H10),X10="m3",((AD10/(Y10/AK10))*H10),X10="kg",(((AD10*AL10)/(1/AK10))*H10),X10="ton",(((AD10/1000*AL10)/(1/AK10))*H10),X10="N/A",""))</f>
        <v/>
      </c>
      <c r="Q10" s="47" t="s">
        <v>191</v>
      </c>
      <c r="R10" s="47"/>
      <c r="S10" s="47" t="s">
        <v>191</v>
      </c>
      <c r="T10" s="47" t="s">
        <v>191</v>
      </c>
      <c r="U10" s="47" t="s">
        <v>191</v>
      </c>
      <c r="W10" s="47" t="s">
        <v>191</v>
      </c>
      <c r="X10" s="47" t="s">
        <v>191</v>
      </c>
      <c r="Y10" s="47" t="s">
        <v>191</v>
      </c>
      <c r="Z10" s="52" t="str">
        <f t="shared" si="4"/>
        <v>N/A</v>
      </c>
      <c r="AA10" s="52" t="s">
        <v>191</v>
      </c>
      <c r="AB10" s="52" t="s">
        <v>191</v>
      </c>
      <c r="AC10" s="52" t="s">
        <v>191</v>
      </c>
      <c r="AD10" s="52" t="s">
        <v>191</v>
      </c>
      <c r="AF10" s="103" t="str">
        <f t="shared" si="5"/>
        <v xml:space="preserve">F </v>
      </c>
      <c r="AG10" s="75" t="s">
        <v>82</v>
      </c>
      <c r="AH10" s="76"/>
      <c r="AI10" s="96"/>
      <c r="AK10" s="47" t="s">
        <v>191</v>
      </c>
      <c r="AL10" s="116">
        <f>(100+140)/2</f>
        <v>120</v>
      </c>
      <c r="AM10" s="47" t="s">
        <v>191</v>
      </c>
      <c r="AO10" s="80" t="s">
        <v>17</v>
      </c>
      <c r="AP10" s="81"/>
      <c r="AQ10" s="26"/>
    </row>
    <row r="11" spans="1:43" ht="25.2" customHeight="1" x14ac:dyDescent="0.15">
      <c r="A11" s="25" t="s">
        <v>236</v>
      </c>
      <c r="B11" s="69" t="s">
        <v>210</v>
      </c>
      <c r="C11" s="73"/>
      <c r="D11" s="47" t="s">
        <v>231</v>
      </c>
      <c r="E11" s="82" t="s">
        <v>240</v>
      </c>
      <c r="F11" s="47" t="s">
        <v>300</v>
      </c>
      <c r="H11" s="111">
        <v>1</v>
      </c>
      <c r="I11" s="52">
        <f t="shared" si="0"/>
        <v>11.923</v>
      </c>
      <c r="J11" s="148" cm="1">
        <f t="array" ref="J11">IF(AB11="N/A","",_xlfn.IFS(X11="m2",((Z11/(Y11/AK11))*H11),X11="m3",((Z11/(Y11/AK11))*H11),X11="kg",(((Z11*AL11)/(1/AK11))*H11),X11="ton",(((Z11/1000*AL11)/(1/AK11))*H11),X11="N/A",""))</f>
        <v>11.923</v>
      </c>
      <c r="K11" s="52">
        <f t="shared" si="1"/>
        <v>11.7</v>
      </c>
      <c r="L11" s="155" cm="1">
        <f t="array" ref="L11">(_xlfn.IFS(X11="m2",((AA11/(Y11/AK11))*H11),X11="m3",((AA11/(Y11/AK11))*H11),X11="kg",(((AA11*AL11)/(1/AK11))*H11),X11="ton",(((AA11/1000*AL11)/(1/AK11))*H11),X11="N/A",""))</f>
        <v>11.7</v>
      </c>
      <c r="M11" s="52">
        <f t="shared" si="2"/>
        <v>0.223</v>
      </c>
      <c r="N11" s="148" cm="1">
        <f t="array" ref="N11">IF(AB11="N/A","",_xlfn.IFS(X11="m2",((AB11/(Y11/AK11))*H11),X11="m3",((AB11/(Y11/AK11))*H11),X11="kg",(((AB11*AL11)/(1/AK11))*H11),X11="ton",(((AB11/1000*AL11)/(1/AK11))*H11),X11="N/A",""))</f>
        <v>0.223</v>
      </c>
      <c r="O11" s="52">
        <f t="shared" si="3"/>
        <v>-0.34300000000000003</v>
      </c>
      <c r="P11" s="148" cm="1">
        <f t="array" ref="P11">IF(AD11="N/A","",_xlfn.IFS(X11="m2",((AD11/(Y11/AK11))*H11),X11="m3",((AD11/(Y11/AK11))*H11),X11="kg",(((AD11*AL11)/(1/AK11))*H11),X11="ton",(((AD11/1000*AL11)/(1/AK11))*H11),X11="N/A",""))</f>
        <v>-0.34300000000000003</v>
      </c>
      <c r="Q11" s="82" t="s">
        <v>5</v>
      </c>
      <c r="R11" s="164"/>
      <c r="S11" s="47">
        <v>2026</v>
      </c>
      <c r="T11" s="47" t="s">
        <v>28</v>
      </c>
      <c r="U11" s="47" t="s">
        <v>191</v>
      </c>
      <c r="W11" s="47" t="s">
        <v>595</v>
      </c>
      <c r="X11" s="47" t="s">
        <v>15</v>
      </c>
      <c r="Y11" s="47">
        <v>8.9999999999999993E-3</v>
      </c>
      <c r="Z11" s="52">
        <f t="shared" si="4"/>
        <v>11.923</v>
      </c>
      <c r="AA11" s="52">
        <v>11.7</v>
      </c>
      <c r="AB11" s="52">
        <f>0+0.223</f>
        <v>0.223</v>
      </c>
      <c r="AC11" s="52">
        <v>0</v>
      </c>
      <c r="AD11" s="52">
        <v>-0.34300000000000003</v>
      </c>
      <c r="AF11" s="103" t="str">
        <f t="shared" si="5"/>
        <v>A2 s1
d0</v>
      </c>
      <c r="AG11" s="75" t="s">
        <v>214</v>
      </c>
      <c r="AH11" s="83" t="s">
        <v>176</v>
      </c>
      <c r="AI11" s="96"/>
      <c r="AK11" s="47">
        <v>8.9999999999999993E-3</v>
      </c>
      <c r="AL11" s="47" t="s">
        <v>191</v>
      </c>
      <c r="AM11" s="47" t="s">
        <v>191</v>
      </c>
      <c r="AO11" s="80" t="s">
        <v>17</v>
      </c>
      <c r="AP11" s="73"/>
      <c r="AQ11" s="26"/>
    </row>
    <row r="12" spans="1:43" ht="25.2" customHeight="1" x14ac:dyDescent="0.15">
      <c r="A12" s="25" t="s">
        <v>25</v>
      </c>
      <c r="B12" s="69" t="s">
        <v>208</v>
      </c>
      <c r="C12" s="73"/>
      <c r="D12" s="47" t="s">
        <v>18</v>
      </c>
      <c r="E12" s="47" t="s">
        <v>141</v>
      </c>
      <c r="F12" s="47" t="s">
        <v>19</v>
      </c>
      <c r="H12" s="111">
        <v>1</v>
      </c>
      <c r="I12" s="52" t="str">
        <f t="shared" si="0"/>
        <v>N/A</v>
      </c>
      <c r="J12" s="148" t="str" cm="1">
        <f t="array" ref="J12">IF(AB12="N/A","",_xlfn.IFS(X12="m2",((Z12/(Y12/AK12))*H12),X12="m3",((Z12/(Y12/AK12))*H12),X12="kg",(((Z12*AL12)/(1/AK12))*H12),X12="ton",(((Z12/1000*AL12)/(1/AK12))*H12),X12="N/A",""))</f>
        <v/>
      </c>
      <c r="K12" s="52" t="str">
        <f t="shared" si="1"/>
        <v>N/A</v>
      </c>
      <c r="L12" s="155" t="str" cm="1">
        <f t="array" ref="L12">(_xlfn.IFS(X12="m2",((AA12/(Y12/AK12))*H12),X12="m3",((AA12/(Y12/AK12))*H12),X12="kg",(((AA12*AL12)/(1/AK12))*H12),X12="ton",(((AA12/1000*AL12)/(1/AK12))*H12),X12="N/A",""))</f>
        <v/>
      </c>
      <c r="M12" s="52" t="str">
        <f t="shared" si="2"/>
        <v>N/A</v>
      </c>
      <c r="N12" s="148" t="str" cm="1">
        <f t="array" ref="N12">IF(AB12="N/A","",_xlfn.IFS(X12="m2",((AB12/(Y12/AK12))*H12),X12="m3",((AB12/(Y12/AK12))*H12),X12="kg",(((AB12*AL12)/(1/AK12))*H12),X12="ton",(((AB12/1000*AL12)/(1/AK12))*H12),X12="N/A",""))</f>
        <v/>
      </c>
      <c r="O12" s="52" t="str">
        <f t="shared" si="3"/>
        <v>N/A</v>
      </c>
      <c r="P12" s="148" t="str" cm="1">
        <f t="array" ref="P12">IF(AD12="N/A","",_xlfn.IFS(X12="m2",((AD12/(Y12/AK12))*H12),X12="m3",((AD12/(Y12/AK12))*H12),X12="kg",(((AD12*AL12)/(1/AK12))*H12),X12="ton",(((AD12/1000*AL12)/(1/AK12))*H12),X12="N/A",""))</f>
        <v/>
      </c>
      <c r="Q12" s="47" t="s">
        <v>191</v>
      </c>
      <c r="R12" s="47"/>
      <c r="S12" s="47" t="s">
        <v>191</v>
      </c>
      <c r="T12" s="47" t="s">
        <v>191</v>
      </c>
      <c r="U12" s="47" t="s">
        <v>191</v>
      </c>
      <c r="W12" s="47" t="s">
        <v>191</v>
      </c>
      <c r="X12" s="47" t="s">
        <v>191</v>
      </c>
      <c r="Y12" s="47" t="s">
        <v>191</v>
      </c>
      <c r="Z12" s="52" t="str">
        <f t="shared" si="4"/>
        <v>N/A</v>
      </c>
      <c r="AA12" s="52" t="s">
        <v>191</v>
      </c>
      <c r="AB12" s="52" t="s">
        <v>191</v>
      </c>
      <c r="AC12" s="52" t="s">
        <v>191</v>
      </c>
      <c r="AD12" s="52" t="s">
        <v>191</v>
      </c>
      <c r="AF12" s="103" t="str">
        <f t="shared" si="5"/>
        <v xml:space="preserve">F </v>
      </c>
      <c r="AG12" s="75" t="s">
        <v>82</v>
      </c>
      <c r="AH12" s="76"/>
      <c r="AI12" s="96"/>
      <c r="AK12" s="47" t="s">
        <v>191</v>
      </c>
      <c r="AL12" s="116">
        <f>(100+140)/2</f>
        <v>120</v>
      </c>
      <c r="AM12" s="47" t="s">
        <v>191</v>
      </c>
      <c r="AO12" s="80" t="s">
        <v>17</v>
      </c>
      <c r="AP12" s="81"/>
      <c r="AQ12" s="26"/>
    </row>
    <row r="13" spans="1:43" ht="25.2" customHeight="1" x14ac:dyDescent="0.15">
      <c r="A13" s="47" t="s">
        <v>360</v>
      </c>
      <c r="B13" s="69" t="s">
        <v>208</v>
      </c>
      <c r="C13" s="73"/>
      <c r="D13" s="47" t="s">
        <v>358</v>
      </c>
      <c r="E13" s="88" t="s">
        <v>359</v>
      </c>
      <c r="F13" s="47" t="s">
        <v>132</v>
      </c>
      <c r="H13" s="111">
        <v>1</v>
      </c>
      <c r="I13" s="52" t="str">
        <f t="shared" si="0"/>
        <v>N/A</v>
      </c>
      <c r="J13" s="148" t="str" cm="1">
        <f t="array" ref="J13">IF(AB13="N/A","",_xlfn.IFS(X13="m2",((Z13/(Y13/AK13))*H13),X13="m3",((Z13/(Y13/AK13))*H13),X13="kg",(((Z13*AL13)/(1/AK13))*H13),X13="ton",(((Z13/1000*AL13)/(1/AK13))*H13),X13="N/A",""))</f>
        <v/>
      </c>
      <c r="K13" s="52" t="str">
        <f t="shared" si="1"/>
        <v>N/A</v>
      </c>
      <c r="L13" s="155" t="str" cm="1">
        <f t="array" ref="L13">(_xlfn.IFS(X13="m2",((AA13/(Y13/AK13))*H13),X13="m3",((AA13/(Y13/AK13))*H13),X13="kg",(((AA13*AL13)/(1/AK13))*H13),X13="ton",(((AA13/1000*AL13)/(1/AK13))*H13),X13="N/A",""))</f>
        <v/>
      </c>
      <c r="M13" s="52" t="str">
        <f t="shared" si="2"/>
        <v>N/A</v>
      </c>
      <c r="N13" s="148" t="str" cm="1">
        <f t="array" ref="N13">IF(AB13="N/A","",_xlfn.IFS(X13="m2",((AB13/(Y13/AK13))*H13),X13="m3",((AB13/(Y13/AK13))*H13),X13="kg",(((AB13*AL13)/(1/AK13))*H13),X13="ton",(((AB13/1000*AL13)/(1/AK13))*H13),X13="N/A",""))</f>
        <v/>
      </c>
      <c r="O13" s="52" t="str">
        <f t="shared" si="3"/>
        <v>N/A</v>
      </c>
      <c r="P13" s="148" t="str" cm="1">
        <f t="array" ref="P13">IF(AD13="N/A","",_xlfn.IFS(X13="m2",((AD13/(Y13/AK13))*H13),X13="m3",((AD13/(Y13/AK13))*H13),X13="kg",(((AD13*AL13)/(1/AK13))*H13),X13="ton",(((AD13/1000*AL13)/(1/AK13))*H13),X13="N/A",""))</f>
        <v/>
      </c>
      <c r="Q13" s="47" t="s">
        <v>191</v>
      </c>
      <c r="R13" s="47"/>
      <c r="S13" s="47" t="s">
        <v>191</v>
      </c>
      <c r="T13" s="47" t="s">
        <v>191</v>
      </c>
      <c r="U13" s="47" t="s">
        <v>191</v>
      </c>
      <c r="V13" s="16"/>
      <c r="W13" s="47" t="s">
        <v>191</v>
      </c>
      <c r="X13" s="47" t="s">
        <v>191</v>
      </c>
      <c r="Y13" s="47" t="s">
        <v>191</v>
      </c>
      <c r="Z13" s="52" t="str">
        <f t="shared" si="4"/>
        <v>N/A</v>
      </c>
      <c r="AA13" s="52" t="s">
        <v>191</v>
      </c>
      <c r="AB13" s="52" t="s">
        <v>191</v>
      </c>
      <c r="AC13" s="52" t="s">
        <v>191</v>
      </c>
      <c r="AD13" s="47" t="s">
        <v>191</v>
      </c>
      <c r="AF13" s="103" t="str">
        <f t="shared" si="5"/>
        <v xml:space="preserve">F </v>
      </c>
      <c r="AG13" s="75" t="s">
        <v>82</v>
      </c>
      <c r="AH13" s="76"/>
      <c r="AI13" s="103"/>
      <c r="AJ13" s="16"/>
      <c r="AK13" s="47" t="s">
        <v>191</v>
      </c>
      <c r="AL13" s="47" t="s">
        <v>191</v>
      </c>
      <c r="AM13" s="47" t="s">
        <v>191</v>
      </c>
      <c r="AN13" s="16"/>
      <c r="AO13" s="105" t="s">
        <v>17</v>
      </c>
      <c r="AP13" s="73"/>
      <c r="AQ13" s="26"/>
    </row>
    <row r="14" spans="1:43" ht="25.2" customHeight="1" x14ac:dyDescent="0.15">
      <c r="A14" s="47" t="s">
        <v>361</v>
      </c>
      <c r="B14" s="69" t="s">
        <v>208</v>
      </c>
      <c r="C14" s="73"/>
      <c r="D14" s="47" t="s">
        <v>358</v>
      </c>
      <c r="E14" s="88" t="s">
        <v>359</v>
      </c>
      <c r="F14" s="47" t="s">
        <v>132</v>
      </c>
      <c r="H14" s="111">
        <v>1</v>
      </c>
      <c r="I14" s="52" t="str">
        <f t="shared" si="0"/>
        <v>N/A</v>
      </c>
      <c r="J14" s="148" t="str" cm="1">
        <f t="array" ref="J14">IF(AB14="N/A","",_xlfn.IFS(X14="m2",((Z14/(Y14/AK14))*H14),X14="m3",((Z14/(Y14/AK14))*H14),X14="kg",(((Z14*AL14)/(1/AK14))*H14),X14="ton",(((Z14/1000*AL14)/(1/AK14))*H14),X14="N/A",""))</f>
        <v/>
      </c>
      <c r="K14" s="52" t="str">
        <f t="shared" si="1"/>
        <v>N/A</v>
      </c>
      <c r="L14" s="155" t="str" cm="1">
        <f t="array" ref="L14">(_xlfn.IFS(X14="m2",((AA14/(Y14/AK14))*H14),X14="m3",((AA14/(Y14/AK14))*H14),X14="kg",(((AA14*AL14)/(1/AK14))*H14),X14="ton",(((AA14/1000*AL14)/(1/AK14))*H14),X14="N/A",""))</f>
        <v/>
      </c>
      <c r="M14" s="52" t="str">
        <f t="shared" si="2"/>
        <v>N/A</v>
      </c>
      <c r="N14" s="148" t="str" cm="1">
        <f t="array" ref="N14">IF(AB14="N/A","",_xlfn.IFS(X14="m2",((AB14/(Y14/AK14))*H14),X14="m3",((AB14/(Y14/AK14))*H14),X14="kg",(((AB14*AL14)/(1/AK14))*H14),X14="ton",(((AB14/1000*AL14)/(1/AK14))*H14),X14="N/A",""))</f>
        <v/>
      </c>
      <c r="O14" s="52" t="str">
        <f t="shared" si="3"/>
        <v>N/A</v>
      </c>
      <c r="P14" s="148" t="str" cm="1">
        <f t="array" ref="P14">IF(AD14="N/A","",_xlfn.IFS(X14="m2",((AD14/(Y14/AK14))*H14),X14="m3",((AD14/(Y14/AK14))*H14),X14="kg",(((AD14*AL14)/(1/AK14))*H14),X14="ton",(((AD14/1000*AL14)/(1/AK14))*H14),X14="N/A",""))</f>
        <v/>
      </c>
      <c r="Q14" s="47" t="s">
        <v>191</v>
      </c>
      <c r="R14" s="47"/>
      <c r="S14" s="47" t="s">
        <v>191</v>
      </c>
      <c r="T14" s="47" t="s">
        <v>191</v>
      </c>
      <c r="U14" s="47" t="s">
        <v>191</v>
      </c>
      <c r="V14" s="16"/>
      <c r="W14" s="47" t="s">
        <v>191</v>
      </c>
      <c r="X14" s="47" t="s">
        <v>191</v>
      </c>
      <c r="Y14" s="47" t="s">
        <v>191</v>
      </c>
      <c r="Z14" s="52" t="str">
        <f t="shared" si="4"/>
        <v>N/A</v>
      </c>
      <c r="AA14" s="52" t="s">
        <v>191</v>
      </c>
      <c r="AB14" s="52" t="s">
        <v>191</v>
      </c>
      <c r="AC14" s="52" t="s">
        <v>191</v>
      </c>
      <c r="AD14" s="47" t="s">
        <v>191</v>
      </c>
      <c r="AF14" s="103" t="str">
        <f t="shared" si="5"/>
        <v xml:space="preserve">F </v>
      </c>
      <c r="AG14" s="75" t="s">
        <v>82</v>
      </c>
      <c r="AH14" s="76"/>
      <c r="AI14" s="103"/>
      <c r="AJ14" s="16"/>
      <c r="AK14" s="47" t="s">
        <v>191</v>
      </c>
      <c r="AL14" s="47" t="s">
        <v>191</v>
      </c>
      <c r="AM14" s="47" t="s">
        <v>191</v>
      </c>
      <c r="AN14" s="16"/>
      <c r="AO14" s="105" t="s">
        <v>17</v>
      </c>
      <c r="AP14" s="73"/>
      <c r="AQ14" s="26"/>
    </row>
    <row r="15" spans="1:43" ht="25.2" customHeight="1" x14ac:dyDescent="0.15">
      <c r="A15" s="25" t="s">
        <v>387</v>
      </c>
      <c r="B15" s="69" t="s">
        <v>210</v>
      </c>
      <c r="C15" s="73"/>
      <c r="D15" s="47" t="s">
        <v>278</v>
      </c>
      <c r="E15" s="88" t="s">
        <v>153</v>
      </c>
      <c r="F15" s="47" t="s">
        <v>301</v>
      </c>
      <c r="G15" s="40"/>
      <c r="H15" s="111">
        <v>1</v>
      </c>
      <c r="I15" s="52">
        <f t="shared" si="0"/>
        <v>1.679</v>
      </c>
      <c r="J15" s="148" cm="1">
        <f t="array" ref="J15">IF(AB15="N/A","",_xlfn.IFS(X15="m2",((Z15/(Y15/AK15))*H15),X15="m3",((Z15/(Y15/AK15))*H15),X15="kg",(((Z15*AL15)/(1/AK15))*H15),X15="ton",(((Z15/1000*AL15)/(1/AK15))*H15),X15="N/A",""))</f>
        <v>1.679</v>
      </c>
      <c r="K15" s="52">
        <f t="shared" si="1"/>
        <v>0.99299999999999999</v>
      </c>
      <c r="L15" s="155" cm="1">
        <f t="array" ref="L15">(_xlfn.IFS(X15="m2",((AA15/(Y15/AK15))*H15),X15="m3",((AA15/(Y15/AK15))*H15),X15="kg",(((AA15*AL15)/(1/AK15))*H15),X15="ton",(((AA15/1000*AL15)/(1/AK15))*H15),X15="N/A",""))</f>
        <v>0.99299999999999999</v>
      </c>
      <c r="M15" s="52">
        <f t="shared" si="2"/>
        <v>0.68600000000000005</v>
      </c>
      <c r="N15" s="148" cm="1">
        <f t="array" ref="N15">IF(AB15="N/A","",_xlfn.IFS(X15="m2",((AB15/(Y15/AK15))*H15),X15="m3",((AB15/(Y15/AK15))*H15),X15="kg",(((AB15*AL15)/(1/AK15))*H15),X15="ton",(((AB15/1000*AL15)/(1/AK15))*H15),X15="N/A",""))</f>
        <v>0.68600000000000005</v>
      </c>
      <c r="O15" s="52">
        <f t="shared" si="3"/>
        <v>-0.58099999999999996</v>
      </c>
      <c r="P15" s="148" cm="1">
        <f t="array" ref="P15">IF(AD15="N/A","",_xlfn.IFS(X15="m2",((AD15/(Y15/AK15))*H15),X15="m3",((AD15/(Y15/AK15))*H15),X15="kg",(((AD15*AL15)/(1/AK15))*H15),X15="ton",(((AD15/1000*AL15)/(1/AK15))*H15),X15="N/A",""))</f>
        <v>-0.58099999999999996</v>
      </c>
      <c r="Q15" s="88" t="s">
        <v>5</v>
      </c>
      <c r="R15" s="165" t="s">
        <v>377</v>
      </c>
      <c r="S15" s="47">
        <v>2027</v>
      </c>
      <c r="T15" s="47" t="s">
        <v>28</v>
      </c>
      <c r="U15" s="47">
        <v>60</v>
      </c>
      <c r="W15" s="47" t="s">
        <v>597</v>
      </c>
      <c r="X15" s="52" t="s">
        <v>15</v>
      </c>
      <c r="Y15" s="47">
        <v>1.2500000000000001E-2</v>
      </c>
      <c r="Z15" s="52">
        <f t="shared" si="4"/>
        <v>1.679</v>
      </c>
      <c r="AA15" s="52">
        <v>0.99299999999999999</v>
      </c>
      <c r="AB15" s="52">
        <f>0.004+0.682</f>
        <v>0.68600000000000005</v>
      </c>
      <c r="AC15" s="52">
        <v>-5.0000000000000001E-3</v>
      </c>
      <c r="AD15" s="52">
        <v>-0.58099999999999996</v>
      </c>
      <c r="AE15" s="40"/>
      <c r="AF15" s="103" t="str">
        <f t="shared" si="5"/>
        <v xml:space="preserve">F </v>
      </c>
      <c r="AG15" s="75" t="s">
        <v>82</v>
      </c>
      <c r="AH15" s="108"/>
      <c r="AI15" s="120"/>
      <c r="AJ15" s="45"/>
      <c r="AK15" s="47">
        <v>1.2500000000000001E-2</v>
      </c>
      <c r="AL15" s="47">
        <v>560</v>
      </c>
      <c r="AM15" s="47" t="s">
        <v>191</v>
      </c>
      <c r="AN15" s="45"/>
      <c r="AO15" s="105" t="s">
        <v>17</v>
      </c>
      <c r="AP15" s="73"/>
      <c r="AQ15" s="26"/>
    </row>
    <row r="16" spans="1:43" ht="25.2" customHeight="1" x14ac:dyDescent="0.15">
      <c r="A16" s="25" t="s">
        <v>1102</v>
      </c>
      <c r="B16" s="69" t="s">
        <v>210</v>
      </c>
      <c r="C16" s="73"/>
      <c r="D16" s="47" t="s">
        <v>1100</v>
      </c>
      <c r="E16" s="47" t="s">
        <v>162</v>
      </c>
      <c r="F16" s="47" t="s">
        <v>1225</v>
      </c>
      <c r="G16" s="40"/>
      <c r="H16" s="111">
        <v>1</v>
      </c>
      <c r="I16" s="52">
        <f t="shared" si="0"/>
        <v>3.1779999999999999</v>
      </c>
      <c r="J16" s="148" cm="1">
        <f t="array" ref="J16">IF(AB16="N/A","",_xlfn.IFS(X16="m2",((Z16/(Y16/AK16))*H16),X16="m3",((Z16/(Y16/AK16))*H16),X16="kg",(((Z16*AL16)/(1/AK16))*H16),X16="ton",(((Z16/1000*AL16)/(1/AK16))*H16),X16="N/A",""))</f>
        <v>3.1779999999999999</v>
      </c>
      <c r="K16" s="52">
        <f t="shared" si="1"/>
        <v>-0.45800000000000002</v>
      </c>
      <c r="L16" s="155" cm="1">
        <f t="array" ref="L16">(_xlfn.IFS(X16="m2",((AA16/(Y16/AK16))*H16),X16="m3",((AA16/(Y16/AK16))*H16),X16="kg",(((AA16*AL16)/(1/AK16))*H16),X16="ton",(((AA16/1000*AL16)/(1/AK16))*H16),X16="N/A",""))</f>
        <v>-0.45800000000000002</v>
      </c>
      <c r="M16" s="52">
        <f t="shared" si="2"/>
        <v>3.6360000000000001</v>
      </c>
      <c r="N16" s="148" cm="1">
        <f t="array" ref="N16">IF(AB16="N/A","",_xlfn.IFS(X16="m2",((AB16/(Y16/AK16))*H16),X16="m3",((AB16/(Y16/AK16))*H16),X16="kg",(((AB16*AL16)/(1/AK16))*H16),X16="ton",(((AB16/1000*AL16)/(1/AK16))*H16),X16="N/A",""))</f>
        <v>3.6360000000000001</v>
      </c>
      <c r="O16" s="52">
        <f t="shared" si="3"/>
        <v>-3.58</v>
      </c>
      <c r="P16" s="148" cm="1">
        <f t="array" ref="P16">IF(AD16="N/A","",_xlfn.IFS(X16="m2",((AD16/(Y16/AK16))*H16),X16="m3",((AD16/(Y16/AK16))*H16),X16="kg",(((AD16*AL16)/(1/AK16))*H16),X16="ton",(((AD16/1000*AL16)/(1/AK16))*H16),X16="N/A",""))</f>
        <v>-3.58</v>
      </c>
      <c r="Q16" s="186" t="s">
        <v>5</v>
      </c>
      <c r="R16" s="47"/>
      <c r="S16" s="47">
        <v>2027</v>
      </c>
      <c r="T16" s="47" t="s">
        <v>28</v>
      </c>
      <c r="U16" s="47" t="s">
        <v>191</v>
      </c>
      <c r="W16" s="52" t="s">
        <v>1101</v>
      </c>
      <c r="X16" s="52" t="s">
        <v>15</v>
      </c>
      <c r="Y16" s="47">
        <v>1.2500000000000001E-2</v>
      </c>
      <c r="Z16" s="52">
        <f t="shared" si="4"/>
        <v>3.1779999999999999</v>
      </c>
      <c r="AA16" s="52">
        <v>-0.45800000000000002</v>
      </c>
      <c r="AB16" s="52">
        <f>0.196+3.44</f>
        <v>3.6360000000000001</v>
      </c>
      <c r="AC16" s="52">
        <v>-8.5699999999999998E-2</v>
      </c>
      <c r="AD16" s="52">
        <v>-3.58</v>
      </c>
      <c r="AE16" s="40"/>
      <c r="AF16" s="120" t="str">
        <f t="shared" si="5"/>
        <v xml:space="preserve">F </v>
      </c>
      <c r="AG16" s="75" t="s">
        <v>82</v>
      </c>
      <c r="AH16" s="108"/>
      <c r="AI16" s="120"/>
      <c r="AJ16" s="45"/>
      <c r="AK16" s="47">
        <v>1.2500000000000001E-2</v>
      </c>
      <c r="AL16" s="47">
        <v>1180</v>
      </c>
      <c r="AM16" s="47">
        <v>1100</v>
      </c>
      <c r="AN16" s="45"/>
      <c r="AO16" s="173" t="s">
        <v>17</v>
      </c>
      <c r="AP16" s="73"/>
      <c r="AQ16" s="26"/>
    </row>
    <row r="17" spans="1:43" ht="25.2" customHeight="1" x14ac:dyDescent="0.15">
      <c r="A17" s="25" t="s">
        <v>1103</v>
      </c>
      <c r="B17" s="69" t="s">
        <v>210</v>
      </c>
      <c r="C17" s="73"/>
      <c r="D17" s="47" t="s">
        <v>1100</v>
      </c>
      <c r="E17" s="47" t="s">
        <v>162</v>
      </c>
      <c r="F17" s="47" t="s">
        <v>1225</v>
      </c>
      <c r="G17" s="40"/>
      <c r="H17" s="111">
        <v>1</v>
      </c>
      <c r="I17" s="52">
        <f t="shared" si="0"/>
        <v>8.2509999999999994</v>
      </c>
      <c r="J17" s="148" cm="1">
        <f t="array" ref="J17">IF(AB17="N/A","",_xlfn.IFS(X17="m2",((Z17/(Y17/AK17))*H17),X17="m3",((Z17/(Y17/AK17))*H17),X17="kg",(((Z17*AL17)/(1/AK17))*H17),X17="ton",(((Z17/1000*AL17)/(1/AK17))*H17),X17="N/A",""))</f>
        <v>8.2509999999999994</v>
      </c>
      <c r="K17" s="52">
        <f t="shared" si="1"/>
        <v>0.73699999999999999</v>
      </c>
      <c r="L17" s="155" cm="1">
        <f t="array" ref="L17">(_xlfn.IFS(X17="m2",((AA17/(Y17/AK17))*H17),X17="m3",((AA17/(Y17/AK17))*H17),X17="kg",(((AA17*AL17)/(1/AK17))*H17),X17="ton",(((AA17/1000*AL17)/(1/AK17))*H17),X17="N/A",""))</f>
        <v>0.73699999999999999</v>
      </c>
      <c r="M17" s="52">
        <f t="shared" si="2"/>
        <v>7.5140000000000002</v>
      </c>
      <c r="N17" s="148" cm="1">
        <f t="array" ref="N17">IF(AB17="N/A","",_xlfn.IFS(X17="m2",((AB17/(Y17/AK17))*H17),X17="m3",((AB17/(Y17/AK17))*H17),X17="kg",(((AB17*AL17)/(1/AK17))*H17),X17="ton",(((AB17/1000*AL17)/(1/AK17))*H17),X17="N/A",""))</f>
        <v>7.5140000000000002</v>
      </c>
      <c r="O17" s="52">
        <f t="shared" si="3"/>
        <v>-7.19</v>
      </c>
      <c r="P17" s="148" cm="1">
        <f t="array" ref="P17">IF(AD17="N/A","",_xlfn.IFS(X17="m2",((AD17/(Y17/AK17))*H17),X17="m3",((AD17/(Y17/AK17))*H17),X17="kg",(((AD17*AL17)/(1/AK17))*H17),X17="ton",(((AD17/1000*AL17)/(1/AK17))*H17),X17="N/A",""))</f>
        <v>-7.19</v>
      </c>
      <c r="Q17" s="186" t="s">
        <v>5</v>
      </c>
      <c r="R17" s="47"/>
      <c r="S17" s="47">
        <v>2027</v>
      </c>
      <c r="T17" s="47" t="s">
        <v>28</v>
      </c>
      <c r="U17" s="47" t="s">
        <v>191</v>
      </c>
      <c r="W17" s="52" t="s">
        <v>1104</v>
      </c>
      <c r="X17" s="52" t="s">
        <v>15</v>
      </c>
      <c r="Y17" s="47">
        <v>2.5000000000000001E-2</v>
      </c>
      <c r="Z17" s="52">
        <f t="shared" si="4"/>
        <v>8.2509999999999994</v>
      </c>
      <c r="AA17" s="52">
        <v>0.73699999999999999</v>
      </c>
      <c r="AB17" s="52">
        <f>0.774+6.74</f>
        <v>7.5140000000000002</v>
      </c>
      <c r="AC17" s="52">
        <v>-0.21099999999999999</v>
      </c>
      <c r="AD17" s="52">
        <v>-7.19</v>
      </c>
      <c r="AE17" s="40"/>
      <c r="AF17" s="120" t="str">
        <f t="shared" si="5"/>
        <v xml:space="preserve">F </v>
      </c>
      <c r="AG17" s="75" t="s">
        <v>82</v>
      </c>
      <c r="AH17" s="108"/>
      <c r="AI17" s="120"/>
      <c r="AJ17" s="45"/>
      <c r="AK17" s="47">
        <v>2.5000000000000001E-2</v>
      </c>
      <c r="AL17" s="47">
        <v>1180</v>
      </c>
      <c r="AM17" s="47">
        <v>1100</v>
      </c>
      <c r="AN17" s="45"/>
      <c r="AO17" s="233" t="s">
        <v>17</v>
      </c>
      <c r="AP17" s="73"/>
      <c r="AQ17" s="26"/>
    </row>
    <row r="18" spans="1:43" ht="25.2" customHeight="1" x14ac:dyDescent="0.15">
      <c r="A18" s="47" t="s">
        <v>328</v>
      </c>
      <c r="B18" s="69" t="s">
        <v>210</v>
      </c>
      <c r="C18" s="73"/>
      <c r="D18" s="47" t="s">
        <v>1100</v>
      </c>
      <c r="E18" s="47" t="s">
        <v>191</v>
      </c>
      <c r="F18" s="85" t="s">
        <v>300</v>
      </c>
      <c r="G18" s="27"/>
      <c r="H18" s="111">
        <v>1</v>
      </c>
      <c r="I18" s="52" t="str">
        <f t="shared" si="0"/>
        <v>N/A</v>
      </c>
      <c r="J18" s="148" t="str" cm="1">
        <f t="array" ref="J18">IF(AB18="N/A","",_xlfn.IFS(X18="m2",((Z18/(Y18/AK18))*H18),X18="m3",((Z18/(Y18/AK18))*H18),X18="kg",(((Z18*AL18)/(1/AK18))*H18),X18="ton",(((Z18/1000*AL18)/(1/AK18))*H18),X18="N/A",""))</f>
        <v/>
      </c>
      <c r="K18" s="52">
        <f t="shared" si="1"/>
        <v>16.100000000000001</v>
      </c>
      <c r="L18" s="155" cm="1">
        <f t="array" ref="L18">(_xlfn.IFS(X18="m2",((AA18/(Y18/AK18))*H18),X18="m3",((AA18/(Y18/AK18))*H18),X18="kg",(((AA18*AL18)/(1/AK18))*H18),X18="ton",(((AA18/1000*AL18)/(1/AK18))*H18),X18="N/A",""))</f>
        <v>16.100000000000001</v>
      </c>
      <c r="M18" s="52" t="str">
        <f t="shared" si="2"/>
        <v>N/A</v>
      </c>
      <c r="N18" s="148" t="str" cm="1">
        <f t="array" ref="N18">IF(AB18="N/A","",_xlfn.IFS(X18="m2",((AB18/(Y18/AK18))*H18),X18="m3",((AB18/(Y18/AK18))*H18),X18="kg",(((AB18*AL18)/(1/AK18))*H18),X18="ton",(((AB18/1000*AL18)/(1/AK18))*H18),X18="N/A",""))</f>
        <v/>
      </c>
      <c r="O18" s="52" t="str">
        <f t="shared" si="3"/>
        <v>N/A</v>
      </c>
      <c r="P18" s="148" t="str" cm="1">
        <f t="array" ref="P18">IF(AD18="N/A","",_xlfn.IFS(X18="m2",((AD18/(Y18/AK18))*H18),X18="m3",((AD18/(Y18/AK18))*H18),X18="kg",(((AD18*AL18)/(1/AK18))*H18),X18="ton",(((AD18/1000*AL18)/(1/AK18))*H18),X18="N/A",""))</f>
        <v/>
      </c>
      <c r="Q18" s="82" t="s">
        <v>5</v>
      </c>
      <c r="R18" s="164"/>
      <c r="S18" s="47">
        <v>2023</v>
      </c>
      <c r="T18" s="47" t="s">
        <v>14</v>
      </c>
      <c r="U18" s="47" t="s">
        <v>191</v>
      </c>
      <c r="V18" s="16"/>
      <c r="W18" s="47" t="s">
        <v>581</v>
      </c>
      <c r="X18" s="47" t="s">
        <v>15</v>
      </c>
      <c r="Y18" s="47">
        <v>1.6E-2</v>
      </c>
      <c r="Z18" s="52" t="str">
        <f t="shared" si="4"/>
        <v>N/A</v>
      </c>
      <c r="AA18" s="52">
        <v>16.100000000000001</v>
      </c>
      <c r="AB18" s="52" t="s">
        <v>191</v>
      </c>
      <c r="AC18" s="52" t="s">
        <v>191</v>
      </c>
      <c r="AD18" s="47" t="s">
        <v>191</v>
      </c>
      <c r="AF18" s="103" t="str">
        <f t="shared" si="5"/>
        <v>A2 s1
d0</v>
      </c>
      <c r="AG18" s="75" t="s">
        <v>214</v>
      </c>
      <c r="AH18" s="83" t="s">
        <v>176</v>
      </c>
      <c r="AI18" s="103"/>
      <c r="AJ18" s="16"/>
      <c r="AK18" s="47">
        <v>1.6E-2</v>
      </c>
      <c r="AL18" s="47">
        <v>1150</v>
      </c>
      <c r="AM18" s="266" t="s">
        <v>191</v>
      </c>
      <c r="AN18" s="16"/>
      <c r="AO18" s="265" t="s">
        <v>17</v>
      </c>
      <c r="AP18" s="73"/>
      <c r="AQ18" s="26"/>
    </row>
    <row r="19" spans="1:43" ht="25.2" customHeight="1" x14ac:dyDescent="0.15">
      <c r="A19" s="47" t="s">
        <v>326</v>
      </c>
      <c r="B19" s="69" t="s">
        <v>210</v>
      </c>
      <c r="C19" s="73"/>
      <c r="D19" s="47" t="s">
        <v>1100</v>
      </c>
      <c r="E19" s="47" t="s">
        <v>191</v>
      </c>
      <c r="F19" s="85" t="s">
        <v>300</v>
      </c>
      <c r="G19" s="27"/>
      <c r="H19" s="111">
        <v>1</v>
      </c>
      <c r="I19" s="52" t="str">
        <f t="shared" si="0"/>
        <v>N/A</v>
      </c>
      <c r="J19" s="148" t="str" cm="1">
        <f t="array" ref="J19">IF(AB19="N/A","",_xlfn.IFS(X19="m2",((Z19/(Y19/AK19))*H19),X19="m3",((Z19/(Y19/AK19))*H19),X19="kg",(((Z19*AL19)/(1/AK19))*H19),X19="ton",(((Z19/1000*AL19)/(1/AK19))*H19),X19="N/A",""))</f>
        <v/>
      </c>
      <c r="K19" s="52">
        <f t="shared" si="1"/>
        <v>8.94</v>
      </c>
      <c r="L19" s="155" cm="1">
        <f t="array" ref="L19">(_xlfn.IFS(X19="m2",((AA19/(Y19/AK19))*H19),X19="m3",((AA19/(Y19/AK19))*H19),X19="kg",(((AA19*AL19)/(1/AK19))*H19),X19="ton",(((AA19/1000*AL19)/(1/AK19))*H19),X19="N/A",""))</f>
        <v>8.94</v>
      </c>
      <c r="M19" s="52" t="str">
        <f t="shared" si="2"/>
        <v>N/A</v>
      </c>
      <c r="N19" s="148" t="str" cm="1">
        <f t="array" ref="N19">IF(AB19="N/A","",_xlfn.IFS(X19="m2",((AB19/(Y19/AK19))*H19),X19="m3",((AB19/(Y19/AK19))*H19),X19="kg",(((AB19*AL19)/(1/AK19))*H19),X19="ton",(((AB19/1000*AL19)/(1/AK19))*H19),X19="N/A",""))</f>
        <v/>
      </c>
      <c r="O19" s="52" t="str">
        <f t="shared" si="3"/>
        <v>N/A</v>
      </c>
      <c r="P19" s="148" t="str" cm="1">
        <f t="array" ref="P19">IF(AD19="N/A","",_xlfn.IFS(X19="m2",((AD19/(Y19/AK19))*H19),X19="m3",((AD19/(Y19/AK19))*H19),X19="kg",(((AD19*AL19)/(1/AK19))*H19),X19="ton",(((AD19/1000*AL19)/(1/AK19))*H19),X19="N/A",""))</f>
        <v/>
      </c>
      <c r="Q19" s="82" t="s">
        <v>5</v>
      </c>
      <c r="R19" s="164"/>
      <c r="S19" s="47" t="s">
        <v>191</v>
      </c>
      <c r="T19" s="47" t="s">
        <v>14</v>
      </c>
      <c r="U19" s="47" t="s">
        <v>191</v>
      </c>
      <c r="V19" s="16"/>
      <c r="W19" s="47" t="s">
        <v>579</v>
      </c>
      <c r="X19" s="47" t="s">
        <v>15</v>
      </c>
      <c r="Y19" s="47">
        <v>8.0000000000000002E-3</v>
      </c>
      <c r="Z19" s="52" t="str">
        <f t="shared" si="4"/>
        <v>N/A</v>
      </c>
      <c r="AA19" s="52">
        <v>8.94</v>
      </c>
      <c r="AB19" s="52" t="s">
        <v>191</v>
      </c>
      <c r="AC19" s="52" t="s">
        <v>191</v>
      </c>
      <c r="AD19" s="47" t="s">
        <v>191</v>
      </c>
      <c r="AF19" s="103" t="str">
        <f t="shared" si="5"/>
        <v>A2 s1
d0</v>
      </c>
      <c r="AG19" s="75" t="s">
        <v>214</v>
      </c>
      <c r="AH19" s="83" t="s">
        <v>176</v>
      </c>
      <c r="AI19" s="103"/>
      <c r="AJ19" s="16"/>
      <c r="AK19" s="47">
        <v>8.0000000000000002E-3</v>
      </c>
      <c r="AL19" s="47">
        <v>1300</v>
      </c>
      <c r="AM19" s="266" t="s">
        <v>191</v>
      </c>
      <c r="AN19" s="16"/>
      <c r="AO19" s="265" t="s">
        <v>17</v>
      </c>
      <c r="AP19" s="73"/>
      <c r="AQ19" s="26"/>
    </row>
    <row r="20" spans="1:43" ht="25.2" customHeight="1" x14ac:dyDescent="0.15">
      <c r="A20" s="47" t="s">
        <v>327</v>
      </c>
      <c r="B20" s="69" t="s">
        <v>210</v>
      </c>
      <c r="C20" s="73"/>
      <c r="D20" s="47" t="s">
        <v>1100</v>
      </c>
      <c r="E20" s="47" t="s">
        <v>191</v>
      </c>
      <c r="F20" s="85" t="s">
        <v>300</v>
      </c>
      <c r="G20" s="27"/>
      <c r="H20" s="111">
        <v>1</v>
      </c>
      <c r="I20" s="52" t="str">
        <f t="shared" si="0"/>
        <v>N/A</v>
      </c>
      <c r="J20" s="148" t="str" cm="1">
        <f t="array" ref="J20">IF(AB20="N/A","",_xlfn.IFS(X20="m2",((Z20/(Y20/AK20))*H20),X20="m3",((Z20/(Y20/AK20))*H20),X20="kg",(((Z20*AL20)/(1/AK20))*H20),X20="ton",(((Z20/1000*AL20)/(1/AK20))*H20),X20="N/A",""))</f>
        <v/>
      </c>
      <c r="K20" s="52">
        <f t="shared" si="1"/>
        <v>7.34</v>
      </c>
      <c r="L20" s="155" cm="1">
        <f t="array" ref="L20">(_xlfn.IFS(X20="m2",((AA20/(Y20/AK20))*H20),X20="m3",((AA20/(Y20/AK20))*H20),X20="kg",(((AA20*AL20)/(1/AK20))*H20),X20="ton",(((AA20/1000*AL20)/(1/AK20))*H20),X20="N/A",""))</f>
        <v>7.34</v>
      </c>
      <c r="M20" s="52" t="str">
        <f t="shared" si="2"/>
        <v>N/A</v>
      </c>
      <c r="N20" s="148" t="str" cm="1">
        <f t="array" ref="N20">IF(AB20="N/A","",_xlfn.IFS(X20="m2",((AB20/(Y20/AK20))*H20),X20="m3",((AB20/(Y20/AK20))*H20),X20="kg",(((AB20*AL20)/(1/AK20))*H20),X20="ton",(((AB20/1000*AL20)/(1/AK20))*H20),X20="N/A",""))</f>
        <v/>
      </c>
      <c r="O20" s="52" t="str">
        <f t="shared" si="3"/>
        <v>N/A</v>
      </c>
      <c r="P20" s="148" t="str" cm="1">
        <f t="array" ref="P20">IF(AD20="N/A","",_xlfn.IFS(X20="m2",((AD20/(Y20/AK20))*H20),X20="m3",((AD20/(Y20/AK20))*H20),X20="kg",(((AD20*AL20)/(1/AK20))*H20),X20="ton",(((AD20/1000*AL20)/(1/AK20))*H20),X20="N/A",""))</f>
        <v/>
      </c>
      <c r="Q20" s="82" t="s">
        <v>5</v>
      </c>
      <c r="R20" s="164"/>
      <c r="S20" s="47">
        <v>2023</v>
      </c>
      <c r="T20" s="47" t="s">
        <v>14</v>
      </c>
      <c r="U20" s="47" t="s">
        <v>191</v>
      </c>
      <c r="V20" s="16"/>
      <c r="W20" s="47" t="s">
        <v>581</v>
      </c>
      <c r="X20" s="47" t="s">
        <v>15</v>
      </c>
      <c r="Y20" s="47">
        <v>8.0000000000000002E-3</v>
      </c>
      <c r="Z20" s="52" t="str">
        <f t="shared" si="4"/>
        <v>N/A</v>
      </c>
      <c r="AA20" s="52">
        <v>7.34</v>
      </c>
      <c r="AB20" s="52" t="s">
        <v>191</v>
      </c>
      <c r="AC20" s="52" t="s">
        <v>191</v>
      </c>
      <c r="AD20" s="47" t="s">
        <v>191</v>
      </c>
      <c r="AF20" s="103" t="str">
        <f t="shared" si="5"/>
        <v>A2 s1
d0</v>
      </c>
      <c r="AG20" s="75" t="s">
        <v>214</v>
      </c>
      <c r="AH20" s="83" t="s">
        <v>176</v>
      </c>
      <c r="AI20" s="103"/>
      <c r="AJ20" s="16"/>
      <c r="AK20" s="47">
        <v>8.0000000000000002E-3</v>
      </c>
      <c r="AL20" s="47">
        <v>1300</v>
      </c>
      <c r="AM20" s="266" t="s">
        <v>191</v>
      </c>
      <c r="AN20" s="16"/>
      <c r="AO20" s="265" t="s">
        <v>17</v>
      </c>
      <c r="AP20" s="73"/>
      <c r="AQ20" s="26"/>
    </row>
    <row r="21" spans="1:43" ht="25.2" customHeight="1" x14ac:dyDescent="0.15">
      <c r="A21" s="25" t="s">
        <v>50</v>
      </c>
      <c r="B21" s="69" t="s">
        <v>208</v>
      </c>
      <c r="C21" s="73"/>
      <c r="D21" s="47" t="s">
        <v>47</v>
      </c>
      <c r="E21" s="47" t="s">
        <v>143</v>
      </c>
      <c r="F21" s="47" t="s">
        <v>40</v>
      </c>
      <c r="H21" s="111">
        <v>1</v>
      </c>
      <c r="I21" s="52" t="str">
        <f t="shared" si="0"/>
        <v>N/A</v>
      </c>
      <c r="J21" s="148" t="str" cm="1">
        <f t="array" ref="J21">IF(AB21="N/A","",_xlfn.IFS(X21="m2",((Z21/(Y21/AK21))*H21),X21="m3",((Z21/(Y21/AK21))*H21),X21="kg",(((Z21*AL21)/(1/AK21))*H21),X21="ton",(((Z21/1000*AL21)/(1/AK21))*H21),X21="N/A",""))</f>
        <v/>
      </c>
      <c r="K21" s="52" t="str">
        <f t="shared" si="1"/>
        <v>N/A</v>
      </c>
      <c r="L21" s="155" t="str" cm="1">
        <f t="array" ref="L21">(_xlfn.IFS(X21="m2",((AA21/(Y21/AK21))*H21),X21="m3",((AA21/(Y21/AK21))*H21),X21="kg",(((AA21*AL21)/(1/AK21))*H21),X21="ton",(((AA21/1000*AL21)/(1/AK21))*H21),X21="N/A",""))</f>
        <v/>
      </c>
      <c r="M21" s="52" t="str">
        <f t="shared" si="2"/>
        <v>N/A</v>
      </c>
      <c r="N21" s="148" t="str" cm="1">
        <f t="array" ref="N21">IF(AB21="N/A","",_xlfn.IFS(X21="m2",((AB21/(Y21/AK21))*H21),X21="m3",((AB21/(Y21/AK21))*H21),X21="kg",(((AB21*AL21)/(1/AK21))*H21),X21="ton",(((AB21/1000*AL21)/(1/AK21))*H21),X21="N/A",""))</f>
        <v/>
      </c>
      <c r="O21" s="52" t="str">
        <f t="shared" si="3"/>
        <v>N/A</v>
      </c>
      <c r="P21" s="148" t="str" cm="1">
        <f t="array" ref="P21">IF(AD21="N/A","",_xlfn.IFS(X21="m2",((AD21/(Y21/AK21))*H21),X21="m3",((AD21/(Y21/AK21))*H21),X21="kg",(((AD21*AL21)/(1/AK21))*H21),X21="ton",(((AD21/1000*AL21)/(1/AK21))*H21),X21="N/A",""))</f>
        <v/>
      </c>
      <c r="Q21" s="47" t="s">
        <v>191</v>
      </c>
      <c r="R21" s="47"/>
      <c r="S21" s="47" t="s">
        <v>191</v>
      </c>
      <c r="T21" s="47" t="s">
        <v>191</v>
      </c>
      <c r="U21" s="47" t="s">
        <v>191</v>
      </c>
      <c r="W21" s="47" t="s">
        <v>191</v>
      </c>
      <c r="X21" s="47" t="s">
        <v>191</v>
      </c>
      <c r="Y21" s="47" t="s">
        <v>191</v>
      </c>
      <c r="Z21" s="52" t="str">
        <f t="shared" si="4"/>
        <v>N/A</v>
      </c>
      <c r="AA21" s="52" t="s">
        <v>191</v>
      </c>
      <c r="AB21" s="52" t="s">
        <v>191</v>
      </c>
      <c r="AC21" s="52" t="s">
        <v>191</v>
      </c>
      <c r="AD21" s="52" t="s">
        <v>191</v>
      </c>
      <c r="AF21" s="103" t="str">
        <f t="shared" si="5"/>
        <v>B s1
d0</v>
      </c>
      <c r="AG21" s="75" t="s">
        <v>178</v>
      </c>
      <c r="AH21" s="83" t="s">
        <v>176</v>
      </c>
      <c r="AI21" s="96"/>
      <c r="AK21" s="47" t="s">
        <v>191</v>
      </c>
      <c r="AL21" s="47">
        <v>350</v>
      </c>
      <c r="AM21" s="47" t="s">
        <v>191</v>
      </c>
      <c r="AO21" s="105" t="s">
        <v>17</v>
      </c>
      <c r="AP21" s="73"/>
      <c r="AQ21" s="26"/>
    </row>
    <row r="22" spans="1:43" ht="25.2" customHeight="1" x14ac:dyDescent="0.15">
      <c r="A22" s="25" t="s">
        <v>51</v>
      </c>
      <c r="B22" s="69" t="s">
        <v>208</v>
      </c>
      <c r="C22" s="73"/>
      <c r="D22" s="47" t="s">
        <v>47</v>
      </c>
      <c r="E22" s="47" t="s">
        <v>143</v>
      </c>
      <c r="F22" s="47" t="s">
        <v>40</v>
      </c>
      <c r="H22" s="111">
        <v>1</v>
      </c>
      <c r="I22" s="52" t="str">
        <f t="shared" si="0"/>
        <v>N/A</v>
      </c>
      <c r="J22" s="148" t="str" cm="1">
        <f t="array" ref="J22">IF(AB22="N/A","",_xlfn.IFS(X22="m2",((Z22/(Y22/AK22))*H22),X22="m3",((Z22/(Y22/AK22))*H22),X22="kg",(((Z22*AL22)/(1/AK22))*H22),X22="ton",(((Z22/1000*AL22)/(1/AK22))*H22),X22="N/A",""))</f>
        <v/>
      </c>
      <c r="K22" s="52" t="str">
        <f t="shared" si="1"/>
        <v>N/A</v>
      </c>
      <c r="L22" s="155" t="str" cm="1">
        <f t="array" ref="L22">(_xlfn.IFS(X22="m2",((AA22/(Y22/AK22))*H22),X22="m3",((AA22/(Y22/AK22))*H22),X22="kg",(((AA22*AL22)/(1/AK22))*H22),X22="ton",(((AA22/1000*AL22)/(1/AK22))*H22),X22="N/A",""))</f>
        <v/>
      </c>
      <c r="M22" s="52" t="str">
        <f t="shared" si="2"/>
        <v>N/A</v>
      </c>
      <c r="N22" s="148" t="str" cm="1">
        <f t="array" ref="N22">IF(AB22="N/A","",_xlfn.IFS(X22="m2",((AB22/(Y22/AK22))*H22),X22="m3",((AB22/(Y22/AK22))*H22),X22="kg",(((AB22*AL22)/(1/AK22))*H22),X22="ton",(((AB22/1000*AL22)/(1/AK22))*H22),X22="N/A",""))</f>
        <v/>
      </c>
      <c r="O22" s="52" t="str">
        <f t="shared" si="3"/>
        <v>N/A</v>
      </c>
      <c r="P22" s="148" t="str" cm="1">
        <f t="array" ref="P22">IF(AD22="N/A","",_xlfn.IFS(X22="m2",((AD22/(Y22/AK22))*H22),X22="m3",((AD22/(Y22/AK22))*H22),X22="kg",(((AD22*AL22)/(1/AK22))*H22),X22="ton",(((AD22/1000*AL22)/(1/AK22))*H22),X22="N/A",""))</f>
        <v/>
      </c>
      <c r="Q22" s="47" t="s">
        <v>191</v>
      </c>
      <c r="R22" s="47"/>
      <c r="S22" s="47" t="s">
        <v>191</v>
      </c>
      <c r="T22" s="47" t="s">
        <v>191</v>
      </c>
      <c r="U22" s="47" t="s">
        <v>191</v>
      </c>
      <c r="W22" s="47" t="s">
        <v>191</v>
      </c>
      <c r="X22" s="47" t="s">
        <v>191</v>
      </c>
      <c r="Y22" s="47" t="s">
        <v>191</v>
      </c>
      <c r="Z22" s="52" t="str">
        <f t="shared" si="4"/>
        <v>N/A</v>
      </c>
      <c r="AA22" s="52" t="s">
        <v>191</v>
      </c>
      <c r="AB22" s="52" t="s">
        <v>191</v>
      </c>
      <c r="AC22" s="52" t="s">
        <v>191</v>
      </c>
      <c r="AD22" s="52" t="s">
        <v>191</v>
      </c>
      <c r="AF22" s="103" t="str">
        <f t="shared" si="5"/>
        <v>B s1
d0</v>
      </c>
      <c r="AG22" s="75" t="s">
        <v>178</v>
      </c>
      <c r="AH22" s="83" t="s">
        <v>176</v>
      </c>
      <c r="AI22" s="96"/>
      <c r="AK22" s="47" t="s">
        <v>191</v>
      </c>
      <c r="AL22" s="47">
        <v>350</v>
      </c>
      <c r="AM22" s="47" t="s">
        <v>191</v>
      </c>
      <c r="AO22" s="105" t="s">
        <v>17</v>
      </c>
      <c r="AP22" s="73"/>
      <c r="AQ22" s="26"/>
    </row>
    <row r="23" spans="1:43" ht="25.2" customHeight="1" x14ac:dyDescent="0.15">
      <c r="A23" s="25" t="s">
        <v>49</v>
      </c>
      <c r="B23" s="47" t="s">
        <v>208</v>
      </c>
      <c r="C23" s="47"/>
      <c r="D23" s="47" t="s">
        <v>47</v>
      </c>
      <c r="E23" s="47" t="s">
        <v>143</v>
      </c>
      <c r="F23" s="47" t="s">
        <v>40</v>
      </c>
      <c r="H23" s="111">
        <v>1</v>
      </c>
      <c r="I23" s="52" t="str">
        <f t="shared" si="0"/>
        <v>N/A</v>
      </c>
      <c r="J23" s="148" t="str" cm="1">
        <f t="array" ref="J23">IF(AB23="N/A","",_xlfn.IFS(X23="m2",((Z23/(Y23/AK23))*H23),X23="m3",((Z23/(Y23/AK23))*H23),X23="kg",(((Z23*AL23)/(1/AK23))*H23),X23="ton",(((Z23/1000*AL23)/(1/AK23))*H23),X23="N/A",""))</f>
        <v/>
      </c>
      <c r="K23" s="52" t="str">
        <f t="shared" si="1"/>
        <v>N/A</v>
      </c>
      <c r="L23" s="155" t="str" cm="1">
        <f t="array" ref="L23">(_xlfn.IFS(X23="m2",((AA23/(Y23/AK23))*H23),X23="m3",((AA23/(Y23/AK23))*H23),X23="kg",(((AA23*AL23)/(1/AK23))*H23),X23="ton",(((AA23/1000*AL23)/(1/AK23))*H23),X23="N/A",""))</f>
        <v/>
      </c>
      <c r="M23" s="52" t="str">
        <f t="shared" si="2"/>
        <v>N/A</v>
      </c>
      <c r="N23" s="148" t="str" cm="1">
        <f t="array" ref="N23">IF(AB23="N/A","",_xlfn.IFS(X23="m2",((AB23/(Y23/AK23))*H23),X23="m3",((AB23/(Y23/AK23))*H23),X23="kg",(((AB23*AL23)/(1/AK23))*H23),X23="ton",(((AB23/1000*AL23)/(1/AK23))*H23),X23="N/A",""))</f>
        <v/>
      </c>
      <c r="O23" s="52" t="str">
        <f t="shared" si="3"/>
        <v>N/A</v>
      </c>
      <c r="P23" s="148" t="str" cm="1">
        <f t="array" ref="P23">IF(AD23="N/A","",_xlfn.IFS(X23="m2",((AD23/(Y23/AK23))*H23),X23="m3",((AD23/(Y23/AK23))*H23),X23="kg",(((AD23*AL23)/(1/AK23))*H23),X23="ton",(((AD23/1000*AL23)/(1/AK23))*H23),X23="N/A",""))</f>
        <v/>
      </c>
      <c r="Q23" s="47" t="s">
        <v>191</v>
      </c>
      <c r="R23" s="47"/>
      <c r="S23" s="47" t="s">
        <v>191</v>
      </c>
      <c r="T23" s="47" t="s">
        <v>191</v>
      </c>
      <c r="U23" s="47" t="s">
        <v>191</v>
      </c>
      <c r="W23" s="47" t="s">
        <v>191</v>
      </c>
      <c r="X23" s="47" t="s">
        <v>191</v>
      </c>
      <c r="Y23" s="47" t="s">
        <v>191</v>
      </c>
      <c r="Z23" s="52" t="str">
        <f t="shared" si="4"/>
        <v>N/A</v>
      </c>
      <c r="AA23" s="52" t="s">
        <v>191</v>
      </c>
      <c r="AB23" s="52" t="s">
        <v>191</v>
      </c>
      <c r="AC23" s="52" t="s">
        <v>191</v>
      </c>
      <c r="AD23" s="52" t="s">
        <v>191</v>
      </c>
      <c r="AF23" s="103" t="str">
        <f t="shared" si="5"/>
        <v>B s1
d0</v>
      </c>
      <c r="AG23" s="75" t="s">
        <v>178</v>
      </c>
      <c r="AH23" s="83" t="s">
        <v>176</v>
      </c>
      <c r="AI23" s="96"/>
      <c r="AK23" s="47" t="s">
        <v>191</v>
      </c>
      <c r="AL23" s="47">
        <v>650</v>
      </c>
      <c r="AM23" s="47" t="s">
        <v>191</v>
      </c>
      <c r="AO23" s="105" t="s">
        <v>17</v>
      </c>
      <c r="AP23" s="81"/>
      <c r="AQ23" s="26"/>
    </row>
    <row r="24" spans="1:43" ht="25.2" customHeight="1" x14ac:dyDescent="0.15">
      <c r="A24" s="25" t="s">
        <v>131</v>
      </c>
      <c r="B24" s="47" t="s">
        <v>208</v>
      </c>
      <c r="C24" s="47"/>
      <c r="D24" s="47" t="s">
        <v>79</v>
      </c>
      <c r="E24" s="82" t="s">
        <v>142</v>
      </c>
      <c r="F24" s="47" t="s">
        <v>132</v>
      </c>
      <c r="H24" s="111">
        <v>1</v>
      </c>
      <c r="I24" s="52">
        <f t="shared" si="0"/>
        <v>3.9802370000000007</v>
      </c>
      <c r="J24" s="148" cm="1">
        <f t="array" ref="J24">IF(AB24="N/A","",_xlfn.IFS(X24="m2",((Z24/(Y24/AK24))*H24),X24="m3",((Z24/(Y24/AK24))*H24),X24="kg",(((Z24*AL24)/(1/AK24))*H24),X24="ton",(((Z24/1000*AL24)/(1/AK24))*H24),X24="N/A",""))</f>
        <v>3.9802370000000007</v>
      </c>
      <c r="K24" s="52">
        <f t="shared" si="1"/>
        <v>-1.26</v>
      </c>
      <c r="L24" s="155" cm="1">
        <f t="array" ref="L24">(_xlfn.IFS(X24="m2",((AA24/(Y24/AK24))*H24),X24="m3",((AA24/(Y24/AK24))*H24),X24="kg",(((AA24*AL24)/(1/AK24))*H24),X24="ton",(((AA24/1000*AL24)/(1/AK24))*H24),X24="N/A",""))</f>
        <v>-1.26</v>
      </c>
      <c r="M24" s="52">
        <f t="shared" si="2"/>
        <v>5.2402370000000005</v>
      </c>
      <c r="N24" s="148" cm="1">
        <f t="array" ref="N24">IF(AB24="N/A","",_xlfn.IFS(X24="m2",((AB24/(Y24/AK24))*H24),X24="m3",((AB24/(Y24/AK24))*H24),X24="kg",(((AB24*AL24)/(1/AK24))*H24),X24="ton",(((AB24/1000*AL24)/(1/AK24))*H24),X24="N/A",""))</f>
        <v>5.2402370000000005</v>
      </c>
      <c r="O24" s="52" t="str">
        <f t="shared" si="3"/>
        <v>N/A</v>
      </c>
      <c r="P24" s="148" t="str" cm="1">
        <f t="array" ref="P24">IF(AD24="N/A","",_xlfn.IFS(X24="m2",((AD24/(Y24/AK24))*H24),X24="m3",((AD24/(Y24/AK24))*H24),X24="kg",(((AD24*AL24)/(1/AK24))*H24),X24="ton",(((AD24/1000*AL24)/(1/AK24))*H24),X24="N/A",""))</f>
        <v/>
      </c>
      <c r="Q24" s="82" t="s">
        <v>5</v>
      </c>
      <c r="R24" s="164"/>
      <c r="S24" s="47">
        <v>2026</v>
      </c>
      <c r="T24" s="47" t="s">
        <v>14</v>
      </c>
      <c r="U24" s="47">
        <v>60</v>
      </c>
      <c r="W24" s="47" t="s">
        <v>588</v>
      </c>
      <c r="X24" s="47" t="s">
        <v>15</v>
      </c>
      <c r="Y24" s="47">
        <v>1.2E-2</v>
      </c>
      <c r="Z24" s="52">
        <f t="shared" si="4"/>
        <v>3.9802370000000007</v>
      </c>
      <c r="AA24" s="52">
        <v>-1.26</v>
      </c>
      <c r="AB24" s="52">
        <f>5.24+0.000237</f>
        <v>5.2402370000000005</v>
      </c>
      <c r="AC24" s="52">
        <v>-0.36499999999999999</v>
      </c>
      <c r="AD24" s="52" t="s">
        <v>191</v>
      </c>
      <c r="AF24" s="103" t="str">
        <f t="shared" si="5"/>
        <v xml:space="preserve">F </v>
      </c>
      <c r="AG24" s="75" t="s">
        <v>82</v>
      </c>
      <c r="AH24" s="76"/>
      <c r="AI24" s="96"/>
      <c r="AK24" s="47">
        <v>1.2E-2</v>
      </c>
      <c r="AL24" s="47" t="s">
        <v>191</v>
      </c>
      <c r="AM24" s="47" t="s">
        <v>191</v>
      </c>
      <c r="AO24" s="80" t="s">
        <v>17</v>
      </c>
      <c r="AP24" s="73"/>
      <c r="AQ24" s="26"/>
    </row>
    <row r="25" spans="1:43" ht="25.2" customHeight="1" x14ac:dyDescent="0.15">
      <c r="A25" s="25" t="s">
        <v>85</v>
      </c>
      <c r="B25" s="69" t="s">
        <v>208</v>
      </c>
      <c r="C25" s="73"/>
      <c r="D25" s="47" t="s">
        <v>79</v>
      </c>
      <c r="E25" s="82" t="s">
        <v>153</v>
      </c>
      <c r="F25" s="47" t="s">
        <v>132</v>
      </c>
      <c r="H25" s="111">
        <v>1</v>
      </c>
      <c r="I25" s="52">
        <f t="shared" si="0"/>
        <v>13.091899999999999</v>
      </c>
      <c r="J25" s="148" cm="1">
        <f t="array" ref="J25">IF(AB25="N/A","",_xlfn.IFS(X25="m2",((Z25/(Y25/AK25))*H25),X25="m3",((Z25/(Y25/AK25))*H25),X25="kg",(((Z25*AL25)/(1/AK25))*H25),X25="ton",(((Z25/1000*AL25)/(1/AK25))*H25),X25="N/A",""))</f>
        <v>13.091899999999999</v>
      </c>
      <c r="K25" s="52">
        <f t="shared" si="1"/>
        <v>-2.11</v>
      </c>
      <c r="L25" s="155" cm="1">
        <f t="array" ref="L25">(_xlfn.IFS(X25="m2",((AA25/(Y25/AK25))*H25),X25="m3",((AA25/(Y25/AK25))*H25),X25="kg",(((AA25*AL25)/(1/AK25))*H25),X25="ton",(((AA25/1000*AL25)/(1/AK25))*H25),X25="N/A",""))</f>
        <v>-2.11</v>
      </c>
      <c r="M25" s="52">
        <f t="shared" si="2"/>
        <v>15.201899999999998</v>
      </c>
      <c r="N25" s="148" cm="1">
        <f t="array" ref="N25">IF(AB25="N/A","",_xlfn.IFS(X25="m2",((AB25/(Y25/AK25))*H25),X25="m3",((AB25/(Y25/AK25))*H25),X25="kg",(((AB25*AL25)/(1/AK25))*H25),X25="ton",(((AB25/1000*AL25)/(1/AK25))*H25),X25="N/A",""))</f>
        <v>15.201899999999998</v>
      </c>
      <c r="O25" s="52" t="str">
        <f t="shared" si="3"/>
        <v>N/A</v>
      </c>
      <c r="P25" s="148" t="str" cm="1">
        <f t="array" ref="P25">IF(AD25="N/A","",_xlfn.IFS(X25="m2",((AD25/(Y25/AK25))*H25),X25="m3",((AD25/(Y25/AK25))*H25),X25="kg",(((AD25*AL25)/(1/AK25))*H25),X25="ton",(((AD25/1000*AL25)/(1/AK25))*H25),X25="N/A",""))</f>
        <v/>
      </c>
      <c r="Q25" s="82" t="s">
        <v>5</v>
      </c>
      <c r="R25" s="164"/>
      <c r="S25" s="47">
        <v>2026</v>
      </c>
      <c r="T25" s="47" t="s">
        <v>14</v>
      </c>
      <c r="U25" s="47">
        <v>60</v>
      </c>
      <c r="W25" s="47" t="s">
        <v>559</v>
      </c>
      <c r="X25" s="47" t="s">
        <v>15</v>
      </c>
      <c r="Y25" s="47">
        <v>3.5999999999999997E-2</v>
      </c>
      <c r="Z25" s="52">
        <f t="shared" si="4"/>
        <v>13.091899999999999</v>
      </c>
      <c r="AA25" s="52">
        <v>-2.11</v>
      </c>
      <c r="AB25" s="52">
        <f>15.2+0.0019</f>
        <v>15.201899999999998</v>
      </c>
      <c r="AC25" s="52">
        <v>-1.06</v>
      </c>
      <c r="AD25" s="52" t="s">
        <v>191</v>
      </c>
      <c r="AF25" s="103" t="str">
        <f t="shared" si="5"/>
        <v xml:space="preserve">E </v>
      </c>
      <c r="AG25" s="75" t="s">
        <v>16</v>
      </c>
      <c r="AH25" s="76"/>
      <c r="AI25" s="96"/>
      <c r="AK25" s="47">
        <v>3.5999999999999997E-2</v>
      </c>
      <c r="AL25" s="47">
        <f>(240+280)/2</f>
        <v>260</v>
      </c>
      <c r="AM25" s="47" t="s">
        <v>191</v>
      </c>
      <c r="AO25" s="80" t="s">
        <v>17</v>
      </c>
      <c r="AP25" s="73"/>
      <c r="AQ25" s="26"/>
    </row>
    <row r="26" spans="1:43" ht="25.2" customHeight="1" x14ac:dyDescent="0.15">
      <c r="A26" s="25" t="s">
        <v>84</v>
      </c>
      <c r="B26" s="69" t="s">
        <v>208</v>
      </c>
      <c r="C26" s="73"/>
      <c r="D26" s="47" t="s">
        <v>79</v>
      </c>
      <c r="E26" s="82" t="s">
        <v>153</v>
      </c>
      <c r="F26" s="47" t="s">
        <v>132</v>
      </c>
      <c r="H26" s="111">
        <v>1</v>
      </c>
      <c r="I26" s="52">
        <f t="shared" si="0"/>
        <v>13.091899999999999</v>
      </c>
      <c r="J26" s="148" cm="1">
        <f t="array" ref="J26">IF(AB26="N/A","",_xlfn.IFS(X26="m2",((Z26/(Y26/AK26))*H26),X26="m3",((Z26/(Y26/AK26))*H26),X26="kg",(((Z26*AL26)/(1/AK26))*H26),X26="ton",(((Z26/1000*AL26)/(1/AK26))*H26),X26="N/A",""))</f>
        <v>13.091899999999999</v>
      </c>
      <c r="K26" s="52">
        <f t="shared" si="1"/>
        <v>-2.11</v>
      </c>
      <c r="L26" s="155" cm="1">
        <f t="array" ref="L26">(_xlfn.IFS(X26="m2",((AA26/(Y26/AK26))*H26),X26="m3",((AA26/(Y26/AK26))*H26),X26="kg",(((AA26*AL26)/(1/AK26))*H26),X26="ton",(((AA26/1000*AL26)/(1/AK26))*H26),X26="N/A",""))</f>
        <v>-2.11</v>
      </c>
      <c r="M26" s="52">
        <f t="shared" si="2"/>
        <v>15.201899999999998</v>
      </c>
      <c r="N26" s="148" cm="1">
        <f t="array" ref="N26">IF(AB26="N/A","",_xlfn.IFS(X26="m2",((AB26/(Y26/AK26))*H26),X26="m3",((AB26/(Y26/AK26))*H26),X26="kg",(((AB26*AL26)/(1/AK26))*H26),X26="ton",(((AB26/1000*AL26)/(1/AK26))*H26),X26="N/A",""))</f>
        <v>15.201899999999998</v>
      </c>
      <c r="O26" s="52" t="str">
        <f t="shared" si="3"/>
        <v>N/A</v>
      </c>
      <c r="P26" s="148" t="str" cm="1">
        <f t="array" ref="P26">IF(AD26="N/A","",_xlfn.IFS(X26="m2",((AD26/(Y26/AK26))*H26),X26="m3",((AD26/(Y26/AK26))*H26),X26="kg",(((AD26*AL26)/(1/AK26))*H26),X26="ton",(((AD26/1000*AL26)/(1/AK26))*H26),X26="N/A",""))</f>
        <v/>
      </c>
      <c r="Q26" s="82" t="s">
        <v>5</v>
      </c>
      <c r="R26" s="164"/>
      <c r="S26" s="47">
        <v>2026</v>
      </c>
      <c r="T26" s="47" t="s">
        <v>14</v>
      </c>
      <c r="U26" s="47">
        <v>60</v>
      </c>
      <c r="W26" s="47" t="s">
        <v>559</v>
      </c>
      <c r="X26" s="47" t="s">
        <v>15</v>
      </c>
      <c r="Y26" s="47">
        <v>3.5999999999999997E-2</v>
      </c>
      <c r="Z26" s="52">
        <f t="shared" si="4"/>
        <v>13.091899999999999</v>
      </c>
      <c r="AA26" s="52">
        <v>-2.11</v>
      </c>
      <c r="AB26" s="52">
        <f>15.2+0.0019</f>
        <v>15.201899999999998</v>
      </c>
      <c r="AC26" s="52">
        <v>-1.06</v>
      </c>
      <c r="AD26" s="52" t="s">
        <v>191</v>
      </c>
      <c r="AF26" s="103" t="str">
        <f t="shared" si="5"/>
        <v xml:space="preserve">E </v>
      </c>
      <c r="AG26" s="75" t="s">
        <v>16</v>
      </c>
      <c r="AH26" s="76"/>
      <c r="AI26" s="96"/>
      <c r="AK26" s="47">
        <v>3.5999999999999997E-2</v>
      </c>
      <c r="AL26" s="47">
        <f>(240+280)/2</f>
        <v>260</v>
      </c>
      <c r="AM26" s="47" t="s">
        <v>191</v>
      </c>
      <c r="AO26" s="80" t="s">
        <v>17</v>
      </c>
      <c r="AP26" s="73"/>
      <c r="AQ26" s="26"/>
    </row>
    <row r="27" spans="1:43" ht="25.2" customHeight="1" x14ac:dyDescent="0.15">
      <c r="A27" s="25" t="s">
        <v>86</v>
      </c>
      <c r="B27" s="69" t="s">
        <v>208</v>
      </c>
      <c r="C27" s="73"/>
      <c r="D27" s="47" t="s">
        <v>79</v>
      </c>
      <c r="E27" s="82" t="s">
        <v>153</v>
      </c>
      <c r="F27" s="47" t="s">
        <v>132</v>
      </c>
      <c r="H27" s="111">
        <v>1</v>
      </c>
      <c r="I27" s="52">
        <f t="shared" si="0"/>
        <v>4.0212500000000011</v>
      </c>
      <c r="J27" s="148" cm="1">
        <f t="array" ref="J27">IF(AB27="N/A","",_xlfn.IFS(X27="m2",((Z27/(Y27/AK27))*H27),X27="m3",((Z27/(Y27/AK27))*H27),X27="kg",(((Z27*AL27)/(1/AK27))*H27),X27="ton",(((Z27/1000*AL27)/(1/AK27))*H27),X27="N/A",""))</f>
        <v>4.0212500000000011</v>
      </c>
      <c r="K27" s="52">
        <f t="shared" si="1"/>
        <v>-5.19</v>
      </c>
      <c r="L27" s="155" cm="1">
        <f t="array" ref="L27">(_xlfn.IFS(X27="m2",((AA27/(Y27/AK27))*H27),X27="m3",((AA27/(Y27/AK27))*H27),X27="kg",(((AA27*AL27)/(1/AK27))*H27),X27="ton",(((AA27/1000*AL27)/(1/AK27))*H27),X27="N/A",""))</f>
        <v>-5.19</v>
      </c>
      <c r="M27" s="52">
        <f t="shared" si="2"/>
        <v>9.2112500000000015</v>
      </c>
      <c r="N27" s="148" cm="1">
        <f t="array" ref="N27">IF(AB27="N/A","",_xlfn.IFS(X27="m2",((AB27/(Y27/AK27))*H27),X27="m3",((AB27/(Y27/AK27))*H27),X27="kg",(((AB27*AL27)/(1/AK27))*H27),X27="ton",(((AB27/1000*AL27)/(1/AK27))*H27),X27="N/A",""))</f>
        <v>9.2112500000000015</v>
      </c>
      <c r="O27" s="52" t="str">
        <f t="shared" si="3"/>
        <v>N/A</v>
      </c>
      <c r="P27" s="148" t="str" cm="1">
        <f t="array" ref="P27">IF(AD27="N/A","",_xlfn.IFS(X27="m2",((AD27/(Y27/AK27))*H27),X27="m3",((AD27/(Y27/AK27))*H27),X27="kg",(((AD27*AL27)/(1/AK27))*H27),X27="ton",(((AD27/1000*AL27)/(1/AK27))*H27),X27="N/A",""))</f>
        <v/>
      </c>
      <c r="Q27" s="82" t="s">
        <v>5</v>
      </c>
      <c r="R27" s="164"/>
      <c r="S27" s="47">
        <v>2022</v>
      </c>
      <c r="T27" s="47" t="s">
        <v>14</v>
      </c>
      <c r="U27" s="47">
        <v>60</v>
      </c>
      <c r="W27" s="47" t="s">
        <v>589</v>
      </c>
      <c r="X27" s="47" t="s">
        <v>15</v>
      </c>
      <c r="Y27" s="47">
        <v>1.7999999999999999E-2</v>
      </c>
      <c r="Z27" s="52">
        <f t="shared" si="4"/>
        <v>4.0212500000000011</v>
      </c>
      <c r="AA27" s="52">
        <v>-5.19</v>
      </c>
      <c r="AB27" s="52">
        <f>9.21+0.00125</f>
        <v>9.2112500000000015</v>
      </c>
      <c r="AC27" s="52">
        <v>-0.46100000000000002</v>
      </c>
      <c r="AD27" s="52" t="s">
        <v>191</v>
      </c>
      <c r="AF27" s="103" t="str">
        <f t="shared" si="5"/>
        <v xml:space="preserve">F </v>
      </c>
      <c r="AG27" s="75" t="s">
        <v>82</v>
      </c>
      <c r="AH27" s="76"/>
      <c r="AI27" s="96"/>
      <c r="AK27" s="47">
        <v>1.7999999999999999E-2</v>
      </c>
      <c r="AL27" s="47">
        <v>260</v>
      </c>
      <c r="AM27" s="47" t="s">
        <v>191</v>
      </c>
      <c r="AO27" s="80" t="s">
        <v>17</v>
      </c>
      <c r="AP27" s="73"/>
      <c r="AQ27" s="26"/>
    </row>
    <row r="28" spans="1:43" ht="25.2" customHeight="1" x14ac:dyDescent="0.15">
      <c r="A28" s="25" t="s">
        <v>81</v>
      </c>
      <c r="B28" s="69" t="s">
        <v>208</v>
      </c>
      <c r="C28" s="73"/>
      <c r="D28" s="47" t="s">
        <v>79</v>
      </c>
      <c r="E28" s="82" t="s">
        <v>153</v>
      </c>
      <c r="F28" s="47" t="s">
        <v>132</v>
      </c>
      <c r="H28" s="111">
        <v>1</v>
      </c>
      <c r="I28" s="52">
        <f t="shared" si="0"/>
        <v>1.6107029999999996</v>
      </c>
      <c r="J28" s="148" cm="1">
        <f t="array" ref="J28">IF(AB28="N/A","",_xlfn.IFS(X28="m2",((Z28/(Y28/AK28))*H28),X28="m3",((Z28/(Y28/AK28))*H28),X28="kg",(((Z28*AL28)/(1/AK28))*H28),X28="ton",(((Z28/1000*AL28)/(1/AK28))*H28),X28="N/A",""))</f>
        <v>1.6107029999999996</v>
      </c>
      <c r="K28" s="52">
        <f t="shared" si="1"/>
        <v>-3.6</v>
      </c>
      <c r="L28" s="155" cm="1">
        <f t="array" ref="L28">(_xlfn.IFS(X28="m2",((AA28/(Y28/AK28))*H28),X28="m3",((AA28/(Y28/AK28))*H28),X28="kg",(((AA28*AL28)/(1/AK28))*H28),X28="ton",(((AA28/1000*AL28)/(1/AK28))*H28),X28="N/A",""))</f>
        <v>-3.6</v>
      </c>
      <c r="M28" s="52">
        <f t="shared" si="2"/>
        <v>5.2107029999999996</v>
      </c>
      <c r="N28" s="148" cm="1">
        <f t="array" ref="N28">IF(AB28="N/A","",_xlfn.IFS(X28="m2",((AB28/(Y28/AK28))*H28),X28="m3",((AB28/(Y28/AK28))*H28),X28="kg",(((AB28*AL28)/(1/AK28))*H28),X28="ton",(((AB28/1000*AL28)/(1/AK28))*H28),X28="N/A",""))</f>
        <v>5.2107029999999996</v>
      </c>
      <c r="O28" s="52" t="str">
        <f t="shared" si="3"/>
        <v>N/A</v>
      </c>
      <c r="P28" s="148" t="str" cm="1">
        <f t="array" ref="P28">IF(AD28="N/A","",_xlfn.IFS(X28="m2",((AD28/(Y28/AK28))*H28),X28="m3",((AD28/(Y28/AK28))*H28),X28="kg",(((AD28*AL28)/(1/AK28))*H28),X28="ton",(((AD28/1000*AL28)/(1/AK28))*H28),X28="N/A",""))</f>
        <v/>
      </c>
      <c r="Q28" s="82" t="s">
        <v>5</v>
      </c>
      <c r="R28" s="164"/>
      <c r="S28" s="47">
        <v>2022</v>
      </c>
      <c r="T28" s="47" t="s">
        <v>14</v>
      </c>
      <c r="U28" s="47">
        <v>60</v>
      </c>
      <c r="W28" s="47" t="s">
        <v>590</v>
      </c>
      <c r="X28" s="47" t="s">
        <v>15</v>
      </c>
      <c r="Y28" s="47">
        <v>1.2E-2</v>
      </c>
      <c r="Z28" s="52">
        <f t="shared" si="4"/>
        <v>1.6107029999999996</v>
      </c>
      <c r="AA28" s="52">
        <v>-3.6</v>
      </c>
      <c r="AB28" s="52">
        <f>5.21+0.000703</f>
        <v>5.2107029999999996</v>
      </c>
      <c r="AC28" s="52">
        <v>-0.25600000000000001</v>
      </c>
      <c r="AD28" s="52" t="s">
        <v>191</v>
      </c>
      <c r="AF28" s="103" t="str">
        <f t="shared" si="5"/>
        <v xml:space="preserve">F </v>
      </c>
      <c r="AG28" s="75" t="s">
        <v>82</v>
      </c>
      <c r="AH28" s="76"/>
      <c r="AI28" s="96"/>
      <c r="AK28" s="47">
        <v>1.2E-2</v>
      </c>
      <c r="AL28" s="47">
        <v>230</v>
      </c>
      <c r="AM28" s="47" t="s">
        <v>191</v>
      </c>
      <c r="AO28" s="80" t="s">
        <v>17</v>
      </c>
      <c r="AP28" s="73"/>
      <c r="AQ28" s="26"/>
    </row>
    <row r="29" spans="1:43" ht="25.2" customHeight="1" x14ac:dyDescent="0.15">
      <c r="A29" s="25" t="s">
        <v>83</v>
      </c>
      <c r="B29" s="69" t="s">
        <v>208</v>
      </c>
      <c r="C29" s="73"/>
      <c r="D29" s="92" t="s">
        <v>79</v>
      </c>
      <c r="E29" s="82" t="s">
        <v>153</v>
      </c>
      <c r="F29" s="92" t="s">
        <v>132</v>
      </c>
      <c r="G29" s="28"/>
      <c r="H29" s="111">
        <v>1</v>
      </c>
      <c r="I29" s="52">
        <f t="shared" si="0"/>
        <v>1.6107029999999996</v>
      </c>
      <c r="J29" s="148" cm="1">
        <f t="array" ref="J29">IF(AB29="N/A","",_xlfn.IFS(X29="m2",((Z29/(Y29/AK29))*H29),X29="m3",((Z29/(Y29/AK29))*H29),X29="kg",(((Z29*AL29)/(1/AK29))*H29),X29="ton",(((Z29/1000*AL29)/(1/AK29))*H29),X29="N/A",""))</f>
        <v>1.6107029999999996</v>
      </c>
      <c r="K29" s="52">
        <f t="shared" si="1"/>
        <v>-3.6</v>
      </c>
      <c r="L29" s="155" cm="1">
        <f t="array" ref="L29">(_xlfn.IFS(X29="m2",((AA29/(Y29/AK29))*H29),X29="m3",((AA29/(Y29/AK29))*H29),X29="kg",(((AA29*AL29)/(1/AK29))*H29),X29="ton",(((AA29/1000*AL29)/(1/AK29))*H29),X29="N/A",""))</f>
        <v>-3.6</v>
      </c>
      <c r="M29" s="52">
        <f t="shared" si="2"/>
        <v>5.2107029999999996</v>
      </c>
      <c r="N29" s="148" cm="1">
        <f t="array" ref="N29">IF(AB29="N/A","",_xlfn.IFS(X29="m2",((AB29/(Y29/AK29))*H29),X29="m3",((AB29/(Y29/AK29))*H29),X29="kg",(((AB29*AL29)/(1/AK29))*H29),X29="ton",(((AB29/1000*AL29)/(1/AK29))*H29),X29="N/A",""))</f>
        <v>5.2107029999999996</v>
      </c>
      <c r="O29" s="52" t="str">
        <f t="shared" si="3"/>
        <v>N/A</v>
      </c>
      <c r="P29" s="148" t="str" cm="1">
        <f t="array" ref="P29">IF(AD29="N/A","",_xlfn.IFS(X29="m2",((AD29/(Y29/AK29))*H29),X29="m3",((AD29/(Y29/AK29))*H29),X29="kg",(((AD29*AL29)/(1/AK29))*H29),X29="ton",(((AD29/1000*AL29)/(1/AK29))*H29),X29="N/A",""))</f>
        <v/>
      </c>
      <c r="Q29" s="82" t="s">
        <v>5</v>
      </c>
      <c r="R29" s="164"/>
      <c r="S29" s="47">
        <v>2022</v>
      </c>
      <c r="T29" s="47" t="s">
        <v>14</v>
      </c>
      <c r="U29" s="47">
        <v>60</v>
      </c>
      <c r="W29" s="47" t="s">
        <v>590</v>
      </c>
      <c r="X29" s="47" t="s">
        <v>15</v>
      </c>
      <c r="Y29" s="47">
        <v>1.2E-2</v>
      </c>
      <c r="Z29" s="52">
        <f t="shared" si="4"/>
        <v>1.6107029999999996</v>
      </c>
      <c r="AA29" s="52">
        <v>-3.6</v>
      </c>
      <c r="AB29" s="52">
        <f>5.21+0.000703</f>
        <v>5.2107029999999996</v>
      </c>
      <c r="AC29" s="52">
        <v>-0.25600000000000001</v>
      </c>
      <c r="AD29" s="52" t="s">
        <v>191</v>
      </c>
      <c r="AF29" s="103" t="str">
        <f t="shared" si="5"/>
        <v xml:space="preserve">F </v>
      </c>
      <c r="AG29" s="75" t="s">
        <v>82</v>
      </c>
      <c r="AH29" s="76"/>
      <c r="AI29" s="96"/>
      <c r="AK29" s="47">
        <v>1.2E-2</v>
      </c>
      <c r="AL29" s="47">
        <v>230</v>
      </c>
      <c r="AM29" s="47" t="s">
        <v>191</v>
      </c>
      <c r="AO29" s="80" t="s">
        <v>17</v>
      </c>
      <c r="AP29" s="73"/>
      <c r="AQ29" s="26"/>
    </row>
    <row r="30" spans="1:43" ht="25.2" customHeight="1" x14ac:dyDescent="0.15">
      <c r="A30" s="25" t="s">
        <v>849</v>
      </c>
      <c r="B30" s="69" t="s">
        <v>208</v>
      </c>
      <c r="C30" s="73"/>
      <c r="D30" s="47" t="s">
        <v>89</v>
      </c>
      <c r="E30" s="47"/>
      <c r="F30" s="47" t="s">
        <v>132</v>
      </c>
      <c r="G30" s="40"/>
      <c r="H30" s="111">
        <v>1</v>
      </c>
      <c r="I30" s="52">
        <f t="shared" si="0"/>
        <v>21.688800000000001</v>
      </c>
      <c r="J30" s="148" cm="1">
        <f t="array" ref="J30">IF(AB30="N/A","",_xlfn.IFS(X30="m2",((Z30/(Y30/AK30))*H30),X30="m3",((Z30/(Y30/AK30))*H30),X30="kg",(((Z30*AL30)/(1/AK30))*H30),X30="ton",(((Z30/1000*AL30)/(1/AK30))*H30),X30="N/A",""))</f>
        <v>21.688800000000001</v>
      </c>
      <c r="K30" s="52">
        <f t="shared" si="1"/>
        <v>-97.951199999999986</v>
      </c>
      <c r="L30" s="155" cm="1">
        <f t="array" ref="L30">(_xlfn.IFS(X30="m2",((AA30/(Y30/AK30))*H30),X30="m3",((AA30/(Y30/AK30))*H30),X30="kg",(((AA30*AL30)/(1/AK30))*H30),X30="ton",(((AA30/1000*AL30)/(1/AK30))*H30),X30="N/A",""))</f>
        <v>-97.951199999999986</v>
      </c>
      <c r="M30" s="52">
        <f t="shared" si="2"/>
        <v>119.63999999999999</v>
      </c>
      <c r="N30" s="148" cm="1">
        <f t="array" ref="N30">IF(AB30="N/A","",_xlfn.IFS(X30="m2",((AB30/(Y30/AK30))*H30),X30="m3",((AB30/(Y30/AK30))*H30),X30="kg",(((AB30*AL30)/(1/AK30))*H30),X30="ton",(((AB30/1000*AL30)/(1/AK30))*H30),X30="N/A",""))</f>
        <v>119.63999999999999</v>
      </c>
      <c r="O30" s="52" t="str">
        <f t="shared" si="3"/>
        <v>N/A</v>
      </c>
      <c r="P30" s="148" t="str" cm="1">
        <f t="array" ref="P30">IF(AD30="N/A","",_xlfn.IFS(X30="m2",((AD30/(Y30/AK30))*H30),X30="m3",((AD30/(Y30/AK30))*H30),X30="kg",(((AD30*AL30)/(1/AK30))*H30),X30="ton",(((AD30/1000*AL30)/(1/AK30))*H30),X30="N/A",""))</f>
        <v/>
      </c>
      <c r="Q30" s="47" t="s">
        <v>191</v>
      </c>
      <c r="R30" s="47"/>
      <c r="S30" s="47">
        <v>2021</v>
      </c>
      <c r="T30" s="47" t="s">
        <v>14</v>
      </c>
      <c r="U30" s="47" t="s">
        <v>191</v>
      </c>
      <c r="W30" s="47" t="s">
        <v>851</v>
      </c>
      <c r="X30" s="47" t="s">
        <v>20</v>
      </c>
      <c r="Y30" s="47">
        <v>1</v>
      </c>
      <c r="Z30" s="52">
        <f t="shared" si="4"/>
        <v>180.74</v>
      </c>
      <c r="AA30" s="52">
        <f>-901+8.24+76.5</f>
        <v>-816.26</v>
      </c>
      <c r="AB30" s="52">
        <f>997+0</f>
        <v>997</v>
      </c>
      <c r="AC30" s="52">
        <f>-372</f>
        <v>-372</v>
      </c>
      <c r="AD30" s="47" t="s">
        <v>191</v>
      </c>
      <c r="AE30" s="40"/>
      <c r="AF30" s="120" t="str">
        <f t="shared" si="5"/>
        <v>D d0
s2</v>
      </c>
      <c r="AG30" s="75" t="s">
        <v>8</v>
      </c>
      <c r="AH30" s="121" t="s">
        <v>850</v>
      </c>
      <c r="AI30" s="120"/>
      <c r="AJ30" s="45"/>
      <c r="AK30" s="47">
        <v>0.12</v>
      </c>
      <c r="AL30" s="47">
        <v>641.70000000000005</v>
      </c>
      <c r="AM30" s="47" t="s">
        <v>191</v>
      </c>
      <c r="AN30" s="45"/>
      <c r="AO30" s="173" t="s">
        <v>17</v>
      </c>
      <c r="AP30" s="73"/>
      <c r="AQ30" s="26"/>
    </row>
    <row r="31" spans="1:43" ht="25.2" customHeight="1" x14ac:dyDescent="0.15">
      <c r="A31" s="25" t="s">
        <v>41</v>
      </c>
      <c r="B31" s="69" t="s">
        <v>210</v>
      </c>
      <c r="C31" s="73"/>
      <c r="D31" s="47" t="s">
        <v>42</v>
      </c>
      <c r="E31" s="47" t="s">
        <v>143</v>
      </c>
      <c r="F31" s="85" t="s">
        <v>43</v>
      </c>
      <c r="G31" s="27"/>
      <c r="H31" s="111">
        <v>1</v>
      </c>
      <c r="I31" s="52" t="str">
        <f t="shared" si="0"/>
        <v>N/A</v>
      </c>
      <c r="J31" s="148" t="str" cm="1">
        <f t="array" ref="J31">IF(AB31="N/A","",_xlfn.IFS(X31="m2",((Z31/(Y31/AK31))*H31),X31="m3",((Z31/(Y31/AK31))*H31),X31="kg",(((Z31*AL31)/(1/AK31))*H31),X31="ton",(((Z31/1000*AL31)/(1/AK31))*H31),X31="N/A",""))</f>
        <v/>
      </c>
      <c r="K31" s="52" t="str">
        <f t="shared" si="1"/>
        <v>N/A</v>
      </c>
      <c r="L31" s="155" t="str" cm="1">
        <f t="array" ref="L31">(_xlfn.IFS(X31="m2",((AA31/(Y31/AK31))*H31),X31="m3",((AA31/(Y31/AK31))*H31),X31="kg",(((AA31*AL31)/(1/AK31))*H31),X31="ton",(((AA31/1000*AL31)/(1/AK31))*H31),X31="N/A",""))</f>
        <v/>
      </c>
      <c r="M31" s="52" t="str">
        <f t="shared" si="2"/>
        <v>N/A</v>
      </c>
      <c r="N31" s="148" t="str" cm="1">
        <f t="array" ref="N31">IF(AB31="N/A","",_xlfn.IFS(X31="m2",((AB31/(Y31/AK31))*H31),X31="m3",((AB31/(Y31/AK31))*H31),X31="kg",(((AB31*AL31)/(1/AK31))*H31),X31="ton",(((AB31/1000*AL31)/(1/AK31))*H31),X31="N/A",""))</f>
        <v/>
      </c>
      <c r="O31" s="52" t="str">
        <f t="shared" si="3"/>
        <v>N/A</v>
      </c>
      <c r="P31" s="148" t="str" cm="1">
        <f t="array" ref="P31">IF(AD31="N/A","",_xlfn.IFS(X31="m2",((AD31/(Y31/AK31))*H31),X31="m3",((AD31/(Y31/AK31))*H31),X31="kg",(((AD31*AL31)/(1/AK31))*H31),X31="ton",(((AD31/1000*AL31)/(1/AK31))*H31),X31="N/A",""))</f>
        <v/>
      </c>
      <c r="Q31" s="47" t="s">
        <v>191</v>
      </c>
      <c r="R31" s="47"/>
      <c r="S31" s="47" t="s">
        <v>191</v>
      </c>
      <c r="T31" s="47" t="s">
        <v>191</v>
      </c>
      <c r="U31" s="47" t="s">
        <v>191</v>
      </c>
      <c r="W31" s="47" t="s">
        <v>191</v>
      </c>
      <c r="X31" s="47" t="s">
        <v>191</v>
      </c>
      <c r="Y31" s="47" t="s">
        <v>191</v>
      </c>
      <c r="Z31" s="52" t="str">
        <f t="shared" si="4"/>
        <v>N/A</v>
      </c>
      <c r="AA31" s="52" t="s">
        <v>191</v>
      </c>
      <c r="AB31" s="52" t="s">
        <v>191</v>
      </c>
      <c r="AC31" s="52" t="s">
        <v>191</v>
      </c>
      <c r="AD31" s="52" t="s">
        <v>191</v>
      </c>
      <c r="AF31" s="103" t="str">
        <f t="shared" si="5"/>
        <v>B s1
d0</v>
      </c>
      <c r="AG31" s="90" t="s">
        <v>178</v>
      </c>
      <c r="AH31" s="83" t="s">
        <v>176</v>
      </c>
      <c r="AI31" s="117"/>
      <c r="AJ31" s="118"/>
      <c r="AK31" s="47" t="s">
        <v>191</v>
      </c>
      <c r="AL31" s="47">
        <v>750</v>
      </c>
      <c r="AM31" s="47">
        <f>1.5*10^3</f>
        <v>1500</v>
      </c>
      <c r="AN31" s="118"/>
      <c r="AO31" s="80" t="s">
        <v>17</v>
      </c>
      <c r="AP31" s="81"/>
      <c r="AQ31" s="26"/>
    </row>
    <row r="32" spans="1:43" ht="25.2" customHeight="1" x14ac:dyDescent="0.15">
      <c r="A32" s="25" t="s">
        <v>44</v>
      </c>
      <c r="B32" s="69" t="s">
        <v>210</v>
      </c>
      <c r="C32" s="73"/>
      <c r="D32" s="47" t="s">
        <v>42</v>
      </c>
      <c r="E32" s="47" t="s">
        <v>143</v>
      </c>
      <c r="F32" s="85" t="s">
        <v>43</v>
      </c>
      <c r="G32" s="27"/>
      <c r="H32" s="111">
        <v>1</v>
      </c>
      <c r="I32" s="52" t="str">
        <f t="shared" si="0"/>
        <v>N/A</v>
      </c>
      <c r="J32" s="148" t="str" cm="1">
        <f t="array" ref="J32">IF(AB32="N/A","",_xlfn.IFS(X32="m2",((Z32/(Y32/AK32))*H32),X32="m3",((Z32/(Y32/AK32))*H32),X32="kg",(((Z32*AL32)/(1/AK32))*H32),X32="ton",(((Z32/1000*AL32)/(1/AK32))*H32),X32="N/A",""))</f>
        <v/>
      </c>
      <c r="K32" s="52" t="str">
        <f t="shared" si="1"/>
        <v>N/A</v>
      </c>
      <c r="L32" s="155" t="str" cm="1">
        <f t="array" ref="L32">(_xlfn.IFS(X32="m2",((AA32/(Y32/AK32))*H32),X32="m3",((AA32/(Y32/AK32))*H32),X32="kg",(((AA32*AL32)/(1/AK32))*H32),X32="ton",(((AA32/1000*AL32)/(1/AK32))*H32),X32="N/A",""))</f>
        <v/>
      </c>
      <c r="M32" s="52" t="str">
        <f t="shared" si="2"/>
        <v>N/A</v>
      </c>
      <c r="N32" s="148" t="str" cm="1">
        <f t="array" ref="N32">IF(AB32="N/A","",_xlfn.IFS(X32="m2",((AB32/(Y32/AK32))*H32),X32="m3",((AB32/(Y32/AK32))*H32),X32="kg",(((AB32*AL32)/(1/AK32))*H32),X32="ton",(((AB32/1000*AL32)/(1/AK32))*H32),X32="N/A",""))</f>
        <v/>
      </c>
      <c r="O32" s="52" t="str">
        <f t="shared" si="3"/>
        <v>N/A</v>
      </c>
      <c r="P32" s="148" t="str" cm="1">
        <f t="array" ref="P32">IF(AD32="N/A","",_xlfn.IFS(X32="m2",((AD32/(Y32/AK32))*H32),X32="m3",((AD32/(Y32/AK32))*H32),X32="kg",(((AD32*AL32)/(1/AK32))*H32),X32="ton",(((AD32/1000*AL32)/(1/AK32))*H32),X32="N/A",""))</f>
        <v/>
      </c>
      <c r="Q32" s="47" t="s">
        <v>191</v>
      </c>
      <c r="R32" s="47"/>
      <c r="S32" s="47" t="s">
        <v>191</v>
      </c>
      <c r="T32" s="47" t="s">
        <v>191</v>
      </c>
      <c r="U32" s="47" t="s">
        <v>191</v>
      </c>
      <c r="W32" s="47" t="s">
        <v>191</v>
      </c>
      <c r="X32" s="47" t="s">
        <v>191</v>
      </c>
      <c r="Y32" s="47" t="s">
        <v>191</v>
      </c>
      <c r="Z32" s="52" t="str">
        <f t="shared" si="4"/>
        <v>N/A</v>
      </c>
      <c r="AA32" s="52" t="s">
        <v>191</v>
      </c>
      <c r="AB32" s="52" t="s">
        <v>191</v>
      </c>
      <c r="AC32" s="52" t="s">
        <v>191</v>
      </c>
      <c r="AD32" s="52" t="s">
        <v>191</v>
      </c>
      <c r="AF32" s="103" t="str">
        <f t="shared" si="5"/>
        <v>B s1
d0</v>
      </c>
      <c r="AG32" s="75" t="s">
        <v>178</v>
      </c>
      <c r="AH32" s="83" t="s">
        <v>176</v>
      </c>
      <c r="AI32" s="96"/>
      <c r="AK32" s="47" t="s">
        <v>191</v>
      </c>
      <c r="AL32" s="47">
        <v>750</v>
      </c>
      <c r="AM32" s="47">
        <f>1.5*10^3</f>
        <v>1500</v>
      </c>
      <c r="AO32" s="80" t="s">
        <v>17</v>
      </c>
      <c r="AP32" s="81"/>
      <c r="AQ32" s="26"/>
    </row>
    <row r="33" spans="1:43" ht="25.2" customHeight="1" x14ac:dyDescent="0.15">
      <c r="A33" s="25" t="s">
        <v>45</v>
      </c>
      <c r="B33" s="69" t="s">
        <v>210</v>
      </c>
      <c r="C33" s="73"/>
      <c r="D33" s="47" t="s">
        <v>42</v>
      </c>
      <c r="E33" s="47" t="s">
        <v>143</v>
      </c>
      <c r="F33" s="85" t="s">
        <v>43</v>
      </c>
      <c r="G33" s="27"/>
      <c r="H33" s="111">
        <v>1</v>
      </c>
      <c r="I33" s="52" t="str">
        <f t="shared" si="0"/>
        <v>N/A</v>
      </c>
      <c r="J33" s="148" t="str" cm="1">
        <f t="array" ref="J33">IF(AB33="N/A","",_xlfn.IFS(X33="m2",((Z33/(Y33/AK33))*H33),X33="m3",((Z33/(Y33/AK33))*H33),X33="kg",(((Z33*AL33)/(1/AK33))*H33),X33="ton",(((Z33/1000*AL33)/(1/AK33))*H33),X33="N/A",""))</f>
        <v/>
      </c>
      <c r="K33" s="52" t="str">
        <f t="shared" si="1"/>
        <v>N/A</v>
      </c>
      <c r="L33" s="155" t="str" cm="1">
        <f t="array" ref="L33">(_xlfn.IFS(X33="m2",((AA33/(Y33/AK33))*H33),X33="m3",((AA33/(Y33/AK33))*H33),X33="kg",(((AA33*AL33)/(1/AK33))*H33),X33="ton",(((AA33/1000*AL33)/(1/AK33))*H33),X33="N/A",""))</f>
        <v/>
      </c>
      <c r="M33" s="52" t="str">
        <f t="shared" si="2"/>
        <v>N/A</v>
      </c>
      <c r="N33" s="148" t="str" cm="1">
        <f t="array" ref="N33">IF(AB33="N/A","",_xlfn.IFS(X33="m2",((AB33/(Y33/AK33))*H33),X33="m3",((AB33/(Y33/AK33))*H33),X33="kg",(((AB33*AL33)/(1/AK33))*H33),X33="ton",(((AB33/1000*AL33)/(1/AK33))*H33),X33="N/A",""))</f>
        <v/>
      </c>
      <c r="O33" s="52" t="str">
        <f t="shared" si="3"/>
        <v>N/A</v>
      </c>
      <c r="P33" s="148" t="str" cm="1">
        <f t="array" ref="P33">IF(AD33="N/A","",_xlfn.IFS(X33="m2",((AD33/(Y33/AK33))*H33),X33="m3",((AD33/(Y33/AK33))*H33),X33="kg",(((AD33*AL33)/(1/AK33))*H33),X33="ton",(((AD33/1000*AL33)/(1/AK33))*H33),X33="N/A",""))</f>
        <v/>
      </c>
      <c r="Q33" s="47" t="s">
        <v>191</v>
      </c>
      <c r="R33" s="47"/>
      <c r="S33" s="47" t="s">
        <v>191</v>
      </c>
      <c r="T33" s="47" t="s">
        <v>191</v>
      </c>
      <c r="U33" s="47" t="s">
        <v>191</v>
      </c>
      <c r="W33" s="47" t="s">
        <v>191</v>
      </c>
      <c r="X33" s="47" t="s">
        <v>191</v>
      </c>
      <c r="Y33" s="47" t="s">
        <v>191</v>
      </c>
      <c r="Z33" s="52" t="str">
        <f t="shared" si="4"/>
        <v>N/A</v>
      </c>
      <c r="AA33" s="52" t="s">
        <v>191</v>
      </c>
      <c r="AB33" s="52" t="s">
        <v>191</v>
      </c>
      <c r="AC33" s="52" t="s">
        <v>191</v>
      </c>
      <c r="AD33" s="52" t="s">
        <v>191</v>
      </c>
      <c r="AF33" s="103" t="str">
        <f t="shared" si="5"/>
        <v>B s1
d0</v>
      </c>
      <c r="AG33" s="75" t="s">
        <v>178</v>
      </c>
      <c r="AH33" s="83" t="s">
        <v>176</v>
      </c>
      <c r="AI33" s="96"/>
      <c r="AK33" s="47" t="s">
        <v>191</v>
      </c>
      <c r="AL33" s="47">
        <v>750</v>
      </c>
      <c r="AM33" s="47">
        <f>1.5*10^3</f>
        <v>1500</v>
      </c>
      <c r="AO33" s="80" t="s">
        <v>17</v>
      </c>
      <c r="AP33" s="81"/>
      <c r="AQ33" s="26"/>
    </row>
    <row r="34" spans="1:43" ht="25.2" customHeight="1" x14ac:dyDescent="0.15">
      <c r="A34" s="25" t="s">
        <v>282</v>
      </c>
      <c r="B34" s="69" t="s">
        <v>210</v>
      </c>
      <c r="C34" s="73"/>
      <c r="D34" s="47" t="s">
        <v>219</v>
      </c>
      <c r="E34" s="88" t="s">
        <v>146</v>
      </c>
      <c r="F34" s="47" t="s">
        <v>301</v>
      </c>
      <c r="G34" s="40"/>
      <c r="H34" s="111">
        <v>1</v>
      </c>
      <c r="I34" s="52">
        <f t="shared" si="0"/>
        <v>1.6859</v>
      </c>
      <c r="J34" s="148" cm="1">
        <f t="array" ref="J34">IF(AB34="N/A","",_xlfn.IFS(X34="m2",((Z34/(Y34/AK34))*H34),X34="m3",((Z34/(Y34/AK34))*H34),X34="kg",(((Z34*AL34)/(1/AK34))*H34),X34="ton",(((Z34/1000*AL34)/(1/AK34))*H34),X34="N/A",""))</f>
        <v>1.6859</v>
      </c>
      <c r="K34" s="52">
        <f t="shared" si="1"/>
        <v>1.2</v>
      </c>
      <c r="L34" s="155" cm="1">
        <f t="array" ref="L34">(_xlfn.IFS(X34="m2",((AA34/(Y34/AK34))*H34),X34="m3",((AA34/(Y34/AK34))*H34),X34="kg",(((AA34*AL34)/(1/AK34))*H34),X34="ton",(((AA34/1000*AL34)/(1/AK34))*H34),X34="N/A",""))</f>
        <v>1.2</v>
      </c>
      <c r="M34" s="52">
        <f t="shared" si="2"/>
        <v>0.4859</v>
      </c>
      <c r="N34" s="148" cm="1">
        <f t="array" ref="N34">IF(AB34="N/A","",_xlfn.IFS(X34="m2",((AB34/(Y34/AK34))*H34),X34="m3",((AB34/(Y34/AK34))*H34),X34="kg",(((AB34*AL34)/(1/AK34))*H34),X34="ton",(((AB34/1000*AL34)/(1/AK34))*H34),X34="N/A",""))</f>
        <v>0.4859</v>
      </c>
      <c r="O34" s="52">
        <f t="shared" si="3"/>
        <v>-0.627</v>
      </c>
      <c r="P34" s="148" cm="1">
        <f t="array" ref="P34">IF(AD34="N/A","",_xlfn.IFS(X34="m2",((AD34/(Y34/AK34))*H34),X34="m3",((AD34/(Y34/AK34))*H34),X34="kg",(((AD34*AL34)/(1/AK34))*H34),X34="ton",(((AD34/1000*AL34)/(1/AK34))*H34),X34="N/A",""))</f>
        <v>-0.627</v>
      </c>
      <c r="Q34" s="88" t="s">
        <v>5</v>
      </c>
      <c r="R34" s="165"/>
      <c r="S34" s="47">
        <v>2027</v>
      </c>
      <c r="T34" s="47" t="s">
        <v>28</v>
      </c>
      <c r="U34" s="47">
        <v>60</v>
      </c>
      <c r="W34" s="47" t="s">
        <v>604</v>
      </c>
      <c r="X34" s="52" t="s">
        <v>15</v>
      </c>
      <c r="Y34" s="47">
        <v>1.2500000000000001E-2</v>
      </c>
      <c r="Z34" s="52">
        <f t="shared" si="4"/>
        <v>1.6859</v>
      </c>
      <c r="AA34" s="52">
        <v>1.2</v>
      </c>
      <c r="AB34" s="52">
        <f>0.0299+0.456</f>
        <v>0.4859</v>
      </c>
      <c r="AC34" s="52">
        <v>-0.16600000000000001</v>
      </c>
      <c r="AD34" s="52">
        <v>-0.627</v>
      </c>
      <c r="AE34" s="40"/>
      <c r="AF34" s="103" t="str">
        <f t="shared" si="5"/>
        <v>A2 s1
d0</v>
      </c>
      <c r="AG34" s="75" t="s">
        <v>214</v>
      </c>
      <c r="AH34" s="121" t="s">
        <v>176</v>
      </c>
      <c r="AI34" s="120"/>
      <c r="AJ34" s="45"/>
      <c r="AK34" s="47">
        <v>1.2500000000000001E-2</v>
      </c>
      <c r="AL34" s="47">
        <v>536</v>
      </c>
      <c r="AM34" s="47" t="s">
        <v>191</v>
      </c>
      <c r="AN34" s="45"/>
      <c r="AO34" s="160" t="s">
        <v>17</v>
      </c>
      <c r="AP34" s="73"/>
      <c r="AQ34" s="26"/>
    </row>
    <row r="35" spans="1:43" ht="25.2" customHeight="1" x14ac:dyDescent="0.15">
      <c r="A35" s="25" t="s">
        <v>239</v>
      </c>
      <c r="B35" s="69" t="s">
        <v>210</v>
      </c>
      <c r="C35" s="73"/>
      <c r="D35" s="47" t="s">
        <v>231</v>
      </c>
      <c r="E35" s="82" t="s">
        <v>240</v>
      </c>
      <c r="F35" s="47" t="s">
        <v>300</v>
      </c>
      <c r="H35" s="111">
        <v>1</v>
      </c>
      <c r="I35" s="52">
        <f t="shared" si="0"/>
        <v>7.032</v>
      </c>
      <c r="J35" s="148" cm="1">
        <f t="array" ref="J35">IF(AB35="N/A","",_xlfn.IFS(X35="m2",((Z35/(Y35/AK35))*H35),X35="m3",((Z35/(Y35/AK35))*H35),X35="kg",(((Z35*AL35)/(1/AK35))*H35),X35="ton",(((Z35/1000*AL35)/(1/AK35))*H35),X35="N/A",""))</f>
        <v>7.032</v>
      </c>
      <c r="K35" s="52">
        <f t="shared" si="1"/>
        <v>6.9</v>
      </c>
      <c r="L35" s="155" cm="1">
        <f t="array" ref="L35">(_xlfn.IFS(X35="m2",((AA35/(Y35/AK35))*H35),X35="m3",((AA35/(Y35/AK35))*H35),X35="kg",(((AA35*AL35)/(1/AK35))*H35),X35="ton",(((AA35/1000*AL35)/(1/AK35))*H35),X35="N/A",""))</f>
        <v>6.9</v>
      </c>
      <c r="M35" s="52">
        <f t="shared" si="2"/>
        <v>0.13200000000000001</v>
      </c>
      <c r="N35" s="148" cm="1">
        <f t="array" ref="N35">IF(AB35="N/A","",_xlfn.IFS(X35="m2",((AB35/(Y35/AK35))*H35),X35="m3",((AB35/(Y35/AK35))*H35),X35="kg",(((AB35*AL35)/(1/AK35))*H35),X35="ton",(((AB35/1000*AL35)/(1/AK35))*H35),X35="N/A",""))</f>
        <v>0.13200000000000001</v>
      </c>
      <c r="O35" s="52">
        <f t="shared" si="3"/>
        <v>-0.107</v>
      </c>
      <c r="P35" s="148" cm="1">
        <f t="array" ref="P35">IF(AD35="N/A","",_xlfn.IFS(X35="m2",((AD35/(Y35/AK35))*H35),X35="m3",((AD35/(Y35/AK35))*H35),X35="kg",(((AD35*AL35)/(1/AK35))*H35),X35="ton",(((AD35/1000*AL35)/(1/AK35))*H35),X35="N/A",""))</f>
        <v>-0.107</v>
      </c>
      <c r="Q35" s="82" t="s">
        <v>5</v>
      </c>
      <c r="R35" s="164"/>
      <c r="S35" s="47">
        <v>2026</v>
      </c>
      <c r="T35" s="47" t="s">
        <v>28</v>
      </c>
      <c r="U35" s="47" t="s">
        <v>191</v>
      </c>
      <c r="W35" s="47" t="s">
        <v>595</v>
      </c>
      <c r="X35" s="47" t="s">
        <v>15</v>
      </c>
      <c r="Y35" s="47">
        <v>8.9999999999999993E-3</v>
      </c>
      <c r="Z35" s="52">
        <f t="shared" si="4"/>
        <v>7.032</v>
      </c>
      <c r="AA35" s="52">
        <v>6.9</v>
      </c>
      <c r="AB35" s="52">
        <f>0+0.132</f>
        <v>0.13200000000000001</v>
      </c>
      <c r="AC35" s="52">
        <v>0</v>
      </c>
      <c r="AD35" s="52">
        <v>-0.107</v>
      </c>
      <c r="AF35" s="103" t="str">
        <f t="shared" si="5"/>
        <v>A2 s1
d0</v>
      </c>
      <c r="AG35" s="75" t="s">
        <v>214</v>
      </c>
      <c r="AH35" s="83" t="s">
        <v>176</v>
      </c>
      <c r="AI35" s="96"/>
      <c r="AK35" s="47">
        <v>8.9999999999999993E-3</v>
      </c>
      <c r="AL35" s="47" t="s">
        <v>191</v>
      </c>
      <c r="AM35" s="47" t="s">
        <v>191</v>
      </c>
      <c r="AO35" s="265" t="s">
        <v>17</v>
      </c>
      <c r="AP35" s="73"/>
      <c r="AQ35" s="26"/>
    </row>
    <row r="36" spans="1:43" ht="25.2" customHeight="1" x14ac:dyDescent="0.15">
      <c r="A36" s="25" t="s">
        <v>70</v>
      </c>
      <c r="B36" s="69" t="s">
        <v>208</v>
      </c>
      <c r="C36" s="73"/>
      <c r="D36" s="47" t="s">
        <v>71</v>
      </c>
      <c r="E36" s="82" t="s">
        <v>146</v>
      </c>
      <c r="F36" s="85" t="s">
        <v>130</v>
      </c>
      <c r="G36" s="27"/>
      <c r="H36" s="111">
        <v>1</v>
      </c>
      <c r="I36" s="52" t="str">
        <f t="shared" si="0"/>
        <v>N/A</v>
      </c>
      <c r="J36" s="148" t="str" cm="1">
        <f t="array" ref="J36">IF(AB36="N/A","",_xlfn.IFS(X36="m2",((Z36/(Y36/AK36))*H36),X36="m3",((Z36/(Y36/AK36))*H36),X36="kg",(((Z36*AL36)/(1/AK36))*H36),X36="ton",(((Z36/1000*AL36)/(1/AK36))*H36),X36="N/A",""))</f>
        <v/>
      </c>
      <c r="K36" s="52" t="str">
        <f t="shared" si="1"/>
        <v>N/A</v>
      </c>
      <c r="L36" s="155" t="str" cm="1">
        <f t="array" ref="L36">(_xlfn.IFS(X36="m2",((AA36/(Y36/AK36))*H36),X36="m3",((AA36/(Y36/AK36))*H36),X36="kg",(((AA36*AL36)/(1/AK36))*H36),X36="ton",(((AA36/1000*AL36)/(1/AK36))*H36),X36="N/A",""))</f>
        <v/>
      </c>
      <c r="M36" s="52" t="str">
        <f t="shared" si="2"/>
        <v>N/A</v>
      </c>
      <c r="N36" s="148" t="str" cm="1">
        <f t="array" ref="N36">IF(AB36="N/A","",_xlfn.IFS(X36="m2",((AB36/(Y36/AK36))*H36),X36="m3",((AB36/(Y36/AK36))*H36),X36="kg",(((AB36*AL36)/(1/AK36))*H36),X36="ton",(((AB36/1000*AL36)/(1/AK36))*H36),X36="N/A",""))</f>
        <v/>
      </c>
      <c r="O36" s="52" t="str">
        <f t="shared" si="3"/>
        <v>N/A</v>
      </c>
      <c r="P36" s="148" t="str" cm="1">
        <f t="array" ref="P36">IF(AD36="N/A","",_xlfn.IFS(X36="m2",((AD36/(Y36/AK36))*H36),X36="m3",((AD36/(Y36/AK36))*H36),X36="kg",(((AD36*AL36)/(1/AK36))*H36),X36="ton",(((AD36/1000*AL36)/(1/AK36))*H36),X36="N/A",""))</f>
        <v/>
      </c>
      <c r="Q36" s="47" t="s">
        <v>191</v>
      </c>
      <c r="R36" s="47"/>
      <c r="S36" s="47" t="s">
        <v>191</v>
      </c>
      <c r="T36" s="47" t="s">
        <v>191</v>
      </c>
      <c r="U36" s="47" t="s">
        <v>191</v>
      </c>
      <c r="W36" s="47" t="s">
        <v>191</v>
      </c>
      <c r="X36" s="47" t="s">
        <v>191</v>
      </c>
      <c r="Y36" s="47" t="s">
        <v>191</v>
      </c>
      <c r="Z36" s="52" t="str">
        <f t="shared" si="4"/>
        <v>N/A</v>
      </c>
      <c r="AA36" s="52" t="s">
        <v>191</v>
      </c>
      <c r="AB36" s="52" t="s">
        <v>191</v>
      </c>
      <c r="AC36" s="52" t="s">
        <v>191</v>
      </c>
      <c r="AD36" s="52" t="s">
        <v>191</v>
      </c>
      <c r="AF36" s="103" t="str">
        <f t="shared" si="5"/>
        <v xml:space="preserve">F </v>
      </c>
      <c r="AG36" s="75" t="s">
        <v>82</v>
      </c>
      <c r="AH36" s="76"/>
      <c r="AI36" s="96"/>
      <c r="AK36" s="47" t="s">
        <v>191</v>
      </c>
      <c r="AL36" s="47" t="s">
        <v>191</v>
      </c>
      <c r="AM36" s="47" t="s">
        <v>191</v>
      </c>
      <c r="AO36" s="265" t="s">
        <v>17</v>
      </c>
      <c r="AP36" s="73"/>
      <c r="AQ36" s="26"/>
    </row>
    <row r="37" spans="1:43" ht="25.2" customHeight="1" x14ac:dyDescent="0.15">
      <c r="A37" s="25" t="s">
        <v>390</v>
      </c>
      <c r="B37" s="69" t="s">
        <v>210</v>
      </c>
      <c r="C37" s="73"/>
      <c r="D37" s="47" t="s">
        <v>278</v>
      </c>
      <c r="E37" s="88" t="s">
        <v>153</v>
      </c>
      <c r="F37" s="47" t="s">
        <v>301</v>
      </c>
      <c r="G37" s="40"/>
      <c r="H37" s="111">
        <v>1</v>
      </c>
      <c r="I37" s="52">
        <f t="shared" si="0"/>
        <v>2.0449999999999999</v>
      </c>
      <c r="J37" s="148" cm="1">
        <f t="array" ref="J37">IF(AB37="N/A","",_xlfn.IFS(X37="m2",((Z37/(Y37/AK37))*H37),X37="m3",((Z37/(Y37/AK37))*H37),X37="kg",(((Z37*AL37)/(1/AK37))*H37),X37="ton",(((Z37/1000*AL37)/(1/AK37))*H37),X37="N/A",""))</f>
        <v>2.0449999999999999</v>
      </c>
      <c r="K37" s="52">
        <f t="shared" si="1"/>
        <v>1.34</v>
      </c>
      <c r="L37" s="155" cm="1">
        <f t="array" ref="L37">(_xlfn.IFS(X37="m2",((AA37/(Y37/AK37))*H37),X37="m3",((AA37/(Y37/AK37))*H37),X37="kg",(((AA37*AL37)/(1/AK37))*H37),X37="ton",(((AA37/1000*AL37)/(1/AK37))*H37),X37="N/A",""))</f>
        <v>1.34</v>
      </c>
      <c r="M37" s="52">
        <f t="shared" si="2"/>
        <v>0.70499999999999996</v>
      </c>
      <c r="N37" s="148" cm="1">
        <f t="array" ref="N37">IF(AB37="N/A","",_xlfn.IFS(X37="m2",((AB37/(Y37/AK37))*H37),X37="m3",((AB37/(Y37/AK37))*H37),X37="kg",(((AB37*AL37)/(1/AK37))*H37),X37="ton",(((AB37/1000*AL37)/(1/AK37))*H37),X37="N/A",""))</f>
        <v>0.70499999999999996</v>
      </c>
      <c r="O37" s="52">
        <f t="shared" si="3"/>
        <v>-0.59599999999999997</v>
      </c>
      <c r="P37" s="148" cm="1">
        <f t="array" ref="P37">IF(AD37="N/A","",_xlfn.IFS(X37="m2",((AD37/(Y37/AK37))*H37),X37="m3",((AD37/(Y37/AK37))*H37),X37="kg",(((AD37*AL37)/(1/AK37))*H37),X37="ton",(((AD37/1000*AL37)/(1/AK37))*H37),X37="N/A",""))</f>
        <v>-0.59599999999999997</v>
      </c>
      <c r="Q37" s="88" t="s">
        <v>5</v>
      </c>
      <c r="R37" s="165" t="s">
        <v>377</v>
      </c>
      <c r="S37" s="47">
        <v>2027</v>
      </c>
      <c r="T37" s="47" t="s">
        <v>28</v>
      </c>
      <c r="U37" s="47">
        <v>60</v>
      </c>
      <c r="W37" s="47" t="s">
        <v>600</v>
      </c>
      <c r="X37" s="52" t="s">
        <v>15</v>
      </c>
      <c r="Y37" s="47">
        <v>1.2500000000000001E-2</v>
      </c>
      <c r="Z37" s="52">
        <f t="shared" si="4"/>
        <v>2.0449999999999999</v>
      </c>
      <c r="AA37" s="52">
        <v>1.34</v>
      </c>
      <c r="AB37" s="52">
        <f>0.005+0.7</f>
        <v>0.70499999999999996</v>
      </c>
      <c r="AC37" s="52">
        <v>-6.0000000000000001E-3</v>
      </c>
      <c r="AD37" s="52">
        <v>-0.59599999999999997</v>
      </c>
      <c r="AE37" s="40"/>
      <c r="AF37" s="103" t="str">
        <f t="shared" si="5"/>
        <v xml:space="preserve">F </v>
      </c>
      <c r="AG37" s="75" t="s">
        <v>82</v>
      </c>
      <c r="AH37" s="108"/>
      <c r="AI37" s="120"/>
      <c r="AJ37" s="45"/>
      <c r="AK37" s="47">
        <v>1.2500000000000001E-2</v>
      </c>
      <c r="AL37" s="47">
        <v>735</v>
      </c>
      <c r="AM37" s="47" t="s">
        <v>191</v>
      </c>
      <c r="AN37" s="45"/>
      <c r="AO37" s="160" t="s">
        <v>17</v>
      </c>
      <c r="AP37" s="73"/>
      <c r="AQ37" s="26"/>
    </row>
    <row r="38" spans="1:43" ht="25.2" customHeight="1" x14ac:dyDescent="0.15">
      <c r="A38" s="25" t="s">
        <v>53</v>
      </c>
      <c r="B38" s="69" t="s">
        <v>208</v>
      </c>
      <c r="C38" s="73"/>
      <c r="D38" s="47" t="s">
        <v>54</v>
      </c>
      <c r="E38" s="82" t="s">
        <v>142</v>
      </c>
      <c r="F38" s="47" t="s">
        <v>132</v>
      </c>
      <c r="H38" s="111">
        <v>1</v>
      </c>
      <c r="I38" s="52" t="str">
        <f t="shared" ref="I38:I69" si="6">IF(AB38="N/A","N/A",IF(J38="","N/A",J38))</f>
        <v>N/A</v>
      </c>
      <c r="J38" s="148" t="str" cm="1">
        <f t="array" ref="J38">IF(AB38="N/A","",_xlfn.IFS(X38="m2",((Z38/(Y38/AK38))*H38),X38="m3",((Z38/(Y38/AK38))*H38),X38="kg",(((Z38*AL38)/(1/AK38))*H38),X38="ton",(((Z38/1000*AL38)/(1/AK38))*H38),X38="N/A",""))</f>
        <v/>
      </c>
      <c r="K38" s="52" t="str">
        <f t="shared" ref="K38:K69" si="7">IF(L38="","N/A",L38)</f>
        <v>N/A</v>
      </c>
      <c r="L38" s="155" t="str" cm="1">
        <f t="array" ref="L38">(_xlfn.IFS(X38="m2",((AA38/(Y38/AK38))*H38),X38="m3",((AA38/(Y38/AK38))*H38),X38="kg",(((AA38*AL38)/(1/AK38))*H38),X38="ton",(((AA38/1000*AL38)/(1/AK38))*H38),X38="N/A",""))</f>
        <v/>
      </c>
      <c r="M38" s="52" t="str">
        <f t="shared" ref="M38:M69" si="8">IF(N38="","N/A",N38)</f>
        <v>N/A</v>
      </c>
      <c r="N38" s="148" t="str" cm="1">
        <f t="array" ref="N38">IF(AB38="N/A","",_xlfn.IFS(X38="m2",((AB38/(Y38/AK38))*H38),X38="m3",((AB38/(Y38/AK38))*H38),X38="kg",(((AB38*AL38)/(1/AK38))*H38),X38="ton",(((AB38/1000*AL38)/(1/AK38))*H38),X38="N/A",""))</f>
        <v/>
      </c>
      <c r="O38" s="52" t="str">
        <f t="shared" ref="O38:O69" si="9">IF(P38="","N/A",P38)</f>
        <v>N/A</v>
      </c>
      <c r="P38" s="148" t="str" cm="1">
        <f t="array" ref="P38">IF(AD38="N/A","",_xlfn.IFS(X38="m2",((AD38/(Y38/AK38))*H38),X38="m3",((AD38/(Y38/AK38))*H38),X38="kg",(((AD38*AL38)/(1/AK38))*H38),X38="ton",(((AD38/1000*AL38)/(1/AK38))*H38),X38="N/A",""))</f>
        <v/>
      </c>
      <c r="Q38" s="47" t="s">
        <v>191</v>
      </c>
      <c r="R38" s="47"/>
      <c r="S38" s="47" t="s">
        <v>191</v>
      </c>
      <c r="T38" s="47" t="s">
        <v>191</v>
      </c>
      <c r="U38" s="47" t="s">
        <v>191</v>
      </c>
      <c r="W38" s="47" t="s">
        <v>191</v>
      </c>
      <c r="X38" s="47" t="s">
        <v>191</v>
      </c>
      <c r="Y38" s="47" t="s">
        <v>191</v>
      </c>
      <c r="Z38" s="52" t="str">
        <f t="shared" ref="Z38:Z69" si="10">IF(AB38="N/A","N/A",SUM(AA38:AB38))</f>
        <v>N/A</v>
      </c>
      <c r="AA38" s="52" t="s">
        <v>191</v>
      </c>
      <c r="AB38" s="52" t="s">
        <v>191</v>
      </c>
      <c r="AC38" s="52" t="s">
        <v>191</v>
      </c>
      <c r="AD38" s="52" t="s">
        <v>191</v>
      </c>
      <c r="AF38" s="103" t="str">
        <f t="shared" ref="AF38:AF69" si="11">AG38&amp;" "&amp;AH38</f>
        <v>D s2
d0</v>
      </c>
      <c r="AG38" s="75" t="s">
        <v>8</v>
      </c>
      <c r="AH38" s="83" t="s">
        <v>177</v>
      </c>
      <c r="AI38" s="96"/>
      <c r="AK38" s="47" t="s">
        <v>191</v>
      </c>
      <c r="AL38" s="47" t="s">
        <v>191</v>
      </c>
      <c r="AM38" s="47" t="s">
        <v>191</v>
      </c>
      <c r="AO38" s="80" t="s">
        <v>17</v>
      </c>
      <c r="AP38" s="81"/>
      <c r="AQ38" s="26"/>
    </row>
    <row r="39" spans="1:43" ht="25.2" customHeight="1" x14ac:dyDescent="0.15">
      <c r="A39" s="25" t="s">
        <v>249</v>
      </c>
      <c r="B39" s="69" t="s">
        <v>208</v>
      </c>
      <c r="C39" s="73"/>
      <c r="D39" s="47" t="s">
        <v>248</v>
      </c>
      <c r="E39" s="47" t="s">
        <v>152</v>
      </c>
      <c r="F39" s="47" t="s">
        <v>13</v>
      </c>
      <c r="H39" s="111">
        <v>1</v>
      </c>
      <c r="I39" s="52" t="str">
        <f t="shared" si="6"/>
        <v>N/A</v>
      </c>
      <c r="J39" s="148" t="str" cm="1">
        <f t="array" ref="J39">IF(AB39="N/A","",_xlfn.IFS(X39="m2",((Z39/(Y39/AK39))*H39),X39="m3",((Z39/(Y39/AK39))*H39),X39="kg",(((Z39*AL39)/(1/AK39))*H39),X39="ton",(((Z39/1000*AL39)/(1/AK39))*H39),X39="N/A",""))</f>
        <v/>
      </c>
      <c r="K39" s="52" t="str">
        <f t="shared" si="7"/>
        <v>N/A</v>
      </c>
      <c r="L39" s="155" t="str" cm="1">
        <f t="array" ref="L39">(_xlfn.IFS(X39="m2",((AA39/(Y39/AK39))*H39),X39="m3",((AA39/(Y39/AK39))*H39),X39="kg",(((AA39*AL39)/(1/AK39))*H39),X39="ton",(((AA39/1000*AL39)/(1/AK39))*H39),X39="N/A",""))</f>
        <v/>
      </c>
      <c r="M39" s="52" t="str">
        <f t="shared" si="8"/>
        <v>N/A</v>
      </c>
      <c r="N39" s="148" t="str" cm="1">
        <f t="array" ref="N39">IF(AB39="N/A","",_xlfn.IFS(X39="m2",((AB39/(Y39/AK39))*H39),X39="m3",((AB39/(Y39/AK39))*H39),X39="kg",(((AB39*AL39)/(1/AK39))*H39),X39="ton",(((AB39/1000*AL39)/(1/AK39))*H39),X39="N/A",""))</f>
        <v/>
      </c>
      <c r="O39" s="52" t="str">
        <f t="shared" si="9"/>
        <v>N/A</v>
      </c>
      <c r="P39" s="148" t="str" cm="1">
        <f t="array" ref="P39">IF(AD39="N/A","",_xlfn.IFS(X39="m2",((AD39/(Y39/AK39))*H39),X39="m3",((AD39/(Y39/AK39))*H39),X39="kg",(((AD39*AL39)/(1/AK39))*H39),X39="ton",(((AD39/1000*AL39)/(1/AK39))*H39),X39="N/A",""))</f>
        <v/>
      </c>
      <c r="Q39" s="47" t="s">
        <v>191</v>
      </c>
      <c r="R39" s="47"/>
      <c r="S39" s="47" t="s">
        <v>191</v>
      </c>
      <c r="T39" s="47" t="s">
        <v>191</v>
      </c>
      <c r="U39" s="47" t="s">
        <v>191</v>
      </c>
      <c r="W39" s="47" t="s">
        <v>191</v>
      </c>
      <c r="X39" s="52" t="s">
        <v>191</v>
      </c>
      <c r="Y39" s="47" t="s">
        <v>191</v>
      </c>
      <c r="Z39" s="52" t="str">
        <f t="shared" si="10"/>
        <v>N/A</v>
      </c>
      <c r="AA39" s="52" t="s">
        <v>191</v>
      </c>
      <c r="AB39" s="52" t="s">
        <v>191</v>
      </c>
      <c r="AC39" s="52" t="s">
        <v>191</v>
      </c>
      <c r="AD39" s="52" t="s">
        <v>191</v>
      </c>
      <c r="AF39" s="103" t="str">
        <f t="shared" si="11"/>
        <v xml:space="preserve">F </v>
      </c>
      <c r="AG39" s="75" t="s">
        <v>82</v>
      </c>
      <c r="AH39" s="76"/>
      <c r="AI39" s="96"/>
      <c r="AK39" s="47" t="s">
        <v>191</v>
      </c>
      <c r="AL39" s="47" t="s">
        <v>191</v>
      </c>
      <c r="AM39" s="47" t="s">
        <v>191</v>
      </c>
      <c r="AO39" s="105" t="s">
        <v>17</v>
      </c>
      <c r="AP39" s="73"/>
      <c r="AQ39" s="26"/>
    </row>
    <row r="40" spans="1:43" ht="25.2" customHeight="1" x14ac:dyDescent="0.15">
      <c r="A40" s="25" t="s">
        <v>389</v>
      </c>
      <c r="B40" s="69" t="s">
        <v>210</v>
      </c>
      <c r="C40" s="73"/>
      <c r="D40" s="47" t="s">
        <v>278</v>
      </c>
      <c r="E40" s="88" t="s">
        <v>153</v>
      </c>
      <c r="F40" s="47" t="s">
        <v>301</v>
      </c>
      <c r="G40" s="40"/>
      <c r="H40" s="111">
        <v>1</v>
      </c>
      <c r="I40" s="52">
        <f t="shared" si="6"/>
        <v>2.9890000000000003</v>
      </c>
      <c r="J40" s="148" cm="1">
        <f t="array" ref="J40">IF(AB40="N/A","",_xlfn.IFS(X40="m2",((Z40/(Y40/AK40))*H40),X40="m3",((Z40/(Y40/AK40))*H40),X40="kg",(((Z40*AL40)/(1/AK40))*H40),X40="ton",(((Z40/1000*AL40)/(1/AK40))*H40),X40="N/A",""))</f>
        <v>2.9890000000000003</v>
      </c>
      <c r="K40" s="52">
        <f t="shared" si="7"/>
        <v>2.2400000000000002</v>
      </c>
      <c r="L40" s="155" cm="1">
        <f t="array" ref="L40">(_xlfn.IFS(X40="m2",((AA40/(Y40/AK40))*H40),X40="m3",((AA40/(Y40/AK40))*H40),X40="kg",(((AA40*AL40)/(1/AK40))*H40),X40="ton",(((AA40/1000*AL40)/(1/AK40))*H40),X40="N/A",""))</f>
        <v>2.2400000000000002</v>
      </c>
      <c r="M40" s="52">
        <f t="shared" si="8"/>
        <v>0.749</v>
      </c>
      <c r="N40" s="148" cm="1">
        <f t="array" ref="N40">IF(AB40="N/A","",_xlfn.IFS(X40="m2",((AB40/(Y40/AK40))*H40),X40="m3",((AB40/(Y40/AK40))*H40),X40="kg",(((AB40*AL40)/(1/AK40))*H40),X40="ton",(((AB40/1000*AL40)/(1/AK40))*H40),X40="N/A",""))</f>
        <v>0.749</v>
      </c>
      <c r="O40" s="52">
        <f t="shared" si="9"/>
        <v>-0.61899999999999999</v>
      </c>
      <c r="P40" s="148" cm="1">
        <f t="array" ref="P40">IF(AD40="N/A","",_xlfn.IFS(X40="m2",((AD40/(Y40/AK40))*H40),X40="m3",((AD40/(Y40/AK40))*H40),X40="kg",(((AD40*AL40)/(1/AK40))*H40),X40="ton",(((AD40/1000*AL40)/(1/AK40))*H40),X40="N/A",""))</f>
        <v>-0.61899999999999999</v>
      </c>
      <c r="Q40" s="88" t="s">
        <v>5</v>
      </c>
      <c r="R40" s="165" t="s">
        <v>377</v>
      </c>
      <c r="S40" s="47">
        <v>2027</v>
      </c>
      <c r="T40" s="47" t="s">
        <v>28</v>
      </c>
      <c r="U40" s="47">
        <v>60</v>
      </c>
      <c r="W40" s="47" t="s">
        <v>599</v>
      </c>
      <c r="X40" s="52" t="s">
        <v>15</v>
      </c>
      <c r="Y40" s="47">
        <v>1.54E-2</v>
      </c>
      <c r="Z40" s="52">
        <f t="shared" si="10"/>
        <v>2.9890000000000003</v>
      </c>
      <c r="AA40" s="52">
        <v>2.2400000000000002</v>
      </c>
      <c r="AB40" s="52">
        <f>0.007+0.742</f>
        <v>0.749</v>
      </c>
      <c r="AC40" s="52">
        <v>-8.9999999999999993E-3</v>
      </c>
      <c r="AD40" s="52">
        <v>-0.61899999999999999</v>
      </c>
      <c r="AE40" s="40"/>
      <c r="AF40" s="103" t="str">
        <f t="shared" si="11"/>
        <v xml:space="preserve">F </v>
      </c>
      <c r="AG40" s="75" t="s">
        <v>82</v>
      </c>
      <c r="AH40" s="108"/>
      <c r="AI40" s="120"/>
      <c r="AJ40" s="45"/>
      <c r="AK40" s="47">
        <v>1.54E-2</v>
      </c>
      <c r="AL40" s="47">
        <v>835</v>
      </c>
      <c r="AM40" s="47" t="s">
        <v>191</v>
      </c>
      <c r="AN40" s="45"/>
      <c r="AO40" s="105" t="s">
        <v>17</v>
      </c>
      <c r="AP40" s="73"/>
      <c r="AQ40" s="26"/>
    </row>
    <row r="41" spans="1:43" ht="25.2" customHeight="1" x14ac:dyDescent="0.15">
      <c r="A41" s="25" t="s">
        <v>388</v>
      </c>
      <c r="B41" s="69" t="s">
        <v>210</v>
      </c>
      <c r="C41" s="73"/>
      <c r="D41" s="47" t="s">
        <v>278</v>
      </c>
      <c r="E41" s="88" t="s">
        <v>153</v>
      </c>
      <c r="F41" s="47" t="s">
        <v>301</v>
      </c>
      <c r="G41" s="40"/>
      <c r="H41" s="111">
        <v>1</v>
      </c>
      <c r="I41" s="52">
        <f t="shared" si="6"/>
        <v>2.6869999999999998</v>
      </c>
      <c r="J41" s="148" cm="1">
        <f t="array" ref="J41">IF(AB41="N/A","",_xlfn.IFS(X41="m2",((Z41/(Y41/AK41))*H41),X41="m3",((Z41/(Y41/AK41))*H41),X41="kg",(((Z41*AL41)/(1/AK41))*H41),X41="ton",(((Z41/1000*AL41)/(1/AK41))*H41),X41="N/A",""))</f>
        <v>2.6869999999999998</v>
      </c>
      <c r="K41" s="52">
        <f t="shared" si="7"/>
        <v>1.72</v>
      </c>
      <c r="L41" s="155" cm="1">
        <f t="array" ref="L41">(_xlfn.IFS(X41="m2",((AA41/(Y41/AK41))*H41),X41="m3",((AA41/(Y41/AK41))*H41),X41="kg",(((AA41*AL41)/(1/AK41))*H41),X41="ton",(((AA41/1000*AL41)/(1/AK41))*H41),X41="N/A",""))</f>
        <v>1.72</v>
      </c>
      <c r="M41" s="52">
        <f t="shared" si="8"/>
        <v>0.96699999999999997</v>
      </c>
      <c r="N41" s="148" cm="1">
        <f t="array" ref="N41">IF(AB41="N/A","",_xlfn.IFS(X41="m2",((AB41/(Y41/AK41))*H41),X41="m3",((AB41/(Y41/AK41))*H41),X41="kg",(((AB41*AL41)/(1/AK41))*H41),X41="ton",(((AB41/1000*AL41)/(1/AK41))*H41),X41="N/A",""))</f>
        <v>0.96699999999999997</v>
      </c>
      <c r="O41" s="52">
        <f t="shared" si="9"/>
        <v>-0.82799999999999996</v>
      </c>
      <c r="P41" s="148" cm="1">
        <f t="array" ref="P41">IF(AD41="N/A","",_xlfn.IFS(X41="m2",((AD41/(Y41/AK41))*H41),X41="m3",((AD41/(Y41/AK41))*H41),X41="kg",(((AD41*AL41)/(1/AK41))*H41),X41="ton",(((AD41/1000*AL41)/(1/AK41))*H41),X41="N/A",""))</f>
        <v>-0.82799999999999996</v>
      </c>
      <c r="Q41" s="88" t="s">
        <v>5</v>
      </c>
      <c r="R41" s="165" t="s">
        <v>377</v>
      </c>
      <c r="S41" s="47">
        <v>2027</v>
      </c>
      <c r="T41" s="47" t="s">
        <v>28</v>
      </c>
      <c r="U41" s="47">
        <v>60</v>
      </c>
      <c r="W41" s="47" t="s">
        <v>598</v>
      </c>
      <c r="X41" s="52" t="s">
        <v>15</v>
      </c>
      <c r="Y41" s="47">
        <v>1.2500000000000001E-2</v>
      </c>
      <c r="Z41" s="52">
        <f t="shared" si="10"/>
        <v>2.6869999999999998</v>
      </c>
      <c r="AA41" s="52">
        <v>1.72</v>
      </c>
      <c r="AB41" s="52">
        <f>0.006+0.961</f>
        <v>0.96699999999999997</v>
      </c>
      <c r="AC41" s="52">
        <v>-8.0000000000000002E-3</v>
      </c>
      <c r="AD41" s="52">
        <v>-0.82799999999999996</v>
      </c>
      <c r="AE41" s="40"/>
      <c r="AF41" s="103" t="str">
        <f t="shared" si="11"/>
        <v xml:space="preserve">F </v>
      </c>
      <c r="AG41" s="75" t="s">
        <v>82</v>
      </c>
      <c r="AH41" s="108"/>
      <c r="AI41" s="120"/>
      <c r="AJ41" s="45"/>
      <c r="AK41" s="47">
        <v>1.2500000000000001E-2</v>
      </c>
      <c r="AL41" s="47">
        <v>950</v>
      </c>
      <c r="AM41" s="47" t="s">
        <v>191</v>
      </c>
      <c r="AN41" s="45"/>
      <c r="AO41" s="105" t="s">
        <v>17</v>
      </c>
      <c r="AP41" s="73"/>
      <c r="AQ41" s="26"/>
    </row>
    <row r="42" spans="1:43" ht="25.2" customHeight="1" x14ac:dyDescent="0.15">
      <c r="A42" s="25" t="s">
        <v>283</v>
      </c>
      <c r="B42" s="69" t="s">
        <v>210</v>
      </c>
      <c r="C42" s="73"/>
      <c r="D42" s="47" t="s">
        <v>219</v>
      </c>
      <c r="E42" s="88" t="s">
        <v>146</v>
      </c>
      <c r="F42" s="47" t="s">
        <v>301</v>
      </c>
      <c r="G42" s="40"/>
      <c r="H42" s="111">
        <v>1</v>
      </c>
      <c r="I42" s="52">
        <f t="shared" si="6"/>
        <v>1.9834999999999998</v>
      </c>
      <c r="J42" s="148" cm="1">
        <f t="array" ref="J42">IF(AB42="N/A","",_xlfn.IFS(X42="m2",((Z42/(Y42/AK42))*H42),X42="m3",((Z42/(Y42/AK42))*H42),X42="kg",(((Z42*AL42)/(1/AK42))*H42),X42="ton",(((Z42/1000*AL42)/(1/AK42))*H42),X42="N/A",""))</f>
        <v>1.9834999999999998</v>
      </c>
      <c r="K42" s="52">
        <f t="shared" si="7"/>
        <v>1.42</v>
      </c>
      <c r="L42" s="155" cm="1">
        <f t="array" ref="L42">(_xlfn.IFS(X42="m2",((AA42/(Y42/AK42))*H42),X42="m3",((AA42/(Y42/AK42))*H42),X42="kg",(((AA42*AL42)/(1/AK42))*H42),X42="ton",(((AA42/1000*AL42)/(1/AK42))*H42),X42="N/A",""))</f>
        <v>1.42</v>
      </c>
      <c r="M42" s="52">
        <f t="shared" si="8"/>
        <v>0.5635</v>
      </c>
      <c r="N42" s="148" cm="1">
        <f t="array" ref="N42">IF(AB42="N/A","",_xlfn.IFS(X42="m2",((AB42/(Y42/AK42))*H42),X42="m3",((AB42/(Y42/AK42))*H42),X42="kg",(((AB42*AL42)/(1/AK42))*H42),X42="ton",(((AB42/1000*AL42)/(1/AK42))*H42),X42="N/A",""))</f>
        <v>0.5635</v>
      </c>
      <c r="O42" s="52">
        <f t="shared" si="9"/>
        <v>-0.64200000000000002</v>
      </c>
      <c r="P42" s="148" cm="1">
        <f t="array" ref="P42">IF(AD42="N/A","",_xlfn.IFS(X42="m2",((AD42/(Y42/AK42))*H42),X42="m3",((AD42/(Y42/AK42))*H42),X42="kg",(((AD42*AL42)/(1/AK42))*H42),X42="ton",(((AD42/1000*AL42)/(1/AK42))*H42),X42="N/A",""))</f>
        <v>-0.64200000000000002</v>
      </c>
      <c r="Q42" s="88" t="s">
        <v>5</v>
      </c>
      <c r="R42" s="165"/>
      <c r="S42" s="47">
        <v>2027</v>
      </c>
      <c r="T42" s="47" t="s">
        <v>28</v>
      </c>
      <c r="U42" s="47">
        <v>60</v>
      </c>
      <c r="W42" s="47" t="s">
        <v>605</v>
      </c>
      <c r="X42" s="52" t="s">
        <v>15</v>
      </c>
      <c r="Y42" s="47">
        <v>1.55E-2</v>
      </c>
      <c r="Z42" s="52">
        <f t="shared" si="10"/>
        <v>1.9834999999999998</v>
      </c>
      <c r="AA42" s="52">
        <v>1.42</v>
      </c>
      <c r="AB42" s="52">
        <f>0.0535+0.51</f>
        <v>0.5635</v>
      </c>
      <c r="AC42" s="52">
        <v>-0.188</v>
      </c>
      <c r="AD42" s="52">
        <v>-0.64200000000000002</v>
      </c>
      <c r="AE42" s="40"/>
      <c r="AF42" s="103" t="str">
        <f t="shared" si="11"/>
        <v>A2 s1
d0</v>
      </c>
      <c r="AG42" s="75" t="s">
        <v>214</v>
      </c>
      <c r="AH42" s="121" t="s">
        <v>176</v>
      </c>
      <c r="AI42" s="120"/>
      <c r="AJ42" s="45"/>
      <c r="AK42" s="47">
        <v>1.55E-2</v>
      </c>
      <c r="AL42" s="47">
        <v>774</v>
      </c>
      <c r="AM42" s="47" t="s">
        <v>191</v>
      </c>
      <c r="AN42" s="45"/>
      <c r="AO42" s="105" t="s">
        <v>17</v>
      </c>
      <c r="AP42" s="73"/>
      <c r="AQ42" s="26"/>
    </row>
    <row r="43" spans="1:43" ht="25.2" customHeight="1" x14ac:dyDescent="0.15">
      <c r="A43" s="25" t="s">
        <v>46</v>
      </c>
      <c r="B43" s="69" t="s">
        <v>208</v>
      </c>
      <c r="C43" s="73"/>
      <c r="D43" s="47" t="s">
        <v>47</v>
      </c>
      <c r="E43" s="47" t="s">
        <v>143</v>
      </c>
      <c r="F43" s="47" t="s">
        <v>40</v>
      </c>
      <c r="H43" s="111">
        <v>1</v>
      </c>
      <c r="I43" s="52" t="str">
        <f t="shared" si="6"/>
        <v>N/A</v>
      </c>
      <c r="J43" s="148" t="str" cm="1">
        <f t="array" ref="J43">IF(AB43="N/A","",_xlfn.IFS(X43="m2",((Z43/(Y43/AK43))*H43),X43="m3",((Z43/(Y43/AK43))*H43),X43="kg",(((Z43*AL43)/(1/AK43))*H43),X43="ton",(((Z43/1000*AL43)/(1/AK43))*H43),X43="N/A",""))</f>
        <v/>
      </c>
      <c r="K43" s="52" t="str">
        <f t="shared" si="7"/>
        <v>N/A</v>
      </c>
      <c r="L43" s="155" t="str" cm="1">
        <f t="array" ref="L43">(_xlfn.IFS(X43="m2",((AA43/(Y43/AK43))*H43),X43="m3",((AA43/(Y43/AK43))*H43),X43="kg",(((AA43*AL43)/(1/AK43))*H43),X43="ton",(((AA43/1000*AL43)/(1/AK43))*H43),X43="N/A",""))</f>
        <v/>
      </c>
      <c r="M43" s="52" t="str">
        <f t="shared" si="8"/>
        <v>N/A</v>
      </c>
      <c r="N43" s="148" t="str" cm="1">
        <f t="array" ref="N43">IF(AB43="N/A","",_xlfn.IFS(X43="m2",((AB43/(Y43/AK43))*H43),X43="m3",((AB43/(Y43/AK43))*H43),X43="kg",(((AB43*AL43)/(1/AK43))*H43),X43="ton",(((AB43/1000*AL43)/(1/AK43))*H43),X43="N/A",""))</f>
        <v/>
      </c>
      <c r="O43" s="52" t="str">
        <f t="shared" si="9"/>
        <v>N/A</v>
      </c>
      <c r="P43" s="148" t="str" cm="1">
        <f t="array" ref="P43">IF(AD43="N/A","",_xlfn.IFS(X43="m2",((AD43/(Y43/AK43))*H43),X43="m3",((AD43/(Y43/AK43))*H43),X43="kg",(((AD43*AL43)/(1/AK43))*H43),X43="ton",(((AD43/1000*AL43)/(1/AK43))*H43),X43="N/A",""))</f>
        <v/>
      </c>
      <c r="Q43" s="47" t="s">
        <v>191</v>
      </c>
      <c r="R43" s="47"/>
      <c r="S43" s="47" t="s">
        <v>191</v>
      </c>
      <c r="T43" s="47" t="s">
        <v>191</v>
      </c>
      <c r="U43" s="47" t="s">
        <v>191</v>
      </c>
      <c r="W43" s="47" t="s">
        <v>191</v>
      </c>
      <c r="X43" s="47" t="s">
        <v>191</v>
      </c>
      <c r="Y43" s="47" t="s">
        <v>191</v>
      </c>
      <c r="Z43" s="52" t="str">
        <f t="shared" si="10"/>
        <v>N/A</v>
      </c>
      <c r="AA43" s="52" t="s">
        <v>191</v>
      </c>
      <c r="AB43" s="52" t="s">
        <v>191</v>
      </c>
      <c r="AC43" s="52" t="s">
        <v>191</v>
      </c>
      <c r="AD43" s="52" t="s">
        <v>191</v>
      </c>
      <c r="AF43" s="103" t="str">
        <f t="shared" si="11"/>
        <v>B s1
d0</v>
      </c>
      <c r="AG43" s="75" t="s">
        <v>178</v>
      </c>
      <c r="AH43" s="83" t="s">
        <v>176</v>
      </c>
      <c r="AI43" s="96"/>
      <c r="AK43" s="47" t="s">
        <v>191</v>
      </c>
      <c r="AL43" s="47">
        <v>420</v>
      </c>
      <c r="AM43" s="47" t="s">
        <v>191</v>
      </c>
      <c r="AO43" s="105" t="s">
        <v>17</v>
      </c>
      <c r="AP43" s="81"/>
      <c r="AQ43" s="26"/>
    </row>
    <row r="44" spans="1:43" ht="25.2" customHeight="1" x14ac:dyDescent="0.15">
      <c r="A44" s="25" t="s">
        <v>48</v>
      </c>
      <c r="B44" s="69" t="s">
        <v>208</v>
      </c>
      <c r="C44" s="73"/>
      <c r="D44" s="47" t="s">
        <v>47</v>
      </c>
      <c r="E44" s="47" t="s">
        <v>143</v>
      </c>
      <c r="F44" s="47" t="s">
        <v>40</v>
      </c>
      <c r="H44" s="111">
        <v>1</v>
      </c>
      <c r="I44" s="52" t="str">
        <f t="shared" si="6"/>
        <v>N/A</v>
      </c>
      <c r="J44" s="148" t="str" cm="1">
        <f t="array" ref="J44">IF(AB44="N/A","",_xlfn.IFS(X44="m2",((Z44/(Y44/AK44))*H44),X44="m3",((Z44/(Y44/AK44))*H44),X44="kg",(((Z44*AL44)/(1/AK44))*H44),X44="ton",(((Z44/1000*AL44)/(1/AK44))*H44),X44="N/A",""))</f>
        <v/>
      </c>
      <c r="K44" s="52" t="str">
        <f t="shared" si="7"/>
        <v>N/A</v>
      </c>
      <c r="L44" s="155" t="str" cm="1">
        <f t="array" ref="L44">(_xlfn.IFS(X44="m2",((AA44/(Y44/AK44))*H44),X44="m3",((AA44/(Y44/AK44))*H44),X44="kg",(((AA44*AL44)/(1/AK44))*H44),X44="ton",(((AA44/1000*AL44)/(1/AK44))*H44),X44="N/A",""))</f>
        <v/>
      </c>
      <c r="M44" s="52" t="str">
        <f t="shared" si="8"/>
        <v>N/A</v>
      </c>
      <c r="N44" s="148" t="str" cm="1">
        <f t="array" ref="N44">IF(AB44="N/A","",_xlfn.IFS(X44="m2",((AB44/(Y44/AK44))*H44),X44="m3",((AB44/(Y44/AK44))*H44),X44="kg",(((AB44*AL44)/(1/AK44))*H44),X44="ton",(((AB44/1000*AL44)/(1/AK44))*H44),X44="N/A",""))</f>
        <v/>
      </c>
      <c r="O44" s="52" t="str">
        <f t="shared" si="9"/>
        <v>N/A</v>
      </c>
      <c r="P44" s="148" t="str" cm="1">
        <f t="array" ref="P44">IF(AD44="N/A","",_xlfn.IFS(X44="m2",((AD44/(Y44/AK44))*H44),X44="m3",((AD44/(Y44/AK44))*H44),X44="kg",(((AD44*AL44)/(1/AK44))*H44),X44="ton",(((AD44/1000*AL44)/(1/AK44))*H44),X44="N/A",""))</f>
        <v/>
      </c>
      <c r="Q44" s="47" t="s">
        <v>191</v>
      </c>
      <c r="R44" s="47"/>
      <c r="S44" s="47" t="s">
        <v>191</v>
      </c>
      <c r="T44" s="47" t="s">
        <v>191</v>
      </c>
      <c r="U44" s="47" t="s">
        <v>191</v>
      </c>
      <c r="W44" s="47" t="s">
        <v>191</v>
      </c>
      <c r="X44" s="47" t="s">
        <v>191</v>
      </c>
      <c r="Y44" s="47" t="s">
        <v>191</v>
      </c>
      <c r="Z44" s="52" t="str">
        <f t="shared" si="10"/>
        <v>N/A</v>
      </c>
      <c r="AA44" s="52" t="s">
        <v>191</v>
      </c>
      <c r="AB44" s="52" t="s">
        <v>191</v>
      </c>
      <c r="AC44" s="52" t="s">
        <v>191</v>
      </c>
      <c r="AD44" s="52" t="s">
        <v>191</v>
      </c>
      <c r="AF44" s="103" t="str">
        <f t="shared" si="11"/>
        <v>B s1
d0</v>
      </c>
      <c r="AG44" s="75" t="s">
        <v>178</v>
      </c>
      <c r="AH44" s="83" t="s">
        <v>176</v>
      </c>
      <c r="AI44" s="96"/>
      <c r="AK44" s="47" t="s">
        <v>191</v>
      </c>
      <c r="AL44" s="47">
        <v>420</v>
      </c>
      <c r="AM44" s="47" t="s">
        <v>191</v>
      </c>
      <c r="AO44" s="105" t="s">
        <v>17</v>
      </c>
      <c r="AP44" s="81"/>
      <c r="AQ44" s="26"/>
    </row>
    <row r="45" spans="1:43" ht="25.2" customHeight="1" x14ac:dyDescent="0.15">
      <c r="A45" s="25" t="s">
        <v>284</v>
      </c>
      <c r="B45" s="47" t="s">
        <v>210</v>
      </c>
      <c r="C45" s="47"/>
      <c r="D45" s="47" t="s">
        <v>219</v>
      </c>
      <c r="E45" s="88" t="s">
        <v>146</v>
      </c>
      <c r="F45" s="47" t="s">
        <v>301</v>
      </c>
      <c r="G45" s="40"/>
      <c r="H45" s="111">
        <v>1</v>
      </c>
      <c r="I45" s="52">
        <f t="shared" si="6"/>
        <v>1.8723999999999998</v>
      </c>
      <c r="J45" s="148" cm="1">
        <f t="array" ref="J45">IF(AB45="N/A","",_xlfn.IFS(X45="m2",((Z45/(Y45/AK45))*H45),X45="m3",((Z45/(Y45/AK45))*H45),X45="kg",(((Z45*AL45)/(1/AK45))*H45),X45="ton",(((Z45/1000*AL45)/(1/AK45))*H45),X45="N/A",""))</f>
        <v>1.8723999999999998</v>
      </c>
      <c r="K45" s="52">
        <f t="shared" si="7"/>
        <v>1.23</v>
      </c>
      <c r="L45" s="155" cm="1">
        <f t="array" ref="L45">(_xlfn.IFS(X45="m2",((AA45/(Y45/AK45))*H45),X45="m3",((AA45/(Y45/AK45))*H45),X45="kg",(((AA45*AL45)/(1/AK45))*H45),X45="ton",(((AA45/1000*AL45)/(1/AK45))*H45),X45="N/A",""))</f>
        <v>1.23</v>
      </c>
      <c r="M45" s="52">
        <f t="shared" si="8"/>
        <v>0.64239999999999997</v>
      </c>
      <c r="N45" s="148" cm="1">
        <f t="array" ref="N45">IF(AB45="N/A","",_xlfn.IFS(X45="m2",((AB45/(Y45/AK45))*H45),X45="m3",((AB45/(Y45/AK45))*H45),X45="kg",(((AB45*AL45)/(1/AK45))*H45),X45="ton",(((AB45/1000*AL45)/(1/AK45))*H45),X45="N/A",""))</f>
        <v>0.64239999999999997</v>
      </c>
      <c r="O45" s="52">
        <f t="shared" si="9"/>
        <v>-0.73099999999999998</v>
      </c>
      <c r="P45" s="148" cm="1">
        <f t="array" ref="P45">IF(AD45="N/A","",_xlfn.IFS(X45="m2",((AD45/(Y45/AK45))*H45),X45="m3",((AD45/(Y45/AK45))*H45),X45="kg",(((AD45*AL45)/(1/AK45))*H45),X45="ton",(((AD45/1000*AL45)/(1/AK45))*H45),X45="N/A",""))</f>
        <v>-0.73099999999999998</v>
      </c>
      <c r="Q45" s="88" t="s">
        <v>5</v>
      </c>
      <c r="R45" s="165"/>
      <c r="S45" s="47">
        <v>2027</v>
      </c>
      <c r="T45" s="47" t="s">
        <v>28</v>
      </c>
      <c r="U45" s="47">
        <v>60</v>
      </c>
      <c r="W45" s="47" t="s">
        <v>606</v>
      </c>
      <c r="X45" s="52" t="s">
        <v>15</v>
      </c>
      <c r="Y45" s="47">
        <v>1.2500000000000001E-2</v>
      </c>
      <c r="Z45" s="52">
        <f t="shared" si="10"/>
        <v>1.8723999999999998</v>
      </c>
      <c r="AA45" s="52">
        <v>1.23</v>
      </c>
      <c r="AB45" s="52">
        <f>0.0544+0.588</f>
        <v>0.64239999999999997</v>
      </c>
      <c r="AC45" s="52">
        <v>-0.216</v>
      </c>
      <c r="AD45" s="52">
        <v>-0.73099999999999998</v>
      </c>
      <c r="AE45" s="40"/>
      <c r="AF45" s="103" t="str">
        <f t="shared" si="11"/>
        <v>A2 s1
d0</v>
      </c>
      <c r="AG45" s="75" t="s">
        <v>214</v>
      </c>
      <c r="AH45" s="121" t="s">
        <v>176</v>
      </c>
      <c r="AI45" s="120"/>
      <c r="AJ45" s="45"/>
      <c r="AK45" s="47">
        <v>1.2500000000000001E-2</v>
      </c>
      <c r="AL45" s="47">
        <v>976</v>
      </c>
      <c r="AM45" s="47" t="s">
        <v>191</v>
      </c>
      <c r="AN45" s="45"/>
      <c r="AO45" s="105" t="s">
        <v>17</v>
      </c>
      <c r="AP45" s="73"/>
      <c r="AQ45" s="26"/>
    </row>
    <row r="46" spans="1:43" ht="25.2" customHeight="1" x14ac:dyDescent="0.15">
      <c r="A46" s="25" t="s">
        <v>285</v>
      </c>
      <c r="B46" s="47" t="s">
        <v>210</v>
      </c>
      <c r="C46" s="47"/>
      <c r="D46" s="47" t="s">
        <v>219</v>
      </c>
      <c r="E46" s="88" t="s">
        <v>146</v>
      </c>
      <c r="F46" s="47" t="s">
        <v>301</v>
      </c>
      <c r="G46" s="40"/>
      <c r="H46" s="111">
        <v>1</v>
      </c>
      <c r="I46" s="52">
        <f t="shared" si="6"/>
        <v>2.2331000000000003</v>
      </c>
      <c r="J46" s="148" cm="1">
        <f t="array" ref="J46">IF(AB46="N/A","",_xlfn.IFS(X46="m2",((Z46/(Y46/AK46))*H46),X46="m3",((Z46/(Y46/AK46))*H46),X46="kg",(((Z46*AL46)/(1/AK46))*H46),X46="ton",(((Z46/1000*AL46)/(1/AK46))*H46),X46="N/A",""))</f>
        <v>2.2331000000000003</v>
      </c>
      <c r="K46" s="52">
        <f t="shared" si="7"/>
        <v>1.56</v>
      </c>
      <c r="L46" s="155" cm="1">
        <f t="array" ref="L46">(_xlfn.IFS(X46="m2",((AA46/(Y46/AK46))*H46),X46="m3",((AA46/(Y46/AK46))*H46),X46="kg",(((AA46*AL46)/(1/AK46))*H46),X46="ton",(((AA46/1000*AL46)/(1/AK46))*H46),X46="N/A",""))</f>
        <v>1.56</v>
      </c>
      <c r="M46" s="52">
        <f t="shared" si="8"/>
        <v>0.67310000000000003</v>
      </c>
      <c r="N46" s="148" cm="1">
        <f t="array" ref="N46">IF(AB46="N/A","",_xlfn.IFS(X46="m2",((AB46/(Y46/AK46))*H46),X46="m3",((AB46/(Y46/AK46))*H46),X46="kg",(((AB46*AL46)/(1/AK46))*H46),X46="ton",(((AB46/1000*AL46)/(1/AK46))*H46),X46="N/A",""))</f>
        <v>0.67310000000000003</v>
      </c>
      <c r="O46" s="52">
        <f t="shared" si="9"/>
        <v>-0.73399999999999999</v>
      </c>
      <c r="P46" s="148" cm="1">
        <f t="array" ref="P46">IF(AD46="N/A","",_xlfn.IFS(X46="m2",((AD46/(Y46/AK46))*H46),X46="m3",((AD46/(Y46/AK46))*H46),X46="kg",(((AD46*AL46)/(1/AK46))*H46),X46="ton",(((AD46/1000*AL46)/(1/AK46))*H46),X46="N/A",""))</f>
        <v>-0.73399999999999999</v>
      </c>
      <c r="Q46" s="88" t="s">
        <v>5</v>
      </c>
      <c r="R46" s="165"/>
      <c r="S46" s="47">
        <v>2027</v>
      </c>
      <c r="T46" s="47" t="s">
        <v>28</v>
      </c>
      <c r="U46" s="47">
        <v>60</v>
      </c>
      <c r="W46" s="47" t="s">
        <v>607</v>
      </c>
      <c r="X46" s="52" t="s">
        <v>15</v>
      </c>
      <c r="Y46" s="47">
        <v>1.2500000000000001E-2</v>
      </c>
      <c r="Z46" s="52">
        <f t="shared" si="10"/>
        <v>2.2331000000000003</v>
      </c>
      <c r="AA46" s="52">
        <v>1.56</v>
      </c>
      <c r="AB46" s="52">
        <f>0.0491+0.624</f>
        <v>0.67310000000000003</v>
      </c>
      <c r="AC46" s="52">
        <v>-0.22800000000000001</v>
      </c>
      <c r="AD46" s="52">
        <v>-0.73399999999999999</v>
      </c>
      <c r="AE46" s="40"/>
      <c r="AF46" s="103" t="str">
        <f t="shared" si="11"/>
        <v>A2 s1
d0</v>
      </c>
      <c r="AG46" s="75" t="s">
        <v>214</v>
      </c>
      <c r="AH46" s="121" t="s">
        <v>176</v>
      </c>
      <c r="AI46" s="120"/>
      <c r="AJ46" s="45"/>
      <c r="AK46" s="47">
        <v>1.2500000000000001E-2</v>
      </c>
      <c r="AL46" s="47">
        <v>1000</v>
      </c>
      <c r="AM46" s="47" t="s">
        <v>191</v>
      </c>
      <c r="AN46" s="45"/>
      <c r="AO46" s="105" t="s">
        <v>17</v>
      </c>
      <c r="AP46" s="73"/>
      <c r="AQ46" s="26"/>
    </row>
    <row r="47" spans="1:43" ht="25.2" customHeight="1" x14ac:dyDescent="0.15">
      <c r="A47" s="25" t="s">
        <v>1105</v>
      </c>
      <c r="B47" s="47" t="s">
        <v>208</v>
      </c>
      <c r="C47" s="47"/>
      <c r="D47" s="47" t="s">
        <v>97</v>
      </c>
      <c r="E47" s="82" t="s">
        <v>146</v>
      </c>
      <c r="F47" s="47" t="s">
        <v>132</v>
      </c>
      <c r="H47" s="111">
        <v>1</v>
      </c>
      <c r="I47" s="52">
        <f t="shared" si="6"/>
        <v>4.2899999999999974</v>
      </c>
      <c r="J47" s="148" cm="1">
        <f t="array" ref="J47">IF(AB47="N/A","",_xlfn.IFS(X47="m2",((Z47/(Y47/AK47))*H47),X47="m3",((Z47/(Y47/AK47))*H47),X47="kg",(((Z47*AL47)/(1/AK47))*H47),X47="ton",(((Z47/1000*AL47)/(1/AK47))*H47),X47="N/A",""))</f>
        <v>4.2899999999999974</v>
      </c>
      <c r="K47" s="52">
        <f t="shared" si="7"/>
        <v>-19.448</v>
      </c>
      <c r="L47" s="155" cm="1">
        <f t="array" ref="L47">(_xlfn.IFS(X47="m2",((AA47/(Y47/AK47))*H47),X47="m3",((AA47/(Y47/AK47))*H47),X47="kg",(((AA47*AL47)/(1/AK47))*H47),X47="ton",(((AA47/1000*AL47)/(1/AK47))*H47),X47="N/A",""))</f>
        <v>-19.448</v>
      </c>
      <c r="M47" s="52">
        <f t="shared" si="8"/>
        <v>23.737999999999996</v>
      </c>
      <c r="N47" s="148" cm="1">
        <f t="array" ref="N47">IF(AB47="N/A","",_xlfn.IFS(X47="m2",((AB47/(Y47/AK47))*H47),X47="m3",((AB47/(Y47/AK47))*H47),X47="kg",(((AB47*AL47)/(1/AK47))*H47),X47="ton",(((AB47/1000*AL47)/(1/AK47))*H47),X47="N/A",""))</f>
        <v>23.737999999999996</v>
      </c>
      <c r="O47" s="52" t="str">
        <f t="shared" si="9"/>
        <v>N/A</v>
      </c>
      <c r="P47" s="148" t="str" cm="1">
        <f t="array" ref="P47">IF(AD47="N/A","",_xlfn.IFS(X47="m2",((AD47/(Y47/AK47))*H47),X47="m3",((AD47/(Y47/AK47))*H47),X47="kg",(((AD47*AL47)/(1/AK47))*H47),X47="ton",(((AD47/1000*AL47)/(1/AK47))*H47),X47="N/A",""))</f>
        <v/>
      </c>
      <c r="Q47" s="82" t="s">
        <v>5</v>
      </c>
      <c r="R47" s="164"/>
      <c r="S47" s="47">
        <v>2026</v>
      </c>
      <c r="T47" s="47" t="s">
        <v>14</v>
      </c>
      <c r="U47" s="47" t="s">
        <v>191</v>
      </c>
      <c r="W47" s="47" t="s">
        <v>591</v>
      </c>
      <c r="X47" s="47" t="s">
        <v>61</v>
      </c>
      <c r="Y47" s="47" t="s">
        <v>191</v>
      </c>
      <c r="Z47" s="52">
        <f t="shared" si="10"/>
        <v>0.29999999999999982</v>
      </c>
      <c r="AA47" s="52">
        <v>-1.36</v>
      </c>
      <c r="AB47" s="52">
        <f>1.66+0</f>
        <v>1.66</v>
      </c>
      <c r="AC47" s="52">
        <v>-0.92100000000000004</v>
      </c>
      <c r="AD47" s="52" t="s">
        <v>191</v>
      </c>
      <c r="AF47" s="103" t="str">
        <f t="shared" si="11"/>
        <v>D s2
d0</v>
      </c>
      <c r="AG47" s="75" t="s">
        <v>8</v>
      </c>
      <c r="AH47" s="83" t="s">
        <v>177</v>
      </c>
      <c r="AI47" s="96"/>
      <c r="AK47" s="47">
        <v>2.1999999999999999E-2</v>
      </c>
      <c r="AL47" s="47">
        <f>(550+750)/2</f>
        <v>650</v>
      </c>
      <c r="AM47" s="47" t="s">
        <v>191</v>
      </c>
      <c r="AO47" s="105" t="s">
        <v>17</v>
      </c>
      <c r="AP47" s="73"/>
      <c r="AQ47" s="26"/>
    </row>
    <row r="48" spans="1:43" ht="25.2" customHeight="1" x14ac:dyDescent="0.15">
      <c r="A48" s="25" t="s">
        <v>69</v>
      </c>
      <c r="B48" s="47" t="s">
        <v>208</v>
      </c>
      <c r="C48" s="47"/>
      <c r="D48" s="47" t="s">
        <v>66</v>
      </c>
      <c r="E48" s="82" t="s">
        <v>146</v>
      </c>
      <c r="F48" s="47" t="s">
        <v>67</v>
      </c>
      <c r="H48" s="111">
        <v>1</v>
      </c>
      <c r="I48" s="52">
        <f t="shared" si="6"/>
        <v>2.0295179999999999</v>
      </c>
      <c r="J48" s="148" cm="1">
        <f t="array" ref="J48">IF(AB48="N/A","",_xlfn.IFS(X48="m2",((Z48/(Y48/AK48))*H48),X48="m3",((Z48/(Y48/AK48))*H48),X48="kg",(((Z48*AL48)/(1/AK48))*H48),X48="ton",(((Z48/1000*AL48)/(1/AK48))*H48),X48="N/A",""))</f>
        <v>2.0295179999999999</v>
      </c>
      <c r="K48" s="52">
        <f t="shared" si="7"/>
        <v>-1.8421019999999999</v>
      </c>
      <c r="L48" s="155" cm="1">
        <f t="array" ref="L48">(_xlfn.IFS(X48="m2",((AA48/(Y48/AK48))*H48),X48="m3",((AA48/(Y48/AK48))*H48),X48="kg",(((AA48*AL48)/(1/AK48))*H48),X48="ton",(((AA48/1000*AL48)/(1/AK48))*H48),X48="N/A",""))</f>
        <v>-1.8421019999999999</v>
      </c>
      <c r="M48" s="52">
        <f t="shared" si="8"/>
        <v>3.8716200000000001</v>
      </c>
      <c r="N48" s="148" cm="1">
        <f t="array" ref="N48">IF(AB48="N/A","",_xlfn.IFS(X48="m2",((AB48/(Y48/AK48))*H48),X48="m3",((AB48/(Y48/AK48))*H48),X48="kg",(((AB48*AL48)/(1/AK48))*H48),X48="ton",(((AB48/1000*AL48)/(1/AK48))*H48),X48="N/A",""))</f>
        <v>3.8716200000000001</v>
      </c>
      <c r="O48" s="52">
        <f t="shared" si="9"/>
        <v>-2.8852199999999999</v>
      </c>
      <c r="P48" s="148" cm="1">
        <f t="array" ref="P48">IF(AD48="N/A","",_xlfn.IFS(X48="m2",((AD48/(Y48/AK48))*H48),X48="m3",((AD48/(Y48/AK48))*H48),X48="kg",(((AD48*AL48)/(1/AK48))*H48),X48="ton",(((AD48/1000*AL48)/(1/AK48))*H48),X48="N/A",""))</f>
        <v>-2.8852199999999999</v>
      </c>
      <c r="Q48" s="82" t="s">
        <v>5</v>
      </c>
      <c r="R48" s="164"/>
      <c r="S48" s="47">
        <v>2026</v>
      </c>
      <c r="T48" s="47" t="s">
        <v>28</v>
      </c>
      <c r="U48" s="47" t="s">
        <v>191</v>
      </c>
      <c r="W48" s="47" t="s">
        <v>592</v>
      </c>
      <c r="X48" s="47" t="s">
        <v>61</v>
      </c>
      <c r="Y48" s="47" t="s">
        <v>191</v>
      </c>
      <c r="Z48" s="52">
        <f t="shared" si="10"/>
        <v>0.82300000000000006</v>
      </c>
      <c r="AA48" s="52">
        <v>-0.747</v>
      </c>
      <c r="AB48" s="52">
        <f>1.57+0</f>
        <v>1.57</v>
      </c>
      <c r="AC48" s="52">
        <v>-0.35199999999999998</v>
      </c>
      <c r="AD48" s="52">
        <v>-1.17</v>
      </c>
      <c r="AE48" s="19"/>
      <c r="AF48" s="103" t="str">
        <f t="shared" si="11"/>
        <v xml:space="preserve">F </v>
      </c>
      <c r="AG48" s="75" t="s">
        <v>82</v>
      </c>
      <c r="AH48" s="76"/>
      <c r="AI48" s="96"/>
      <c r="AK48" s="47">
        <v>1.7999999999999999E-2</v>
      </c>
      <c r="AL48" s="47">
        <v>137</v>
      </c>
      <c r="AM48" s="47" t="s">
        <v>191</v>
      </c>
      <c r="AO48" s="80" t="s">
        <v>17</v>
      </c>
      <c r="AP48" s="73"/>
      <c r="AQ48" s="26"/>
    </row>
    <row r="49" spans="1:43" ht="25.2" customHeight="1" x14ac:dyDescent="0.15">
      <c r="A49" s="25" t="s">
        <v>68</v>
      </c>
      <c r="B49" s="47" t="s">
        <v>208</v>
      </c>
      <c r="C49" s="47"/>
      <c r="D49" s="47" t="s">
        <v>66</v>
      </c>
      <c r="E49" s="82" t="s">
        <v>146</v>
      </c>
      <c r="F49" s="47" t="s">
        <v>67</v>
      </c>
      <c r="H49" s="111">
        <v>1</v>
      </c>
      <c r="I49" s="52">
        <f t="shared" si="6"/>
        <v>4.51004</v>
      </c>
      <c r="J49" s="148" cm="1">
        <f t="array" ref="J49">IF(AB49="N/A","",_xlfn.IFS(X49="m2",((Z49/(Y49/AK49))*H49),X49="m3",((Z49/(Y49/AK49))*H49),X49="kg",(((Z49*AL49)/(1/AK49))*H49),X49="ton",(((Z49/1000*AL49)/(1/AK49))*H49),X49="N/A",""))</f>
        <v>4.51004</v>
      </c>
      <c r="K49" s="52">
        <f t="shared" si="7"/>
        <v>-4.0935600000000001</v>
      </c>
      <c r="L49" s="155" cm="1">
        <f t="array" ref="L49">(_xlfn.IFS(X49="m2",((AA49/(Y49/AK49))*H49),X49="m3",((AA49/(Y49/AK49))*H49),X49="kg",(((AA49*AL49)/(1/AK49))*H49),X49="ton",(((AA49/1000*AL49)/(1/AK49))*H49),X49="N/A",""))</f>
        <v>-4.0935600000000001</v>
      </c>
      <c r="M49" s="52">
        <f t="shared" si="8"/>
        <v>8.6036000000000001</v>
      </c>
      <c r="N49" s="148" cm="1">
        <f t="array" ref="N49">IF(AB49="N/A","",_xlfn.IFS(X49="m2",((AB49/(Y49/AK49))*H49),X49="m3",((AB49/(Y49/AK49))*H49),X49="kg",(((AB49*AL49)/(1/AK49))*H49),X49="ton",(((AB49/1000*AL49)/(1/AK49))*H49),X49="N/A",""))</f>
        <v>8.6036000000000001</v>
      </c>
      <c r="O49" s="52">
        <f t="shared" si="9"/>
        <v>-6.4116</v>
      </c>
      <c r="P49" s="148" cm="1">
        <f t="array" ref="P49">IF(AD49="N/A","",_xlfn.IFS(X49="m2",((AD49/(Y49/AK49))*H49),X49="m3",((AD49/(Y49/AK49))*H49),X49="kg",(((AD49*AL49)/(1/AK49))*H49),X49="ton",(((AD49/1000*AL49)/(1/AK49))*H49),X49="N/A",""))</f>
        <v>-6.4116</v>
      </c>
      <c r="Q49" s="82" t="s">
        <v>5</v>
      </c>
      <c r="R49" s="164"/>
      <c r="S49" s="47">
        <v>2026</v>
      </c>
      <c r="T49" s="47" t="s">
        <v>28</v>
      </c>
      <c r="U49" s="47" t="s">
        <v>191</v>
      </c>
      <c r="W49" s="47" t="s">
        <v>592</v>
      </c>
      <c r="X49" s="47" t="s">
        <v>61</v>
      </c>
      <c r="Y49" s="47" t="s">
        <v>191</v>
      </c>
      <c r="Z49" s="52">
        <f t="shared" si="10"/>
        <v>0.82300000000000006</v>
      </c>
      <c r="AA49" s="52">
        <v>-0.747</v>
      </c>
      <c r="AB49" s="52">
        <f>1.57+0</f>
        <v>1.57</v>
      </c>
      <c r="AC49" s="52">
        <v>-0.35199999999999998</v>
      </c>
      <c r="AD49" s="52">
        <v>-1.17</v>
      </c>
      <c r="AE49" s="19"/>
      <c r="AF49" s="103" t="str">
        <f t="shared" si="11"/>
        <v xml:space="preserve">F </v>
      </c>
      <c r="AG49" s="75" t="s">
        <v>82</v>
      </c>
      <c r="AH49" s="76"/>
      <c r="AI49" s="96"/>
      <c r="AK49" s="47">
        <v>0.04</v>
      </c>
      <c r="AL49" s="47">
        <v>137</v>
      </c>
      <c r="AM49" s="47" t="s">
        <v>191</v>
      </c>
      <c r="AO49" s="80" t="s">
        <v>17</v>
      </c>
      <c r="AP49" s="73"/>
      <c r="AQ49" s="31"/>
    </row>
    <row r="50" spans="1:43" ht="25.2" customHeight="1" x14ac:dyDescent="0.15">
      <c r="A50" s="25" t="s">
        <v>65</v>
      </c>
      <c r="B50" s="47" t="s">
        <v>208</v>
      </c>
      <c r="C50" s="47"/>
      <c r="D50" s="47" t="s">
        <v>66</v>
      </c>
      <c r="E50" s="82" t="s">
        <v>146</v>
      </c>
      <c r="F50" s="47" t="s">
        <v>67</v>
      </c>
      <c r="H50" s="111">
        <v>1</v>
      </c>
      <c r="I50" s="52">
        <f t="shared" si="6"/>
        <v>5.7243200000000005</v>
      </c>
      <c r="J50" s="148" cm="1">
        <f t="array" ref="J50">IF(AB50="N/A","",_xlfn.IFS(X50="m2",((Z50/(Y50/AK50))*H50),X50="m3",((Z50/(Y50/AK50))*H50),X50="kg",(((Z50*AL50)/(1/AK50))*H50),X50="ton",(((Z50/1000*AL50)/(1/AK50))*H50),X50="N/A",""))</f>
        <v>5.7243200000000005</v>
      </c>
      <c r="K50" s="52">
        <f t="shared" si="7"/>
        <v>-1.93648</v>
      </c>
      <c r="L50" s="155" cm="1">
        <f t="array" ref="L50">(_xlfn.IFS(X50="m2",((AA50/(Y50/AK50))*H50),X50="m3",((AA50/(Y50/AK50))*H50),X50="kg",(((AA50*AL50)/(1/AK50))*H50),X50="ton",(((AA50/1000*AL50)/(1/AK50))*H50),X50="N/A",""))</f>
        <v>-1.93648</v>
      </c>
      <c r="M50" s="52">
        <f t="shared" si="8"/>
        <v>7.6607999999999992</v>
      </c>
      <c r="N50" s="148" cm="1">
        <f t="array" ref="N50">IF(AB50="N/A","",_xlfn.IFS(X50="m2",((AB50/(Y50/AK50))*H50),X50="m3",((AB50/(Y50/AK50))*H50),X50="kg",(((AB50*AL50)/(1/AK50))*H50),X50="ton",(((AB50/1000*AL50)/(1/AK50))*H50),X50="N/A",""))</f>
        <v>7.6607999999999992</v>
      </c>
      <c r="O50" s="52">
        <f t="shared" si="9"/>
        <v>-5.0167599999999997</v>
      </c>
      <c r="P50" s="148" cm="1">
        <f t="array" ref="P50">IF(AD50="N/A","",_xlfn.IFS(X50="m2",((AD50/(Y50/AK50))*H50),X50="m3",((AD50/(Y50/AK50))*H50),X50="kg",(((AD50*AL50)/(1/AK50))*H50),X50="ton",(((AD50/1000*AL50)/(1/AK50))*H50),X50="N/A",""))</f>
        <v>-5.0167599999999997</v>
      </c>
      <c r="Q50" s="82" t="s">
        <v>5</v>
      </c>
      <c r="R50" s="164"/>
      <c r="S50" s="47">
        <v>2026</v>
      </c>
      <c r="T50" s="47" t="s">
        <v>28</v>
      </c>
      <c r="U50" s="47" t="s">
        <v>191</v>
      </c>
      <c r="W50" s="47" t="s">
        <v>592</v>
      </c>
      <c r="X50" s="47" t="s">
        <v>61</v>
      </c>
      <c r="Y50" s="47" t="s">
        <v>191</v>
      </c>
      <c r="Z50" s="52">
        <f t="shared" si="10"/>
        <v>1.0760000000000001</v>
      </c>
      <c r="AA50" s="52">
        <v>-0.36399999999999999</v>
      </c>
      <c r="AB50" s="52">
        <f>1.44+0</f>
        <v>1.44</v>
      </c>
      <c r="AC50" s="52">
        <v>-0.318</v>
      </c>
      <c r="AD50" s="52">
        <v>-0.94299999999999995</v>
      </c>
      <c r="AE50" s="19"/>
      <c r="AF50" s="103" t="str">
        <f t="shared" si="11"/>
        <v>C s1
d1</v>
      </c>
      <c r="AG50" s="75" t="s">
        <v>184</v>
      </c>
      <c r="AH50" s="83" t="s">
        <v>185</v>
      </c>
      <c r="AI50" s="96"/>
      <c r="AK50" s="47">
        <v>0.04</v>
      </c>
      <c r="AL50" s="47">
        <v>133</v>
      </c>
      <c r="AM50" s="47" t="s">
        <v>191</v>
      </c>
      <c r="AO50" s="80" t="s">
        <v>17</v>
      </c>
      <c r="AP50" s="73"/>
    </row>
    <row r="51" spans="1:43" ht="25.2" customHeight="1" x14ac:dyDescent="0.15">
      <c r="A51" s="25" t="s">
        <v>115</v>
      </c>
      <c r="B51" s="47" t="s">
        <v>208</v>
      </c>
      <c r="C51" s="47"/>
      <c r="D51" s="47" t="s">
        <v>113</v>
      </c>
      <c r="E51" s="47" t="s">
        <v>191</v>
      </c>
      <c r="F51" s="47" t="s">
        <v>132</v>
      </c>
      <c r="H51" s="111">
        <v>1</v>
      </c>
      <c r="I51" s="52" t="str">
        <f t="shared" si="6"/>
        <v>N/A</v>
      </c>
      <c r="J51" s="148" t="str" cm="1">
        <f t="array" ref="J51">IF(AB51="N/A","",_xlfn.IFS(X51="m2",((Z51/(Y51/AK51))*H51),X51="m3",((Z51/(Y51/AK51))*H51),X51="kg",(((Z51*AL51)/(1/AK51))*H51),X51="ton",(((Z51/1000*AL51)/(1/AK51))*H51),X51="N/A",""))</f>
        <v/>
      </c>
      <c r="K51" s="52" t="str">
        <f t="shared" si="7"/>
        <v>N/A</v>
      </c>
      <c r="L51" s="155" t="str" cm="1">
        <f t="array" ref="L51">(_xlfn.IFS(X51="m2",((AA51/(Y51/AK51))*H51),X51="m3",((AA51/(Y51/AK51))*H51),X51="kg",(((AA51*AL51)/(1/AK51))*H51),X51="ton",(((AA51/1000*AL51)/(1/AK51))*H51),X51="N/A",""))</f>
        <v/>
      </c>
      <c r="M51" s="52" t="str">
        <f t="shared" si="8"/>
        <v>N/A</v>
      </c>
      <c r="N51" s="148" t="str" cm="1">
        <f t="array" ref="N51">IF(AB51="N/A","",_xlfn.IFS(X51="m2",((AB51/(Y51/AK51))*H51),X51="m3",((AB51/(Y51/AK51))*H51),X51="kg",(((AB51*AL51)/(1/AK51))*H51),X51="ton",(((AB51/1000*AL51)/(1/AK51))*H51),X51="N/A",""))</f>
        <v/>
      </c>
      <c r="O51" s="52" t="str">
        <f t="shared" si="9"/>
        <v>N/A</v>
      </c>
      <c r="P51" s="148" t="str" cm="1">
        <f t="array" ref="P51">IF(AD51="N/A","",_xlfn.IFS(X51="m2",((AD51/(Y51/AK51))*H51),X51="m3",((AD51/(Y51/AK51))*H51),X51="kg",(((AD51*AL51)/(1/AK51))*H51),X51="ton",(((AD51/1000*AL51)/(1/AK51))*H51),X51="N/A",""))</f>
        <v/>
      </c>
      <c r="Q51" s="47" t="s">
        <v>191</v>
      </c>
      <c r="R51" s="47"/>
      <c r="S51" s="47" t="s">
        <v>191</v>
      </c>
      <c r="T51" s="47" t="s">
        <v>191</v>
      </c>
      <c r="U51" s="47" t="s">
        <v>191</v>
      </c>
      <c r="W51" s="47" t="s">
        <v>191</v>
      </c>
      <c r="X51" s="47" t="s">
        <v>191</v>
      </c>
      <c r="Y51" s="47" t="s">
        <v>191</v>
      </c>
      <c r="Z51" s="52" t="str">
        <f t="shared" si="10"/>
        <v>N/A</v>
      </c>
      <c r="AA51" s="52" t="s">
        <v>191</v>
      </c>
      <c r="AB51" s="52" t="s">
        <v>191</v>
      </c>
      <c r="AC51" s="52" t="s">
        <v>191</v>
      </c>
      <c r="AD51" s="52" t="s">
        <v>191</v>
      </c>
      <c r="AF51" s="103" t="str">
        <f t="shared" si="11"/>
        <v xml:space="preserve">E </v>
      </c>
      <c r="AG51" s="75" t="s">
        <v>16</v>
      </c>
      <c r="AH51" s="76"/>
      <c r="AI51" s="96"/>
      <c r="AJ51" s="119"/>
      <c r="AK51" s="47" t="s">
        <v>191</v>
      </c>
      <c r="AL51" s="47">
        <v>200</v>
      </c>
      <c r="AM51" s="86">
        <v>2100</v>
      </c>
      <c r="AN51" s="119"/>
      <c r="AO51" s="105" t="s">
        <v>17</v>
      </c>
      <c r="AP51" s="73"/>
    </row>
    <row r="52" spans="1:43" ht="25.2" customHeight="1" x14ac:dyDescent="0.15">
      <c r="A52" s="25" t="s">
        <v>114</v>
      </c>
      <c r="B52" s="47" t="s">
        <v>208</v>
      </c>
      <c r="C52" s="47"/>
      <c r="D52" s="47" t="s">
        <v>113</v>
      </c>
      <c r="E52" s="47" t="s">
        <v>191</v>
      </c>
      <c r="F52" s="47" t="s">
        <v>132</v>
      </c>
      <c r="H52" s="111">
        <v>1</v>
      </c>
      <c r="I52" s="52" t="str">
        <f t="shared" si="6"/>
        <v>N/A</v>
      </c>
      <c r="J52" s="148" t="str" cm="1">
        <f t="array" ref="J52">IF(AB52="N/A","",_xlfn.IFS(X52="m2",((Z52/(Y52/AK52))*H52),X52="m3",((Z52/(Y52/AK52))*H52),X52="kg",(((Z52*AL52)/(1/AK52))*H52),X52="ton",(((Z52/1000*AL52)/(1/AK52))*H52),X52="N/A",""))</f>
        <v/>
      </c>
      <c r="K52" s="52" t="str">
        <f t="shared" si="7"/>
        <v>N/A</v>
      </c>
      <c r="L52" s="155" t="str" cm="1">
        <f t="array" ref="L52">(_xlfn.IFS(X52="m2",((AA52/(Y52/AK52))*H52),X52="m3",((AA52/(Y52/AK52))*H52),X52="kg",(((AA52*AL52)/(1/AK52))*H52),X52="ton",(((AA52/1000*AL52)/(1/AK52))*H52),X52="N/A",""))</f>
        <v/>
      </c>
      <c r="M52" s="52" t="str">
        <f t="shared" si="8"/>
        <v>N/A</v>
      </c>
      <c r="N52" s="148" t="str" cm="1">
        <f t="array" ref="N52">IF(AB52="N/A","",_xlfn.IFS(X52="m2",((AB52/(Y52/AK52))*H52),X52="m3",((AB52/(Y52/AK52))*H52),X52="kg",(((AB52*AL52)/(1/AK52))*H52),X52="ton",(((AB52/1000*AL52)/(1/AK52))*H52),X52="N/A",""))</f>
        <v/>
      </c>
      <c r="O52" s="52" t="str">
        <f t="shared" si="9"/>
        <v>N/A</v>
      </c>
      <c r="P52" s="148" t="str" cm="1">
        <f t="array" ref="P52">IF(AD52="N/A","",_xlfn.IFS(X52="m2",((AD52/(Y52/AK52))*H52),X52="m3",((AD52/(Y52/AK52))*H52),X52="kg",(((AD52*AL52)/(1/AK52))*H52),X52="ton",(((AD52/1000*AL52)/(1/AK52))*H52),X52="N/A",""))</f>
        <v/>
      </c>
      <c r="Q52" s="47" t="s">
        <v>191</v>
      </c>
      <c r="R52" s="47"/>
      <c r="S52" s="47" t="s">
        <v>191</v>
      </c>
      <c r="T52" s="47" t="s">
        <v>191</v>
      </c>
      <c r="U52" s="47" t="s">
        <v>191</v>
      </c>
      <c r="W52" s="47" t="s">
        <v>191</v>
      </c>
      <c r="X52" s="47" t="s">
        <v>191</v>
      </c>
      <c r="Y52" s="47" t="s">
        <v>191</v>
      </c>
      <c r="Z52" s="52" t="str">
        <f t="shared" si="10"/>
        <v>N/A</v>
      </c>
      <c r="AA52" s="52" t="s">
        <v>191</v>
      </c>
      <c r="AB52" s="52" t="s">
        <v>191</v>
      </c>
      <c r="AC52" s="52" t="s">
        <v>191</v>
      </c>
      <c r="AD52" s="52" t="s">
        <v>191</v>
      </c>
      <c r="AF52" s="103" t="str">
        <f t="shared" si="11"/>
        <v xml:space="preserve">E </v>
      </c>
      <c r="AG52" s="75" t="s">
        <v>16</v>
      </c>
      <c r="AH52" s="76"/>
      <c r="AI52" s="96"/>
      <c r="AJ52" s="119"/>
      <c r="AK52" s="47" t="s">
        <v>191</v>
      </c>
      <c r="AL52" s="47">
        <v>200</v>
      </c>
      <c r="AM52" s="86">
        <v>2100</v>
      </c>
      <c r="AN52" s="119"/>
      <c r="AO52" s="105" t="s">
        <v>17</v>
      </c>
      <c r="AP52" s="73"/>
    </row>
    <row r="53" spans="1:43" ht="25.2" customHeight="1" x14ac:dyDescent="0.15">
      <c r="A53" s="25" t="s">
        <v>321</v>
      </c>
      <c r="B53" s="47" t="s">
        <v>208</v>
      </c>
      <c r="C53" s="47"/>
      <c r="D53" s="47" t="s">
        <v>319</v>
      </c>
      <c r="E53" s="47" t="s">
        <v>191</v>
      </c>
      <c r="F53" s="47" t="s">
        <v>132</v>
      </c>
      <c r="G53" s="40"/>
      <c r="H53" s="111">
        <v>1</v>
      </c>
      <c r="I53" s="52" t="str">
        <f t="shared" si="6"/>
        <v>N/A</v>
      </c>
      <c r="J53" s="148" t="str" cm="1">
        <f t="array" ref="J53">IF(AB53="N/A","",_xlfn.IFS(X53="m2",((Z53/(Y53/AK53))*H53),X53="m3",((Z53/(Y53/AK53))*H53),X53="kg",(((Z53*AL53)/(1/AK53))*H53),X53="ton",(((Z53/1000*AL53)/(1/AK53))*H53),X53="N/A",""))</f>
        <v/>
      </c>
      <c r="K53" s="52" t="str">
        <f t="shared" si="7"/>
        <v>N/A</v>
      </c>
      <c r="L53" s="155" t="str" cm="1">
        <f t="array" ref="L53">(_xlfn.IFS(X53="m2",((AA53/(Y53/AK53))*H53),X53="m3",((AA53/(Y53/AK53))*H53),X53="kg",(((AA53*AL53)/(1/AK53))*H53),X53="ton",(((AA53/1000*AL53)/(1/AK53))*H53),X53="N/A",""))</f>
        <v/>
      </c>
      <c r="M53" s="52" t="str">
        <f t="shared" si="8"/>
        <v>N/A</v>
      </c>
      <c r="N53" s="148" t="str" cm="1">
        <f t="array" ref="N53">IF(AB53="N/A","",_xlfn.IFS(X53="m2",((AB53/(Y53/AK53))*H53),X53="m3",((AB53/(Y53/AK53))*H53),X53="kg",(((AB53*AL53)/(1/AK53))*H53),X53="ton",(((AB53/1000*AL53)/(1/AK53))*H53),X53="N/A",""))</f>
        <v/>
      </c>
      <c r="O53" s="52" t="str">
        <f t="shared" si="9"/>
        <v>N/A</v>
      </c>
      <c r="P53" s="148" t="str" cm="1">
        <f t="array" ref="P53">IF(AD53="N/A","",_xlfn.IFS(X53="m2",((AD53/(Y53/AK53))*H53),X53="m3",((AD53/(Y53/AK53))*H53),X53="kg",(((AD53*AL53)/(1/AK53))*H53),X53="ton",(((AD53/1000*AL53)/(1/AK53))*H53),X53="N/A",""))</f>
        <v/>
      </c>
      <c r="Q53" s="47" t="s">
        <v>191</v>
      </c>
      <c r="R53" s="47"/>
      <c r="S53" s="47" t="s">
        <v>191</v>
      </c>
      <c r="T53" s="47" t="s">
        <v>191</v>
      </c>
      <c r="U53" s="47" t="s">
        <v>191</v>
      </c>
      <c r="W53" s="47" t="s">
        <v>191</v>
      </c>
      <c r="X53" s="52" t="s">
        <v>191</v>
      </c>
      <c r="Y53" s="52" t="s">
        <v>191</v>
      </c>
      <c r="Z53" s="52" t="str">
        <f t="shared" si="10"/>
        <v>N/A</v>
      </c>
      <c r="AA53" s="52" t="s">
        <v>191</v>
      </c>
      <c r="AB53" s="52" t="s">
        <v>191</v>
      </c>
      <c r="AC53" s="52" t="s">
        <v>191</v>
      </c>
      <c r="AD53" s="52" t="s">
        <v>191</v>
      </c>
      <c r="AE53" s="40"/>
      <c r="AF53" s="103" t="str">
        <f t="shared" si="11"/>
        <v xml:space="preserve">F </v>
      </c>
      <c r="AG53" s="75" t="s">
        <v>82</v>
      </c>
      <c r="AH53" s="108"/>
      <c r="AI53" s="120"/>
      <c r="AJ53" s="45"/>
      <c r="AK53" s="52" t="s">
        <v>191</v>
      </c>
      <c r="AL53" s="47">
        <v>720</v>
      </c>
      <c r="AM53" s="47" t="s">
        <v>191</v>
      </c>
      <c r="AN53" s="45"/>
      <c r="AO53" s="105" t="s">
        <v>17</v>
      </c>
      <c r="AP53" s="106" t="s">
        <v>17</v>
      </c>
    </row>
    <row r="54" spans="1:43" ht="25.2" customHeight="1" x14ac:dyDescent="0.15">
      <c r="A54" s="25" t="s">
        <v>322</v>
      </c>
      <c r="B54" s="69" t="s">
        <v>208</v>
      </c>
      <c r="C54" s="73"/>
      <c r="D54" s="47" t="s">
        <v>319</v>
      </c>
      <c r="E54" s="47" t="s">
        <v>191</v>
      </c>
      <c r="F54" s="47" t="s">
        <v>132</v>
      </c>
      <c r="G54" s="40"/>
      <c r="H54" s="111">
        <v>1</v>
      </c>
      <c r="I54" s="52" t="str">
        <f t="shared" si="6"/>
        <v>N/A</v>
      </c>
      <c r="J54" s="148" t="str" cm="1">
        <f t="array" ref="J54">IF(AB54="N/A","",_xlfn.IFS(X54="m2",((Z54/(Y54/AK54))*H54),X54="m3",((Z54/(Y54/AK54))*H54),X54="kg",(((Z54*AL54)/(1/AK54))*H54),X54="ton",(((Z54/1000*AL54)/(1/AK54))*H54),X54="N/A",""))</f>
        <v/>
      </c>
      <c r="K54" s="52" t="str">
        <f t="shared" si="7"/>
        <v>N/A</v>
      </c>
      <c r="L54" s="155" t="str" cm="1">
        <f t="array" ref="L54">(_xlfn.IFS(X54="m2",((AA54/(Y54/AK54))*H54),X54="m3",((AA54/(Y54/AK54))*H54),X54="kg",(((AA54*AL54)/(1/AK54))*H54),X54="ton",(((AA54/1000*AL54)/(1/AK54))*H54),X54="N/A",""))</f>
        <v/>
      </c>
      <c r="M54" s="52" t="str">
        <f t="shared" si="8"/>
        <v>N/A</v>
      </c>
      <c r="N54" s="148" t="str" cm="1">
        <f t="array" ref="N54">IF(AB54="N/A","",_xlfn.IFS(X54="m2",((AB54/(Y54/AK54))*H54),X54="m3",((AB54/(Y54/AK54))*H54),X54="kg",(((AB54*AL54)/(1/AK54))*H54),X54="ton",(((AB54/1000*AL54)/(1/AK54))*H54),X54="N/A",""))</f>
        <v/>
      </c>
      <c r="O54" s="52" t="str">
        <f t="shared" si="9"/>
        <v>N/A</v>
      </c>
      <c r="P54" s="148" t="str" cm="1">
        <f t="array" ref="P54">IF(AD54="N/A","",_xlfn.IFS(X54="m2",((AD54/(Y54/AK54))*H54),X54="m3",((AD54/(Y54/AK54))*H54),X54="kg",(((AD54*AL54)/(1/AK54))*H54),X54="ton",(((AD54/1000*AL54)/(1/AK54))*H54),X54="N/A",""))</f>
        <v/>
      </c>
      <c r="Q54" s="47" t="s">
        <v>191</v>
      </c>
      <c r="R54" s="47"/>
      <c r="S54" s="47" t="s">
        <v>191</v>
      </c>
      <c r="T54" s="47" t="s">
        <v>191</v>
      </c>
      <c r="U54" s="47" t="s">
        <v>191</v>
      </c>
      <c r="W54" s="47" t="s">
        <v>191</v>
      </c>
      <c r="X54" s="52" t="s">
        <v>191</v>
      </c>
      <c r="Y54" s="52" t="s">
        <v>191</v>
      </c>
      <c r="Z54" s="52" t="str">
        <f t="shared" si="10"/>
        <v>N/A</v>
      </c>
      <c r="AA54" s="52" t="s">
        <v>191</v>
      </c>
      <c r="AB54" s="52" t="s">
        <v>191</v>
      </c>
      <c r="AC54" s="52" t="s">
        <v>191</v>
      </c>
      <c r="AD54" s="52" t="s">
        <v>191</v>
      </c>
      <c r="AE54" s="40"/>
      <c r="AF54" s="103" t="str">
        <f t="shared" si="11"/>
        <v xml:space="preserve">F </v>
      </c>
      <c r="AG54" s="75" t="s">
        <v>82</v>
      </c>
      <c r="AH54" s="108"/>
      <c r="AI54" s="120"/>
      <c r="AJ54" s="45"/>
      <c r="AK54" s="52" t="s">
        <v>191</v>
      </c>
      <c r="AL54" s="47">
        <v>720</v>
      </c>
      <c r="AM54" s="47" t="s">
        <v>191</v>
      </c>
      <c r="AN54" s="45"/>
      <c r="AO54" s="105" t="s">
        <v>17</v>
      </c>
      <c r="AP54" s="106" t="s">
        <v>17</v>
      </c>
    </row>
    <row r="55" spans="1:43" ht="25.2" customHeight="1" x14ac:dyDescent="0.15">
      <c r="A55" s="25" t="s">
        <v>323</v>
      </c>
      <c r="B55" s="47" t="s">
        <v>208</v>
      </c>
      <c r="C55" s="47"/>
      <c r="D55" s="47" t="s">
        <v>319</v>
      </c>
      <c r="E55" s="47" t="s">
        <v>191</v>
      </c>
      <c r="F55" s="47" t="s">
        <v>132</v>
      </c>
      <c r="G55" s="40"/>
      <c r="H55" s="111">
        <v>1</v>
      </c>
      <c r="I55" s="52" t="str">
        <f t="shared" si="6"/>
        <v>N/A</v>
      </c>
      <c r="J55" s="148" t="str" cm="1">
        <f t="array" ref="J55">IF(AB55="N/A","",_xlfn.IFS(X55="m2",((Z55/(Y55/AK55))*H55),X55="m3",((Z55/(Y55/AK55))*H55),X55="kg",(((Z55*AL55)/(1/AK55))*H55),X55="ton",(((Z55/1000*AL55)/(1/AK55))*H55),X55="N/A",""))</f>
        <v/>
      </c>
      <c r="K55" s="52" t="str">
        <f t="shared" si="7"/>
        <v>N/A</v>
      </c>
      <c r="L55" s="155" t="str" cm="1">
        <f t="array" ref="L55">(_xlfn.IFS(X55="m2",((AA55/(Y55/AK55))*H55),X55="m3",((AA55/(Y55/AK55))*H55),X55="kg",(((AA55*AL55)/(1/AK55))*H55),X55="ton",(((AA55/1000*AL55)/(1/AK55))*H55),X55="N/A",""))</f>
        <v/>
      </c>
      <c r="M55" s="52" t="str">
        <f t="shared" si="8"/>
        <v>N/A</v>
      </c>
      <c r="N55" s="148" t="str" cm="1">
        <f t="array" ref="N55">IF(AB55="N/A","",_xlfn.IFS(X55="m2",((AB55/(Y55/AK55))*H55),X55="m3",((AB55/(Y55/AK55))*H55),X55="kg",(((AB55*AL55)/(1/AK55))*H55),X55="ton",(((AB55/1000*AL55)/(1/AK55))*H55),X55="N/A",""))</f>
        <v/>
      </c>
      <c r="O55" s="52" t="str">
        <f t="shared" si="9"/>
        <v>N/A</v>
      </c>
      <c r="P55" s="148" t="str" cm="1">
        <f t="array" ref="P55">IF(AD55="N/A","",_xlfn.IFS(X55="m2",((AD55/(Y55/AK55))*H55),X55="m3",((AD55/(Y55/AK55))*H55),X55="kg",(((AD55*AL55)/(1/AK55))*H55),X55="ton",(((AD55/1000*AL55)/(1/AK55))*H55),X55="N/A",""))</f>
        <v/>
      </c>
      <c r="Q55" s="47" t="s">
        <v>191</v>
      </c>
      <c r="R55" s="47"/>
      <c r="S55" s="47" t="s">
        <v>191</v>
      </c>
      <c r="T55" s="47" t="s">
        <v>191</v>
      </c>
      <c r="U55" s="47" t="s">
        <v>191</v>
      </c>
      <c r="W55" s="47" t="s">
        <v>191</v>
      </c>
      <c r="X55" s="52" t="s">
        <v>191</v>
      </c>
      <c r="Y55" s="52" t="s">
        <v>191</v>
      </c>
      <c r="Z55" s="52" t="str">
        <f t="shared" si="10"/>
        <v>N/A</v>
      </c>
      <c r="AA55" s="52" t="s">
        <v>191</v>
      </c>
      <c r="AB55" s="52" t="s">
        <v>191</v>
      </c>
      <c r="AC55" s="52" t="s">
        <v>191</v>
      </c>
      <c r="AD55" s="52" t="s">
        <v>191</v>
      </c>
      <c r="AE55" s="40"/>
      <c r="AF55" s="103" t="str">
        <f t="shared" si="11"/>
        <v xml:space="preserve">F </v>
      </c>
      <c r="AG55" s="75" t="s">
        <v>82</v>
      </c>
      <c r="AH55" s="108"/>
      <c r="AI55" s="120"/>
      <c r="AJ55" s="45"/>
      <c r="AK55" s="52" t="s">
        <v>191</v>
      </c>
      <c r="AL55" s="47">
        <v>780</v>
      </c>
      <c r="AM55" s="47" t="s">
        <v>191</v>
      </c>
      <c r="AN55" s="45"/>
      <c r="AO55" s="105" t="s">
        <v>17</v>
      </c>
      <c r="AP55" s="106" t="s">
        <v>17</v>
      </c>
    </row>
    <row r="56" spans="1:43" ht="25.2" customHeight="1" x14ac:dyDescent="0.15">
      <c r="A56" s="25" t="s">
        <v>318</v>
      </c>
      <c r="B56" s="47" t="s">
        <v>208</v>
      </c>
      <c r="C56" s="47"/>
      <c r="D56" s="47" t="s">
        <v>319</v>
      </c>
      <c r="E56" s="47" t="s">
        <v>191</v>
      </c>
      <c r="F56" s="47" t="s">
        <v>132</v>
      </c>
      <c r="G56" s="40"/>
      <c r="H56" s="111">
        <v>1</v>
      </c>
      <c r="I56" s="52" t="str">
        <f t="shared" si="6"/>
        <v>N/A</v>
      </c>
      <c r="J56" s="148" t="str" cm="1">
        <f t="array" ref="J56">IF(AB56="N/A","",_xlfn.IFS(X56="m2",((Z56/(Y56/AK56))*H56),X56="m3",((Z56/(Y56/AK56))*H56),X56="kg",(((Z56*AL56)/(1/AK56))*H56),X56="ton",(((Z56/1000*AL56)/(1/AK56))*H56),X56="N/A",""))</f>
        <v/>
      </c>
      <c r="K56" s="52" t="str">
        <f t="shared" si="7"/>
        <v>N/A</v>
      </c>
      <c r="L56" s="155" t="str" cm="1">
        <f t="array" ref="L56">(_xlfn.IFS(X56="m2",((AA56/(Y56/AK56))*H56),X56="m3",((AA56/(Y56/AK56))*H56),X56="kg",(((AA56*AL56)/(1/AK56))*H56),X56="ton",(((AA56/1000*AL56)/(1/AK56))*H56),X56="N/A",""))</f>
        <v/>
      </c>
      <c r="M56" s="52" t="str">
        <f t="shared" si="8"/>
        <v>N/A</v>
      </c>
      <c r="N56" s="148" t="str" cm="1">
        <f t="array" ref="N56">IF(AB56="N/A","",_xlfn.IFS(X56="m2",((AB56/(Y56/AK56))*H56),X56="m3",((AB56/(Y56/AK56))*H56),X56="kg",(((AB56*AL56)/(1/AK56))*H56),X56="ton",(((AB56/1000*AL56)/(1/AK56))*H56),X56="N/A",""))</f>
        <v/>
      </c>
      <c r="O56" s="52" t="str">
        <f t="shared" si="9"/>
        <v>N/A</v>
      </c>
      <c r="P56" s="148" t="str" cm="1">
        <f t="array" ref="P56">IF(AD56="N/A","",_xlfn.IFS(X56="m2",((AD56/(Y56/AK56))*H56),X56="m3",((AD56/(Y56/AK56))*H56),X56="kg",(((AD56*AL56)/(1/AK56))*H56),X56="ton",(((AD56/1000*AL56)/(1/AK56))*H56),X56="N/A",""))</f>
        <v/>
      </c>
      <c r="Q56" s="47" t="s">
        <v>191</v>
      </c>
      <c r="R56" s="47"/>
      <c r="S56" s="47" t="s">
        <v>191</v>
      </c>
      <c r="T56" s="47" t="s">
        <v>191</v>
      </c>
      <c r="U56" s="47" t="s">
        <v>191</v>
      </c>
      <c r="W56" s="47" t="s">
        <v>191</v>
      </c>
      <c r="X56" s="52" t="s">
        <v>191</v>
      </c>
      <c r="Y56" s="52" t="s">
        <v>191</v>
      </c>
      <c r="Z56" s="52" t="str">
        <f t="shared" si="10"/>
        <v>N/A</v>
      </c>
      <c r="AA56" s="52" t="s">
        <v>191</v>
      </c>
      <c r="AB56" s="52" t="s">
        <v>191</v>
      </c>
      <c r="AC56" s="52" t="s">
        <v>191</v>
      </c>
      <c r="AD56" s="52" t="s">
        <v>191</v>
      </c>
      <c r="AE56" s="40"/>
      <c r="AF56" s="103" t="str">
        <f t="shared" si="11"/>
        <v xml:space="preserve">F </v>
      </c>
      <c r="AG56" s="75" t="s">
        <v>82</v>
      </c>
      <c r="AH56" s="108"/>
      <c r="AI56" s="120"/>
      <c r="AJ56" s="45"/>
      <c r="AK56" s="52" t="s">
        <v>191</v>
      </c>
      <c r="AL56" s="47">
        <v>720</v>
      </c>
      <c r="AM56" s="47" t="s">
        <v>191</v>
      </c>
      <c r="AN56" s="45"/>
      <c r="AO56" s="105" t="s">
        <v>17</v>
      </c>
      <c r="AP56" s="106" t="s">
        <v>17</v>
      </c>
    </row>
    <row r="57" spans="1:43" ht="25.2" customHeight="1" x14ac:dyDescent="0.15">
      <c r="A57" s="25" t="s">
        <v>320</v>
      </c>
      <c r="B57" s="69" t="s">
        <v>208</v>
      </c>
      <c r="C57" s="73"/>
      <c r="D57" s="47" t="s">
        <v>319</v>
      </c>
      <c r="E57" s="47" t="s">
        <v>191</v>
      </c>
      <c r="F57" s="47" t="s">
        <v>132</v>
      </c>
      <c r="G57" s="40"/>
      <c r="H57" s="111">
        <v>1</v>
      </c>
      <c r="I57" s="52" t="str">
        <f t="shared" si="6"/>
        <v>N/A</v>
      </c>
      <c r="J57" s="148" t="str" cm="1">
        <f t="array" ref="J57">IF(AB57="N/A","",_xlfn.IFS(X57="m2",((Z57/(Y57/AK57))*H57),X57="m3",((Z57/(Y57/AK57))*H57),X57="kg",(((Z57*AL57)/(1/AK57))*H57),X57="ton",(((Z57/1000*AL57)/(1/AK57))*H57),X57="N/A",""))</f>
        <v/>
      </c>
      <c r="K57" s="52" t="str">
        <f t="shared" si="7"/>
        <v>N/A</v>
      </c>
      <c r="L57" s="155" t="str" cm="1">
        <f t="array" ref="L57">(_xlfn.IFS(X57="m2",((AA57/(Y57/AK57))*H57),X57="m3",((AA57/(Y57/AK57))*H57),X57="kg",(((AA57*AL57)/(1/AK57))*H57),X57="ton",(((AA57/1000*AL57)/(1/AK57))*H57),X57="N/A",""))</f>
        <v/>
      </c>
      <c r="M57" s="52" t="str">
        <f t="shared" si="8"/>
        <v>N/A</v>
      </c>
      <c r="N57" s="148" t="str" cm="1">
        <f t="array" ref="N57">IF(AB57="N/A","",_xlfn.IFS(X57="m2",((AB57/(Y57/AK57))*H57),X57="m3",((AB57/(Y57/AK57))*H57),X57="kg",(((AB57*AL57)/(1/AK57))*H57),X57="ton",(((AB57/1000*AL57)/(1/AK57))*H57),X57="N/A",""))</f>
        <v/>
      </c>
      <c r="O57" s="52" t="str">
        <f t="shared" si="9"/>
        <v>N/A</v>
      </c>
      <c r="P57" s="148" t="str" cm="1">
        <f t="array" ref="P57">IF(AD57="N/A","",_xlfn.IFS(X57="m2",((AD57/(Y57/AK57))*H57),X57="m3",((AD57/(Y57/AK57))*H57),X57="kg",(((AD57*AL57)/(1/AK57))*H57),X57="ton",(((AD57/1000*AL57)/(1/AK57))*H57),X57="N/A",""))</f>
        <v/>
      </c>
      <c r="Q57" s="47" t="s">
        <v>191</v>
      </c>
      <c r="R57" s="47"/>
      <c r="S57" s="47" t="s">
        <v>191</v>
      </c>
      <c r="T57" s="47" t="s">
        <v>191</v>
      </c>
      <c r="U57" s="47" t="s">
        <v>191</v>
      </c>
      <c r="W57" s="47" t="s">
        <v>191</v>
      </c>
      <c r="X57" s="52" t="s">
        <v>191</v>
      </c>
      <c r="Y57" s="52" t="s">
        <v>191</v>
      </c>
      <c r="Z57" s="52" t="str">
        <f t="shared" si="10"/>
        <v>N/A</v>
      </c>
      <c r="AA57" s="52" t="s">
        <v>191</v>
      </c>
      <c r="AB57" s="52" t="s">
        <v>191</v>
      </c>
      <c r="AC57" s="52" t="s">
        <v>191</v>
      </c>
      <c r="AD57" s="52" t="s">
        <v>191</v>
      </c>
      <c r="AE57" s="40"/>
      <c r="AF57" s="103" t="str">
        <f t="shared" si="11"/>
        <v xml:space="preserve">F </v>
      </c>
      <c r="AG57" s="75" t="s">
        <v>82</v>
      </c>
      <c r="AH57" s="108"/>
      <c r="AI57" s="120"/>
      <c r="AJ57" s="45"/>
      <c r="AK57" s="52" t="s">
        <v>191</v>
      </c>
      <c r="AL57" s="47">
        <v>720</v>
      </c>
      <c r="AM57" s="47" t="s">
        <v>191</v>
      </c>
      <c r="AN57" s="45"/>
      <c r="AO57" s="105" t="s">
        <v>17</v>
      </c>
      <c r="AP57" s="106" t="s">
        <v>17</v>
      </c>
    </row>
    <row r="58" spans="1:43" ht="25.2" customHeight="1" x14ac:dyDescent="0.15">
      <c r="A58" s="25" t="s">
        <v>385</v>
      </c>
      <c r="B58" s="47" t="s">
        <v>208</v>
      </c>
      <c r="C58" s="47"/>
      <c r="D58" s="47" t="s">
        <v>96</v>
      </c>
      <c r="E58" s="82" t="s">
        <v>146</v>
      </c>
      <c r="F58" s="47" t="s">
        <v>133</v>
      </c>
      <c r="H58" s="111">
        <v>1</v>
      </c>
      <c r="I58" s="52">
        <f t="shared" si="6"/>
        <v>9.3299999999999983</v>
      </c>
      <c r="J58" s="148" cm="1">
        <f t="array" ref="J58">IF(AB58="N/A","",_xlfn.IFS(X58="m2",((Z58/(Y58/AK58))*H58),X58="m3",((Z58/(Y58/AK58))*H58),X58="kg",(((Z58*AL58)/(1/AK58))*H58),X58="ton",(((Z58/1000*AL58)/(1/AK58))*H58),X58="N/A",""))</f>
        <v>9.3299999999999983</v>
      </c>
      <c r="K58" s="52">
        <f t="shared" si="7"/>
        <v>1.29</v>
      </c>
      <c r="L58" s="155" cm="1">
        <f t="array" ref="L58">(_xlfn.IFS(X58="m2",((AA58/(Y58/AK58))*H58),X58="m3",((AA58/(Y58/AK58))*H58),X58="kg",(((AA58*AL58)/(1/AK58))*H58),X58="ton",(((AA58/1000*AL58)/(1/AK58))*H58),X58="N/A",""))</f>
        <v>1.29</v>
      </c>
      <c r="M58" s="52">
        <f t="shared" si="8"/>
        <v>8.0399999999999991</v>
      </c>
      <c r="N58" s="148" cm="1">
        <f t="array" ref="N58">IF(AB58="N/A","",_xlfn.IFS(X58="m2",((AB58/(Y58/AK58))*H58),X58="m3",((AB58/(Y58/AK58))*H58),X58="kg",(((AB58*AL58)/(1/AK58))*H58),X58="ton",(((AB58/1000*AL58)/(1/AK58))*H58),X58="N/A",""))</f>
        <v>8.0399999999999991</v>
      </c>
      <c r="O58" s="52" t="str">
        <f t="shared" si="9"/>
        <v>N/A</v>
      </c>
      <c r="P58" s="148" t="str" cm="1">
        <f t="array" ref="P58">IF(AD58="N/A","",_xlfn.IFS(X58="m2",((AD58/(Y58/AK58))*H58),X58="m3",((AD58/(Y58/AK58))*H58),X58="kg",(((AD58*AL58)/(1/AK58))*H58),X58="ton",(((AD58/1000*AL58)/(1/AK58))*H58),X58="N/A",""))</f>
        <v/>
      </c>
      <c r="Q58" s="82" t="s">
        <v>5</v>
      </c>
      <c r="R58" s="164" t="s">
        <v>377</v>
      </c>
      <c r="S58" s="47">
        <v>2026</v>
      </c>
      <c r="T58" s="47" t="s">
        <v>14</v>
      </c>
      <c r="U58" s="47">
        <v>50</v>
      </c>
      <c r="W58" s="47" t="s">
        <v>593</v>
      </c>
      <c r="X58" s="47" t="s">
        <v>15</v>
      </c>
      <c r="Y58" s="47">
        <v>2.5000000000000001E-2</v>
      </c>
      <c r="Z58" s="52">
        <f t="shared" si="10"/>
        <v>9.3299999999999983</v>
      </c>
      <c r="AA58" s="52">
        <v>1.29</v>
      </c>
      <c r="AB58" s="52">
        <v>8.0399999999999991</v>
      </c>
      <c r="AC58" s="52">
        <v>-0.55700000000000005</v>
      </c>
      <c r="AD58" s="52" t="s">
        <v>191</v>
      </c>
      <c r="AF58" s="103" t="str">
        <f t="shared" si="11"/>
        <v>B s1
d0</v>
      </c>
      <c r="AG58" s="75" t="s">
        <v>178</v>
      </c>
      <c r="AH58" s="83" t="s">
        <v>176</v>
      </c>
      <c r="AI58" s="96"/>
      <c r="AK58" s="47">
        <v>2.5000000000000001E-2</v>
      </c>
      <c r="AL58" s="47">
        <v>449</v>
      </c>
      <c r="AM58" s="47" t="s">
        <v>191</v>
      </c>
      <c r="AO58" s="80" t="s">
        <v>17</v>
      </c>
      <c r="AP58" s="73"/>
    </row>
    <row r="59" spans="1:43" ht="25.2" customHeight="1" x14ac:dyDescent="0.15">
      <c r="A59" s="25" t="s">
        <v>1111</v>
      </c>
      <c r="B59" s="69" t="s">
        <v>208</v>
      </c>
      <c r="C59" s="73"/>
      <c r="D59" s="47" t="s">
        <v>155</v>
      </c>
      <c r="E59" s="47" t="s">
        <v>153</v>
      </c>
      <c r="F59" s="47" t="s">
        <v>132</v>
      </c>
      <c r="H59" s="111">
        <v>1</v>
      </c>
      <c r="I59" s="52" t="str">
        <f t="shared" si="6"/>
        <v>N/A</v>
      </c>
      <c r="J59" s="148" t="str" cm="1">
        <f t="array" ref="J59">IF(AB59="N/A","",_xlfn.IFS(X59="m2",((Z59/(Y59/AK59))*H59),X59="m3",((Z59/(Y59/AK59))*H59),X59="kg",(((Z59*AL59)/(1/AK59))*H59),X59="ton",(((Z59/1000*AL59)/(1/AK59))*H59),X59="N/A",""))</f>
        <v/>
      </c>
      <c r="K59" s="52" t="str">
        <f t="shared" si="7"/>
        <v>N/A</v>
      </c>
      <c r="L59" s="155" t="str" cm="1">
        <f t="array" ref="L59">(_xlfn.IFS(X59="m2",((AA59/(Y59/AK59))*H59),X59="m3",((AA59/(Y59/AK59))*H59),X59="kg",(((AA59*AL59)/(1/AK59))*H59),X59="ton",(((AA59/1000*AL59)/(1/AK59))*H59),X59="N/A",""))</f>
        <v/>
      </c>
      <c r="M59" s="52" t="str">
        <f t="shared" si="8"/>
        <v>N/A</v>
      </c>
      <c r="N59" s="148" t="str" cm="1">
        <f t="array" ref="N59">IF(AB59="N/A","",_xlfn.IFS(X59="m2",((AB59/(Y59/AK59))*H59),X59="m3",((AB59/(Y59/AK59))*H59),X59="kg",(((AB59*AL59)/(1/AK59))*H59),X59="ton",(((AB59/1000*AL59)/(1/AK59))*H59),X59="N/A",""))</f>
        <v/>
      </c>
      <c r="O59" s="52" t="str">
        <f t="shared" si="9"/>
        <v>N/A</v>
      </c>
      <c r="P59" s="148" t="str" cm="1">
        <f t="array" ref="P59">IF(AD59="N/A","",_xlfn.IFS(X59="m2",((AD59/(Y59/AK59))*H59),X59="m3",((AD59/(Y59/AK59))*H59),X59="kg",(((AD59*AL59)/(1/AK59))*H59),X59="ton",(((AD59/1000*AL59)/(1/AK59))*H59),X59="N/A",""))</f>
        <v/>
      </c>
      <c r="Q59" s="47" t="s">
        <v>191</v>
      </c>
      <c r="R59" s="47"/>
      <c r="S59" s="47" t="s">
        <v>191</v>
      </c>
      <c r="T59" s="47" t="s">
        <v>191</v>
      </c>
      <c r="U59" s="47" t="s">
        <v>191</v>
      </c>
      <c r="W59" s="47" t="s">
        <v>191</v>
      </c>
      <c r="X59" s="47" t="s">
        <v>191</v>
      </c>
      <c r="Y59" s="47" t="s">
        <v>191</v>
      </c>
      <c r="Z59" s="52" t="str">
        <f t="shared" si="10"/>
        <v>N/A</v>
      </c>
      <c r="AA59" s="52" t="s">
        <v>191</v>
      </c>
      <c r="AB59" s="52" t="s">
        <v>191</v>
      </c>
      <c r="AC59" s="52" t="s">
        <v>191</v>
      </c>
      <c r="AD59" s="52" t="s">
        <v>191</v>
      </c>
      <c r="AF59" s="103" t="str">
        <f t="shared" si="11"/>
        <v xml:space="preserve">F </v>
      </c>
      <c r="AG59" s="75" t="s">
        <v>82</v>
      </c>
      <c r="AH59" s="76"/>
      <c r="AI59" s="96"/>
      <c r="AK59" s="47" t="s">
        <v>191</v>
      </c>
      <c r="AL59" s="47">
        <f>3*1000/3.2</f>
        <v>937.5</v>
      </c>
      <c r="AM59" s="47" t="s">
        <v>191</v>
      </c>
      <c r="AO59" s="105" t="s">
        <v>17</v>
      </c>
      <c r="AP59" s="73"/>
    </row>
    <row r="60" spans="1:43" ht="25.2" customHeight="1" x14ac:dyDescent="0.15">
      <c r="A60" s="25" t="s">
        <v>286</v>
      </c>
      <c r="B60" s="69" t="s">
        <v>210</v>
      </c>
      <c r="C60" s="73"/>
      <c r="D60" s="47" t="s">
        <v>219</v>
      </c>
      <c r="E60" s="88" t="s">
        <v>146</v>
      </c>
      <c r="F60" s="47" t="s">
        <v>301</v>
      </c>
      <c r="G60" s="40"/>
      <c r="H60" s="111">
        <v>1</v>
      </c>
      <c r="I60" s="52">
        <f t="shared" si="6"/>
        <v>3.1309</v>
      </c>
      <c r="J60" s="148" cm="1">
        <f t="array" ref="J60">IF(AB60="N/A","",_xlfn.IFS(X60="m2",((Z60/(Y60/AK60))*H60),X60="m3",((Z60/(Y60/AK60))*H60),X60="kg",(((Z60*AL60)/(1/AK60))*H60),X60="ton",(((Z60/1000*AL60)/(1/AK60))*H60),X60="N/A",""))</f>
        <v>3.1309</v>
      </c>
      <c r="K60" s="52">
        <f t="shared" si="7"/>
        <v>2.4900000000000002</v>
      </c>
      <c r="L60" s="155" cm="1">
        <f t="array" ref="L60">(_xlfn.IFS(X60="m2",((AA60/(Y60/AK60))*H60),X60="m3",((AA60/(Y60/AK60))*H60),X60="kg",(((AA60*AL60)/(1/AK60))*H60),X60="ton",(((AA60/1000*AL60)/(1/AK60))*H60),X60="N/A",""))</f>
        <v>2.4900000000000002</v>
      </c>
      <c r="M60" s="52">
        <f t="shared" si="8"/>
        <v>0.64089999999999991</v>
      </c>
      <c r="N60" s="148" cm="1">
        <f t="array" ref="N60">IF(AB60="N/A","",_xlfn.IFS(X60="m2",((AB60/(Y60/AK60))*H60),X60="m3",((AB60/(Y60/AK60))*H60),X60="kg",(((AB60*AL60)/(1/AK60))*H60),X60="ton",(((AB60/1000*AL60)/(1/AK60))*H60),X60="N/A",""))</f>
        <v>0.64089999999999991</v>
      </c>
      <c r="O60" s="52">
        <f t="shared" si="9"/>
        <v>-0.76400000000000001</v>
      </c>
      <c r="P60" s="148" cm="1">
        <f t="array" ref="P60">IF(AD60="N/A","",_xlfn.IFS(X60="m2",((AD60/(Y60/AK60))*H60),X60="m3",((AD60/(Y60/AK60))*H60),X60="kg",(((AD60*AL60)/(1/AK60))*H60),X60="ton",(((AD60/1000*AL60)/(1/AK60))*H60),X60="N/A",""))</f>
        <v>-0.76400000000000001</v>
      </c>
      <c r="Q60" s="88" t="s">
        <v>5</v>
      </c>
      <c r="R60" s="165"/>
      <c r="S60" s="47">
        <v>2027</v>
      </c>
      <c r="T60" s="47" t="s">
        <v>28</v>
      </c>
      <c r="U60" s="47">
        <v>60</v>
      </c>
      <c r="W60" s="47" t="s">
        <v>608</v>
      </c>
      <c r="X60" s="52" t="s">
        <v>15</v>
      </c>
      <c r="Y60" s="47">
        <v>1.55E-2</v>
      </c>
      <c r="Z60" s="52">
        <f t="shared" si="10"/>
        <v>3.1309</v>
      </c>
      <c r="AA60" s="52">
        <v>2.4900000000000002</v>
      </c>
      <c r="AB60" s="52">
        <f>0.0669+0.574</f>
        <v>0.64089999999999991</v>
      </c>
      <c r="AC60" s="52">
        <v>0.21299999999999999</v>
      </c>
      <c r="AD60" s="52">
        <v>-0.76400000000000001</v>
      </c>
      <c r="AE60" s="40"/>
      <c r="AF60" s="103" t="str">
        <f t="shared" si="11"/>
        <v>A2 s1
d0</v>
      </c>
      <c r="AG60" s="75" t="s">
        <v>214</v>
      </c>
      <c r="AH60" s="121" t="s">
        <v>176</v>
      </c>
      <c r="AI60" s="120"/>
      <c r="AJ60" s="45"/>
      <c r="AK60" s="47">
        <v>1.55E-2</v>
      </c>
      <c r="AL60" s="47">
        <v>968</v>
      </c>
      <c r="AM60" s="47" t="s">
        <v>191</v>
      </c>
      <c r="AN60" s="45"/>
      <c r="AO60" s="105" t="s">
        <v>17</v>
      </c>
      <c r="AP60" s="73"/>
    </row>
    <row r="61" spans="1:43" ht="25.2" customHeight="1" x14ac:dyDescent="0.15">
      <c r="A61" s="25" t="s">
        <v>37</v>
      </c>
      <c r="B61" s="69" t="s">
        <v>208</v>
      </c>
      <c r="C61" s="73"/>
      <c r="D61" s="47" t="s">
        <v>27</v>
      </c>
      <c r="E61" s="82" t="s">
        <v>142</v>
      </c>
      <c r="F61" s="47" t="s">
        <v>24</v>
      </c>
      <c r="H61" s="111">
        <v>1</v>
      </c>
      <c r="I61" s="52">
        <f t="shared" si="6"/>
        <v>8.5038</v>
      </c>
      <c r="J61" s="148" cm="1">
        <f t="array" ref="J61">IF(AB61="N/A","",_xlfn.IFS(X61="m2",((Z61/(Y61/AK61))*H61),X61="m3",((Z61/(Y61/AK61))*H61),X61="kg",(((Z61*AL61)/(1/AK61))*H61),X61="ton",(((Z61/1000*AL61)/(1/AK61))*H61),X61="N/A",""))</f>
        <v>8.5038</v>
      </c>
      <c r="K61" s="52">
        <f t="shared" si="7"/>
        <v>-4.5041999999999991</v>
      </c>
      <c r="L61" s="155" cm="1">
        <f t="array" ref="L61">(_xlfn.IFS(X61="m2",((AA61/(Y61/AK61))*H61),X61="m3",((AA61/(Y61/AK61))*H61),X61="kg",(((AA61*AL61)/(1/AK61))*H61),X61="ton",(((AA61/1000*AL61)/(1/AK61))*H61),X61="N/A",""))</f>
        <v>-4.5041999999999991</v>
      </c>
      <c r="M61" s="52">
        <f t="shared" si="8"/>
        <v>13.007999999999999</v>
      </c>
      <c r="N61" s="148" cm="1">
        <f t="array" ref="N61">IF(AB61="N/A","",_xlfn.IFS(X61="m2",((AB61/(Y61/AK61))*H61),X61="m3",((AB61/(Y61/AK61))*H61),X61="kg",(((AB61*AL61)/(1/AK61))*H61),X61="ton",(((AB61/1000*AL61)/(1/AK61))*H61),X61="N/A",""))</f>
        <v>13.007999999999999</v>
      </c>
      <c r="O61" s="52">
        <f t="shared" si="9"/>
        <v>-12.386954399999997</v>
      </c>
      <c r="P61" s="148" cm="1">
        <f t="array" ref="P61">IF(AD61="N/A","",_xlfn.IFS(X61="m2",((AD61/(Y61/AK61))*H61),X61="m3",((AD61/(Y61/AK61))*H61),X61="kg",(((AD61*AL61)/(1/AK61))*H61),X61="ton",(((AD61/1000*AL61)/(1/AK61))*H61),X61="N/A",""))</f>
        <v>-12.386954399999997</v>
      </c>
      <c r="Q61" s="82" t="s">
        <v>5</v>
      </c>
      <c r="R61" s="164"/>
      <c r="S61" s="47">
        <v>2026</v>
      </c>
      <c r="T61" s="47" t="s">
        <v>28</v>
      </c>
      <c r="U61" s="47">
        <v>60</v>
      </c>
      <c r="W61" s="47" t="s">
        <v>594</v>
      </c>
      <c r="X61" s="47" t="s">
        <v>20</v>
      </c>
      <c r="Y61" s="47">
        <v>1</v>
      </c>
      <c r="Z61" s="52">
        <f t="shared" si="10"/>
        <v>283.46000000000004</v>
      </c>
      <c r="AA61" s="52">
        <f>-279+2.86+126</f>
        <v>-150.13999999999999</v>
      </c>
      <c r="AB61" s="52">
        <f>412+21.6</f>
        <v>433.6</v>
      </c>
      <c r="AC61" s="52">
        <f>-146</f>
        <v>-146</v>
      </c>
      <c r="AD61" s="52">
        <f>-397+0.00152+-15.9</f>
        <v>-412.89847999999995</v>
      </c>
      <c r="AE61" s="19"/>
      <c r="AF61" s="103" t="str">
        <f t="shared" si="11"/>
        <v xml:space="preserve">E </v>
      </c>
      <c r="AG61" s="75" t="s">
        <v>16</v>
      </c>
      <c r="AH61" s="76"/>
      <c r="AI61" s="96"/>
      <c r="AK61" s="47">
        <v>0.03</v>
      </c>
      <c r="AL61" s="47">
        <v>280</v>
      </c>
      <c r="AM61" s="47">
        <v>2100</v>
      </c>
      <c r="AO61" s="80" t="s">
        <v>17</v>
      </c>
      <c r="AP61" s="81"/>
    </row>
    <row r="62" spans="1:43" ht="25.2" customHeight="1" x14ac:dyDescent="0.15">
      <c r="A62" s="25" t="s">
        <v>38</v>
      </c>
      <c r="B62" s="69" t="s">
        <v>208</v>
      </c>
      <c r="C62" s="73"/>
      <c r="D62" s="47" t="s">
        <v>27</v>
      </c>
      <c r="E62" s="47" t="s">
        <v>142</v>
      </c>
      <c r="F62" s="47" t="s">
        <v>24</v>
      </c>
      <c r="H62" s="111">
        <v>1</v>
      </c>
      <c r="I62" s="52" t="str">
        <f t="shared" si="6"/>
        <v>N/A</v>
      </c>
      <c r="J62" s="148" t="str" cm="1">
        <f t="array" ref="J62">IF(AB62="N/A","",_xlfn.IFS(X62="m2",((Z62/(Y62/AK62))*H62),X62="m3",((Z62/(Y62/AK62))*H62),X62="kg",(((Z62*AL62)/(1/AK62))*H62),X62="ton",(((Z62/1000*AL62)/(1/AK62))*H62),X62="N/A",""))</f>
        <v/>
      </c>
      <c r="K62" s="52" t="str">
        <f t="shared" si="7"/>
        <v>N/A</v>
      </c>
      <c r="L62" s="155" t="str" cm="1">
        <f t="array" ref="L62">(_xlfn.IFS(X62="m2",((AA62/(Y62/AK62))*H62),X62="m3",((AA62/(Y62/AK62))*H62),X62="kg",(((AA62*AL62)/(1/AK62))*H62),X62="ton",(((AA62/1000*AL62)/(1/AK62))*H62),X62="N/A",""))</f>
        <v/>
      </c>
      <c r="M62" s="52" t="str">
        <f t="shared" si="8"/>
        <v>N/A</v>
      </c>
      <c r="N62" s="148" t="str" cm="1">
        <f t="array" ref="N62">IF(AB62="N/A","",_xlfn.IFS(X62="m2",((AB62/(Y62/AK62))*H62),X62="m3",((AB62/(Y62/AK62))*H62),X62="kg",(((AB62*AL62)/(1/AK62))*H62),X62="ton",(((AB62/1000*AL62)/(1/AK62))*H62),X62="N/A",""))</f>
        <v/>
      </c>
      <c r="O62" s="52" t="str">
        <f t="shared" si="9"/>
        <v>N/A</v>
      </c>
      <c r="P62" s="148" t="str" cm="1">
        <f t="array" ref="P62">IF(AD62="N/A","",_xlfn.IFS(X62="m2",((AD62/(Y62/AK62))*H62),X62="m3",((AD62/(Y62/AK62))*H62),X62="kg",(((AD62*AL62)/(1/AK62))*H62),X62="ton",(((AD62/1000*AL62)/(1/AK62))*H62),X62="N/A",""))</f>
        <v/>
      </c>
      <c r="Q62" s="47" t="s">
        <v>191</v>
      </c>
      <c r="R62" s="47"/>
      <c r="S62" s="47" t="s">
        <v>191</v>
      </c>
      <c r="T62" s="47" t="s">
        <v>191</v>
      </c>
      <c r="U62" s="47" t="s">
        <v>191</v>
      </c>
      <c r="W62" s="47" t="s">
        <v>191</v>
      </c>
      <c r="X62" s="47" t="s">
        <v>191</v>
      </c>
      <c r="Y62" s="47" t="s">
        <v>191</v>
      </c>
      <c r="Z62" s="52" t="str">
        <f t="shared" si="10"/>
        <v>N/A</v>
      </c>
      <c r="AA62" s="52" t="s">
        <v>191</v>
      </c>
      <c r="AB62" s="52" t="s">
        <v>191</v>
      </c>
      <c r="AC62" s="52" t="s">
        <v>191</v>
      </c>
      <c r="AD62" s="52" t="s">
        <v>191</v>
      </c>
      <c r="AF62" s="103" t="str">
        <f t="shared" si="11"/>
        <v xml:space="preserve">F </v>
      </c>
      <c r="AG62" s="75" t="s">
        <v>82</v>
      </c>
      <c r="AH62" s="76"/>
      <c r="AI62" s="96"/>
      <c r="AK62" s="47" t="s">
        <v>191</v>
      </c>
      <c r="AL62" s="47">
        <v>400</v>
      </c>
      <c r="AM62" s="47" t="s">
        <v>191</v>
      </c>
      <c r="AO62" s="80" t="s">
        <v>17</v>
      </c>
      <c r="AP62" s="81"/>
    </row>
    <row r="63" spans="1:43" s="16" customFormat="1" ht="25.2" customHeight="1" x14ac:dyDescent="0.15">
      <c r="A63" s="25" t="s">
        <v>386</v>
      </c>
      <c r="B63" s="47" t="s">
        <v>210</v>
      </c>
      <c r="C63" s="47"/>
      <c r="D63" s="47" t="s">
        <v>278</v>
      </c>
      <c r="E63" s="88" t="s">
        <v>153</v>
      </c>
      <c r="F63" s="47" t="s">
        <v>301</v>
      </c>
      <c r="H63" s="111">
        <v>1</v>
      </c>
      <c r="I63" s="52">
        <f t="shared" si="6"/>
        <v>1.794</v>
      </c>
      <c r="J63" s="148" cm="1">
        <f t="array" ref="J63">IF(AB63="N/A","",_xlfn.IFS(X63="m2",((Z63/(Y63/AK63))*H63),X63="m3",((Z63/(Y63/AK63))*H63),X63="kg",(((Z63*AL63)/(1/AK63))*H63),X63="ton",(((Z63/1000*AL63)/(1/AK63))*H63),X63="N/A",""))</f>
        <v>1.794</v>
      </c>
      <c r="K63" s="52">
        <f t="shared" si="7"/>
        <v>1.08</v>
      </c>
      <c r="L63" s="155" cm="1">
        <f t="array" ref="L63">(_xlfn.IFS(X63="m2",((AA63/(Y63/AK63))*H63),X63="m3",((AA63/(Y63/AK63))*H63),X63="kg",(((AA63*AL63)/(1/AK63))*H63),X63="ton",(((AA63/1000*AL63)/(1/AK63))*H63),X63="N/A",""))</f>
        <v>1.08</v>
      </c>
      <c r="M63" s="52">
        <f t="shared" si="8"/>
        <v>0.71399999999999997</v>
      </c>
      <c r="N63" s="148" cm="1">
        <f t="array" ref="N63">IF(AB63="N/A","",_xlfn.IFS(X63="m2",((AB63/(Y63/AK63))*H63),X63="m3",((AB63/(Y63/AK63))*H63),X63="kg",(((AB63*AL63)/(1/AK63))*H63),X63="ton",(((AB63/1000*AL63)/(1/AK63))*H63),X63="N/A",""))</f>
        <v>0.71399999999999997</v>
      </c>
      <c r="O63" s="52">
        <f t="shared" si="9"/>
        <v>-0.63400000000000001</v>
      </c>
      <c r="P63" s="148" cm="1">
        <f t="array" ref="P63">IF(AD63="N/A","",_xlfn.IFS(X63="m2",((AD63/(Y63/AK63))*H63),X63="m3",((AD63/(Y63/AK63))*H63),X63="kg",(((AD63*AL63)/(1/AK63))*H63),X63="ton",(((AD63/1000*AL63)/(1/AK63))*H63),X63="N/A",""))</f>
        <v>-0.63400000000000001</v>
      </c>
      <c r="Q63" s="88" t="s">
        <v>5</v>
      </c>
      <c r="R63" s="165" t="s">
        <v>377</v>
      </c>
      <c r="S63" s="47">
        <v>2027</v>
      </c>
      <c r="T63" s="47" t="s">
        <v>28</v>
      </c>
      <c r="U63" s="47">
        <v>60</v>
      </c>
      <c r="V63" s="17"/>
      <c r="W63" s="47" t="s">
        <v>596</v>
      </c>
      <c r="X63" s="52" t="s">
        <v>15</v>
      </c>
      <c r="Y63" s="47">
        <v>9.4999999999999998E-3</v>
      </c>
      <c r="Z63" s="52">
        <f t="shared" si="10"/>
        <v>1.794</v>
      </c>
      <c r="AA63" s="52">
        <v>1.08</v>
      </c>
      <c r="AB63" s="52">
        <f>0.004+0.71</f>
        <v>0.71399999999999997</v>
      </c>
      <c r="AC63" s="52">
        <v>-5.0000000000000001E-3</v>
      </c>
      <c r="AD63" s="52">
        <v>-0.63400000000000001</v>
      </c>
      <c r="AF63" s="103" t="str">
        <f t="shared" si="11"/>
        <v xml:space="preserve">F </v>
      </c>
      <c r="AG63" s="75" t="s">
        <v>82</v>
      </c>
      <c r="AH63" s="76"/>
      <c r="AI63" s="96"/>
      <c r="AJ63" s="17"/>
      <c r="AK63" s="47">
        <v>9.4999999999999998E-3</v>
      </c>
      <c r="AL63" s="47">
        <v>610</v>
      </c>
      <c r="AM63" s="47" t="s">
        <v>191</v>
      </c>
      <c r="AN63" s="17"/>
      <c r="AO63" s="105" t="s">
        <v>17</v>
      </c>
      <c r="AP63" s="110"/>
      <c r="AQ63" s="73"/>
    </row>
    <row r="64" spans="1:43" s="16" customFormat="1" ht="25.2" customHeight="1" x14ac:dyDescent="0.15">
      <c r="A64" s="25" t="s">
        <v>157</v>
      </c>
      <c r="B64" s="47" t="s">
        <v>208</v>
      </c>
      <c r="C64" s="47"/>
      <c r="D64" s="47" t="s">
        <v>156</v>
      </c>
      <c r="E64" s="47" t="s">
        <v>153</v>
      </c>
      <c r="F64" s="47" t="s">
        <v>132</v>
      </c>
      <c r="H64" s="111">
        <v>1</v>
      </c>
      <c r="I64" s="52">
        <f t="shared" si="6"/>
        <v>13.699120000000001</v>
      </c>
      <c r="J64" s="148" cm="1">
        <f t="array" ref="J64">IF(AB64="N/A","",_xlfn.IFS(X64="m2",((Z64/(Y64/AK64))*H64),X64="m3",((Z64/(Y64/AK64))*H64),X64="kg",(((Z64*AL64)/(1/AK64))*H64),X64="ton",(((Z64/1000*AL64)/(1/AK64))*H64),X64="N/A",""))</f>
        <v>13.699120000000001</v>
      </c>
      <c r="K64" s="52">
        <f t="shared" si="7"/>
        <v>0.39800000000000002</v>
      </c>
      <c r="L64" s="155" cm="1">
        <f t="array" ref="L64">(_xlfn.IFS(X64="m2",((AA64/(Y64/AK64))*H64),X64="m3",((AA64/(Y64/AK64))*H64),X64="kg",(((AA64*AL64)/(1/AK64))*H64),X64="ton",(((AA64/1000*AL64)/(1/AK64))*H64),X64="N/A",""))</f>
        <v>0.39800000000000002</v>
      </c>
      <c r="M64" s="52">
        <f t="shared" si="8"/>
        <v>13.301120000000001</v>
      </c>
      <c r="N64" s="148" cm="1">
        <f t="array" ref="N64">IF(AB64="N/A","",_xlfn.IFS(X64="m2",((AB64/(Y64/AK64))*H64),X64="m3",((AB64/(Y64/AK64))*H64),X64="kg",(((AB64*AL64)/(1/AK64))*H64),X64="ton",(((AB64/1000*AL64)/(1/AK64))*H64),X64="N/A",""))</f>
        <v>13.301120000000001</v>
      </c>
      <c r="O64" s="52" t="str">
        <f t="shared" si="9"/>
        <v>N/A</v>
      </c>
      <c r="P64" s="148" t="str" cm="1">
        <f t="array" ref="P64">IF(AD64="N/A","",_xlfn.IFS(X64="m2",((AD64/(Y64/AK64))*H64),X64="m3",((AD64/(Y64/AK64))*H64),X64="kg",(((AD64*AL64)/(1/AK64))*H64),X64="ton",(((AD64/1000*AL64)/(1/AK64))*H64),X64="N/A",""))</f>
        <v/>
      </c>
      <c r="Q64" s="82" t="s">
        <v>5</v>
      </c>
      <c r="R64" s="164"/>
      <c r="S64" s="47">
        <v>2025</v>
      </c>
      <c r="T64" s="47" t="s">
        <v>14</v>
      </c>
      <c r="U64" s="47">
        <v>20</v>
      </c>
      <c r="V64" s="17"/>
      <c r="W64" s="47" t="s">
        <v>573</v>
      </c>
      <c r="X64" s="47" t="s">
        <v>15</v>
      </c>
      <c r="Y64" s="47">
        <v>1.0200000000000001E-2</v>
      </c>
      <c r="Z64" s="52">
        <f t="shared" si="10"/>
        <v>13.699120000000001</v>
      </c>
      <c r="AA64" s="52">
        <f>0.398</f>
        <v>0.39800000000000002</v>
      </c>
      <c r="AB64" s="52">
        <f>13.3+1.12*10^-3</f>
        <v>13.301120000000001</v>
      </c>
      <c r="AC64" s="52">
        <v>-3.78</v>
      </c>
      <c r="AD64" s="52" t="s">
        <v>191</v>
      </c>
      <c r="AF64" s="103" t="str">
        <f t="shared" si="11"/>
        <v>D s1
d0</v>
      </c>
      <c r="AG64" s="75" t="s">
        <v>8</v>
      </c>
      <c r="AH64" s="83" t="s">
        <v>176</v>
      </c>
      <c r="AI64" s="96"/>
      <c r="AJ64" s="17"/>
      <c r="AK64" s="47">
        <v>1.0200000000000001E-2</v>
      </c>
      <c r="AL64" s="47">
        <v>680</v>
      </c>
      <c r="AM64" s="47" t="s">
        <v>191</v>
      </c>
      <c r="AN64" s="17"/>
      <c r="AO64" s="80" t="s">
        <v>17</v>
      </c>
      <c r="AP64" s="110"/>
      <c r="AQ64" s="73"/>
    </row>
    <row r="65" spans="1:44" ht="25.2" customHeight="1" x14ac:dyDescent="0.15">
      <c r="A65" s="25" t="s">
        <v>279</v>
      </c>
      <c r="B65" s="47" t="s">
        <v>210</v>
      </c>
      <c r="C65" s="47"/>
      <c r="D65" s="47" t="s">
        <v>278</v>
      </c>
      <c r="E65" s="88" t="s">
        <v>153</v>
      </c>
      <c r="F65" s="47" t="s">
        <v>301</v>
      </c>
      <c r="G65" s="40"/>
      <c r="H65" s="111">
        <v>1</v>
      </c>
      <c r="I65" s="52">
        <f t="shared" si="6"/>
        <v>2.972</v>
      </c>
      <c r="J65" s="148" cm="1">
        <f t="array" ref="J65">IF(AB65="N/A","",_xlfn.IFS(X65="m2",((Z65/(Y65/AK65))*H65),X65="m3",((Z65/(Y65/AK65))*H65),X65="kg",(((Z65*AL65)/(1/AK65))*H65),X65="ton",(((Z65/1000*AL65)/(1/AK65))*H65),X65="N/A",""))</f>
        <v>2.972</v>
      </c>
      <c r="K65" s="52">
        <f t="shared" si="7"/>
        <v>2.9</v>
      </c>
      <c r="L65" s="155" cm="1">
        <f t="array" ref="L65">(_xlfn.IFS(X65="m2",((AA65/(Y65/AK65))*H65),X65="m3",((AA65/(Y65/AK65))*H65),X65="kg",(((AA65*AL65)/(1/AK65))*H65),X65="ton",(((AA65/1000*AL65)/(1/AK65))*H65),X65="N/A",""))</f>
        <v>2.9</v>
      </c>
      <c r="M65" s="52">
        <f t="shared" si="8"/>
        <v>7.1999999999999995E-2</v>
      </c>
      <c r="N65" s="148" cm="1">
        <f t="array" ref="N65">IF(AB65="N/A","",_xlfn.IFS(X65="m2",((AB65/(Y65/AK65))*H65),X65="m3",((AB65/(Y65/AK65))*H65),X65="kg",(((AB65*AL65)/(1/AK65))*H65),X65="ton",(((AB65/1000*AL65)/(1/AK65))*H65),X65="N/A",""))</f>
        <v>7.1999999999999995E-2</v>
      </c>
      <c r="O65" s="52" t="str">
        <f t="shared" si="9"/>
        <v>N/A</v>
      </c>
      <c r="P65" s="148" t="str" cm="1">
        <f t="array" ref="P65">IF(AD65="N/A","",_xlfn.IFS(X65="m2",((AD65/(Y65/AK65))*H65),X65="m3",((AD65/(Y65/AK65))*H65),X65="kg",(((AD65*AL65)/(1/AK65))*H65),X65="ton",(((AD65/1000*AL65)/(1/AK65))*H65),X65="N/A",""))</f>
        <v/>
      </c>
      <c r="Q65" s="88" t="s">
        <v>5</v>
      </c>
      <c r="R65" s="165"/>
      <c r="S65" s="47">
        <v>2023</v>
      </c>
      <c r="T65" s="47" t="s">
        <v>14</v>
      </c>
      <c r="U65" s="47">
        <v>60</v>
      </c>
      <c r="W65" s="47" t="s">
        <v>601</v>
      </c>
      <c r="X65" s="52" t="s">
        <v>15</v>
      </c>
      <c r="Y65" s="47">
        <v>9.4999999999999998E-3</v>
      </c>
      <c r="Z65" s="52">
        <f t="shared" si="10"/>
        <v>2.972</v>
      </c>
      <c r="AA65" s="52">
        <v>2.9</v>
      </c>
      <c r="AB65" s="52">
        <f>0.072+0</f>
        <v>7.1999999999999995E-2</v>
      </c>
      <c r="AC65" s="52" t="s">
        <v>191</v>
      </c>
      <c r="AD65" s="52" t="s">
        <v>191</v>
      </c>
      <c r="AE65" s="40"/>
      <c r="AF65" s="103" t="str">
        <f t="shared" si="11"/>
        <v xml:space="preserve">F </v>
      </c>
      <c r="AG65" s="75" t="s">
        <v>82</v>
      </c>
      <c r="AH65" s="108"/>
      <c r="AI65" s="120"/>
      <c r="AJ65" s="45"/>
      <c r="AK65" s="47">
        <v>9.4999999999999998E-3</v>
      </c>
      <c r="AL65" s="47" t="s">
        <v>191</v>
      </c>
      <c r="AM65" s="47" t="s">
        <v>191</v>
      </c>
      <c r="AN65" s="45"/>
      <c r="AO65" s="105" t="s">
        <v>17</v>
      </c>
      <c r="AP65" s="73"/>
    </row>
    <row r="66" spans="1:44" ht="25.2" customHeight="1" x14ac:dyDescent="0.15">
      <c r="A66" s="25" t="s">
        <v>238</v>
      </c>
      <c r="B66" s="69" t="s">
        <v>210</v>
      </c>
      <c r="C66" s="73"/>
      <c r="D66" s="47" t="s">
        <v>231</v>
      </c>
      <c r="E66" s="82" t="s">
        <v>240</v>
      </c>
      <c r="F66" s="47" t="s">
        <v>300</v>
      </c>
      <c r="H66" s="111">
        <v>1</v>
      </c>
      <c r="I66" s="52">
        <f t="shared" si="6"/>
        <v>6.3199999999999994</v>
      </c>
      <c r="J66" s="148" cm="1">
        <f t="array" ref="J66">IF(AB66="N/A","",_xlfn.IFS(X66="m2",((Z66/(Y66/AK66))*H66),X66="m3",((Z66/(Y66/AK66))*H66),X66="kg",(((Z66*AL66)/(1/AK66))*H66),X66="ton",(((Z66/1000*AL66)/(1/AK66))*H66),X66="N/A",""))</f>
        <v>6.3199999999999994</v>
      </c>
      <c r="K66" s="52">
        <f t="shared" si="7"/>
        <v>6.14</v>
      </c>
      <c r="L66" s="155" cm="1">
        <f t="array" ref="L66">(_xlfn.IFS(X66="m2",((AA66/(Y66/AK66))*H66),X66="m3",((AA66/(Y66/AK66))*H66),X66="kg",(((AA66*AL66)/(1/AK66))*H66),X66="ton",(((AA66/1000*AL66)/(1/AK66))*H66),X66="N/A",""))</f>
        <v>6.14</v>
      </c>
      <c r="M66" s="52">
        <f t="shared" si="8"/>
        <v>0.18</v>
      </c>
      <c r="N66" s="148" cm="1">
        <f t="array" ref="N66">IF(AB66="N/A","",_xlfn.IFS(X66="m2",((AB66/(Y66/AK66))*H66),X66="m3",((AB66/(Y66/AK66))*H66),X66="kg",(((AB66*AL66)/(1/AK66))*H66),X66="ton",(((AB66/1000*AL66)/(1/AK66))*H66),X66="N/A",""))</f>
        <v>0.18</v>
      </c>
      <c r="O66" s="52">
        <f t="shared" si="9"/>
        <v>-9.2700000000000005E-2</v>
      </c>
      <c r="P66" s="148" cm="1">
        <f t="array" ref="P66">IF(AD66="N/A","",_xlfn.IFS(X66="m2",((AD66/(Y66/AK66))*H66),X66="m3",((AD66/(Y66/AK66))*H66),X66="kg",(((AD66*AL66)/(1/AK66))*H66),X66="ton",(((AD66/1000*AL66)/(1/AK66))*H66),X66="N/A",""))</f>
        <v>-9.2700000000000005E-2</v>
      </c>
      <c r="Q66" s="82" t="s">
        <v>5</v>
      </c>
      <c r="R66" s="164"/>
      <c r="S66" s="47">
        <v>2026</v>
      </c>
      <c r="T66" s="47" t="s">
        <v>28</v>
      </c>
      <c r="U66" s="47" t="s">
        <v>191</v>
      </c>
      <c r="W66" s="47" t="s">
        <v>595</v>
      </c>
      <c r="X66" s="47" t="s">
        <v>15</v>
      </c>
      <c r="Y66" s="47">
        <v>8.9999999999999993E-3</v>
      </c>
      <c r="Z66" s="52">
        <f t="shared" si="10"/>
        <v>6.3199999999999994</v>
      </c>
      <c r="AA66" s="52">
        <v>6.14</v>
      </c>
      <c r="AB66" s="52">
        <f>0+0.18</f>
        <v>0.18</v>
      </c>
      <c r="AC66" s="52">
        <v>0</v>
      </c>
      <c r="AD66" s="52">
        <v>-9.2700000000000005E-2</v>
      </c>
      <c r="AF66" s="103" t="str">
        <f t="shared" si="11"/>
        <v>A2 s1
d0</v>
      </c>
      <c r="AG66" s="75" t="s">
        <v>214</v>
      </c>
      <c r="AH66" s="83" t="s">
        <v>176</v>
      </c>
      <c r="AI66" s="96"/>
      <c r="AK66" s="47">
        <v>8.9999999999999993E-3</v>
      </c>
      <c r="AL66" s="47" t="s">
        <v>191</v>
      </c>
      <c r="AM66" s="47" t="s">
        <v>191</v>
      </c>
      <c r="AO66" s="80" t="s">
        <v>17</v>
      </c>
      <c r="AP66" s="73"/>
    </row>
    <row r="67" spans="1:44" ht="25.2" customHeight="1" x14ac:dyDescent="0.15">
      <c r="A67" s="25" t="s">
        <v>237</v>
      </c>
      <c r="B67" s="69" t="s">
        <v>210</v>
      </c>
      <c r="C67" s="73"/>
      <c r="D67" s="47" t="s">
        <v>231</v>
      </c>
      <c r="E67" s="82" t="s">
        <v>240</v>
      </c>
      <c r="F67" s="47" t="s">
        <v>300</v>
      </c>
      <c r="H67" s="111">
        <v>1</v>
      </c>
      <c r="I67" s="52">
        <f t="shared" si="6"/>
        <v>9.5510000000000002</v>
      </c>
      <c r="J67" s="148" cm="1">
        <f t="array" ref="J67">IF(AB67="N/A","",_xlfn.IFS(X67="m2",((Z67/(Y67/AK67))*H67),X67="m3",((Z67/(Y67/AK67))*H67),X67="kg",(((Z67*AL67)/(1/AK67))*H67),X67="ton",(((Z67/1000*AL67)/(1/AK67))*H67),X67="N/A",""))</f>
        <v>9.5510000000000002</v>
      </c>
      <c r="K67" s="52">
        <f t="shared" si="7"/>
        <v>9.36</v>
      </c>
      <c r="L67" s="155" cm="1">
        <f t="array" ref="L67">(_xlfn.IFS(X67="m2",((AA67/(Y67/AK67))*H67),X67="m3",((AA67/(Y67/AK67))*H67),X67="kg",(((AA67*AL67)/(1/AK67))*H67),X67="ton",(((AA67/1000*AL67)/(1/AK67))*H67),X67="N/A",""))</f>
        <v>9.36</v>
      </c>
      <c r="M67" s="52">
        <f t="shared" si="8"/>
        <v>0.191</v>
      </c>
      <c r="N67" s="148" cm="1">
        <f t="array" ref="N67">IF(AB67="N/A","",_xlfn.IFS(X67="m2",((AB67/(Y67/AK67))*H67),X67="m3",((AB67/(Y67/AK67))*H67),X67="kg",(((AB67*AL67)/(1/AK67))*H67),X67="ton",(((AB67/1000*AL67)/(1/AK67))*H67),X67="N/A",""))</f>
        <v>0.191</v>
      </c>
      <c r="O67" s="52">
        <f t="shared" si="9"/>
        <v>-0.19900000000000001</v>
      </c>
      <c r="P67" s="148" cm="1">
        <f t="array" ref="P67">IF(AD67="N/A","",_xlfn.IFS(X67="m2",((AD67/(Y67/AK67))*H67),X67="m3",((AD67/(Y67/AK67))*H67),X67="kg",(((AD67*AL67)/(1/AK67))*H67),X67="ton",(((AD67/1000*AL67)/(1/AK67))*H67),X67="N/A",""))</f>
        <v>-0.19900000000000001</v>
      </c>
      <c r="Q67" s="82" t="s">
        <v>5</v>
      </c>
      <c r="R67" s="164"/>
      <c r="S67" s="47">
        <v>2026</v>
      </c>
      <c r="T67" s="47" t="s">
        <v>28</v>
      </c>
      <c r="U67" s="47" t="s">
        <v>191</v>
      </c>
      <c r="W67" s="47" t="s">
        <v>595</v>
      </c>
      <c r="X67" s="47" t="s">
        <v>15</v>
      </c>
      <c r="Y67" s="47">
        <v>8.9999999999999993E-3</v>
      </c>
      <c r="Z67" s="52">
        <f t="shared" si="10"/>
        <v>9.5510000000000002</v>
      </c>
      <c r="AA67" s="52">
        <v>9.36</v>
      </c>
      <c r="AB67" s="52">
        <f>0+0.191</f>
        <v>0.191</v>
      </c>
      <c r="AC67" s="52">
        <v>0</v>
      </c>
      <c r="AD67" s="52">
        <v>-0.19900000000000001</v>
      </c>
      <c r="AF67" s="103" t="str">
        <f t="shared" si="11"/>
        <v>A2 s1
d0</v>
      </c>
      <c r="AG67" s="75" t="s">
        <v>214</v>
      </c>
      <c r="AH67" s="83" t="s">
        <v>176</v>
      </c>
      <c r="AI67" s="96"/>
      <c r="AK67" s="47">
        <v>8.9999999999999993E-3</v>
      </c>
      <c r="AL67" s="97" t="s">
        <v>191</v>
      </c>
      <c r="AM67" s="47" t="s">
        <v>191</v>
      </c>
      <c r="AO67" s="80" t="s">
        <v>17</v>
      </c>
      <c r="AP67" s="73"/>
      <c r="AQ67" s="26"/>
    </row>
    <row r="68" spans="1:44" s="16" customFormat="1" ht="25.2" customHeight="1" x14ac:dyDescent="0.15">
      <c r="A68" s="25" t="s">
        <v>93</v>
      </c>
      <c r="B68" s="69" t="s">
        <v>208</v>
      </c>
      <c r="C68" s="73"/>
      <c r="D68" s="92" t="s">
        <v>89</v>
      </c>
      <c r="E68" s="92" t="s">
        <v>149</v>
      </c>
      <c r="F68" s="47" t="s">
        <v>132</v>
      </c>
      <c r="G68" s="47"/>
      <c r="H68" s="111">
        <v>1</v>
      </c>
      <c r="I68" s="52" t="str">
        <f t="shared" si="6"/>
        <v>N/A</v>
      </c>
      <c r="J68" s="148" t="str" cm="1">
        <f t="array" ref="J68">IF(AB68="N/A","",_xlfn.IFS(X68="m2",((Z68/(Y68/AK68))*H68),X68="m3",((Z68/(Y68/AK68))*H68),X68="kg",(((Z68*AL68)/(1/AK68))*H68),X68="ton",(((Z68/1000*AL68)/(1/AK68))*H68),X68="N/A",""))</f>
        <v/>
      </c>
      <c r="K68" s="52" t="str">
        <f t="shared" si="7"/>
        <v>N/A</v>
      </c>
      <c r="L68" s="155" t="str" cm="1">
        <f t="array" ref="L68">(_xlfn.IFS(X68="m2",((AA68/(Y68/AK68))*H68),X68="m3",((AA68/(Y68/AK68))*H68),X68="kg",(((AA68*AL68)/(1/AK68))*H68),X68="ton",(((AA68/1000*AL68)/(1/AK68))*H68),X68="N/A",""))</f>
        <v/>
      </c>
      <c r="M68" s="52" t="str">
        <f t="shared" si="8"/>
        <v>N/A</v>
      </c>
      <c r="N68" s="148" t="str" cm="1">
        <f t="array" ref="N68">IF(AB68="N/A","",_xlfn.IFS(X68="m2",((AB68/(Y68/AK68))*H68),X68="m3",((AB68/(Y68/AK68))*H68),X68="kg",(((AB68*AL68)/(1/AK68))*H68),X68="ton",(((AB68/1000*AL68)/(1/AK68))*H68),X68="N/A",""))</f>
        <v/>
      </c>
      <c r="O68" s="52" t="str">
        <f t="shared" si="9"/>
        <v>N/A</v>
      </c>
      <c r="P68" s="148" t="str" cm="1">
        <f t="array" ref="P68">IF(AD68="N/A","",_xlfn.IFS(X68="m2",((AD68/(Y68/AK68))*H68),X68="m3",((AD68/(Y68/AK68))*H68),X68="kg",(((AD68*AL68)/(1/AK68))*H68),X68="ton",(((AD68/1000*AL68)/(1/AK68))*H68),X68="N/A",""))</f>
        <v/>
      </c>
      <c r="Q68" s="47" t="s">
        <v>191</v>
      </c>
      <c r="R68" s="47"/>
      <c r="S68" s="47" t="s">
        <v>191</v>
      </c>
      <c r="T68" s="47" t="s">
        <v>191</v>
      </c>
      <c r="U68" s="47" t="s">
        <v>191</v>
      </c>
      <c r="V68" s="17"/>
      <c r="W68" s="47" t="s">
        <v>191</v>
      </c>
      <c r="X68" s="47" t="s">
        <v>191</v>
      </c>
      <c r="Y68" s="47" t="s">
        <v>191</v>
      </c>
      <c r="Z68" s="52" t="str">
        <f t="shared" si="10"/>
        <v>N/A</v>
      </c>
      <c r="AA68" s="52" t="s">
        <v>191</v>
      </c>
      <c r="AB68" s="52" t="s">
        <v>191</v>
      </c>
      <c r="AC68" s="52" t="s">
        <v>191</v>
      </c>
      <c r="AD68" s="52" t="s">
        <v>191</v>
      </c>
      <c r="AE68" s="69"/>
      <c r="AF68" s="103" t="str">
        <f t="shared" si="11"/>
        <v xml:space="preserve">F </v>
      </c>
      <c r="AG68" s="75" t="s">
        <v>82</v>
      </c>
      <c r="AH68" s="76"/>
      <c r="AI68" s="96"/>
      <c r="AJ68" s="17"/>
      <c r="AK68" s="69" t="s">
        <v>191</v>
      </c>
      <c r="AL68" s="266">
        <v>140</v>
      </c>
      <c r="AM68" s="73">
        <v>2100</v>
      </c>
      <c r="AN68" s="25"/>
      <c r="AO68" s="80" t="s">
        <v>17</v>
      </c>
      <c r="AP68" s="81"/>
      <c r="AQ68" s="47"/>
      <c r="AR68" s="25"/>
    </row>
    <row r="69" spans="1:44" s="16" customFormat="1" ht="25.2" customHeight="1" x14ac:dyDescent="0.15">
      <c r="A69" s="25" t="s">
        <v>90</v>
      </c>
      <c r="B69" s="69" t="s">
        <v>208</v>
      </c>
      <c r="C69" s="73"/>
      <c r="D69" s="92" t="s">
        <v>89</v>
      </c>
      <c r="E69" s="92" t="s">
        <v>149</v>
      </c>
      <c r="F69" s="47" t="s">
        <v>132</v>
      </c>
      <c r="G69" s="47"/>
      <c r="H69" s="111">
        <v>1</v>
      </c>
      <c r="I69" s="52">
        <f t="shared" si="6"/>
        <v>3.0071999999999992</v>
      </c>
      <c r="J69" s="148" cm="1">
        <f t="array" ref="J69">IF(AB69="N/A","",_xlfn.IFS(X69="m2",((Z69/(Y69/AK69))*H69),X69="m3",((Z69/(Y69/AK69))*H69),X69="kg",(((Z69*AL69)/(1/AK69))*H69),X69="ton",(((Z69/1000*AL69)/(1/AK69))*H69),X69="N/A",""))</f>
        <v>3.0071999999999992</v>
      </c>
      <c r="K69" s="52">
        <f t="shared" si="7"/>
        <v>-8.3327999999999989</v>
      </c>
      <c r="L69" s="155" cm="1">
        <f t="array" ref="L69">(_xlfn.IFS(X69="m2",((AA69/(Y69/AK69))*H69),X69="m3",((AA69/(Y69/AK69))*H69),X69="kg",(((AA69*AL69)/(1/AK69))*H69),X69="ton",(((AA69/1000*AL69)/(1/AK69))*H69),X69="N/A",""))</f>
        <v>-8.3327999999999989</v>
      </c>
      <c r="M69" s="52">
        <f t="shared" si="8"/>
        <v>11.339999999999998</v>
      </c>
      <c r="N69" s="148" cm="1">
        <f t="array" ref="N69">IF(AB69="N/A","",_xlfn.IFS(X69="m2",((AB69/(Y69/AK69))*H69),X69="m3",((AB69/(Y69/AK69))*H69),X69="kg",(((AB69*AL69)/(1/AK69))*H69),X69="ton",(((AB69/1000*AL69)/(1/AK69))*H69),X69="N/A",""))</f>
        <v>11.339999999999998</v>
      </c>
      <c r="O69" s="52" t="str">
        <f t="shared" si="9"/>
        <v>N/A</v>
      </c>
      <c r="P69" s="148" t="str" cm="1">
        <f t="array" ref="P69">IF(AD69="N/A","",_xlfn.IFS(X69="m2",((AD69/(Y69/AK69))*H69),X69="m3",((AD69/(Y69/AK69))*H69),X69="kg",(((AD69*AL69)/(1/AK69))*H69),X69="ton",(((AD69/1000*AL69)/(1/AK69))*H69),X69="N/A",""))</f>
        <v/>
      </c>
      <c r="Q69" s="47" t="s">
        <v>5</v>
      </c>
      <c r="R69" s="47"/>
      <c r="S69" s="47">
        <v>2025</v>
      </c>
      <c r="T69" s="47" t="s">
        <v>14</v>
      </c>
      <c r="U69" s="47" t="s">
        <v>191</v>
      </c>
      <c r="V69" s="17"/>
      <c r="W69" s="47" t="s">
        <v>847</v>
      </c>
      <c r="X69" s="47" t="s">
        <v>20</v>
      </c>
      <c r="Y69" s="47">
        <v>1</v>
      </c>
      <c r="Z69" s="52">
        <f t="shared" si="10"/>
        <v>71.599999999999994</v>
      </c>
      <c r="AA69" s="52">
        <v>-198.4</v>
      </c>
      <c r="AB69" s="52">
        <v>270</v>
      </c>
      <c r="AC69" s="52">
        <v>-184.5</v>
      </c>
      <c r="AD69" s="52" t="s">
        <v>191</v>
      </c>
      <c r="AE69" s="69"/>
      <c r="AF69" s="103" t="str">
        <f t="shared" si="11"/>
        <v>D s2
d0</v>
      </c>
      <c r="AG69" s="75" t="s">
        <v>8</v>
      </c>
      <c r="AH69" s="83" t="s">
        <v>177</v>
      </c>
      <c r="AI69" s="96"/>
      <c r="AJ69" s="17"/>
      <c r="AK69" s="69">
        <f>(0.037+0.047)/2</f>
        <v>4.1999999999999996E-2</v>
      </c>
      <c r="AL69" s="266">
        <v>167</v>
      </c>
      <c r="AM69" s="73">
        <v>2100</v>
      </c>
      <c r="AN69" s="25"/>
      <c r="AO69" s="80" t="s">
        <v>17</v>
      </c>
      <c r="AP69" s="81"/>
      <c r="AQ69" s="47"/>
      <c r="AR69" s="25"/>
    </row>
    <row r="70" spans="1:44" s="16" customFormat="1" ht="25.2" customHeight="1" x14ac:dyDescent="0.15">
      <c r="A70" s="25" t="s">
        <v>94</v>
      </c>
      <c r="B70" s="69" t="s">
        <v>208</v>
      </c>
      <c r="C70" s="73"/>
      <c r="D70" s="92" t="s">
        <v>89</v>
      </c>
      <c r="E70" s="92" t="s">
        <v>149</v>
      </c>
      <c r="F70" s="47" t="s">
        <v>132</v>
      </c>
      <c r="G70" s="47"/>
      <c r="H70" s="111">
        <v>1</v>
      </c>
      <c r="I70" s="52" t="str">
        <f t="shared" ref="I70:I101" si="12">IF(AB70="N/A","N/A",IF(J70="","N/A",J70))</f>
        <v>N/A</v>
      </c>
      <c r="J70" s="148" t="str" cm="1">
        <f t="array" ref="J70">IF(AB70="N/A","",_xlfn.IFS(X70="m2",((Z70/(Y70/AK70))*H70),X70="m3",((Z70/(Y70/AK70))*H70),X70="kg",(((Z70*AL70)/(1/AK70))*H70),X70="ton",(((Z70/1000*AL70)/(1/AK70))*H70),X70="N/A",""))</f>
        <v/>
      </c>
      <c r="K70" s="52" t="str">
        <f t="shared" ref="K70:K101" si="13">IF(L70="","N/A",L70)</f>
        <v>N/A</v>
      </c>
      <c r="L70" s="155" t="str" cm="1">
        <f t="array" ref="L70">(_xlfn.IFS(X70="m2",((AA70/(Y70/AK70))*H70),X70="m3",((AA70/(Y70/AK70))*H70),X70="kg",(((AA70*AL70)/(1/AK70))*H70),X70="ton",(((AA70/1000*AL70)/(1/AK70))*H70),X70="N/A",""))</f>
        <v/>
      </c>
      <c r="M70" s="52" t="str">
        <f t="shared" ref="M70:M101" si="14">IF(N70="","N/A",N70)</f>
        <v>N/A</v>
      </c>
      <c r="N70" s="148" t="str" cm="1">
        <f t="array" ref="N70">IF(AB70="N/A","",_xlfn.IFS(X70="m2",((AB70/(Y70/AK70))*H70),X70="m3",((AB70/(Y70/AK70))*H70),X70="kg",(((AB70*AL70)/(1/AK70))*H70),X70="ton",(((AB70/1000*AL70)/(1/AK70))*H70),X70="N/A",""))</f>
        <v/>
      </c>
      <c r="O70" s="52" t="str">
        <f t="shared" ref="O70:O101" si="15">IF(P70="","N/A",P70)</f>
        <v>N/A</v>
      </c>
      <c r="P70" s="148" t="str" cm="1">
        <f t="array" ref="P70">IF(AD70="N/A","",_xlfn.IFS(X70="m2",((AD70/(Y70/AK70))*H70),X70="m3",((AD70/(Y70/AK70))*H70),X70="kg",(((AD70*AL70)/(1/AK70))*H70),X70="ton",(((AD70/1000*AL70)/(1/AK70))*H70),X70="N/A",""))</f>
        <v/>
      </c>
      <c r="Q70" s="47" t="s">
        <v>191</v>
      </c>
      <c r="R70" s="47"/>
      <c r="S70" s="47" t="s">
        <v>191</v>
      </c>
      <c r="T70" s="47" t="s">
        <v>191</v>
      </c>
      <c r="U70" s="47" t="s">
        <v>191</v>
      </c>
      <c r="V70" s="17"/>
      <c r="W70" s="47" t="s">
        <v>191</v>
      </c>
      <c r="X70" s="47" t="s">
        <v>191</v>
      </c>
      <c r="Y70" s="47" t="s">
        <v>191</v>
      </c>
      <c r="Z70" s="52" t="str">
        <f t="shared" ref="Z70:Z101" si="16">IF(AB70="N/A","N/A",SUM(AA70:AB70))</f>
        <v>N/A</v>
      </c>
      <c r="AA70" s="52" t="s">
        <v>191</v>
      </c>
      <c r="AB70" s="52" t="s">
        <v>191</v>
      </c>
      <c r="AC70" s="52" t="s">
        <v>191</v>
      </c>
      <c r="AD70" s="52" t="s">
        <v>191</v>
      </c>
      <c r="AE70" s="69"/>
      <c r="AF70" s="103" t="str">
        <f t="shared" ref="AF70:AF72" si="17">AG70&amp;" "&amp;AH70</f>
        <v xml:space="preserve">E </v>
      </c>
      <c r="AG70" s="75" t="s">
        <v>16</v>
      </c>
      <c r="AH70" s="76"/>
      <c r="AI70" s="96"/>
      <c r="AJ70" s="17"/>
      <c r="AK70" s="69" t="s">
        <v>191</v>
      </c>
      <c r="AL70" s="266">
        <v>140</v>
      </c>
      <c r="AM70" s="73">
        <v>2100</v>
      </c>
      <c r="AN70" s="25"/>
      <c r="AO70" s="80" t="s">
        <v>17</v>
      </c>
      <c r="AP70" s="81"/>
      <c r="AQ70" s="47"/>
      <c r="AR70" s="25"/>
    </row>
    <row r="71" spans="1:44" ht="25.2" customHeight="1" x14ac:dyDescent="0.15">
      <c r="A71" s="25" t="s">
        <v>91</v>
      </c>
      <c r="B71" s="69" t="s">
        <v>208</v>
      </c>
      <c r="C71" s="73"/>
      <c r="D71" s="92" t="s">
        <v>89</v>
      </c>
      <c r="E71" s="92" t="s">
        <v>149</v>
      </c>
      <c r="F71" s="47" t="s">
        <v>132</v>
      </c>
      <c r="H71" s="111">
        <v>1</v>
      </c>
      <c r="I71" s="52">
        <f t="shared" si="12"/>
        <v>4.165</v>
      </c>
      <c r="J71" s="148" cm="1">
        <f t="array" ref="J71">IF(AB71="N/A","",_xlfn.IFS(X71="m2",((Z71/(Y71/AK71))*H71),X71="m3",((Z71/(Y71/AK71))*H71),X71="kg",(((Z71*AL71)/(1/AK71))*H71),X71="ton",(((Z71/1000*AL71)/(1/AK71))*H71),X71="N/A",""))</f>
        <v>4.165</v>
      </c>
      <c r="K71" s="52">
        <f t="shared" si="13"/>
        <v>-7.9049999999999994</v>
      </c>
      <c r="L71" s="155" cm="1">
        <f t="array" ref="L71">(_xlfn.IFS(X71="m2",((AA71/(Y71/AK71))*H71),X71="m3",((AA71/(Y71/AK71))*H71),X71="kg",(((AA71*AL71)/(1/AK71))*H71),X71="ton",(((AA71/1000*AL71)/(1/AK71))*H71),X71="N/A",""))</f>
        <v>-7.9049999999999994</v>
      </c>
      <c r="M71" s="52">
        <f t="shared" si="14"/>
        <v>12.069999999999999</v>
      </c>
      <c r="N71" s="148" cm="1">
        <f t="array" ref="N71">IF(AB71="N/A","",_xlfn.IFS(X71="m2",((AB71/(Y71/AK71))*H71),X71="m3",((AB71/(Y71/AK71))*H71),X71="kg",(((AB71*AL71)/(1/AK71))*H71),X71="ton",(((AB71/1000*AL71)/(1/AK71))*H71),X71="N/A",""))</f>
        <v>12.069999999999999</v>
      </c>
      <c r="O71" s="52" t="str">
        <f t="shared" si="15"/>
        <v>N/A</v>
      </c>
      <c r="P71" s="148" t="str" cm="1">
        <f t="array" ref="P71">IF(AD71="N/A","",_xlfn.IFS(X71="m2",((AD71/(Y71/AK71))*H71),X71="m3",((AD71/(Y71/AK71))*H71),X71="kg",(((AD71*AL71)/(1/AK71))*H71),X71="ton",(((AD71/1000*AL71)/(1/AK71))*H71),X71="N/A",""))</f>
        <v/>
      </c>
      <c r="Q71" s="47" t="s">
        <v>5</v>
      </c>
      <c r="R71" s="47"/>
      <c r="S71" s="47">
        <v>2022</v>
      </c>
      <c r="T71" s="47" t="s">
        <v>14</v>
      </c>
      <c r="U71" s="47" t="s">
        <v>191</v>
      </c>
      <c r="W71" s="47" t="s">
        <v>848</v>
      </c>
      <c r="X71" s="47" t="s">
        <v>20</v>
      </c>
      <c r="Y71" s="47">
        <v>1</v>
      </c>
      <c r="Z71" s="52">
        <f t="shared" si="16"/>
        <v>98</v>
      </c>
      <c r="AA71" s="52">
        <v>-186</v>
      </c>
      <c r="AB71" s="52">
        <f>0+284</f>
        <v>284</v>
      </c>
      <c r="AC71" s="52">
        <f>-204</f>
        <v>-204</v>
      </c>
      <c r="AD71" s="52" t="s">
        <v>191</v>
      </c>
      <c r="AF71" s="103" t="str">
        <f t="shared" si="17"/>
        <v xml:space="preserve">E </v>
      </c>
      <c r="AG71" s="75" t="s">
        <v>16</v>
      </c>
      <c r="AH71" s="76"/>
      <c r="AI71" s="96"/>
      <c r="AK71" s="47">
        <f>(0.038+0.047)/2</f>
        <v>4.2499999999999996E-2</v>
      </c>
      <c r="AL71" s="47">
        <v>163</v>
      </c>
      <c r="AM71" s="47">
        <v>2100</v>
      </c>
      <c r="AO71" s="80" t="s">
        <v>17</v>
      </c>
      <c r="AP71" s="81"/>
      <c r="AQ71" s="26"/>
    </row>
    <row r="72" spans="1:44" ht="25.2" customHeight="1" x14ac:dyDescent="0.15">
      <c r="A72" s="25" t="s">
        <v>1106</v>
      </c>
      <c r="B72" s="47" t="s">
        <v>208</v>
      </c>
      <c r="C72" s="47"/>
      <c r="D72" s="47" t="s">
        <v>97</v>
      </c>
      <c r="E72" s="82" t="s">
        <v>146</v>
      </c>
      <c r="F72" s="47" t="s">
        <v>132</v>
      </c>
      <c r="H72" s="111">
        <v>1</v>
      </c>
      <c r="I72" s="52">
        <f t="shared" si="12"/>
        <v>6.863999999999999</v>
      </c>
      <c r="J72" s="148" cm="1">
        <f t="array" ref="J72">IF(AB72="N/A","",_xlfn.IFS(X72="m2",((Z72/(Y72/AK72))*H72),X72="m3",((Z72/(Y72/AK72))*H72),X72="kg",(((Z72*AL72)/(1/AK72))*H72),X72="ton",(((Z72/1000*AL72)/(1/AK72))*H72),X72="N/A",""))</f>
        <v>6.863999999999999</v>
      </c>
      <c r="K72" s="52">
        <f t="shared" si="13"/>
        <v>-16.444999999999997</v>
      </c>
      <c r="L72" s="155" cm="1">
        <f t="array" ref="L72">(_xlfn.IFS(X72="m2",((AA72/(Y72/AK72))*H72),X72="m3",((AA72/(Y72/AK72))*H72),X72="kg",(((AA72*AL72)/(1/AK72))*H72),X72="ton",(((AA72/1000*AL72)/(1/AK72))*H72),X72="N/A",""))</f>
        <v>-16.444999999999997</v>
      </c>
      <c r="M72" s="52">
        <f t="shared" si="14"/>
        <v>23.308999999999997</v>
      </c>
      <c r="N72" s="148" cm="1">
        <f t="array" ref="N72">IF(AB72="N/A","",_xlfn.IFS(X72="m2",((AB72/(Y72/AK72))*H72),X72="m3",((AB72/(Y72/AK72))*H72),X72="kg",(((AB72*AL72)/(1/AK72))*H72),X72="ton",(((AB72/1000*AL72)/(1/AK72))*H72),X72="N/A",""))</f>
        <v>23.308999999999997</v>
      </c>
      <c r="O72" s="52" t="str">
        <f t="shared" si="15"/>
        <v>N/A</v>
      </c>
      <c r="P72" s="148" t="str" cm="1">
        <f t="array" ref="P72">IF(AD72="N/A","",_xlfn.IFS(X72="m2",((AD72/(Y72/AK72))*H72),X72="m3",((AD72/(Y72/AK72))*H72),X72="kg",(((AD72*AL72)/(1/AK72))*H72),X72="ton",(((AD72/1000*AL72)/(1/AK72))*H72),X72="N/A",""))</f>
        <v/>
      </c>
      <c r="Q72" s="88" t="s">
        <v>5</v>
      </c>
      <c r="R72" s="164"/>
      <c r="S72" s="47">
        <v>2026</v>
      </c>
      <c r="T72" s="47" t="s">
        <v>14</v>
      </c>
      <c r="U72" s="47" t="s">
        <v>191</v>
      </c>
      <c r="W72" s="47" t="s">
        <v>1107</v>
      </c>
      <c r="X72" s="47" t="s">
        <v>61</v>
      </c>
      <c r="Y72" s="47" t="s">
        <v>191</v>
      </c>
      <c r="Z72" s="52">
        <f t="shared" si="16"/>
        <v>0.48</v>
      </c>
      <c r="AA72" s="52">
        <v>-1.1499999999999999</v>
      </c>
      <c r="AB72" s="52">
        <f>1.63 +0</f>
        <v>1.63</v>
      </c>
      <c r="AC72" s="52">
        <v>0.90500000000000003</v>
      </c>
      <c r="AD72" s="52" t="s">
        <v>191</v>
      </c>
      <c r="AF72" s="103" t="str">
        <f t="shared" si="17"/>
        <v>D s2
d0</v>
      </c>
      <c r="AG72" s="75" t="s">
        <v>8</v>
      </c>
      <c r="AH72" s="83" t="s">
        <v>177</v>
      </c>
      <c r="AI72" s="96"/>
      <c r="AK72" s="47">
        <v>2.1999999999999999E-2</v>
      </c>
      <c r="AL72" s="47">
        <f>(550+750)/2</f>
        <v>650</v>
      </c>
      <c r="AM72" s="47" t="s">
        <v>191</v>
      </c>
      <c r="AO72" s="105" t="s">
        <v>17</v>
      </c>
      <c r="AP72" s="73"/>
      <c r="AQ72" s="26"/>
    </row>
    <row r="73" spans="1:44" ht="25.2" customHeight="1" x14ac:dyDescent="0.15">
      <c r="A73" s="25" t="s">
        <v>1109</v>
      </c>
      <c r="B73" s="26" t="s">
        <v>294</v>
      </c>
      <c r="C73" s="66"/>
      <c r="D73" s="47" t="s">
        <v>1108</v>
      </c>
      <c r="E73" s="186" t="s">
        <v>146</v>
      </c>
      <c r="F73" s="47" t="s">
        <v>132</v>
      </c>
      <c r="G73" s="40"/>
      <c r="H73" s="111">
        <v>1</v>
      </c>
      <c r="I73" s="52">
        <f t="shared" si="12"/>
        <v>4.2899999999999974</v>
      </c>
      <c r="J73" s="148" cm="1">
        <f t="array" ref="J73">IF(AB73="N/A","",_xlfn.IFS(X73="m2",((Z73/(Y73/AK73))*H73),X73="m3",((Z73/(Y73/AK73))*H73),X73="kg",(((Z73*AL73)/(1/AK73))*H73),X73="ton",(((Z73/1000*AL73)/(1/AK73))*H73),X73="N/A",""))</f>
        <v>4.2899999999999974</v>
      </c>
      <c r="K73" s="52">
        <f t="shared" si="13"/>
        <v>-19.448</v>
      </c>
      <c r="L73" s="155" cm="1">
        <f t="array" ref="L73">(_xlfn.IFS(X73="m2",((AA73/(Y73/AK73))*H73),X73="m3",((AA73/(Y73/AK73))*H73),X73="kg",(((AA73*AL73)/(1/AK73))*H73),X73="ton",(((AA73/1000*AL73)/(1/AK73))*H73),X73="N/A",""))</f>
        <v>-19.448</v>
      </c>
      <c r="M73" s="52">
        <f t="shared" si="14"/>
        <v>23.737999999999996</v>
      </c>
      <c r="N73" s="148" cm="1">
        <f t="array" ref="N73">IF(AB73="N/A","",_xlfn.IFS(X73="m2",((AB73/(Y73/AK73))*H73),X73="m3",((AB73/(Y73/AK73))*H73),X73="kg",(((AB73*AL73)/(1/AK73))*H73),X73="ton",(((AB73/1000*AL73)/(1/AK73))*H73),X73="N/A",""))</f>
        <v>23.737999999999996</v>
      </c>
      <c r="O73" s="52" t="str">
        <f t="shared" si="15"/>
        <v>N/A</v>
      </c>
      <c r="P73" s="148" t="str" cm="1">
        <f t="array" ref="P73">IF(AD73="N/A","",_xlfn.IFS(X73="m2",((AD73/(Y73/AK73))*H73),X73="m3",((AD73/(Y73/AK73))*H73),X73="kg",(((AD73*AL73)/(1/AK73))*H73),X73="ton",(((AD73/1000*AL73)/(1/AK73))*H73),X73="N/A",""))</f>
        <v/>
      </c>
      <c r="Q73" s="186" t="s">
        <v>5</v>
      </c>
      <c r="R73" s="47"/>
      <c r="S73" s="47">
        <v>2026</v>
      </c>
      <c r="T73" s="47" t="s">
        <v>14</v>
      </c>
      <c r="U73" s="47" t="s">
        <v>191</v>
      </c>
      <c r="W73" s="52" t="s">
        <v>1110</v>
      </c>
      <c r="X73" s="47" t="s">
        <v>61</v>
      </c>
      <c r="Y73" s="47" t="s">
        <v>191</v>
      </c>
      <c r="Z73" s="52">
        <f t="shared" si="16"/>
        <v>0.29999999999999982</v>
      </c>
      <c r="AA73" s="52">
        <f>-1.36</f>
        <v>-1.36</v>
      </c>
      <c r="AB73" s="52">
        <f>1.66+0</f>
        <v>1.66</v>
      </c>
      <c r="AC73" s="52">
        <v>-0.92100000000000004</v>
      </c>
      <c r="AD73" s="52" t="s">
        <v>191</v>
      </c>
      <c r="AE73" s="40"/>
      <c r="AF73" s="120"/>
      <c r="AG73" s="75" t="s">
        <v>82</v>
      </c>
      <c r="AH73" s="108"/>
      <c r="AI73" s="120"/>
      <c r="AJ73" s="45"/>
      <c r="AK73" s="47">
        <v>2.1999999999999999E-2</v>
      </c>
      <c r="AL73" s="47">
        <f>(550+750)/2</f>
        <v>650</v>
      </c>
      <c r="AM73" s="47" t="s">
        <v>191</v>
      </c>
      <c r="AN73" s="45"/>
      <c r="AO73" s="109"/>
      <c r="AP73" s="73"/>
    </row>
    <row r="74" spans="1:44" ht="25.2" customHeight="1" x14ac:dyDescent="0.15">
      <c r="A74" s="25" t="s">
        <v>1112</v>
      </c>
      <c r="B74" s="69" t="s">
        <v>208</v>
      </c>
      <c r="C74" s="73"/>
      <c r="D74" s="47" t="s">
        <v>155</v>
      </c>
      <c r="E74" s="47" t="s">
        <v>153</v>
      </c>
      <c r="F74" s="47" t="s">
        <v>132</v>
      </c>
      <c r="H74" s="111">
        <v>1</v>
      </c>
      <c r="I74" s="52">
        <f t="shared" si="12"/>
        <v>4.2003799999999991</v>
      </c>
      <c r="J74" s="148" cm="1">
        <f t="array" ref="J74">IF(AB74="N/A","",_xlfn.IFS(X74="m2",((Z74/(Y74/AK74))*H74),X74="m3",((Z74/(Y74/AK74))*H74),X74="kg",(((Z74*AL74)/(1/AK74))*H74),X74="ton",(((Z74/1000*AL74)/(1/AK74))*H74),X74="N/A",""))</f>
        <v>4.2003799999999991</v>
      </c>
      <c r="K74" s="52">
        <f t="shared" si="13"/>
        <v>-12</v>
      </c>
      <c r="L74" s="155" cm="1">
        <f t="array" ref="L74">(_xlfn.IFS(X74="m2",((AA74/(Y74/AK74))*H74),X74="m3",((AA74/(Y74/AK74))*H74),X74="kg",(((AA74*AL74)/(1/AK74))*H74),X74="ton",(((AA74/1000*AL74)/(1/AK74))*H74),X74="N/A",""))</f>
        <v>-12</v>
      </c>
      <c r="M74" s="52">
        <f t="shared" si="14"/>
        <v>16.200379999999999</v>
      </c>
      <c r="N74" s="148" cm="1">
        <f t="array" ref="N74">IF(AB74="N/A","",_xlfn.IFS(X74="m2",((AB74/(Y74/AK74))*H74),X74="m3",((AB74/(Y74/AK74))*H74),X74="kg",(((AB74*AL74)/(1/AK74))*H74),X74="ton",(((AB74/1000*AL74)/(1/AK74))*H74),X74="N/A",""))</f>
        <v>16.200379999999999</v>
      </c>
      <c r="O74" s="52" t="str">
        <f t="shared" si="15"/>
        <v>N/A</v>
      </c>
      <c r="P74" s="148" t="str" cm="1">
        <f t="array" ref="P74">IF(AD74="N/A","",_xlfn.IFS(X74="m2",((AD74/(Y74/AK74))*H74),X74="m3",((AD74/(Y74/AK74))*H74),X74="kg",(((AD74*AL74)/(1/AK74))*H74),X74="ton",(((AD74/1000*AL74)/(1/AK74))*H74),X74="N/A",""))</f>
        <v/>
      </c>
      <c r="Q74" s="186" t="s">
        <v>5</v>
      </c>
      <c r="R74" s="47"/>
      <c r="S74" s="47">
        <v>2025</v>
      </c>
      <c r="T74" s="47" t="s">
        <v>14</v>
      </c>
      <c r="U74" s="47">
        <v>60</v>
      </c>
      <c r="W74" s="47" t="s">
        <v>1113</v>
      </c>
      <c r="X74" s="47" t="s">
        <v>15</v>
      </c>
      <c r="Y74" s="47">
        <v>1.0999999999999999E-2</v>
      </c>
      <c r="Z74" s="52">
        <f t="shared" si="16"/>
        <v>4.2003799999999991</v>
      </c>
      <c r="AA74" s="52">
        <v>-12</v>
      </c>
      <c r="AB74" s="52">
        <f>16.2+0.00038</f>
        <v>16.200379999999999</v>
      </c>
      <c r="AC74" s="52">
        <v>-0.67800000000000005</v>
      </c>
      <c r="AD74" s="52" t="s">
        <v>191</v>
      </c>
      <c r="AF74" s="103" t="str">
        <f>AG74&amp;" "&amp;AH74</f>
        <v xml:space="preserve">F </v>
      </c>
      <c r="AG74" s="75" t="s">
        <v>82</v>
      </c>
      <c r="AH74" s="76"/>
      <c r="AI74" s="96"/>
      <c r="AK74" s="47">
        <v>1.0999999999999999E-2</v>
      </c>
      <c r="AL74" s="47">
        <f>3*1000/3.2</f>
        <v>937.5</v>
      </c>
      <c r="AM74" s="47" t="s">
        <v>191</v>
      </c>
      <c r="AO74" s="105" t="s">
        <v>17</v>
      </c>
      <c r="AP74" s="73"/>
    </row>
    <row r="75" spans="1:44" s="16" customFormat="1" ht="25.2" customHeight="1" x14ac:dyDescent="0.15">
      <c r="A75" s="47" t="s">
        <v>230</v>
      </c>
      <c r="B75" s="47" t="s">
        <v>210</v>
      </c>
      <c r="C75" s="47"/>
      <c r="D75" s="47" t="s">
        <v>231</v>
      </c>
      <c r="E75" s="82" t="s">
        <v>232</v>
      </c>
      <c r="F75" s="85" t="s">
        <v>300</v>
      </c>
      <c r="G75" s="85"/>
      <c r="H75" s="112">
        <v>1</v>
      </c>
      <c r="I75" s="52">
        <f t="shared" si="12"/>
        <v>16.701000000000001</v>
      </c>
      <c r="J75" s="148" cm="1">
        <f t="array" ref="J75">IF(AB75="N/A","",_xlfn.IFS(X75="m2",((Z75/(Y75/AK75))*H75),X75="m3",((Z75/(Y75/AK75))*H75),X75="kg",(((Z75*AL75)/(1/AK75))*H75),X75="ton",(((Z75/1000*AL75)/(1/AK75))*H75),X75="N/A",""))</f>
        <v>16.701000000000001</v>
      </c>
      <c r="K75" s="52">
        <f t="shared" si="13"/>
        <v>16.5</v>
      </c>
      <c r="L75" s="155" cm="1">
        <f t="array" ref="L75">(_xlfn.IFS(X75="m2",((AA75/(Y75/AK75))*H75),X75="m3",((AA75/(Y75/AK75))*H75),X75="kg",(((AA75*AL75)/(1/AK75))*H75),X75="ton",(((AA75/1000*AL75)/(1/AK75))*H75),X75="N/A",""))</f>
        <v>16.5</v>
      </c>
      <c r="M75" s="52">
        <f t="shared" si="14"/>
        <v>0.20100000000000001</v>
      </c>
      <c r="N75" s="148" cm="1">
        <f t="array" ref="N75">IF(AB75="N/A","",_xlfn.IFS(X75="m2",((AB75/(Y75/AK75))*H75),X75="m3",((AB75/(Y75/AK75))*H75),X75="kg",(((AB75*AL75)/(1/AK75))*H75),X75="ton",(((AB75/1000*AL75)/(1/AK75))*H75),X75="N/A",""))</f>
        <v>0.20100000000000001</v>
      </c>
      <c r="O75" s="52">
        <f t="shared" si="15"/>
        <v>-0.33400000000000002</v>
      </c>
      <c r="P75" s="148" cm="1">
        <f t="array" ref="P75">IF(AD75="N/A","",_xlfn.IFS(X75="m2",((AD75/(Y75/AK75))*H75),X75="m3",((AD75/(Y75/AK75))*H75),X75="kg",(((AD75*AL75)/(1/AK75))*H75),X75="ton",(((AD75/1000*AL75)/(1/AK75))*H75),X75="N/A",""))</f>
        <v>-0.33400000000000002</v>
      </c>
      <c r="Q75" s="82" t="s">
        <v>5</v>
      </c>
      <c r="R75" s="164"/>
      <c r="S75" s="47">
        <v>2026</v>
      </c>
      <c r="T75" s="47" t="s">
        <v>28</v>
      </c>
      <c r="U75" s="47">
        <v>50</v>
      </c>
      <c r="W75" s="47" t="s">
        <v>576</v>
      </c>
      <c r="X75" s="47" t="s">
        <v>15</v>
      </c>
      <c r="Y75" s="47">
        <v>8.0000000000000002E-3</v>
      </c>
      <c r="Z75" s="52">
        <f t="shared" si="16"/>
        <v>16.701000000000001</v>
      </c>
      <c r="AA75" s="52">
        <v>16.5</v>
      </c>
      <c r="AB75" s="52">
        <f>0+0.201</f>
        <v>0.20100000000000001</v>
      </c>
      <c r="AC75" s="52">
        <v>-0.46200000000000002</v>
      </c>
      <c r="AD75" s="52">
        <v>-0.33400000000000002</v>
      </c>
      <c r="AF75" s="103" t="str">
        <f>AG75&amp;" "&amp;AH75</f>
        <v>A2 s1
d0</v>
      </c>
      <c r="AG75" s="75" t="s">
        <v>214</v>
      </c>
      <c r="AH75" s="83" t="s">
        <v>176</v>
      </c>
      <c r="AI75" s="103"/>
      <c r="AK75" s="47">
        <v>8.0000000000000002E-3</v>
      </c>
      <c r="AL75" s="47" t="s">
        <v>191</v>
      </c>
      <c r="AM75" s="47" t="s">
        <v>191</v>
      </c>
      <c r="AN75" s="47"/>
      <c r="AO75" s="80" t="s">
        <v>17</v>
      </c>
      <c r="AP75" s="81" t="s">
        <v>17</v>
      </c>
      <c r="AQ75" s="47"/>
      <c r="AR75" s="25"/>
    </row>
    <row r="76" spans="1:44" s="16" customFormat="1" ht="25.2" customHeight="1" x14ac:dyDescent="0.15">
      <c r="A76" s="47" t="s">
        <v>233</v>
      </c>
      <c r="B76" s="47" t="s">
        <v>210</v>
      </c>
      <c r="C76" s="47"/>
      <c r="D76" s="47" t="s">
        <v>231</v>
      </c>
      <c r="E76" s="82" t="s">
        <v>145</v>
      </c>
      <c r="F76" s="85" t="s">
        <v>300</v>
      </c>
      <c r="G76" s="85"/>
      <c r="H76" s="111">
        <v>1</v>
      </c>
      <c r="I76" s="52" t="str">
        <f t="shared" si="12"/>
        <v>N/A</v>
      </c>
      <c r="J76" s="148" t="str" cm="1">
        <f t="array" ref="J76">IF(AB76="N/A","",_xlfn.IFS(X76="m2",((Z76/(Y76/AK76))*H76),X76="m3",((Z76/(Y76/AK76))*H76),X76="kg",(((Z76*AL76)/(1/AK76))*H76),X76="ton",(((Z76/1000*AL76)/(1/AK76))*H76),X76="N/A",""))</f>
        <v/>
      </c>
      <c r="K76" s="52">
        <f t="shared" si="13"/>
        <v>18.943999999999999</v>
      </c>
      <c r="L76" s="155" cm="1">
        <f t="array" ref="L76">(_xlfn.IFS(X76="m2",((AA76/(Y76/AK76))*H76),X76="m3",((AA76/(Y76/AK76))*H76),X76="kg",(((AA76*AL76)/(1/AK76))*H76),X76="ton",(((AA76/1000*AL76)/(1/AK76))*H76),X76="N/A",""))</f>
        <v>18.943999999999999</v>
      </c>
      <c r="M76" s="52" t="str">
        <f t="shared" si="14"/>
        <v>N/A</v>
      </c>
      <c r="N76" s="148" t="str" cm="1">
        <f t="array" ref="N76">IF(AB76="N/A","",_xlfn.IFS(X76="m2",((AB76/(Y76/AK76))*H76),X76="m3",((AB76/(Y76/AK76))*H76),X76="kg",(((AB76*AL76)/(1/AK76))*H76),X76="ton",(((AB76/1000*AL76)/(1/AK76))*H76),X76="N/A",""))</f>
        <v/>
      </c>
      <c r="O76" s="52" t="str">
        <f t="shared" si="15"/>
        <v>N/A</v>
      </c>
      <c r="P76" s="148" t="str" cm="1">
        <f t="array" ref="P76">IF(AD76="N/A","",_xlfn.IFS(X76="m2",((AD76/(Y76/AK76))*H76),X76="m3",((AD76/(Y76/AK76))*H76),X76="kg",(((AD76*AL76)/(1/AK76))*H76),X76="ton",(((AD76/1000*AL76)/(1/AK76))*H76),X76="N/A",""))</f>
        <v/>
      </c>
      <c r="Q76" s="82" t="s">
        <v>5</v>
      </c>
      <c r="R76" s="164"/>
      <c r="S76" s="47">
        <v>2023</v>
      </c>
      <c r="T76" s="47" t="s">
        <v>14</v>
      </c>
      <c r="U76" s="47" t="s">
        <v>191</v>
      </c>
      <c r="W76" s="47" t="s">
        <v>577</v>
      </c>
      <c r="X76" s="47" t="s">
        <v>234</v>
      </c>
      <c r="Y76" s="47" t="s">
        <v>191</v>
      </c>
      <c r="Z76" s="52" t="str">
        <f t="shared" si="16"/>
        <v>N/A</v>
      </c>
      <c r="AA76" s="52">
        <v>1280</v>
      </c>
      <c r="AB76" s="52" t="s">
        <v>191</v>
      </c>
      <c r="AC76" s="52" t="s">
        <v>191</v>
      </c>
      <c r="AD76" s="47" t="s">
        <v>191</v>
      </c>
      <c r="AF76" s="103" t="str">
        <f>AG76&amp;" "&amp;AH76</f>
        <v>A2 s1
d0</v>
      </c>
      <c r="AG76" s="75" t="s">
        <v>214</v>
      </c>
      <c r="AH76" s="83" t="s">
        <v>176</v>
      </c>
      <c r="AI76" s="103"/>
      <c r="AK76" s="47">
        <v>8.0000000000000002E-3</v>
      </c>
      <c r="AL76" s="47">
        <v>1850</v>
      </c>
      <c r="AM76" s="47" t="s">
        <v>191</v>
      </c>
      <c r="AN76" s="47"/>
      <c r="AO76" s="80" t="s">
        <v>17</v>
      </c>
      <c r="AP76" s="73"/>
      <c r="AQ76" s="47"/>
      <c r="AR76" s="25"/>
    </row>
    <row r="77" spans="1:44" s="16" customFormat="1" ht="25.2" customHeight="1" x14ac:dyDescent="0.15">
      <c r="A77" s="47" t="s">
        <v>235</v>
      </c>
      <c r="B77" s="47" t="s">
        <v>210</v>
      </c>
      <c r="C77" s="47"/>
      <c r="D77" s="47" t="s">
        <v>231</v>
      </c>
      <c r="E77" s="82" t="s">
        <v>142</v>
      </c>
      <c r="F77" s="85" t="s">
        <v>300</v>
      </c>
      <c r="G77" s="85"/>
      <c r="H77" s="111">
        <v>1</v>
      </c>
      <c r="I77" s="52" t="str">
        <f t="shared" si="12"/>
        <v>N/A</v>
      </c>
      <c r="J77" s="148" t="str" cm="1">
        <f t="array" ref="J77">IF(AB77="N/A","",_xlfn.IFS(X77="m2",((Z77/(Y77/AK77))*H77),X77="m3",((Z77/(Y77/AK77))*H77),X77="kg",(((Z77*AL77)/(1/AK77))*H77),X77="ton",(((Z77/1000*AL77)/(1/AK77))*H77),X77="N/A",""))</f>
        <v/>
      </c>
      <c r="K77" s="52">
        <f t="shared" si="13"/>
        <v>10.422895199999999</v>
      </c>
      <c r="L77" s="155" cm="1">
        <f t="array" ref="L77">(_xlfn.IFS(X77="m2",((AA77/(Y77/AK77))*H77),X77="m3",((AA77/(Y77/AK77))*H77),X77="kg",(((AA77*AL77)/(1/AK77))*H77),X77="ton",(((AA77/1000*AL77)/(1/AK77))*H77),X77="N/A",""))</f>
        <v>10.422895199999999</v>
      </c>
      <c r="M77" s="52" t="str">
        <f t="shared" si="14"/>
        <v>N/A</v>
      </c>
      <c r="N77" s="148" t="str" cm="1">
        <f t="array" ref="N77">IF(AB77="N/A","",_xlfn.IFS(X77="m2",((AB77/(Y77/AK77))*H77),X77="m3",((AB77/(Y77/AK77))*H77),X77="kg",(((AB77*AL77)/(1/AK77))*H77),X77="ton",(((AB77/1000*AL77)/(1/AK77))*H77),X77="N/A",""))</f>
        <v/>
      </c>
      <c r="O77" s="52" t="str">
        <f t="shared" si="15"/>
        <v>N/A</v>
      </c>
      <c r="P77" s="148" t="str" cm="1">
        <f t="array" ref="P77">IF(AD77="N/A","",_xlfn.IFS(X77="m2",((AD77/(Y77/AK77))*H77),X77="m3",((AD77/(Y77/AK77))*H77),X77="kg",(((AD77*AL77)/(1/AK77))*H77),X77="ton",(((AD77/1000*AL77)/(1/AK77))*H77),X77="N/A",""))</f>
        <v/>
      </c>
      <c r="Q77" s="82" t="s">
        <v>5</v>
      </c>
      <c r="R77" s="164"/>
      <c r="S77" s="47">
        <v>2022</v>
      </c>
      <c r="T77" s="47" t="s">
        <v>14</v>
      </c>
      <c r="U77" s="47" t="s">
        <v>191</v>
      </c>
      <c r="W77" s="47" t="s">
        <v>578</v>
      </c>
      <c r="X77" s="47" t="s">
        <v>234</v>
      </c>
      <c r="Y77" s="47" t="s">
        <v>191</v>
      </c>
      <c r="Z77" s="52" t="str">
        <f t="shared" si="16"/>
        <v>N/A</v>
      </c>
      <c r="AA77" s="52">
        <f>804+13.8+1.61</f>
        <v>819.41</v>
      </c>
      <c r="AB77" s="52" t="s">
        <v>191</v>
      </c>
      <c r="AC77" s="52" t="s">
        <v>191</v>
      </c>
      <c r="AD77" s="47" t="s">
        <v>191</v>
      </c>
      <c r="AF77" s="103" t="str">
        <f>AG77&amp;" "&amp;AH77</f>
        <v xml:space="preserve">A1 </v>
      </c>
      <c r="AG77" s="75" t="s">
        <v>58</v>
      </c>
      <c r="AH77" s="83"/>
      <c r="AI77" s="103"/>
      <c r="AK77" s="47">
        <v>8.0000000000000002E-3</v>
      </c>
      <c r="AL77" s="47">
        <f>(1480+1700)/2</f>
        <v>1590</v>
      </c>
      <c r="AM77" s="47" t="s">
        <v>191</v>
      </c>
      <c r="AN77" s="47"/>
      <c r="AO77" s="80" t="s">
        <v>17</v>
      </c>
      <c r="AP77" s="73"/>
      <c r="AQ77" s="47"/>
      <c r="AR77" s="25"/>
    </row>
    <row r="78" spans="1:44" ht="25.2" customHeight="1" x14ac:dyDescent="0.15">
      <c r="A78" s="25" t="s">
        <v>1136</v>
      </c>
      <c r="B78" s="69" t="s">
        <v>208</v>
      </c>
      <c r="C78" s="73"/>
      <c r="D78" s="47" t="s">
        <v>1155</v>
      </c>
      <c r="E78" s="186" t="s">
        <v>1156</v>
      </c>
      <c r="F78" s="47" t="s">
        <v>132</v>
      </c>
      <c r="G78" s="40"/>
      <c r="H78" s="112">
        <v>1</v>
      </c>
      <c r="I78" s="52">
        <f t="shared" si="12"/>
        <v>3.8007837499999995</v>
      </c>
      <c r="J78" s="148" cm="1">
        <f t="array" ref="J78">IF(AB78="N/A","",_xlfn.IFS(X78="m2",((Z78/(Y78/AK78))*H78),X78="m3",((Z78/(Y78/AK78))*H78),X78="kg",(((Z78*AL78)/(1/AK78))*H78),X78="ton",(((Z78/1000*AL78)/(1/AK78))*H78),X78="N/A",""))</f>
        <v>3.8007837499999995</v>
      </c>
      <c r="K78" s="52">
        <f t="shared" si="13"/>
        <v>-10.074999999999999</v>
      </c>
      <c r="L78" s="155" cm="1">
        <f t="array" ref="L78">(_xlfn.IFS(X78="m2",((AA78/(Y78/AK78))*H78),X78="m3",((AA78/(Y78/AK78))*H78),X78="kg",(((AA78*AL78)/(1/AK78))*H78),X78="ton",(((AA78/1000*AL78)/(1/AK78))*H78),X78="N/A",""))</f>
        <v>-10.074999999999999</v>
      </c>
      <c r="M78" s="52">
        <f t="shared" si="14"/>
        <v>13.87578375</v>
      </c>
      <c r="N78" s="148" cm="1">
        <f t="array" ref="N78">IF(AB78="N/A","",_xlfn.IFS(X78="m2",((AB78/(Y78/AK78))*H78),X78="m3",((AB78/(Y78/AK78))*H78),X78="kg",(((AB78*AL78)/(1/AK78))*H78),X78="ton",(((AB78/1000*AL78)/(1/AK78))*H78),X78="N/A",""))</f>
        <v>13.87578375</v>
      </c>
      <c r="O78" s="52" t="str">
        <f t="shared" si="15"/>
        <v>N/A</v>
      </c>
      <c r="P78" s="148" t="str" cm="1">
        <f t="array" ref="P78">IF(AD78="N/A","",_xlfn.IFS(X78="m2",((AD78/(Y78/AK78))*H78),X78="m3",((AD78/(Y78/AK78))*H78),X78="kg",(((AD78*AL78)/(1/AK78))*H78),X78="ton",(((AD78/1000*AL78)/(1/AK78))*H78),X78="N/A",""))</f>
        <v/>
      </c>
      <c r="Q78" s="186" t="s">
        <v>5</v>
      </c>
      <c r="R78" s="47"/>
      <c r="S78" s="47">
        <v>2025</v>
      </c>
      <c r="T78" s="47" t="s">
        <v>14</v>
      </c>
      <c r="U78" s="47">
        <v>60</v>
      </c>
      <c r="W78" s="52" t="s">
        <v>1161</v>
      </c>
      <c r="X78" s="52" t="s">
        <v>20</v>
      </c>
      <c r="Y78" s="47">
        <v>1</v>
      </c>
      <c r="Z78" s="52">
        <f t="shared" si="16"/>
        <v>304.06269999999995</v>
      </c>
      <c r="AA78" s="52">
        <v>-806</v>
      </c>
      <c r="AB78" s="52">
        <f>1110+0.0627</f>
        <v>1110.0626999999999</v>
      </c>
      <c r="AC78" s="52">
        <f>-53.7</f>
        <v>-53.7</v>
      </c>
      <c r="AD78" s="47" t="s">
        <v>191</v>
      </c>
      <c r="AE78" s="40"/>
      <c r="AF78" s="120" t="str">
        <f>AG78&amp;" "&amp;AH78</f>
        <v>D s2
d0</v>
      </c>
      <c r="AG78" s="75" t="s">
        <v>8</v>
      </c>
      <c r="AH78" s="121" t="s">
        <v>177</v>
      </c>
      <c r="AI78" s="120"/>
      <c r="AJ78" s="45"/>
      <c r="AK78" s="47">
        <v>1.2500000000000001E-2</v>
      </c>
      <c r="AL78" s="47">
        <f>(630+700)/2</f>
        <v>665</v>
      </c>
      <c r="AM78" s="47" t="s">
        <v>191</v>
      </c>
      <c r="AN78" s="45"/>
      <c r="AO78" s="173" t="s">
        <v>17</v>
      </c>
      <c r="AP78" s="73"/>
    </row>
    <row r="79" spans="1:44" ht="25.2" customHeight="1" x14ac:dyDescent="0.15">
      <c r="A79" s="25" t="s">
        <v>1137</v>
      </c>
      <c r="B79" s="47" t="s">
        <v>210</v>
      </c>
      <c r="C79" s="47"/>
      <c r="D79" s="47" t="s">
        <v>1157</v>
      </c>
      <c r="E79" s="47" t="s">
        <v>153</v>
      </c>
      <c r="F79" s="47" t="s">
        <v>339</v>
      </c>
      <c r="G79" s="40"/>
      <c r="H79" s="111">
        <v>1</v>
      </c>
      <c r="I79" s="52">
        <f t="shared" si="12"/>
        <v>58.567730400000002</v>
      </c>
      <c r="J79" s="148" cm="1">
        <f t="array" ref="J79">IF(AB79="N/A","",_xlfn.IFS(X79="m2",((Z79/(Y79/AK79))*H79),X79="m3",((Z79/(Y79/AK79))*H79),X79="kg",(((Z79*AL79)/(1/AK79))*H79),X79="ton",(((Z79/1000*AL79)/(1/AK79))*H79),X79="N/A",""))</f>
        <v>58.567730400000002</v>
      </c>
      <c r="K79" s="52">
        <f t="shared" si="13"/>
        <v>58.56</v>
      </c>
      <c r="L79" s="155" cm="1">
        <f t="array" ref="L79">(_xlfn.IFS(X79="m2",((AA79/(Y79/AK79))*H79),X79="m3",((AA79/(Y79/AK79))*H79),X79="kg",(((AA79*AL79)/(1/AK79))*H79),X79="ton",(((AA79/1000*AL79)/(1/AK79))*H79),X79="N/A",""))</f>
        <v>58.56</v>
      </c>
      <c r="M79" s="52">
        <f t="shared" si="14"/>
        <v>7.7304000000000001E-3</v>
      </c>
      <c r="N79" s="148" cm="1">
        <f t="array" ref="N79">IF(AB79="N/A","",_xlfn.IFS(X79="m2",((AB79/(Y79/AK79))*H79),X79="m3",((AB79/(Y79/AK79))*H79),X79="kg",(((AB79*AL79)/(1/AK79))*H79),X79="ton",(((AB79/1000*AL79)/(1/AK79))*H79),X79="N/A",""))</f>
        <v>7.7304000000000001E-3</v>
      </c>
      <c r="O79" s="52" t="str">
        <f t="shared" si="15"/>
        <v>N/A</v>
      </c>
      <c r="P79" s="148" t="str" cm="1">
        <f t="array" ref="P79">IF(AD79="N/A","",_xlfn.IFS(X79="m2",((AD79/(Y79/AK79))*H79),X79="m3",((AD79/(Y79/AK79))*H79),X79="kg",(((AD79*AL79)/(1/AK79))*H79),X79="ton",(((AD79/1000*AL79)/(1/AK79))*H79),X79="N/A",""))</f>
        <v/>
      </c>
      <c r="Q79" s="186" t="s">
        <v>5</v>
      </c>
      <c r="R79" s="47"/>
      <c r="S79" s="47">
        <v>2025</v>
      </c>
      <c r="T79" s="47" t="s">
        <v>14</v>
      </c>
      <c r="U79" s="47" t="s">
        <v>191</v>
      </c>
      <c r="W79" s="52" t="s">
        <v>1162</v>
      </c>
      <c r="X79" s="52" t="s">
        <v>61</v>
      </c>
      <c r="Y79" s="47" t="s">
        <v>191</v>
      </c>
      <c r="Z79" s="52">
        <f t="shared" si="16"/>
        <v>2.4403220999999999</v>
      </c>
      <c r="AA79" s="52">
        <v>2.44</v>
      </c>
      <c r="AB79" s="52">
        <f>0.0000631+0.000259</f>
        <v>3.2210000000000002E-4</v>
      </c>
      <c r="AC79" s="52">
        <v>-1.36</v>
      </c>
      <c r="AD79" s="47" t="s">
        <v>191</v>
      </c>
      <c r="AE79" s="40"/>
      <c r="AF79" s="120"/>
      <c r="AG79" s="75" t="s">
        <v>82</v>
      </c>
      <c r="AH79" s="108"/>
      <c r="AI79" s="120"/>
      <c r="AJ79" s="45"/>
      <c r="AK79" s="47">
        <v>3.0000000000000001E-3</v>
      </c>
      <c r="AL79" s="47">
        <f>75*1/0.003*1/1.25*1/2.5</f>
        <v>8000</v>
      </c>
      <c r="AM79" s="47" t="s">
        <v>191</v>
      </c>
      <c r="AN79" s="45"/>
      <c r="AO79" s="173" t="s">
        <v>17</v>
      </c>
      <c r="AP79" s="73"/>
    </row>
    <row r="80" spans="1:44" ht="25.2" customHeight="1" x14ac:dyDescent="0.15">
      <c r="A80" s="25" t="s">
        <v>1138</v>
      </c>
      <c r="B80" s="47" t="s">
        <v>210</v>
      </c>
      <c r="C80" s="47" t="str">
        <f>""</f>
        <v/>
      </c>
      <c r="D80" s="47" t="s">
        <v>1157</v>
      </c>
      <c r="E80" s="47" t="s">
        <v>153</v>
      </c>
      <c r="F80" s="47" t="s">
        <v>339</v>
      </c>
      <c r="G80" s="40"/>
      <c r="H80" s="111">
        <v>1</v>
      </c>
      <c r="I80" s="52">
        <f t="shared" si="12"/>
        <v>60.679823370000008</v>
      </c>
      <c r="J80" s="148" cm="1">
        <f t="array" ref="J80">IF(AB80="N/A","",_xlfn.IFS(X80="m2",((Z80/(Y80/AK80))*H80),X80="m3",((Z80/(Y80/AK80))*H80),X80="kg",(((Z80*AL80)/(1/AK80))*H80),X80="ton",(((Z80/1000*AL80)/(1/AK80))*H80),X80="N/A",""))</f>
        <v>60.679823370000008</v>
      </c>
      <c r="K80" s="52">
        <f t="shared" si="13"/>
        <v>60.672000000000004</v>
      </c>
      <c r="L80" s="155" cm="1">
        <f t="array" ref="L80">(_xlfn.IFS(X80="m2",((AA80/(Y80/AK80))*H80),X80="m3",((AA80/(Y80/AK80))*H80),X80="kg",(((AA80*AL80)/(1/AK80))*H80),X80="ton",(((AA80/1000*AL80)/(1/AK80))*H80),X80="N/A",""))</f>
        <v>60.672000000000004</v>
      </c>
      <c r="M80" s="52">
        <f t="shared" si="14"/>
        <v>7.8233700000000014E-3</v>
      </c>
      <c r="N80" s="148" cm="1">
        <f t="array" ref="N80">IF(AB80="N/A","",_xlfn.IFS(X80="m2",((AB80/(Y80/AK80))*H80),X80="m3",((AB80/(Y80/AK80))*H80),X80="kg",(((AB80*AL80)/(1/AK80))*H80),X80="ton",(((AB80/1000*AL80)/(1/AK80))*H80),X80="N/A",""))</f>
        <v>7.8233700000000014E-3</v>
      </c>
      <c r="O80" s="52" t="str">
        <f t="shared" si="15"/>
        <v>N/A</v>
      </c>
      <c r="P80" s="148" t="str" cm="1">
        <f t="array" ref="P80">IF(AD80="N/A","",_xlfn.IFS(X80="m2",((AD80/(Y80/AK80))*H80),X80="m3",((AD80/(Y80/AK80))*H80),X80="kg",(((AD80*AL80)/(1/AK80))*H80),X80="ton",(((AD80/1000*AL80)/(1/AK80))*H80),X80="N/A",""))</f>
        <v/>
      </c>
      <c r="Q80" s="186" t="s">
        <v>5</v>
      </c>
      <c r="R80" s="47"/>
      <c r="S80" s="47">
        <v>2025</v>
      </c>
      <c r="T80" s="47" t="s">
        <v>14</v>
      </c>
      <c r="U80" s="47" t="s">
        <v>191</v>
      </c>
      <c r="W80" s="52" t="s">
        <v>1163</v>
      </c>
      <c r="X80" s="52" t="s">
        <v>61</v>
      </c>
      <c r="Y80" s="47" t="s">
        <v>191</v>
      </c>
      <c r="Z80" s="52">
        <f t="shared" si="16"/>
        <v>2.5603301000000003</v>
      </c>
      <c r="AA80" s="52">
        <v>2.56</v>
      </c>
      <c r="AB80" s="52">
        <f>0.0000711+0.000259</f>
        <v>3.301E-4</v>
      </c>
      <c r="AC80" s="52">
        <v>-0.754</v>
      </c>
      <c r="AD80" s="47" t="s">
        <v>191</v>
      </c>
      <c r="AE80" s="40"/>
      <c r="AF80" s="120"/>
      <c r="AG80" s="75" t="s">
        <v>82</v>
      </c>
      <c r="AH80" s="108"/>
      <c r="AI80" s="120"/>
      <c r="AJ80" s="45"/>
      <c r="AK80" s="47">
        <v>3.0000000000000001E-3</v>
      </c>
      <c r="AL80" s="47">
        <v>7900</v>
      </c>
      <c r="AM80" s="47" t="s">
        <v>191</v>
      </c>
      <c r="AN80" s="45"/>
      <c r="AO80" s="173" t="s">
        <v>17</v>
      </c>
      <c r="AP80" s="73"/>
    </row>
    <row r="81" spans="1:42" ht="25.2" customHeight="1" x14ac:dyDescent="0.15">
      <c r="A81" s="25" t="s">
        <v>1139</v>
      </c>
      <c r="B81" s="47" t="s">
        <v>210</v>
      </c>
      <c r="C81" s="47"/>
      <c r="D81" s="47" t="s">
        <v>1157</v>
      </c>
      <c r="E81" s="47" t="s">
        <v>153</v>
      </c>
      <c r="F81" s="47" t="s">
        <v>339</v>
      </c>
      <c r="G81" s="40"/>
      <c r="H81" s="112">
        <v>1</v>
      </c>
      <c r="I81" s="52">
        <f t="shared" si="12"/>
        <v>47.883645900000005</v>
      </c>
      <c r="J81" s="148" cm="1">
        <f t="array" ref="J81">IF(AB81="N/A","",_xlfn.IFS(X81="m2",((Z81/(Y81/AK81))*H81),X81="m3",((Z81/(Y81/AK81))*H81),X81="kg",(((Z81*AL81)/(1/AK81))*H81),X81="ton",(((Z81/1000*AL81)/(1/AK81))*H81),X81="N/A",""))</f>
        <v>47.883645900000005</v>
      </c>
      <c r="K81" s="52">
        <f t="shared" si="13"/>
        <v>47.874000000000002</v>
      </c>
      <c r="L81" s="155" cm="1">
        <f t="array" ref="L81">(_xlfn.IFS(X81="m2",((AA81/(Y81/AK81))*H81),X81="m3",((AA81/(Y81/AK81))*H81),X81="kg",(((AA81*AL81)/(1/AK81))*H81),X81="ton",(((AA81/1000*AL81)/(1/AK81))*H81),X81="N/A",""))</f>
        <v>47.874000000000002</v>
      </c>
      <c r="M81" s="52">
        <f t="shared" si="14"/>
        <v>9.6459000000000007E-3</v>
      </c>
      <c r="N81" s="148" cm="1">
        <f t="array" ref="N81">IF(AB81="N/A","",_xlfn.IFS(X81="m2",((AB81/(Y81/AK81))*H81),X81="m3",((AB81/(Y81/AK81))*H81),X81="kg",(((AB81*AL81)/(1/AK81))*H81),X81="ton",(((AB81/1000*AL81)/(1/AK81))*H81),X81="N/A",""))</f>
        <v>9.6459000000000007E-3</v>
      </c>
      <c r="O81" s="52" t="str">
        <f t="shared" si="15"/>
        <v>N/A</v>
      </c>
      <c r="P81" s="148" t="str" cm="1">
        <f t="array" ref="P81">IF(AD81="N/A","",_xlfn.IFS(X81="m2",((AD81/(Y81/AK81))*H81),X81="m3",((AD81/(Y81/AK81))*H81),X81="kg",(((AD81*AL81)/(1/AK81))*H81),X81="ton",(((AD81/1000*AL81)/(1/AK81))*H81),X81="N/A",""))</f>
        <v/>
      </c>
      <c r="Q81" s="186" t="s">
        <v>5</v>
      </c>
      <c r="R81" s="47"/>
      <c r="S81" s="47">
        <v>2025</v>
      </c>
      <c r="T81" s="47" t="s">
        <v>14</v>
      </c>
      <c r="U81" s="47" t="s">
        <v>191</v>
      </c>
      <c r="W81" s="52" t="s">
        <v>1164</v>
      </c>
      <c r="X81" s="52" t="s">
        <v>61</v>
      </c>
      <c r="Y81" s="47" t="s">
        <v>191</v>
      </c>
      <c r="Z81" s="52">
        <f t="shared" si="16"/>
        <v>2.0204070000000001</v>
      </c>
      <c r="AA81" s="52">
        <v>2.02</v>
      </c>
      <c r="AB81" s="52">
        <f>0.000148+0.000259</f>
        <v>4.0700000000000003E-4</v>
      </c>
      <c r="AC81" s="52">
        <v>-1.52</v>
      </c>
      <c r="AD81" s="47" t="s">
        <v>191</v>
      </c>
      <c r="AE81" s="40"/>
      <c r="AF81" s="120"/>
      <c r="AG81" s="75" t="s">
        <v>82</v>
      </c>
      <c r="AH81" s="108"/>
      <c r="AI81" s="120"/>
      <c r="AJ81" s="45"/>
      <c r="AK81" s="47">
        <v>3.0000000000000001E-3</v>
      </c>
      <c r="AL81" s="47">
        <v>7900</v>
      </c>
      <c r="AM81" s="47" t="s">
        <v>191</v>
      </c>
      <c r="AN81" s="45"/>
      <c r="AO81" s="173" t="s">
        <v>17</v>
      </c>
      <c r="AP81" s="73"/>
    </row>
    <row r="82" spans="1:42" ht="25.2" customHeight="1" x14ac:dyDescent="0.15">
      <c r="A82" s="25" t="s">
        <v>1140</v>
      </c>
      <c r="B82" s="47" t="s">
        <v>210</v>
      </c>
      <c r="C82" s="47"/>
      <c r="D82" s="47" t="s">
        <v>1157</v>
      </c>
      <c r="E82" s="47" t="s">
        <v>153</v>
      </c>
      <c r="F82" s="47" t="s">
        <v>339</v>
      </c>
      <c r="G82" s="40"/>
      <c r="H82" s="111">
        <v>1</v>
      </c>
      <c r="I82" s="52">
        <f t="shared" si="12"/>
        <v>47.880216000000004</v>
      </c>
      <c r="J82" s="148" cm="1">
        <f t="array" ref="J82">IF(AB82="N/A","",_xlfn.IFS(X82="m2",((Z82/(Y82/AK82))*H82),X82="m3",((Z82/(Y82/AK82))*H82),X82="kg",(((Z82*AL82)/(1/AK82))*H82),X82="ton",(((Z82/1000*AL82)/(1/AK82))*H82),X82="N/A",""))</f>
        <v>47.880216000000004</v>
      </c>
      <c r="K82" s="52">
        <f t="shared" si="13"/>
        <v>47.760000000000005</v>
      </c>
      <c r="L82" s="155" cm="1">
        <f t="array" ref="L82">(_xlfn.IFS(X82="m2",((AA82/(Y82/AK82))*H82),X82="m3",((AA82/(Y82/AK82))*H82),X82="kg",(((AA82*AL82)/(1/AK82))*H82),X82="ton",(((AA82/1000*AL82)/(1/AK82))*H82),X82="N/A",""))</f>
        <v>47.760000000000005</v>
      </c>
      <c r="M82" s="52">
        <f t="shared" si="14"/>
        <v>0.12021599999999999</v>
      </c>
      <c r="N82" s="148" cm="1">
        <f t="array" ref="N82">IF(AB82="N/A","",_xlfn.IFS(X82="m2",((AB82/(Y82/AK82))*H82),X82="m3",((AB82/(Y82/AK82))*H82),X82="kg",(((AB82*AL82)/(1/AK82))*H82),X82="ton",(((AB82/1000*AL82)/(1/AK82))*H82),X82="N/A",""))</f>
        <v>0.12021599999999999</v>
      </c>
      <c r="O82" s="52" t="str">
        <f t="shared" si="15"/>
        <v>N/A</v>
      </c>
      <c r="P82" s="148" t="str" cm="1">
        <f t="array" ref="P82">IF(AD82="N/A","",_xlfn.IFS(X82="m2",((AD82/(Y82/AK82))*H82),X82="m3",((AD82/(Y82/AK82))*H82),X82="kg",(((AD82*AL82)/(1/AK82))*H82),X82="ton",(((AD82/1000*AL82)/(1/AK82))*H82),X82="N/A",""))</f>
        <v/>
      </c>
      <c r="Q82" s="186" t="s">
        <v>5</v>
      </c>
      <c r="R82" s="47"/>
      <c r="S82" s="47">
        <v>2025</v>
      </c>
      <c r="T82" s="47" t="s">
        <v>14</v>
      </c>
      <c r="U82" s="47">
        <v>50</v>
      </c>
      <c r="W82" s="52" t="s">
        <v>1165</v>
      </c>
      <c r="X82" s="52" t="s">
        <v>61</v>
      </c>
      <c r="Y82" s="47" t="s">
        <v>191</v>
      </c>
      <c r="Z82" s="52">
        <f t="shared" si="16"/>
        <v>1.995009</v>
      </c>
      <c r="AA82" s="52">
        <v>1.99</v>
      </c>
      <c r="AB82" s="52">
        <f>0.00475+0.000259</f>
        <v>5.0089999999999996E-3</v>
      </c>
      <c r="AC82" s="52">
        <v>-1.31</v>
      </c>
      <c r="AD82" s="47" t="s">
        <v>191</v>
      </c>
      <c r="AE82" s="40"/>
      <c r="AF82" s="120"/>
      <c r="AG82" s="75" t="s">
        <v>82</v>
      </c>
      <c r="AH82" s="108"/>
      <c r="AI82" s="120"/>
      <c r="AJ82" s="45"/>
      <c r="AK82" s="47">
        <v>3.0000000000000001E-3</v>
      </c>
      <c r="AL82" s="47">
        <f>75*1/0.003*1/1.25*1/2.5</f>
        <v>8000</v>
      </c>
      <c r="AM82" s="47" t="s">
        <v>191</v>
      </c>
      <c r="AN82" s="45"/>
      <c r="AO82" s="173" t="s">
        <v>17</v>
      </c>
      <c r="AP82" s="73"/>
    </row>
    <row r="83" spans="1:42" ht="25.2" customHeight="1" x14ac:dyDescent="0.15">
      <c r="A83" s="25" t="s">
        <v>1141</v>
      </c>
      <c r="B83" s="47" t="s">
        <v>210</v>
      </c>
      <c r="C83" s="47"/>
      <c r="D83" s="47" t="s">
        <v>1157</v>
      </c>
      <c r="E83" s="47" t="s">
        <v>153</v>
      </c>
      <c r="F83" s="47" t="s">
        <v>339</v>
      </c>
      <c r="G83" s="40"/>
      <c r="H83" s="111">
        <v>1</v>
      </c>
      <c r="I83" s="52">
        <f t="shared" si="12"/>
        <v>47.047735200000005</v>
      </c>
      <c r="J83" s="148" cm="1">
        <f t="array" ref="J83">IF(AB83="N/A","",_xlfn.IFS(X83="m2",((Z83/(Y83/AK83))*H83),X83="m3",((Z83/(Y83/AK83))*H83),X83="kg",(((Z83*AL83)/(1/AK83))*H83),X83="ton",(((Z83/1000*AL83)/(1/AK83))*H83),X83="N/A",""))</f>
        <v>47.047735200000005</v>
      </c>
      <c r="K83" s="52">
        <f t="shared" si="13"/>
        <v>47.04</v>
      </c>
      <c r="L83" s="155" cm="1">
        <f t="array" ref="L83">(_xlfn.IFS(X83="m2",((AA83/(Y83/AK83))*H83),X83="m3",((AA83/(Y83/AK83))*H83),X83="kg",(((AA83*AL83)/(1/AK83))*H83),X83="ton",(((AA83/1000*AL83)/(1/AK83))*H83),X83="N/A",""))</f>
        <v>47.04</v>
      </c>
      <c r="M83" s="52">
        <f t="shared" si="14"/>
        <v>7.7352000000000002E-3</v>
      </c>
      <c r="N83" s="148" cm="1">
        <f t="array" ref="N83">IF(AB83="N/A","",_xlfn.IFS(X83="m2",((AB83/(Y83/AK83))*H83),X83="m3",((AB83/(Y83/AK83))*H83),X83="kg",(((AB83*AL83)/(1/AK83))*H83),X83="ton",(((AB83/1000*AL83)/(1/AK83))*H83),X83="N/A",""))</f>
        <v>7.7352000000000002E-3</v>
      </c>
      <c r="O83" s="52" t="str">
        <f t="shared" si="15"/>
        <v>N/A</v>
      </c>
      <c r="P83" s="148" t="str" cm="1">
        <f t="array" ref="P83">IF(AD83="N/A","",_xlfn.IFS(X83="m2",((AD83/(Y83/AK83))*H83),X83="m3",((AD83/(Y83/AK83))*H83),X83="kg",(((AD83*AL83)/(1/AK83))*H83),X83="ton",(((AD83/1000*AL83)/(1/AK83))*H83),X83="N/A",""))</f>
        <v/>
      </c>
      <c r="Q83" s="186" t="s">
        <v>5</v>
      </c>
      <c r="R83" s="47"/>
      <c r="S83" s="47">
        <v>2025</v>
      </c>
      <c r="T83" s="47" t="s">
        <v>14</v>
      </c>
      <c r="U83" s="47" t="s">
        <v>191</v>
      </c>
      <c r="W83" s="52" t="s">
        <v>1166</v>
      </c>
      <c r="X83" s="52" t="s">
        <v>61</v>
      </c>
      <c r="Y83" s="47" t="s">
        <v>191</v>
      </c>
      <c r="Z83" s="52">
        <f t="shared" si="16"/>
        <v>1.9603223000000001</v>
      </c>
      <c r="AA83" s="52">
        <v>1.96</v>
      </c>
      <c r="AB83" s="52">
        <f>0.0000633+0.000259</f>
        <v>3.2229999999999997E-4</v>
      </c>
      <c r="AC83" s="52">
        <v>-1.48</v>
      </c>
      <c r="AD83" s="47" t="s">
        <v>191</v>
      </c>
      <c r="AE83" s="40"/>
      <c r="AF83" s="120"/>
      <c r="AG83" s="75" t="s">
        <v>82</v>
      </c>
      <c r="AH83" s="108"/>
      <c r="AI83" s="120"/>
      <c r="AJ83" s="45"/>
      <c r="AK83" s="47">
        <v>3.0000000000000001E-3</v>
      </c>
      <c r="AL83" s="47">
        <f>75*1/0.003*1/1.25*1/2.5</f>
        <v>8000</v>
      </c>
      <c r="AM83" s="47" t="s">
        <v>191</v>
      </c>
      <c r="AN83" s="45"/>
      <c r="AO83" s="173" t="s">
        <v>17</v>
      </c>
      <c r="AP83" s="73"/>
    </row>
    <row r="84" spans="1:42" ht="25.2" customHeight="1" x14ac:dyDescent="0.15">
      <c r="A84" s="25" t="s">
        <v>1142</v>
      </c>
      <c r="B84" s="47" t="s">
        <v>210</v>
      </c>
      <c r="C84" s="47"/>
      <c r="D84" s="47" t="s">
        <v>1157</v>
      </c>
      <c r="E84" s="47" t="s">
        <v>153</v>
      </c>
      <c r="F84" s="47" t="s">
        <v>339</v>
      </c>
      <c r="G84" s="40"/>
      <c r="H84" s="112">
        <v>1</v>
      </c>
      <c r="I84" s="52">
        <f t="shared" si="12"/>
        <v>28.085995199999996</v>
      </c>
      <c r="J84" s="148" cm="1">
        <f t="array" ref="J84">IF(AB84="N/A","",_xlfn.IFS(X84="m2",((Z84/(Y84/AK84))*H84),X84="m3",((Z84/(Y84/AK84))*H84),X84="kg",(((Z84*AL84)/(1/AK84))*H84),X84="ton",(((Z84/1000*AL84)/(1/AK84))*H84),X84="N/A",""))</f>
        <v>28.085995199999996</v>
      </c>
      <c r="K84" s="52">
        <f t="shared" si="13"/>
        <v>28.080000000000002</v>
      </c>
      <c r="L84" s="155" cm="1">
        <f t="array" ref="L84">(_xlfn.IFS(X84="m2",((AA84/(Y84/AK84))*H84),X84="m3",((AA84/(Y84/AK84))*H84),X84="kg",(((AA84*AL84)/(1/AK84))*H84),X84="ton",(((AA84/1000*AL84)/(1/AK84))*H84),X84="N/A",""))</f>
        <v>28.080000000000002</v>
      </c>
      <c r="M84" s="52">
        <f t="shared" si="14"/>
        <v>5.9952E-3</v>
      </c>
      <c r="N84" s="148" cm="1">
        <f t="array" ref="N84">IF(AB84="N/A","",_xlfn.IFS(X84="m2",((AB84/(Y84/AK84))*H84),X84="m3",((AB84/(Y84/AK84))*H84),X84="kg",(((AB84*AL84)/(1/AK84))*H84),X84="ton",(((AB84/1000*AL84)/(1/AK84))*H84),X84="N/A",""))</f>
        <v>5.9952E-3</v>
      </c>
      <c r="O84" s="52" t="str">
        <f t="shared" si="15"/>
        <v>N/A</v>
      </c>
      <c r="P84" s="148" t="str" cm="1">
        <f t="array" ref="P84">IF(AD84="N/A","",_xlfn.IFS(X84="m2",((AD84/(Y84/AK84))*H84),X84="m3",((AD84/(Y84/AK84))*H84),X84="kg",(((AD84*AL84)/(1/AK84))*H84),X84="ton",(((AD84/1000*AL84)/(1/AK84))*H84),X84="N/A",""))</f>
        <v/>
      </c>
      <c r="Q84" s="186" t="s">
        <v>5</v>
      </c>
      <c r="R84" s="47"/>
      <c r="S84" s="47">
        <v>2027</v>
      </c>
      <c r="T84" s="47" t="s">
        <v>14</v>
      </c>
      <c r="U84" s="47" t="s">
        <v>191</v>
      </c>
      <c r="W84" s="52" t="s">
        <v>1167</v>
      </c>
      <c r="X84" s="52" t="s">
        <v>61</v>
      </c>
      <c r="Y84" s="47" t="s">
        <v>191</v>
      </c>
      <c r="Z84" s="52">
        <f t="shared" si="16"/>
        <v>1.1702497999999999</v>
      </c>
      <c r="AA84" s="52">
        <v>1.17</v>
      </c>
      <c r="AB84" s="52">
        <f>0.000198+0.0000518</f>
        <v>2.498E-4</v>
      </c>
      <c r="AC84" s="52">
        <v>-0.41799999999999998</v>
      </c>
      <c r="AD84" s="47" t="s">
        <v>191</v>
      </c>
      <c r="AE84" s="40"/>
      <c r="AF84" s="120"/>
      <c r="AG84" s="75" t="s">
        <v>82</v>
      </c>
      <c r="AH84" s="108"/>
      <c r="AI84" s="120"/>
      <c r="AJ84" s="45"/>
      <c r="AK84" s="47">
        <v>3.0000000000000001E-3</v>
      </c>
      <c r="AL84" s="47">
        <f>75*1/0.003*1/1.25*1/2.5</f>
        <v>8000</v>
      </c>
      <c r="AM84" s="47" t="s">
        <v>191</v>
      </c>
      <c r="AN84" s="45"/>
      <c r="AO84" s="173" t="s">
        <v>17</v>
      </c>
      <c r="AP84" s="73"/>
    </row>
    <row r="85" spans="1:42" ht="25.2" customHeight="1" x14ac:dyDescent="0.15">
      <c r="A85" s="25" t="s">
        <v>1143</v>
      </c>
      <c r="B85" s="47" t="s">
        <v>210</v>
      </c>
      <c r="C85" s="47"/>
      <c r="D85" s="47" t="s">
        <v>1158</v>
      </c>
      <c r="E85" s="186" t="s">
        <v>153</v>
      </c>
      <c r="F85" s="47" t="s">
        <v>339</v>
      </c>
      <c r="G85" s="40"/>
      <c r="H85" s="111">
        <v>1</v>
      </c>
      <c r="I85" s="52">
        <f t="shared" si="12"/>
        <v>38.403996800000002</v>
      </c>
      <c r="J85" s="148" cm="1">
        <f t="array" ref="J85">IF(AB85="N/A","",_xlfn.IFS(X85="m2",((Z85/(Y85/AK85))*H85),X85="m3",((Z85/(Y85/AK85))*H85),X85="kg",(((Z85*AL85)/(1/AK85))*H85),X85="ton",(((Z85/1000*AL85)/(1/AK85))*H85),X85="N/A",""))</f>
        <v>38.403996800000002</v>
      </c>
      <c r="K85" s="52">
        <f t="shared" si="13"/>
        <v>38.4</v>
      </c>
      <c r="L85" s="155" cm="1">
        <f t="array" ref="L85">(_xlfn.IFS(X85="m2",((AA85/(Y85/AK85))*H85),X85="m3",((AA85/(Y85/AK85))*H85),X85="kg",(((AA85*AL85)/(1/AK85))*H85),X85="ton",(((AA85/1000*AL85)/(1/AK85))*H85),X85="N/A",""))</f>
        <v>38.4</v>
      </c>
      <c r="M85" s="52">
        <f t="shared" si="14"/>
        <v>3.9968E-3</v>
      </c>
      <c r="N85" s="148" cm="1">
        <f t="array" ref="N85">IF(AB85="N/A","",_xlfn.IFS(X85="m2",((AB85/(Y85/AK85))*H85),X85="m3",((AB85/(Y85/AK85))*H85),X85="kg",(((AB85*AL85)/(1/AK85))*H85),X85="ton",(((AB85/1000*AL85)/(1/AK85))*H85),X85="N/A",""))</f>
        <v>3.9968E-3</v>
      </c>
      <c r="O85" s="52" t="str">
        <f t="shared" si="15"/>
        <v>N/A</v>
      </c>
      <c r="P85" s="148" t="str" cm="1">
        <f t="array" ref="P85">IF(AD85="N/A","",_xlfn.IFS(X85="m2",((AD85/(Y85/AK85))*H85),X85="m3",((AD85/(Y85/AK85))*H85),X85="kg",(((AD85*AL85)/(1/AK85))*H85),X85="ton",(((AD85/1000*AL85)/(1/AK85))*H85),X85="N/A",""))</f>
        <v/>
      </c>
      <c r="Q85" s="186" t="s">
        <v>5</v>
      </c>
      <c r="R85" s="47"/>
      <c r="S85" s="47">
        <v>2026</v>
      </c>
      <c r="T85" s="47" t="s">
        <v>14</v>
      </c>
      <c r="U85" s="47" t="s">
        <v>191</v>
      </c>
      <c r="W85" s="52" t="s">
        <v>1168</v>
      </c>
      <c r="X85" s="52" t="s">
        <v>61</v>
      </c>
      <c r="Y85" s="47" t="s">
        <v>191</v>
      </c>
      <c r="Z85" s="52">
        <f t="shared" si="16"/>
        <v>2.4002498000000001</v>
      </c>
      <c r="AA85" s="52">
        <v>2.4</v>
      </c>
      <c r="AB85" s="52">
        <f>0.000198+0.0000518</f>
        <v>2.498E-4</v>
      </c>
      <c r="AC85" s="52">
        <v>-1.61</v>
      </c>
      <c r="AD85" s="47" t="s">
        <v>191</v>
      </c>
      <c r="AE85" s="40"/>
      <c r="AF85" s="120"/>
      <c r="AG85" s="75" t="s">
        <v>82</v>
      </c>
      <c r="AH85" s="108"/>
      <c r="AI85" s="120"/>
      <c r="AJ85" s="45"/>
      <c r="AK85" s="47">
        <v>2E-3</v>
      </c>
      <c r="AL85" s="116">
        <f>72*1/0.002*1/1/3*1/1.5</f>
        <v>8000</v>
      </c>
      <c r="AM85" s="47" t="s">
        <v>191</v>
      </c>
      <c r="AN85" s="45"/>
      <c r="AO85" s="173" t="s">
        <v>17</v>
      </c>
      <c r="AP85" s="205" t="s">
        <v>17</v>
      </c>
    </row>
    <row r="86" spans="1:42" ht="25.2" customHeight="1" x14ac:dyDescent="0.15">
      <c r="A86" s="25" t="s">
        <v>1144</v>
      </c>
      <c r="B86" s="47" t="s">
        <v>210</v>
      </c>
      <c r="C86" s="47"/>
      <c r="D86" s="47" t="s">
        <v>1158</v>
      </c>
      <c r="E86" s="186" t="s">
        <v>153</v>
      </c>
      <c r="F86" s="47" t="s">
        <v>339</v>
      </c>
      <c r="G86" s="40"/>
      <c r="H86" s="111">
        <v>1</v>
      </c>
      <c r="I86" s="52">
        <f t="shared" si="12"/>
        <v>185.61598720000001</v>
      </c>
      <c r="J86" s="148" cm="1">
        <f t="array" ref="J86">IF(AB86="N/A","",_xlfn.IFS(X86="m2",((Z86/(Y86/AK86))*H86),X86="m3",((Z86/(Y86/AK86))*H86),X86="kg",(((Z86*AL86)/(1/AK86))*H86),X86="ton",(((Z86/1000*AL86)/(1/AK86))*H86),X86="N/A",""))</f>
        <v>185.61598720000001</v>
      </c>
      <c r="K86" s="52">
        <f t="shared" si="13"/>
        <v>185.6</v>
      </c>
      <c r="L86" s="155" cm="1">
        <f t="array" ref="L86">(_xlfn.IFS(X86="m2",((AA86/(Y86/AK86))*H86),X86="m3",((AA86/(Y86/AK86))*H86),X86="kg",(((AA86*AL86)/(1/AK86))*H86),X86="ton",(((AA86/1000*AL86)/(1/AK86))*H86),X86="N/A",""))</f>
        <v>185.6</v>
      </c>
      <c r="M86" s="52">
        <f t="shared" si="14"/>
        <v>1.59872E-2</v>
      </c>
      <c r="N86" s="148" cm="1">
        <f t="array" ref="N86">IF(AB86="N/A","",_xlfn.IFS(X86="m2",((AB86/(Y86/AK86))*H86),X86="m3",((AB86/(Y86/AK86))*H86),X86="kg",(((AB86*AL86)/(1/AK86))*H86),X86="ton",(((AB86/1000*AL86)/(1/AK86))*H86),X86="N/A",""))</f>
        <v>1.59872E-2</v>
      </c>
      <c r="O86" s="52" t="str">
        <f t="shared" si="15"/>
        <v>N/A</v>
      </c>
      <c r="P86" s="148" t="str" cm="1">
        <f t="array" ref="P86">IF(AD86="N/A","",_xlfn.IFS(X86="m2",((AD86/(Y86/AK86))*H86),X86="m3",((AD86/(Y86/AK86))*H86),X86="kg",(((AD86*AL86)/(1/AK86))*H86),X86="ton",(((AD86/1000*AL86)/(1/AK86))*H86),X86="N/A",""))</f>
        <v/>
      </c>
      <c r="Q86" s="186" t="s">
        <v>5</v>
      </c>
      <c r="R86" s="47"/>
      <c r="S86" s="47">
        <v>2026</v>
      </c>
      <c r="T86" s="47" t="s">
        <v>14</v>
      </c>
      <c r="U86" s="47" t="s">
        <v>191</v>
      </c>
      <c r="W86" s="52" t="s">
        <v>1169</v>
      </c>
      <c r="X86" s="52" t="s">
        <v>61</v>
      </c>
      <c r="Y86" s="47" t="s">
        <v>191</v>
      </c>
      <c r="Z86" s="52">
        <f t="shared" si="16"/>
        <v>2.9002498000000001</v>
      </c>
      <c r="AA86" s="52">
        <v>2.9</v>
      </c>
      <c r="AB86" s="52">
        <f>0.000198+0.0000518</f>
        <v>2.498E-4</v>
      </c>
      <c r="AC86" s="52">
        <v>-1.61</v>
      </c>
      <c r="AD86" s="47" t="s">
        <v>191</v>
      </c>
      <c r="AE86" s="40"/>
      <c r="AF86" s="120"/>
      <c r="AG86" s="75" t="s">
        <v>82</v>
      </c>
      <c r="AH86" s="108"/>
      <c r="AI86" s="120"/>
      <c r="AJ86" s="45"/>
      <c r="AK86" s="47">
        <v>8.0000000000000002E-3</v>
      </c>
      <c r="AL86" s="47">
        <f>1928*1/0.008*1/12.05*1/2.5</f>
        <v>8000</v>
      </c>
      <c r="AM86" s="47" t="s">
        <v>191</v>
      </c>
      <c r="AN86" s="45"/>
      <c r="AO86" s="173" t="s">
        <v>17</v>
      </c>
      <c r="AP86" s="205" t="s">
        <v>17</v>
      </c>
    </row>
    <row r="87" spans="1:42" ht="25.2" customHeight="1" x14ac:dyDescent="0.15">
      <c r="A87" s="25" t="s">
        <v>1145</v>
      </c>
      <c r="B87" s="69" t="s">
        <v>208</v>
      </c>
      <c r="C87" s="73"/>
      <c r="D87" s="47" t="s">
        <v>1159</v>
      </c>
      <c r="E87" s="186" t="s">
        <v>153</v>
      </c>
      <c r="F87" s="47" t="s">
        <v>132</v>
      </c>
      <c r="G87" s="40"/>
      <c r="H87" s="112">
        <v>1</v>
      </c>
      <c r="I87" s="52">
        <f t="shared" si="12"/>
        <v>3.9300102000000008</v>
      </c>
      <c r="J87" s="148" cm="1">
        <f t="array" ref="J87">IF(AB87="N/A","",_xlfn.IFS(X87="m2",((Z87/(Y87/AK87))*H87),X87="m3",((Z87/(Y87/AK87))*H87),X87="kg",(((Z87*AL87)/(1/AK87))*H87),X87="ton",(((Z87/1000*AL87)/(1/AK87))*H87),X87="N/A",""))</f>
        <v>3.9300102000000008</v>
      </c>
      <c r="K87" s="52">
        <f t="shared" si="13"/>
        <v>-4.28</v>
      </c>
      <c r="L87" s="155" cm="1">
        <f t="array" ref="L87">(_xlfn.IFS(X87="m2",((AA87/(Y87/AK87))*H87),X87="m3",((AA87/(Y87/AK87))*H87),X87="kg",(((AA87*AL87)/(1/AK87))*H87),X87="ton",(((AA87/1000*AL87)/(1/AK87))*H87),X87="N/A",""))</f>
        <v>-4.28</v>
      </c>
      <c r="M87" s="52">
        <f t="shared" si="14"/>
        <v>8.210010200000001</v>
      </c>
      <c r="N87" s="148" cm="1">
        <f t="array" ref="N87">IF(AB87="N/A","",_xlfn.IFS(X87="m2",((AB87/(Y87/AK87))*H87),X87="m3",((AB87/(Y87/AK87))*H87),X87="kg",(((AB87*AL87)/(1/AK87))*H87),X87="ton",(((AB87/1000*AL87)/(1/AK87))*H87),X87="N/A",""))</f>
        <v>8.210010200000001</v>
      </c>
      <c r="O87" s="52">
        <f t="shared" si="15"/>
        <v>-7.65</v>
      </c>
      <c r="P87" s="148" cm="1">
        <f t="array" ref="P87">IF(AD87="N/A","",_xlfn.IFS(X87="m2",((AD87/(Y87/AK87))*H87),X87="m3",((AD87/(Y87/AK87))*H87),X87="kg",(((AD87*AL87)/(1/AK87))*H87),X87="ton",(((AD87/1000*AL87)/(1/AK87))*H87),X87="N/A",""))</f>
        <v>-7.65</v>
      </c>
      <c r="Q87" s="186" t="s">
        <v>5</v>
      </c>
      <c r="R87" s="47"/>
      <c r="S87" s="47">
        <v>2028</v>
      </c>
      <c r="T87" s="47" t="s">
        <v>28</v>
      </c>
      <c r="U87" s="47">
        <v>60</v>
      </c>
      <c r="W87" s="52" t="s">
        <v>1170</v>
      </c>
      <c r="X87" s="52" t="s">
        <v>15</v>
      </c>
      <c r="Y87" s="47">
        <v>1.2E-2</v>
      </c>
      <c r="Z87" s="52">
        <f t="shared" si="16"/>
        <v>3.9300102000000008</v>
      </c>
      <c r="AA87" s="52">
        <v>-4.28</v>
      </c>
      <c r="AB87" s="52">
        <f>8.21+0.0000102</f>
        <v>8.210010200000001</v>
      </c>
      <c r="AC87" s="52">
        <v>-27.7</v>
      </c>
      <c r="AD87" s="52">
        <v>-7.65</v>
      </c>
      <c r="AE87" s="40"/>
      <c r="AF87" s="120"/>
      <c r="AG87" s="75" t="s">
        <v>8</v>
      </c>
      <c r="AH87" s="121" t="s">
        <v>177</v>
      </c>
      <c r="AI87" s="120"/>
      <c r="AJ87" s="45"/>
      <c r="AK87" s="47">
        <v>1.2E-2</v>
      </c>
      <c r="AL87" s="116">
        <f>8*1/0.012</f>
        <v>666.66666666666663</v>
      </c>
      <c r="AM87" s="47" t="s">
        <v>191</v>
      </c>
      <c r="AN87" s="45"/>
      <c r="AO87" s="173" t="s">
        <v>17</v>
      </c>
      <c r="AP87" s="205" t="s">
        <v>17</v>
      </c>
    </row>
    <row r="88" spans="1:42" ht="25.2" customHeight="1" x14ac:dyDescent="0.15">
      <c r="A88" s="25" t="s">
        <v>1146</v>
      </c>
      <c r="B88" s="69" t="s">
        <v>208</v>
      </c>
      <c r="C88" s="73"/>
      <c r="D88" s="47" t="s">
        <v>1159</v>
      </c>
      <c r="E88" s="186" t="s">
        <v>153</v>
      </c>
      <c r="F88" s="47" t="s">
        <v>132</v>
      </c>
      <c r="G88" s="40"/>
      <c r="H88" s="111">
        <v>1</v>
      </c>
      <c r="I88" s="52">
        <f t="shared" si="12"/>
        <v>5.4360072480000001</v>
      </c>
      <c r="J88" s="148" cm="1">
        <f t="array" ref="J88">IF(AB88="N/A","",_xlfn.IFS(X88="m2",((Z88/(Y88/AK88))*H88),X88="m3",((Z88/(Y88/AK88))*H88),X88="kg",(((Z88*AL88)/(1/AK88))*H88),X88="ton",(((Z88/1000*AL88)/(1/AK88))*H88),X88="N/A",""))</f>
        <v>5.4360072480000001</v>
      </c>
      <c r="K88" s="52">
        <f t="shared" si="13"/>
        <v>-4.992</v>
      </c>
      <c r="L88" s="155" cm="1">
        <f t="array" ref="L88">(_xlfn.IFS(X88="m2",((AA88/(Y88/AK88))*H88),X88="m3",((AA88/(Y88/AK88))*H88),X88="kg",(((AA88*AL88)/(1/AK88))*H88),X88="ton",(((AA88/1000*AL88)/(1/AK88))*H88),X88="N/A",""))</f>
        <v>-4.992</v>
      </c>
      <c r="M88" s="52">
        <f t="shared" si="14"/>
        <v>10.428007248</v>
      </c>
      <c r="N88" s="148" cm="1">
        <f t="array" ref="N88">IF(AB88="N/A","",_xlfn.IFS(X88="m2",((AB88/(Y88/AK88))*H88),X88="m3",((AB88/(Y88/AK88))*H88),X88="kg",(((AB88*AL88)/(1/AK88))*H88),X88="ton",(((AB88/1000*AL88)/(1/AK88))*H88),X88="N/A",""))</f>
        <v>10.428007248</v>
      </c>
      <c r="O88" s="52">
        <f t="shared" si="15"/>
        <v>-7.9200000000000008</v>
      </c>
      <c r="P88" s="148" cm="1">
        <f t="array" ref="P88">IF(AD88="N/A","",_xlfn.IFS(X88="m2",((AD88/(Y88/AK88))*H88),X88="m3",((AD88/(Y88/AK88))*H88),X88="kg",(((AD88*AL88)/(1/AK88))*H88),X88="ton",(((AD88/1000*AL88)/(1/AK88))*H88),X88="N/A",""))</f>
        <v>-7.9200000000000008</v>
      </c>
      <c r="Q88" s="186" t="s">
        <v>5</v>
      </c>
      <c r="R88" s="47"/>
      <c r="S88" s="47">
        <v>2028</v>
      </c>
      <c r="T88" s="47" t="s">
        <v>28</v>
      </c>
      <c r="U88" s="47">
        <v>60</v>
      </c>
      <c r="W88" s="52" t="s">
        <v>1171</v>
      </c>
      <c r="X88" s="52" t="s">
        <v>20</v>
      </c>
      <c r="Y88" s="47">
        <v>1</v>
      </c>
      <c r="Z88" s="52">
        <f t="shared" si="16"/>
        <v>453.00060399999995</v>
      </c>
      <c r="AA88" s="52">
        <f>-416</f>
        <v>-416</v>
      </c>
      <c r="AB88" s="52">
        <f>869+0.000604</f>
        <v>869.00060399999995</v>
      </c>
      <c r="AC88" s="52">
        <f>-27.7</f>
        <v>-27.7</v>
      </c>
      <c r="AD88" s="52">
        <f>-660</f>
        <v>-660</v>
      </c>
      <c r="AE88" s="40"/>
      <c r="AF88" s="120"/>
      <c r="AG88" s="75" t="s">
        <v>8</v>
      </c>
      <c r="AH88" s="121" t="s">
        <v>177</v>
      </c>
      <c r="AI88" s="120"/>
      <c r="AJ88" s="45"/>
      <c r="AK88" s="47">
        <v>1.2E-2</v>
      </c>
      <c r="AL88" s="116">
        <f>(615+680)/2</f>
        <v>647.5</v>
      </c>
      <c r="AM88" s="47" t="s">
        <v>191</v>
      </c>
      <c r="AN88" s="45"/>
      <c r="AO88" s="173" t="s">
        <v>17</v>
      </c>
      <c r="AP88" s="73"/>
    </row>
    <row r="89" spans="1:42" ht="25.2" customHeight="1" x14ac:dyDescent="0.15">
      <c r="A89" s="25" t="s">
        <v>1147</v>
      </c>
      <c r="B89" s="69" t="s">
        <v>208</v>
      </c>
      <c r="C89" s="73"/>
      <c r="D89" s="47" t="s">
        <v>1155</v>
      </c>
      <c r="E89" s="186" t="s">
        <v>1156</v>
      </c>
      <c r="F89" s="47" t="s">
        <v>132</v>
      </c>
      <c r="G89" s="40"/>
      <c r="H89" s="111">
        <v>1</v>
      </c>
      <c r="I89" s="52">
        <f t="shared" si="12"/>
        <v>6.0609287999999992</v>
      </c>
      <c r="J89" s="148" cm="1">
        <f t="array" ref="J89">IF(AB89="N/A","",_xlfn.IFS(X89="m2",((Z89/(Y89/AK89))*H89),X89="m3",((Z89/(Y89/AK89))*H89),X89="kg",(((Z89*AL89)/(1/AK89))*H89),X89="ton",(((Z89/1000*AL89)/(1/AK89))*H89),X89="N/A",""))</f>
        <v>6.0609287999999992</v>
      </c>
      <c r="K89" s="52">
        <f t="shared" si="13"/>
        <v>-7.62</v>
      </c>
      <c r="L89" s="155" cm="1">
        <f t="array" ref="L89">(_xlfn.IFS(X89="m2",((AA89/(Y89/AK89))*H89),X89="m3",((AA89/(Y89/AK89))*H89),X89="kg",(((AA89*AL89)/(1/AK89))*H89),X89="ton",(((AA89/1000*AL89)/(1/AK89))*H89),X89="N/A",""))</f>
        <v>-7.62</v>
      </c>
      <c r="M89" s="52">
        <f t="shared" si="14"/>
        <v>13.6809288</v>
      </c>
      <c r="N89" s="148" cm="1">
        <f t="array" ref="N89">IF(AB89="N/A","",_xlfn.IFS(X89="m2",((AB89/(Y89/AK89))*H89),X89="m3",((AB89/(Y89/AK89))*H89),X89="kg",(((AB89*AL89)/(1/AK89))*H89),X89="ton",(((AB89/1000*AL89)/(1/AK89))*H89),X89="N/A",""))</f>
        <v>13.6809288</v>
      </c>
      <c r="O89" s="52" t="str">
        <f t="shared" si="15"/>
        <v>N/A</v>
      </c>
      <c r="P89" s="148" t="str" cm="1">
        <f t="array" ref="P89">IF(AD89="N/A","",_xlfn.IFS(X89="m2",((AD89/(Y89/AK89))*H89),X89="m3",((AD89/(Y89/AK89))*H89),X89="kg",(((AD89*AL89)/(1/AK89))*H89),X89="ton",(((AD89/1000*AL89)/(1/AK89))*H89),X89="N/A",""))</f>
        <v/>
      </c>
      <c r="Q89" s="186" t="s">
        <v>5</v>
      </c>
      <c r="R89" s="47"/>
      <c r="S89" s="47">
        <v>2025</v>
      </c>
      <c r="T89" s="47" t="s">
        <v>14</v>
      </c>
      <c r="U89" s="47" t="s">
        <v>191</v>
      </c>
      <c r="W89" s="52" t="s">
        <v>1172</v>
      </c>
      <c r="X89" s="52" t="s">
        <v>20</v>
      </c>
      <c r="Y89" s="47">
        <v>1</v>
      </c>
      <c r="Z89" s="52">
        <f t="shared" si="16"/>
        <v>505.0773999999999</v>
      </c>
      <c r="AA89" s="52">
        <v>-635</v>
      </c>
      <c r="AB89" s="52">
        <f>1140+0.0774</f>
        <v>1140.0773999999999</v>
      </c>
      <c r="AC89" s="52">
        <v>-55.6</v>
      </c>
      <c r="AD89" s="52" t="s">
        <v>191</v>
      </c>
      <c r="AE89" s="40"/>
      <c r="AF89" s="120"/>
      <c r="AG89" s="75" t="s">
        <v>8</v>
      </c>
      <c r="AH89" s="121" t="s">
        <v>177</v>
      </c>
      <c r="AI89" s="120"/>
      <c r="AJ89" s="45"/>
      <c r="AK89" s="47">
        <v>1.2E-2</v>
      </c>
      <c r="AL89" s="47">
        <f>(630+700)/2</f>
        <v>665</v>
      </c>
      <c r="AM89" s="47" t="s">
        <v>191</v>
      </c>
      <c r="AN89" s="45"/>
      <c r="AO89" s="173" t="s">
        <v>17</v>
      </c>
      <c r="AP89" s="205" t="s">
        <v>17</v>
      </c>
    </row>
    <row r="90" spans="1:42" ht="25.2" customHeight="1" x14ac:dyDescent="0.15">
      <c r="A90" s="25" t="s">
        <v>1148</v>
      </c>
      <c r="B90" s="69" t="s">
        <v>208</v>
      </c>
      <c r="C90" s="73"/>
      <c r="D90" s="47" t="s">
        <v>1155</v>
      </c>
      <c r="E90" s="186" t="s">
        <v>153</v>
      </c>
      <c r="F90" s="47" t="s">
        <v>132</v>
      </c>
      <c r="G90" s="40"/>
      <c r="H90" s="112">
        <v>1</v>
      </c>
      <c r="I90" s="52">
        <f t="shared" si="12"/>
        <v>6.336994800000002</v>
      </c>
      <c r="J90" s="148" cm="1">
        <f t="array" ref="J90">IF(AB90="N/A","",_xlfn.IFS(X90="m2",((Z90/(Y90/AK90))*H90),X90="m3",((Z90/(Y90/AK90))*H90),X90="kg",(((Z90*AL90)/(1/AK90))*H90),X90="ton",(((Z90/1000*AL90)/(1/AK90))*H90),X90="N/A",""))</f>
        <v>6.336994800000002</v>
      </c>
      <c r="K90" s="52">
        <f t="shared" si="13"/>
        <v>-8.3040000000000003</v>
      </c>
      <c r="L90" s="155" cm="1">
        <f t="array" ref="L90">(_xlfn.IFS(X90="m2",((AA90/(Y90/AK90))*H90),X90="m3",((AA90/(Y90/AK90))*H90),X90="kg",(((AA90*AL90)/(1/AK90))*H90),X90="ton",(((AA90/1000*AL90)/(1/AK90))*H90),X90="N/A",""))</f>
        <v>-8.3040000000000003</v>
      </c>
      <c r="M90" s="52">
        <f t="shared" si="14"/>
        <v>14.640994800000001</v>
      </c>
      <c r="N90" s="148" cm="1">
        <f t="array" ref="N90">IF(AB90="N/A","",_xlfn.IFS(X90="m2",((AB90/(Y90/AK90))*H90),X90="m3",((AB90/(Y90/AK90))*H90),X90="kg",(((AB90*AL90)/(1/AK90))*H90),X90="ton",(((AB90/1000*AL90)/(1/AK90))*H90),X90="N/A",""))</f>
        <v>14.640994800000001</v>
      </c>
      <c r="O90" s="52" t="str">
        <f t="shared" si="15"/>
        <v>N/A</v>
      </c>
      <c r="P90" s="148" t="str" cm="1">
        <f t="array" ref="P90">IF(AD90="N/A","",_xlfn.IFS(X90="m2",((AD90/(Y90/AK90))*H90),X90="m3",((AD90/(Y90/AK90))*H90),X90="kg",(((AD90*AL90)/(1/AK90))*H90),X90="ton",(((AD90/1000*AL90)/(1/AK90))*H90),X90="N/A",""))</f>
        <v/>
      </c>
      <c r="Q90" s="186" t="s">
        <v>5</v>
      </c>
      <c r="R90" s="47"/>
      <c r="S90" s="47">
        <v>2025</v>
      </c>
      <c r="T90" s="47" t="s">
        <v>14</v>
      </c>
      <c r="U90" s="47">
        <v>60</v>
      </c>
      <c r="W90" s="52" t="s">
        <v>1173</v>
      </c>
      <c r="X90" s="52" t="s">
        <v>20</v>
      </c>
      <c r="Y90" s="47">
        <v>1</v>
      </c>
      <c r="Z90" s="52">
        <f t="shared" si="16"/>
        <v>528.08290000000011</v>
      </c>
      <c r="AA90" s="52">
        <v>-692</v>
      </c>
      <c r="AB90" s="52">
        <f>1220+0.0829</f>
        <v>1220.0829000000001</v>
      </c>
      <c r="AC90" s="52">
        <v>-59.8</v>
      </c>
      <c r="AD90" s="52" t="s">
        <v>191</v>
      </c>
      <c r="AE90" s="40"/>
      <c r="AF90" s="120"/>
      <c r="AG90" s="75" t="s">
        <v>8</v>
      </c>
      <c r="AH90" s="121" t="s">
        <v>176</v>
      </c>
      <c r="AI90" s="120"/>
      <c r="AJ90" s="45"/>
      <c r="AK90" s="47">
        <v>1.2E-2</v>
      </c>
      <c r="AL90" s="47">
        <v>750</v>
      </c>
      <c r="AM90" s="47" t="s">
        <v>191</v>
      </c>
      <c r="AN90" s="45"/>
      <c r="AO90" s="173" t="s">
        <v>17</v>
      </c>
      <c r="AP90" s="205" t="s">
        <v>17</v>
      </c>
    </row>
    <row r="91" spans="1:42" ht="25.2" customHeight="1" x14ac:dyDescent="0.15">
      <c r="A91" s="25" t="s">
        <v>1149</v>
      </c>
      <c r="B91" s="69" t="s">
        <v>208</v>
      </c>
      <c r="C91" s="73"/>
      <c r="D91" s="47" t="s">
        <v>1160</v>
      </c>
      <c r="E91" s="47" t="s">
        <v>191</v>
      </c>
      <c r="F91" s="47" t="s">
        <v>132</v>
      </c>
      <c r="G91" s="40"/>
      <c r="H91" s="111">
        <v>1</v>
      </c>
      <c r="I91" s="52">
        <f t="shared" si="12"/>
        <v>5.7475226195605353</v>
      </c>
      <c r="J91" s="148" cm="1">
        <f t="array" ref="J91">IF(AB91="N/A","",_xlfn.IFS(X91="m2",((Z91/(Y91/AK91))*H91),X91="m3",((Z91/(Y91/AK91))*H91),X91="kg",(((Z91*AL91)/(1/AK91))*H91),X91="ton",(((Z91/1000*AL91)/(1/AK91))*H91),X91="N/A",""))</f>
        <v>5.7475226195605353</v>
      </c>
      <c r="K91" s="52">
        <f t="shared" si="13"/>
        <v>-9.6915122791900039</v>
      </c>
      <c r="L91" s="155" cm="1">
        <f t="array" ref="L91">(_xlfn.IFS(X91="m2",((AA91/(Y91/AK91))*H91),X91="m3",((AA91/(Y91/AK91))*H91),X91="kg",(((AA91*AL91)/(1/AK91))*H91),X91="ton",(((AA91/1000*AL91)/(1/AK91))*H91),X91="N/A",""))</f>
        <v>-9.6915122791900039</v>
      </c>
      <c r="M91" s="52">
        <f t="shared" si="14"/>
        <v>15.43903489875054</v>
      </c>
      <c r="N91" s="148" cm="1">
        <f t="array" ref="N91">IF(AB91="N/A","",_xlfn.IFS(X91="m2",((AB91/(Y91/AK91))*H91),X91="m3",((AB91/(Y91/AK91))*H91),X91="kg",(((AB91*AL91)/(1/AK91))*H91),X91="ton",(((AB91/1000*AL91)/(1/AK91))*H91),X91="N/A",""))</f>
        <v>15.43903489875054</v>
      </c>
      <c r="O91" s="52">
        <f t="shared" si="15"/>
        <v>-15.6372253339078</v>
      </c>
      <c r="P91" s="148" cm="1">
        <f t="array" ref="P91">IF(AD91="N/A","",_xlfn.IFS(X91="m2",((AD91/(Y91/AK91))*H91),X91="m3",((AD91/(Y91/AK91))*H91),X91="kg",(((AD91*AL91)/(1/AK91))*H91),X91="ton",(((AD91/1000*AL91)/(1/AK91))*H91),X91="N/A",""))</f>
        <v>-15.6372253339078</v>
      </c>
      <c r="Q91" s="186" t="s">
        <v>5</v>
      </c>
      <c r="R91" s="47"/>
      <c r="S91" s="47">
        <v>2027</v>
      </c>
      <c r="T91" s="47" t="s">
        <v>28</v>
      </c>
      <c r="U91" s="47" t="s">
        <v>191</v>
      </c>
      <c r="W91" s="52" t="s">
        <v>1174</v>
      </c>
      <c r="X91" s="52" t="s">
        <v>20</v>
      </c>
      <c r="Y91" s="47">
        <v>1</v>
      </c>
      <c r="Z91" s="52">
        <f t="shared" si="16"/>
        <v>143.68806548901338</v>
      </c>
      <c r="AA91" s="52">
        <f>-489*230/464.2</f>
        <v>-242.28780697975012</v>
      </c>
      <c r="AB91" s="52">
        <f>(779 +0)*230/464.2</f>
        <v>385.9758724687635</v>
      </c>
      <c r="AC91" s="52">
        <f>(-412)*230/464.2</f>
        <v>-204.1361482119776</v>
      </c>
      <c r="AD91" s="52">
        <f>(-789)*230/464.2</f>
        <v>-390.93063334769499</v>
      </c>
      <c r="AE91" s="40"/>
      <c r="AF91" s="120"/>
      <c r="AG91" s="75" t="s">
        <v>16</v>
      </c>
      <c r="AH91" s="121"/>
      <c r="AI91" s="120"/>
      <c r="AJ91" s="45"/>
      <c r="AK91" s="47">
        <v>0.04</v>
      </c>
      <c r="AL91" s="47">
        <v>230</v>
      </c>
      <c r="AM91" s="47" t="s">
        <v>191</v>
      </c>
      <c r="AN91" s="45"/>
      <c r="AO91" s="173" t="s">
        <v>17</v>
      </c>
      <c r="AP91" s="73"/>
    </row>
    <row r="92" spans="1:42" ht="25.2" customHeight="1" x14ac:dyDescent="0.15">
      <c r="A92" s="25" t="s">
        <v>1150</v>
      </c>
      <c r="B92" s="69" t="s">
        <v>208</v>
      </c>
      <c r="C92" s="73"/>
      <c r="D92" s="47" t="s">
        <v>1160</v>
      </c>
      <c r="E92" s="47" t="s">
        <v>191</v>
      </c>
      <c r="F92" s="47" t="s">
        <v>132</v>
      </c>
      <c r="G92" s="40"/>
      <c r="H92" s="111">
        <v>1</v>
      </c>
      <c r="I92" s="52">
        <f t="shared" si="12"/>
        <v>7.246876346402412</v>
      </c>
      <c r="J92" s="148" cm="1">
        <f t="array" ref="J92">IF(AB92="N/A","",_xlfn.IFS(X92="m2",((Z92/(Y92/AK92))*H92),X92="m3",((Z92/(Y92/AK92))*H92),X92="kg",(((Z92*AL92)/(1/AK92))*H92),X92="ton",(((Z92/1000*AL92)/(1/AK92))*H92),X92="N/A",""))</f>
        <v>7.246876346402412</v>
      </c>
      <c r="K92" s="52">
        <f t="shared" si="13"/>
        <v>-12.219732873761311</v>
      </c>
      <c r="L92" s="155" cm="1">
        <f t="array" ref="L92">(_xlfn.IFS(X92="m2",((AA92/(Y92/AK92))*H92),X92="m3",((AA92/(Y92/AK92))*H92),X92="kg",(((AA92*AL92)/(1/AK92))*H92),X92="ton",(((AA92/1000*AL92)/(1/AK92))*H92),X92="N/A",""))</f>
        <v>-12.219732873761311</v>
      </c>
      <c r="M92" s="52">
        <f t="shared" si="14"/>
        <v>19.466609220163722</v>
      </c>
      <c r="N92" s="148" cm="1">
        <f t="array" ref="N92">IF(AB92="N/A","",_xlfn.IFS(X92="m2",((AB92/(Y92/AK92))*H92),X92="m3",((AB92/(Y92/AK92))*H92),X92="kg",(((AB92*AL92)/(1/AK92))*H92),X92="ton",(((AB92/1000*AL92)/(1/AK92))*H92),X92="N/A",""))</f>
        <v>19.466609220163722</v>
      </c>
      <c r="O92" s="52">
        <f t="shared" si="15"/>
        <v>-19.716501507970701</v>
      </c>
      <c r="P92" s="148" cm="1">
        <f t="array" ref="P92">IF(AD92="N/A","",_xlfn.IFS(X92="m2",((AD92/(Y92/AK92))*H92),X92="m3",((AD92/(Y92/AK92))*H92),X92="kg",(((AD92*AL92)/(1/AK92))*H92),X92="ton",(((AD92/1000*AL92)/(1/AK92))*H92),X92="N/A",""))</f>
        <v>-19.716501507970701</v>
      </c>
      <c r="Q92" s="186" t="s">
        <v>5</v>
      </c>
      <c r="R92" s="47"/>
      <c r="S92" s="47">
        <v>2027</v>
      </c>
      <c r="T92" s="47" t="s">
        <v>28</v>
      </c>
      <c r="U92" s="47" t="s">
        <v>191</v>
      </c>
      <c r="W92" s="52" t="s">
        <v>1174</v>
      </c>
      <c r="X92" s="52" t="s">
        <v>20</v>
      </c>
      <c r="Y92" s="47">
        <v>1</v>
      </c>
      <c r="Z92" s="52">
        <f t="shared" si="16"/>
        <v>181.1719086600603</v>
      </c>
      <c r="AA92" s="52">
        <f>-489*290/464.2</f>
        <v>-305.49332184403278</v>
      </c>
      <c r="AB92" s="52">
        <f>(779 +0)*290/464.2</f>
        <v>486.66523050409307</v>
      </c>
      <c r="AC92" s="52">
        <f>(-412)*290/464.2</f>
        <v>-257.38905644118915</v>
      </c>
      <c r="AD92" s="52">
        <f>(-789)*290/464.2</f>
        <v>-492.91253769926755</v>
      </c>
      <c r="AE92" s="40"/>
      <c r="AF92" s="120"/>
      <c r="AG92" s="75" t="s">
        <v>16</v>
      </c>
      <c r="AH92" s="121"/>
      <c r="AI92" s="120"/>
      <c r="AJ92" s="45"/>
      <c r="AK92" s="47">
        <v>0.04</v>
      </c>
      <c r="AL92" s="47">
        <v>290</v>
      </c>
      <c r="AM92" s="47" t="s">
        <v>191</v>
      </c>
      <c r="AN92" s="45"/>
      <c r="AO92" s="173" t="s">
        <v>17</v>
      </c>
      <c r="AP92" s="73"/>
    </row>
    <row r="93" spans="1:42" ht="25.2" customHeight="1" x14ac:dyDescent="0.15">
      <c r="A93" s="25" t="s">
        <v>1151</v>
      </c>
      <c r="B93" s="69" t="s">
        <v>208</v>
      </c>
      <c r="C93" s="73"/>
      <c r="D93" s="47" t="s">
        <v>1160</v>
      </c>
      <c r="E93" s="47" t="s">
        <v>191</v>
      </c>
      <c r="F93" s="47" t="s">
        <v>132</v>
      </c>
      <c r="G93" s="40"/>
      <c r="H93" s="112">
        <v>1</v>
      </c>
      <c r="I93" s="52">
        <f t="shared" si="12"/>
        <v>14.118914261094361</v>
      </c>
      <c r="J93" s="148" cm="1">
        <f t="array" ref="J93">IF(AB93="N/A","",_xlfn.IFS(X93="m2",((Z93/(Y93/AK93))*H93),X93="m3",((Z93/(Y93/AK93))*H93),X93="kg",(((Z93*AL93)/(1/AK93))*H93),X93="ton",(((Z93/1000*AL93)/(1/AK93))*H93),X93="N/A",""))</f>
        <v>14.118914261094361</v>
      </c>
      <c r="K93" s="52">
        <f t="shared" si="13"/>
        <v>-23.807410598879791</v>
      </c>
      <c r="L93" s="155" cm="1">
        <f t="array" ref="L93">(_xlfn.IFS(X93="m2",((AA93/(Y93/AK93))*H93),X93="m3",((AA93/(Y93/AK93))*H93),X93="kg",(((AA93*AL93)/(1/AK93))*H93),X93="ton",(((AA93/1000*AL93)/(1/AK93))*H93),X93="N/A",""))</f>
        <v>-23.807410598879791</v>
      </c>
      <c r="M93" s="52">
        <f t="shared" si="14"/>
        <v>37.926324859974152</v>
      </c>
      <c r="N93" s="148" cm="1">
        <f t="array" ref="N93">IF(AB93="N/A","",_xlfn.IFS(X93="m2",((AB93/(Y93/AK93))*H93),X93="m3",((AB93/(Y93/AK93))*H93),X93="kg",(((AB93*AL93)/(1/AK93))*H93),X93="ton",(((AB93/1000*AL93)/(1/AK93))*H93),X93="N/A",""))</f>
        <v>37.926324859974152</v>
      </c>
      <c r="O93" s="52">
        <f t="shared" si="15"/>
        <v>-38.413183972425685</v>
      </c>
      <c r="P93" s="148" cm="1">
        <f t="array" ref="P93">IF(AD93="N/A","",_xlfn.IFS(X93="m2",((AD93/(Y93/AK93))*H93),X93="m3",((AD93/(Y93/AK93))*H93),X93="kg",(((AD93*AL93)/(1/AK93))*H93),X93="ton",(((AD93/1000*AL93)/(1/AK93))*H93),X93="N/A",""))</f>
        <v>-38.413183972425685</v>
      </c>
      <c r="Q93" s="186" t="s">
        <v>5</v>
      </c>
      <c r="R93" s="47"/>
      <c r="S93" s="47">
        <v>2027</v>
      </c>
      <c r="T93" s="47" t="s">
        <v>28</v>
      </c>
      <c r="U93" s="47" t="s">
        <v>191</v>
      </c>
      <c r="W93" s="52" t="s">
        <v>1174</v>
      </c>
      <c r="X93" s="52" t="s">
        <v>20</v>
      </c>
      <c r="Y93" s="47">
        <v>1</v>
      </c>
      <c r="Z93" s="52">
        <f t="shared" si="16"/>
        <v>352.972856527359</v>
      </c>
      <c r="AA93" s="52">
        <f>-489*565/464.2</f>
        <v>-595.1852649719948</v>
      </c>
      <c r="AB93" s="52">
        <f>(779 +0)*565/464.2</f>
        <v>948.1581214993538</v>
      </c>
      <c r="AC93" s="52">
        <f>(-412)*565/464.2</f>
        <v>-501.46488582507538</v>
      </c>
      <c r="AD93" s="52">
        <f>(-789)*565/464.2</f>
        <v>-960.32959931064204</v>
      </c>
      <c r="AE93" s="40"/>
      <c r="AF93" s="120"/>
      <c r="AG93" s="75" t="s">
        <v>8</v>
      </c>
      <c r="AH93" s="121" t="s">
        <v>176</v>
      </c>
      <c r="AI93" s="120"/>
      <c r="AJ93" s="45"/>
      <c r="AK93" s="47">
        <v>0.04</v>
      </c>
      <c r="AL93" s="47">
        <v>565</v>
      </c>
      <c r="AM93" s="47" t="s">
        <v>191</v>
      </c>
      <c r="AN93" s="45"/>
      <c r="AO93" s="173" t="s">
        <v>17</v>
      </c>
      <c r="AP93" s="73"/>
    </row>
    <row r="94" spans="1:42" ht="25.2" customHeight="1" x14ac:dyDescent="0.15">
      <c r="A94" s="25" t="s">
        <v>1152</v>
      </c>
      <c r="B94" s="69" t="s">
        <v>208</v>
      </c>
      <c r="C94" s="73"/>
      <c r="D94" s="47" t="s">
        <v>1160</v>
      </c>
      <c r="E94" s="47" t="s">
        <v>191</v>
      </c>
      <c r="F94" s="47" t="s">
        <v>132</v>
      </c>
      <c r="G94" s="40"/>
      <c r="H94" s="111">
        <v>1</v>
      </c>
      <c r="I94" s="52">
        <f t="shared" si="12"/>
        <v>14.993537268418786</v>
      </c>
      <c r="J94" s="148" cm="1">
        <f t="array" ref="J94">IF(AB94="N/A","",_xlfn.IFS(X94="m2",((Z94/(Y94/AK94))*H94),X94="m3",((Z94/(Y94/AK94))*H94),X94="kg",(((Z94*AL94)/(1/AK94))*H94),X94="ton",(((Z94/1000*AL94)/(1/AK94))*H94),X94="N/A",""))</f>
        <v>14.993537268418786</v>
      </c>
      <c r="K94" s="52">
        <f t="shared" si="13"/>
        <v>-25.282205945713052</v>
      </c>
      <c r="L94" s="155" cm="1">
        <f t="array" ref="L94">(_xlfn.IFS(X94="m2",((AA94/(Y94/AK94))*H94),X94="m3",((AA94/(Y94/AK94))*H94),X94="kg",(((AA94*AL94)/(1/AK94))*H94),X94="ton",(((AA94/1000*AL94)/(1/AK94))*H94),X94="N/A",""))</f>
        <v>-25.282205945713052</v>
      </c>
      <c r="M94" s="52">
        <f t="shared" si="14"/>
        <v>40.275743214131836</v>
      </c>
      <c r="N94" s="148" cm="1">
        <f t="array" ref="N94">IF(AB94="N/A","",_xlfn.IFS(X94="m2",((AB94/(Y94/AK94))*H94),X94="m3",((AB94/(Y94/AK94))*H94),X94="kg",(((AB94*AL94)/(1/AK94))*H94),X94="ton",(((AB94/1000*AL94)/(1/AK94))*H94),X94="N/A",""))</f>
        <v>40.275743214131836</v>
      </c>
      <c r="O94" s="52">
        <f t="shared" si="15"/>
        <v>-40.792761740629039</v>
      </c>
      <c r="P94" s="148" cm="1">
        <f t="array" ref="P94">IF(AD94="N/A","",_xlfn.IFS(X94="m2",((AD94/(Y94/AK94))*H94),X94="m3",((AD94/(Y94/AK94))*H94),X94="kg",(((AD94*AL94)/(1/AK94))*H94),X94="ton",(((AD94/1000*AL94)/(1/AK94))*H94),X94="N/A",""))</f>
        <v>-40.792761740629039</v>
      </c>
      <c r="Q94" s="186" t="s">
        <v>5</v>
      </c>
      <c r="R94" s="47"/>
      <c r="S94" s="47">
        <v>2027</v>
      </c>
      <c r="T94" s="47" t="s">
        <v>28</v>
      </c>
      <c r="U94" s="47" t="s">
        <v>191</v>
      </c>
      <c r="W94" s="52" t="s">
        <v>1174</v>
      </c>
      <c r="X94" s="52" t="s">
        <v>20</v>
      </c>
      <c r="Y94" s="47">
        <v>1</v>
      </c>
      <c r="Z94" s="52">
        <f t="shared" si="16"/>
        <v>374.83843171046965</v>
      </c>
      <c r="AA94" s="52">
        <f>-489*600/464.2</f>
        <v>-632.05514864282634</v>
      </c>
      <c r="AB94" s="52">
        <f>(779 +0)*600/464.2</f>
        <v>1006.893580353296</v>
      </c>
      <c r="AC94" s="52">
        <f>(-412)*600/464.2</f>
        <v>-532.5290822921155</v>
      </c>
      <c r="AD94" s="52">
        <f>(-789)*600/464.2</f>
        <v>-1019.819043515726</v>
      </c>
      <c r="AE94" s="40"/>
      <c r="AF94" s="120"/>
      <c r="AG94" s="75" t="s">
        <v>8</v>
      </c>
      <c r="AH94" s="121" t="s">
        <v>177</v>
      </c>
      <c r="AI94" s="120"/>
      <c r="AJ94" s="45"/>
      <c r="AK94" s="47">
        <v>0.04</v>
      </c>
      <c r="AL94" s="47">
        <v>600</v>
      </c>
      <c r="AM94" s="47" t="s">
        <v>191</v>
      </c>
      <c r="AN94" s="45"/>
      <c r="AO94" s="173" t="s">
        <v>17</v>
      </c>
      <c r="AP94" s="73"/>
    </row>
    <row r="95" spans="1:42" ht="25.2" customHeight="1" x14ac:dyDescent="0.15">
      <c r="A95" s="25" t="s">
        <v>1153</v>
      </c>
      <c r="B95" s="69" t="s">
        <v>208</v>
      </c>
      <c r="C95" s="73"/>
      <c r="D95" s="47" t="s">
        <v>1160</v>
      </c>
      <c r="E95" s="47" t="s">
        <v>191</v>
      </c>
      <c r="F95" s="47" t="s">
        <v>132</v>
      </c>
      <c r="G95" s="40"/>
      <c r="H95" s="111">
        <v>1</v>
      </c>
      <c r="I95" s="52">
        <f t="shared" si="12"/>
        <v>6.7470917707884546</v>
      </c>
      <c r="J95" s="148" cm="1">
        <f t="array" ref="J95">IF(AB95="N/A","",_xlfn.IFS(X95="m2",((Z95/(Y95/AK95))*H95),X95="m3",((Z95/(Y95/AK95))*H95),X95="kg",(((Z95*AL95)/(1/AK95))*H95),X95="ton",(((Z95/1000*AL95)/(1/AK95))*H95),X95="N/A",""))</f>
        <v>6.7470917707884546</v>
      </c>
      <c r="K95" s="52">
        <f t="shared" si="13"/>
        <v>-11.376992675570875</v>
      </c>
      <c r="L95" s="155" cm="1">
        <f t="array" ref="L95">(_xlfn.IFS(X95="m2",((AA95/(Y95/AK95))*H95),X95="m3",((AA95/(Y95/AK95))*H95),X95="kg",(((AA95*AL95)/(1/AK95))*H95),X95="ton",(((AA95/1000*AL95)/(1/AK95))*H95),X95="N/A",""))</f>
        <v>-11.376992675570875</v>
      </c>
      <c r="M95" s="52">
        <f t="shared" si="14"/>
        <v>18.12408444635933</v>
      </c>
      <c r="N95" s="148" cm="1">
        <f t="array" ref="N95">IF(AB95="N/A","",_xlfn.IFS(X95="m2",((AB95/(Y95/AK95))*H95),X95="m3",((AB95/(Y95/AK95))*H95),X95="kg",(((AB95*AL95)/(1/AK95))*H95),X95="ton",(((AB95/1000*AL95)/(1/AK95))*H95),X95="N/A",""))</f>
        <v>18.12408444635933</v>
      </c>
      <c r="O95" s="52">
        <f t="shared" si="15"/>
        <v>-18.356742783283067</v>
      </c>
      <c r="P95" s="148" cm="1">
        <f t="array" ref="P95">IF(AD95="N/A","",_xlfn.IFS(X95="m2",((AD95/(Y95/AK95))*H95),X95="m3",((AD95/(Y95/AK95))*H95),X95="kg",(((AD95*AL95)/(1/AK95))*H95),X95="ton",(((AD95/1000*AL95)/(1/AK95))*H95),X95="N/A",""))</f>
        <v>-18.356742783283067</v>
      </c>
      <c r="Q95" s="186" t="s">
        <v>5</v>
      </c>
      <c r="R95" s="47"/>
      <c r="S95" s="47">
        <v>2027</v>
      </c>
      <c r="T95" s="47" t="s">
        <v>28</v>
      </c>
      <c r="U95" s="47" t="s">
        <v>191</v>
      </c>
      <c r="W95" s="52" t="s">
        <v>1174</v>
      </c>
      <c r="X95" s="52" t="s">
        <v>20</v>
      </c>
      <c r="Y95" s="47">
        <v>1</v>
      </c>
      <c r="Z95" s="52">
        <f t="shared" si="16"/>
        <v>168.67729426971135</v>
      </c>
      <c r="AA95" s="52">
        <f>-489*270/464.2</f>
        <v>-284.42481688927188</v>
      </c>
      <c r="AB95" s="52">
        <f>(779 +0)*270/464.2</f>
        <v>453.10211115898323</v>
      </c>
      <c r="AC95" s="52">
        <f>(-412)*270/464.2</f>
        <v>-239.63808703145196</v>
      </c>
      <c r="AD95" s="52">
        <f>(-789)*270/464.2</f>
        <v>-458.91856958207671</v>
      </c>
      <c r="AE95" s="40"/>
      <c r="AF95" s="120"/>
      <c r="AG95" s="75" t="s">
        <v>16</v>
      </c>
      <c r="AH95" s="121"/>
      <c r="AI95" s="120"/>
      <c r="AJ95" s="45"/>
      <c r="AK95" s="47">
        <v>0.04</v>
      </c>
      <c r="AL95" s="47">
        <v>270</v>
      </c>
      <c r="AM95" s="47" t="s">
        <v>191</v>
      </c>
      <c r="AN95" s="45"/>
      <c r="AO95" s="173" t="s">
        <v>17</v>
      </c>
      <c r="AP95" s="73"/>
    </row>
    <row r="96" spans="1:42" ht="25.2" customHeight="1" x14ac:dyDescent="0.15">
      <c r="A96" s="25" t="s">
        <v>1154</v>
      </c>
      <c r="B96" s="69" t="s">
        <v>208</v>
      </c>
      <c r="C96" s="73"/>
      <c r="D96" s="47" t="s">
        <v>1160</v>
      </c>
      <c r="E96" s="47" t="s">
        <v>191</v>
      </c>
      <c r="F96" s="47" t="s">
        <v>132</v>
      </c>
      <c r="G96" s="40"/>
      <c r="H96" s="112">
        <v>1</v>
      </c>
      <c r="I96" s="52">
        <f t="shared" si="12"/>
        <v>5.7475226195605353</v>
      </c>
      <c r="J96" s="148" cm="1">
        <f t="array" ref="J96">IF(AB96="N/A","",_xlfn.IFS(X96="m2",((Z96/(Y96/AK96))*H96),X96="m3",((Z96/(Y96/AK96))*H96),X96="kg",(((Z96*AL96)/(1/AK96))*H96),X96="ton",(((Z96/1000*AL96)/(1/AK96))*H96),X96="N/A",""))</f>
        <v>5.7475226195605353</v>
      </c>
      <c r="K96" s="52">
        <f t="shared" si="13"/>
        <v>-9.6915122791900039</v>
      </c>
      <c r="L96" s="155" cm="1">
        <f t="array" ref="L96">(_xlfn.IFS(X96="m2",((AA96/(Y96/AK96))*H96),X96="m3",((AA96/(Y96/AK96))*H96),X96="kg",(((AA96*AL96)/(1/AK96))*H96),X96="ton",(((AA96/1000*AL96)/(1/AK96))*H96),X96="N/A",""))</f>
        <v>-9.6915122791900039</v>
      </c>
      <c r="M96" s="52">
        <f t="shared" si="14"/>
        <v>15.43903489875054</v>
      </c>
      <c r="N96" s="148" cm="1">
        <f t="array" ref="N96">IF(AB96="N/A","",_xlfn.IFS(X96="m2",((AB96/(Y96/AK96))*H96),X96="m3",((AB96/(Y96/AK96))*H96),X96="kg",(((AB96*AL96)/(1/AK96))*H96),X96="ton",(((AB96/1000*AL96)/(1/AK96))*H96),X96="N/A",""))</f>
        <v>15.43903489875054</v>
      </c>
      <c r="O96" s="52">
        <f t="shared" si="15"/>
        <v>-15.6372253339078</v>
      </c>
      <c r="P96" s="148" cm="1">
        <f t="array" ref="P96">IF(AD96="N/A","",_xlfn.IFS(X96="m2",((AD96/(Y96/AK96))*H96),X96="m3",((AD96/(Y96/AK96))*H96),X96="kg",(((AD96*AL96)/(1/AK96))*H96),X96="ton",(((AD96/1000*AL96)/(1/AK96))*H96),X96="N/A",""))</f>
        <v>-15.6372253339078</v>
      </c>
      <c r="Q96" s="186" t="s">
        <v>5</v>
      </c>
      <c r="R96" s="47"/>
      <c r="S96" s="47">
        <v>2027</v>
      </c>
      <c r="T96" s="47" t="s">
        <v>28</v>
      </c>
      <c r="U96" s="47" t="s">
        <v>191</v>
      </c>
      <c r="W96" s="52" t="s">
        <v>1174</v>
      </c>
      <c r="X96" s="52" t="s">
        <v>20</v>
      </c>
      <c r="Y96" s="47">
        <v>1</v>
      </c>
      <c r="Z96" s="52">
        <f t="shared" si="16"/>
        <v>143.68806548901338</v>
      </c>
      <c r="AA96" s="52">
        <f>-489*230/464.2</f>
        <v>-242.28780697975012</v>
      </c>
      <c r="AB96" s="52">
        <f>(779 +0)*230/464.2</f>
        <v>385.9758724687635</v>
      </c>
      <c r="AC96" s="52">
        <f>(-412)*230/464.2</f>
        <v>-204.1361482119776</v>
      </c>
      <c r="AD96" s="52">
        <f>(-789)*230/464.2</f>
        <v>-390.93063334769499</v>
      </c>
      <c r="AE96" s="40"/>
      <c r="AF96" s="120"/>
      <c r="AG96" s="75" t="s">
        <v>16</v>
      </c>
      <c r="AH96" s="121"/>
      <c r="AI96" s="120"/>
      <c r="AJ96" s="45"/>
      <c r="AK96" s="47">
        <v>0.04</v>
      </c>
      <c r="AL96" s="47">
        <v>230</v>
      </c>
      <c r="AM96" s="47" t="s">
        <v>191</v>
      </c>
      <c r="AN96" s="45"/>
      <c r="AO96" s="173" t="s">
        <v>17</v>
      </c>
      <c r="AP96" s="73"/>
    </row>
    <row r="97" spans="1:42" ht="25.2" customHeight="1" x14ac:dyDescent="0.15">
      <c r="A97" s="25" t="s">
        <v>1122</v>
      </c>
      <c r="B97" s="97" t="s">
        <v>208</v>
      </c>
      <c r="C97" s="97"/>
      <c r="D97" s="47" t="s">
        <v>260</v>
      </c>
      <c r="E97" s="186" t="s">
        <v>142</v>
      </c>
      <c r="F97" s="47" t="s">
        <v>132</v>
      </c>
      <c r="G97" s="40"/>
      <c r="H97" s="111">
        <v>1</v>
      </c>
      <c r="I97" s="52">
        <f t="shared" si="12"/>
        <v>7.9821913043478263</v>
      </c>
      <c r="J97" s="148" cm="1">
        <f t="array" ref="J97">IF(AB97="N/A","",_xlfn.IFS(X97="m2",((Z97/(Y97/AK97))*H97),X97="m3",((Z97/(Y97/AK97))*H97),X97="kg",(((Z97*AL97)/(1/AK97))*H97),X97="ton",(((Z97/1000*AL97)/(1/AK97))*H97),X97="N/A",""))</f>
        <v>7.9821913043478263</v>
      </c>
      <c r="K97" s="52">
        <f t="shared" si="13"/>
        <v>-3.1760695652173911</v>
      </c>
      <c r="L97" s="155" cm="1">
        <f t="array" ref="L97">(_xlfn.IFS(X97="m2",((AA97/(Y97/AK97))*H97),X97="m3",((AA97/(Y97/AK97))*H97),X97="kg",(((AA97*AL97)/(1/AK97))*H97),X97="ton",(((AA97/1000*AL97)/(1/AK97))*H97),X97="N/A",""))</f>
        <v>-3.1760695652173911</v>
      </c>
      <c r="M97" s="52">
        <f t="shared" si="14"/>
        <v>11.158260869565218</v>
      </c>
      <c r="N97" s="148" cm="1">
        <f t="array" ref="N97">IF(AB97="N/A","",_xlfn.IFS(X97="m2",((AB97/(Y97/AK97))*H97),X97="m3",((AB97/(Y97/AK97))*H97),X97="kg",(((AB97*AL97)/(1/AK97))*H97),X97="ton",(((AB97/1000*AL97)/(1/AK97))*H97),X97="N/A",""))</f>
        <v>11.158260869565218</v>
      </c>
      <c r="O97" s="52" t="str">
        <f t="shared" si="15"/>
        <v>N/A</v>
      </c>
      <c r="P97" s="148" t="str" cm="1">
        <f t="array" ref="P97">IF(AD97="N/A","",_xlfn.IFS(X97="m2",((AD97/(Y97/AK97))*H97),X97="m3",((AD97/(Y97/AK97))*H97),X97="kg",(((AD97*AL97)/(1/AK97))*H97),X97="ton",(((AD97/1000*AL97)/(1/AK97))*H97),X97="N/A",""))</f>
        <v/>
      </c>
      <c r="Q97" s="186" t="s">
        <v>5</v>
      </c>
      <c r="R97" s="47"/>
      <c r="S97" s="47">
        <v>2025</v>
      </c>
      <c r="T97" s="47" t="s">
        <v>14</v>
      </c>
      <c r="U97" s="47" t="s">
        <v>191</v>
      </c>
      <c r="W97" s="180" t="s">
        <v>1135</v>
      </c>
      <c r="X97" s="47" t="s">
        <v>20</v>
      </c>
      <c r="Y97" s="47">
        <v>1</v>
      </c>
      <c r="Z97" s="240">
        <f t="shared" si="16"/>
        <v>199.55478260869566</v>
      </c>
      <c r="AA97" s="52">
        <f>(-381 +3.86+263)*160/230</f>
        <v>-79.401739130434777</v>
      </c>
      <c r="AB97" s="52">
        <f>(401+0)*160/230</f>
        <v>278.95652173913044</v>
      </c>
      <c r="AC97" s="52">
        <f>(-177)*160/230</f>
        <v>-123.1304347826087</v>
      </c>
      <c r="AD97" s="52" t="str">
        <f t="shared" ref="AD97:AD109" si="18">IF(SUM(AF97:AF97)=0,"N/A",SUM(AF97:AF97))</f>
        <v>N/A</v>
      </c>
      <c r="AE97" s="25"/>
      <c r="AF97" s="103" t="str">
        <f t="shared" ref="AF97:AF109" si="19">AG97&amp;" "&amp;AH97</f>
        <v xml:space="preserve">E </v>
      </c>
      <c r="AG97" s="122" t="s">
        <v>16</v>
      </c>
      <c r="AH97" s="123"/>
      <c r="AI97" s="47"/>
      <c r="AJ97" s="25"/>
      <c r="AK97" s="47">
        <v>0.04</v>
      </c>
      <c r="AL97" s="47">
        <v>160</v>
      </c>
      <c r="AM97" s="47">
        <v>2100</v>
      </c>
      <c r="AN97" s="25"/>
      <c r="AO97" s="173" t="s">
        <v>17</v>
      </c>
      <c r="AP97" s="205" t="s">
        <v>17</v>
      </c>
    </row>
    <row r="98" spans="1:42" ht="25.2" customHeight="1" x14ac:dyDescent="0.15">
      <c r="A98" s="25" t="s">
        <v>1123</v>
      </c>
      <c r="B98" s="97" t="s">
        <v>208</v>
      </c>
      <c r="C98" s="97"/>
      <c r="D98" s="47" t="s">
        <v>260</v>
      </c>
      <c r="E98" s="186" t="s">
        <v>142</v>
      </c>
      <c r="F98" s="47" t="s">
        <v>132</v>
      </c>
      <c r="G98" s="40"/>
      <c r="H98" s="111">
        <v>1</v>
      </c>
      <c r="I98" s="52">
        <f t="shared" si="12"/>
        <v>7.9821913043478263</v>
      </c>
      <c r="J98" s="148" cm="1">
        <f t="array" ref="J98">IF(AB98="N/A","",_xlfn.IFS(X98="m2",((Z98/(Y98/AK98))*H98),X98="m3",((Z98/(Y98/AK98))*H98),X98="kg",(((Z98*AL98)/(1/AK98))*H98),X98="ton",(((Z98/1000*AL98)/(1/AK98))*H98),X98="N/A",""))</f>
        <v>7.9821913043478263</v>
      </c>
      <c r="K98" s="52">
        <f t="shared" si="13"/>
        <v>-3.1760695652173911</v>
      </c>
      <c r="L98" s="155" cm="1">
        <f t="array" ref="L98">(_xlfn.IFS(X98="m2",((AA98/(Y98/AK98))*H98),X98="m3",((AA98/(Y98/AK98))*H98),X98="kg",(((AA98*AL98)/(1/AK98))*H98),X98="ton",(((AA98/1000*AL98)/(1/AK98))*H98),X98="N/A",""))</f>
        <v>-3.1760695652173911</v>
      </c>
      <c r="M98" s="52">
        <f t="shared" si="14"/>
        <v>11.158260869565218</v>
      </c>
      <c r="N98" s="148" cm="1">
        <f t="array" ref="N98">IF(AB98="N/A","",_xlfn.IFS(X98="m2",((AB98/(Y98/AK98))*H98),X98="m3",((AB98/(Y98/AK98))*H98),X98="kg",(((AB98*AL98)/(1/AK98))*H98),X98="ton",(((AB98/1000*AL98)/(1/AK98))*H98),X98="N/A",""))</f>
        <v>11.158260869565218</v>
      </c>
      <c r="O98" s="52" t="str">
        <f t="shared" si="15"/>
        <v>N/A</v>
      </c>
      <c r="P98" s="148" t="str" cm="1">
        <f t="array" ref="P98">IF(AD98="N/A","",_xlfn.IFS(X98="m2",((AD98/(Y98/AK98))*H98),X98="m3",((AD98/(Y98/AK98))*H98),X98="kg",(((AD98*AL98)/(1/AK98))*H98),X98="ton",(((AD98/1000*AL98)/(1/AK98))*H98),X98="N/A",""))</f>
        <v/>
      </c>
      <c r="Q98" s="186" t="s">
        <v>5</v>
      </c>
      <c r="R98" s="47"/>
      <c r="S98" s="47">
        <v>2025</v>
      </c>
      <c r="T98" s="47" t="s">
        <v>14</v>
      </c>
      <c r="U98" s="47" t="s">
        <v>191</v>
      </c>
      <c r="W98" s="180" t="s">
        <v>1135</v>
      </c>
      <c r="X98" s="47" t="s">
        <v>20</v>
      </c>
      <c r="Y98" s="47">
        <v>1</v>
      </c>
      <c r="Z98" s="240">
        <f t="shared" si="16"/>
        <v>199.55478260869566</v>
      </c>
      <c r="AA98" s="52">
        <f>(-381 +3.86+263)*160/230</f>
        <v>-79.401739130434777</v>
      </c>
      <c r="AB98" s="52">
        <f>(401+0)*160/230</f>
        <v>278.95652173913044</v>
      </c>
      <c r="AC98" s="52">
        <f>(-177)*160/230</f>
        <v>-123.1304347826087</v>
      </c>
      <c r="AD98" s="52" t="str">
        <f t="shared" si="18"/>
        <v>N/A</v>
      </c>
      <c r="AE98" s="25"/>
      <c r="AF98" s="103" t="str">
        <f t="shared" si="19"/>
        <v xml:space="preserve">E </v>
      </c>
      <c r="AG98" s="122" t="s">
        <v>16</v>
      </c>
      <c r="AH98" s="123"/>
      <c r="AI98" s="47"/>
      <c r="AJ98" s="25"/>
      <c r="AK98" s="47">
        <v>0.04</v>
      </c>
      <c r="AL98" s="47">
        <v>160</v>
      </c>
      <c r="AM98" s="47">
        <v>2100</v>
      </c>
      <c r="AN98" s="25"/>
      <c r="AO98" s="173" t="s">
        <v>17</v>
      </c>
      <c r="AP98" s="73"/>
    </row>
    <row r="99" spans="1:42" ht="25.2" customHeight="1" x14ac:dyDescent="0.15">
      <c r="A99" s="25" t="s">
        <v>1124</v>
      </c>
      <c r="B99" s="97" t="s">
        <v>208</v>
      </c>
      <c r="C99" s="97"/>
      <c r="D99" s="47" t="s">
        <v>260</v>
      </c>
      <c r="E99" s="186" t="s">
        <v>142</v>
      </c>
      <c r="F99" s="47" t="s">
        <v>132</v>
      </c>
      <c r="G99" s="40"/>
      <c r="H99" s="112">
        <v>1</v>
      </c>
      <c r="I99" s="52">
        <f t="shared" si="12"/>
        <v>15.964382608695653</v>
      </c>
      <c r="J99" s="148" cm="1">
        <f t="array" ref="J99">IF(AB99="N/A","",_xlfn.IFS(X99="m2",((Z99/(Y99/AK99))*H99),X99="m3",((Z99/(Y99/AK99))*H99),X99="kg",(((Z99*AL99)/(1/AK99))*H99),X99="ton",(((Z99/1000*AL99)/(1/AK99))*H99),X99="N/A",""))</f>
        <v>15.964382608695653</v>
      </c>
      <c r="K99" s="52">
        <f t="shared" si="13"/>
        <v>-6.3521391304347823</v>
      </c>
      <c r="L99" s="155" cm="1">
        <f t="array" ref="L99">(_xlfn.IFS(X99="m2",((AA99/(Y99/AK99))*H99),X99="m3",((AA99/(Y99/AK99))*H99),X99="kg",(((AA99*AL99)/(1/AK99))*H99),X99="ton",(((AA99/1000*AL99)/(1/AK99))*H99),X99="N/A",""))</f>
        <v>-6.3521391304347823</v>
      </c>
      <c r="M99" s="52">
        <f t="shared" si="14"/>
        <v>22.316521739130437</v>
      </c>
      <c r="N99" s="148" cm="1">
        <f t="array" ref="N99">IF(AB99="N/A","",_xlfn.IFS(X99="m2",((AB99/(Y99/AK99))*H99),X99="m3",((AB99/(Y99/AK99))*H99),X99="kg",(((AB99*AL99)/(1/AK99))*H99),X99="ton",(((AB99/1000*AL99)/(1/AK99))*H99),X99="N/A",""))</f>
        <v>22.316521739130437</v>
      </c>
      <c r="O99" s="52" t="str">
        <f t="shared" si="15"/>
        <v>N/A</v>
      </c>
      <c r="P99" s="148" t="str" cm="1">
        <f t="array" ref="P99">IF(AD99="N/A","",_xlfn.IFS(X99="m2",((AD99/(Y99/AK99))*H99),X99="m3",((AD99/(Y99/AK99))*H99),X99="kg",(((AD99*AL99)/(1/AK99))*H99),X99="ton",(((AD99/1000*AL99)/(1/AK99))*H99),X99="N/A",""))</f>
        <v/>
      </c>
      <c r="Q99" s="186" t="s">
        <v>5</v>
      </c>
      <c r="R99" s="47"/>
      <c r="S99" s="47">
        <v>2025</v>
      </c>
      <c r="T99" s="47" t="s">
        <v>14</v>
      </c>
      <c r="U99" s="47" t="s">
        <v>191</v>
      </c>
      <c r="W99" s="180" t="s">
        <v>1135</v>
      </c>
      <c r="X99" s="47" t="s">
        <v>20</v>
      </c>
      <c r="Y99" s="47">
        <v>1</v>
      </c>
      <c r="Z99" s="240">
        <f t="shared" si="16"/>
        <v>199.55478260869566</v>
      </c>
      <c r="AA99" s="52">
        <f>(-381 +3.86+263)*160/230</f>
        <v>-79.401739130434777</v>
      </c>
      <c r="AB99" s="52">
        <f>(401+0)*160/230</f>
        <v>278.95652173913044</v>
      </c>
      <c r="AC99" s="52">
        <f>(-177)*160/230</f>
        <v>-123.1304347826087</v>
      </c>
      <c r="AD99" s="52" t="str">
        <f t="shared" si="18"/>
        <v>N/A</v>
      </c>
      <c r="AE99" s="25"/>
      <c r="AF99" s="103" t="str">
        <f t="shared" si="19"/>
        <v xml:space="preserve">E </v>
      </c>
      <c r="AG99" s="122" t="s">
        <v>16</v>
      </c>
      <c r="AH99" s="123"/>
      <c r="AI99" s="47"/>
      <c r="AJ99" s="25"/>
      <c r="AK99" s="47">
        <v>0.08</v>
      </c>
      <c r="AL99" s="47">
        <v>160</v>
      </c>
      <c r="AM99" s="47">
        <v>2100</v>
      </c>
      <c r="AN99" s="25"/>
      <c r="AO99" s="173" t="s">
        <v>17</v>
      </c>
      <c r="AP99" s="73"/>
    </row>
    <row r="100" spans="1:42" ht="25.2" customHeight="1" x14ac:dyDescent="0.15">
      <c r="A100" s="25" t="s">
        <v>1125</v>
      </c>
      <c r="B100" s="97" t="s">
        <v>208</v>
      </c>
      <c r="C100" s="97"/>
      <c r="D100" s="47" t="s">
        <v>260</v>
      </c>
      <c r="E100" s="186" t="s">
        <v>142</v>
      </c>
      <c r="F100" s="47" t="s">
        <v>132</v>
      </c>
      <c r="G100" s="40"/>
      <c r="H100" s="111">
        <v>1</v>
      </c>
      <c r="I100" s="52">
        <f t="shared" si="12"/>
        <v>3.9910956521739132</v>
      </c>
      <c r="J100" s="148" cm="1">
        <f t="array" ref="J100">IF(AB100="N/A","",_xlfn.IFS(X100="m2",((Z100/(Y100/AK100))*H100),X100="m3",((Z100/(Y100/AK100))*H100),X100="kg",(((Z100*AL100)/(1/AK100))*H100),X100="ton",(((Z100/1000*AL100)/(1/AK100))*H100),X100="N/A",""))</f>
        <v>3.9910956521739132</v>
      </c>
      <c r="K100" s="52">
        <f t="shared" si="13"/>
        <v>-1.5880347826086956</v>
      </c>
      <c r="L100" s="155" cm="1">
        <f t="array" ref="L100">(_xlfn.IFS(X100="m2",((AA100/(Y100/AK100))*H100),X100="m3",((AA100/(Y100/AK100))*H100),X100="kg",(((AA100*AL100)/(1/AK100))*H100),X100="ton",(((AA100/1000*AL100)/(1/AK100))*H100),X100="N/A",""))</f>
        <v>-1.5880347826086956</v>
      </c>
      <c r="M100" s="52">
        <f t="shared" si="14"/>
        <v>5.5791304347826092</v>
      </c>
      <c r="N100" s="148" cm="1">
        <f t="array" ref="N100">IF(AB100="N/A","",_xlfn.IFS(X100="m2",((AB100/(Y100/AK100))*H100),X100="m3",((AB100/(Y100/AK100))*H100),X100="kg",(((AB100*AL100)/(1/AK100))*H100),X100="ton",(((AB100/1000*AL100)/(1/AK100))*H100),X100="N/A",""))</f>
        <v>5.5791304347826092</v>
      </c>
      <c r="O100" s="52" t="str">
        <f t="shared" si="15"/>
        <v>N/A</v>
      </c>
      <c r="P100" s="148" t="str" cm="1">
        <f t="array" ref="P100">IF(AD100="N/A","",_xlfn.IFS(X100="m2",((AD100/(Y100/AK100))*H100),X100="m3",((AD100/(Y100/AK100))*H100),X100="kg",(((AD100*AL100)/(1/AK100))*H100),X100="ton",(((AD100/1000*AL100)/(1/AK100))*H100),X100="N/A",""))</f>
        <v/>
      </c>
      <c r="Q100" s="186" t="s">
        <v>5</v>
      </c>
      <c r="R100" s="47"/>
      <c r="S100" s="47">
        <v>2025</v>
      </c>
      <c r="T100" s="47" t="s">
        <v>14</v>
      </c>
      <c r="U100" s="47" t="s">
        <v>191</v>
      </c>
      <c r="W100" s="180" t="s">
        <v>1135</v>
      </c>
      <c r="X100" s="47" t="s">
        <v>20</v>
      </c>
      <c r="Y100" s="47">
        <v>1</v>
      </c>
      <c r="Z100" s="240">
        <f t="shared" si="16"/>
        <v>199.55478260869566</v>
      </c>
      <c r="AA100" s="52">
        <f>(-381 +3.86+263)*160/230</f>
        <v>-79.401739130434777</v>
      </c>
      <c r="AB100" s="52">
        <f>(401+0)*160/230</f>
        <v>278.95652173913044</v>
      </c>
      <c r="AC100" s="52">
        <f>(-177)*160/230</f>
        <v>-123.1304347826087</v>
      </c>
      <c r="AD100" s="52" t="str">
        <f t="shared" si="18"/>
        <v>N/A</v>
      </c>
      <c r="AE100" s="25"/>
      <c r="AF100" s="103" t="str">
        <f t="shared" si="19"/>
        <v xml:space="preserve">E </v>
      </c>
      <c r="AG100" s="122" t="s">
        <v>16</v>
      </c>
      <c r="AH100" s="123"/>
      <c r="AI100" s="47"/>
      <c r="AJ100" s="25"/>
      <c r="AK100" s="47">
        <v>0.02</v>
      </c>
      <c r="AL100" s="47">
        <v>160</v>
      </c>
      <c r="AM100" s="47">
        <v>2100</v>
      </c>
      <c r="AN100" s="25"/>
      <c r="AO100" s="173" t="s">
        <v>17</v>
      </c>
      <c r="AP100" s="73"/>
    </row>
    <row r="101" spans="1:42" ht="25.2" customHeight="1" x14ac:dyDescent="0.15">
      <c r="A101" s="25" t="s">
        <v>1126</v>
      </c>
      <c r="B101" s="97" t="s">
        <v>208</v>
      </c>
      <c r="C101" s="97"/>
      <c r="D101" s="47" t="s">
        <v>260</v>
      </c>
      <c r="E101" s="186" t="s">
        <v>142</v>
      </c>
      <c r="F101" s="47" t="s">
        <v>132</v>
      </c>
      <c r="G101" s="40"/>
      <c r="H101" s="111">
        <v>1</v>
      </c>
      <c r="I101" s="52">
        <f t="shared" si="12"/>
        <v>2.8686000000000003</v>
      </c>
      <c r="J101" s="148" cm="1">
        <f t="array" ref="J101">IF(AB101="N/A","",_xlfn.IFS(X101="m2",((Z101/(Y101/AK101))*H101),X101="m3",((Z101/(Y101/AK101))*H101),X101="kg",(((Z101*AL101)/(1/AK101))*H101),X101="ton",(((Z101/1000*AL101)/(1/AK101))*H101),X101="N/A",""))</f>
        <v>2.8686000000000003</v>
      </c>
      <c r="K101" s="52">
        <f t="shared" si="13"/>
        <v>-1.1414</v>
      </c>
      <c r="L101" s="155" cm="1">
        <f t="array" ref="L101">(_xlfn.IFS(X101="m2",((AA101/(Y101/AK101))*H101),X101="m3",((AA101/(Y101/AK101))*H101),X101="kg",(((AA101*AL101)/(1/AK101))*H101),X101="ton",(((AA101/1000*AL101)/(1/AK101))*H101),X101="N/A",""))</f>
        <v>-1.1414</v>
      </c>
      <c r="M101" s="52">
        <f t="shared" si="14"/>
        <v>4.01</v>
      </c>
      <c r="N101" s="148" cm="1">
        <f t="array" ref="N101">IF(AB101="N/A","",_xlfn.IFS(X101="m2",((AB101/(Y101/AK101))*H101),X101="m3",((AB101/(Y101/AK101))*H101),X101="kg",(((AB101*AL101)/(1/AK101))*H101),X101="ton",(((AB101/1000*AL101)/(1/AK101))*H101),X101="N/A",""))</f>
        <v>4.01</v>
      </c>
      <c r="O101" s="52" t="str">
        <f t="shared" si="15"/>
        <v>N/A</v>
      </c>
      <c r="P101" s="148" t="str" cm="1">
        <f t="array" ref="P101">IF(AD101="N/A","",_xlfn.IFS(X101="m2",((AD101/(Y101/AK101))*H101),X101="m3",((AD101/(Y101/AK101))*H101),X101="kg",(((AD101*AL101)/(1/AK101))*H101),X101="ton",(((AD101/1000*AL101)/(1/AK101))*H101),X101="N/A",""))</f>
        <v/>
      </c>
      <c r="Q101" s="186" t="s">
        <v>5</v>
      </c>
      <c r="R101" s="47"/>
      <c r="S101" s="47">
        <v>2025</v>
      </c>
      <c r="T101" s="47" t="s">
        <v>14</v>
      </c>
      <c r="U101" s="47" t="s">
        <v>191</v>
      </c>
      <c r="W101" s="180" t="s">
        <v>1135</v>
      </c>
      <c r="X101" s="47" t="s">
        <v>20</v>
      </c>
      <c r="Y101" s="47">
        <v>1</v>
      </c>
      <c r="Z101" s="240">
        <f t="shared" si="16"/>
        <v>286.86</v>
      </c>
      <c r="AA101" s="52">
        <f>(-381 +3.86+263)*230/230</f>
        <v>-114.13999999999999</v>
      </c>
      <c r="AB101" s="52">
        <f>(401+0)*230/230</f>
        <v>401</v>
      </c>
      <c r="AC101" s="52">
        <f>(-177)*230/230</f>
        <v>-177</v>
      </c>
      <c r="AD101" s="52" t="str">
        <f t="shared" si="18"/>
        <v>N/A</v>
      </c>
      <c r="AE101" s="25"/>
      <c r="AF101" s="103" t="str">
        <f t="shared" si="19"/>
        <v xml:space="preserve">E </v>
      </c>
      <c r="AG101" s="122" t="s">
        <v>16</v>
      </c>
      <c r="AH101" s="123"/>
      <c r="AI101" s="47"/>
      <c r="AJ101" s="25"/>
      <c r="AK101" s="47">
        <v>0.01</v>
      </c>
      <c r="AL101" s="47">
        <v>230</v>
      </c>
      <c r="AM101" s="47">
        <v>2100</v>
      </c>
      <c r="AN101" s="25"/>
      <c r="AO101" s="173" t="s">
        <v>17</v>
      </c>
      <c r="AP101" s="73"/>
    </row>
    <row r="102" spans="1:42" ht="25.2" customHeight="1" x14ac:dyDescent="0.15">
      <c r="A102" s="25" t="s">
        <v>1127</v>
      </c>
      <c r="B102" s="97" t="s">
        <v>208</v>
      </c>
      <c r="C102" s="97"/>
      <c r="D102" s="47" t="s">
        <v>260</v>
      </c>
      <c r="E102" s="186" t="s">
        <v>142</v>
      </c>
      <c r="F102" s="47" t="s">
        <v>132</v>
      </c>
      <c r="G102" s="40"/>
      <c r="H102" s="112">
        <v>1</v>
      </c>
      <c r="I102" s="52">
        <f t="shared" ref="I102:I109" si="20">IF(AB102="N/A","N/A",IF(J102="","N/A",J102))</f>
        <v>22.948800000000002</v>
      </c>
      <c r="J102" s="148" cm="1">
        <f t="array" ref="J102">IF(AB102="N/A","",_xlfn.IFS(X102="m2",((Z102/(Y102/AK102))*H102),X102="m3",((Z102/(Y102/AK102))*H102),X102="kg",(((Z102*AL102)/(1/AK102))*H102),X102="ton",(((Z102/1000*AL102)/(1/AK102))*H102),X102="N/A",""))</f>
        <v>22.948800000000002</v>
      </c>
      <c r="K102" s="52">
        <f t="shared" ref="K102:K109" si="21">IF(L102="","N/A",L102)</f>
        <v>-9.1311999999999998</v>
      </c>
      <c r="L102" s="155" cm="1">
        <f t="array" ref="L102">(_xlfn.IFS(X102="m2",((AA102/(Y102/AK102))*H102),X102="m3",((AA102/(Y102/AK102))*H102),X102="kg",(((AA102*AL102)/(1/AK102))*H102),X102="ton",(((AA102/1000*AL102)/(1/AK102))*H102),X102="N/A",""))</f>
        <v>-9.1311999999999998</v>
      </c>
      <c r="M102" s="52">
        <f t="shared" ref="M102:M109" si="22">IF(N102="","N/A",N102)</f>
        <v>32.08</v>
      </c>
      <c r="N102" s="148" cm="1">
        <f t="array" ref="N102">IF(AB102="N/A","",_xlfn.IFS(X102="m2",((AB102/(Y102/AK102))*H102),X102="m3",((AB102/(Y102/AK102))*H102),X102="kg",(((AB102*AL102)/(1/AK102))*H102),X102="ton",(((AB102/1000*AL102)/(1/AK102))*H102),X102="N/A",""))</f>
        <v>32.08</v>
      </c>
      <c r="O102" s="52" t="str">
        <f t="shared" ref="O102:O109" si="23">IF(P102="","N/A",P102)</f>
        <v>N/A</v>
      </c>
      <c r="P102" s="148" t="str" cm="1">
        <f t="array" ref="P102">IF(AD102="N/A","",_xlfn.IFS(X102="m2",((AD102/(Y102/AK102))*H102),X102="m3",((AD102/(Y102/AK102))*H102),X102="kg",(((AD102*AL102)/(1/AK102))*H102),X102="ton",(((AD102/1000*AL102)/(1/AK102))*H102),X102="N/A",""))</f>
        <v/>
      </c>
      <c r="Q102" s="186" t="s">
        <v>5</v>
      </c>
      <c r="R102" s="47"/>
      <c r="S102" s="47">
        <v>2025</v>
      </c>
      <c r="T102" s="47" t="s">
        <v>14</v>
      </c>
      <c r="U102" s="47" t="s">
        <v>191</v>
      </c>
      <c r="W102" s="180" t="s">
        <v>1135</v>
      </c>
      <c r="X102" s="47" t="s">
        <v>20</v>
      </c>
      <c r="Y102" s="47">
        <v>1</v>
      </c>
      <c r="Z102" s="240">
        <f t="shared" ref="Z102:Z109" si="24">IF(AB102="N/A","N/A",SUM(AA102:AB102))</f>
        <v>286.86</v>
      </c>
      <c r="AA102" s="52">
        <f>(-381 +3.86+263)*230/230</f>
        <v>-114.13999999999999</v>
      </c>
      <c r="AB102" s="52">
        <f>(401+0)*230/230</f>
        <v>401</v>
      </c>
      <c r="AC102" s="52">
        <f>(-177)*230/230</f>
        <v>-177</v>
      </c>
      <c r="AD102" s="52" t="str">
        <f t="shared" si="18"/>
        <v>N/A</v>
      </c>
      <c r="AE102" s="25"/>
      <c r="AF102" s="103" t="str">
        <f t="shared" si="19"/>
        <v xml:space="preserve">E </v>
      </c>
      <c r="AG102" s="122" t="s">
        <v>16</v>
      </c>
      <c r="AH102" s="123"/>
      <c r="AI102" s="47"/>
      <c r="AJ102" s="25"/>
      <c r="AK102" s="47">
        <v>0.08</v>
      </c>
      <c r="AL102" s="47">
        <v>230</v>
      </c>
      <c r="AM102" s="47">
        <v>2100</v>
      </c>
      <c r="AN102" s="25"/>
      <c r="AO102" s="173" t="s">
        <v>17</v>
      </c>
      <c r="AP102" s="73"/>
    </row>
    <row r="103" spans="1:42" ht="25.2" customHeight="1" x14ac:dyDescent="0.15">
      <c r="A103" s="25" t="s">
        <v>1128</v>
      </c>
      <c r="B103" s="97" t="s">
        <v>208</v>
      </c>
      <c r="C103" s="97"/>
      <c r="D103" s="47" t="s">
        <v>260</v>
      </c>
      <c r="E103" s="186" t="s">
        <v>142</v>
      </c>
      <c r="F103" s="47" t="s">
        <v>132</v>
      </c>
      <c r="G103" s="40"/>
      <c r="H103" s="111">
        <v>1</v>
      </c>
      <c r="I103" s="52">
        <f t="shared" si="20"/>
        <v>22.948800000000002</v>
      </c>
      <c r="J103" s="148" cm="1">
        <f t="array" ref="J103">IF(AB103="N/A","",_xlfn.IFS(X103="m2",((Z103/(Y103/AK103))*H103),X103="m3",((Z103/(Y103/AK103))*H103),X103="kg",(((Z103*AL103)/(1/AK103))*H103),X103="ton",(((Z103/1000*AL103)/(1/AK103))*H103),X103="N/A",""))</f>
        <v>22.948800000000002</v>
      </c>
      <c r="K103" s="52">
        <f t="shared" si="21"/>
        <v>-9.1311999999999998</v>
      </c>
      <c r="L103" s="155" cm="1">
        <f t="array" ref="L103">(_xlfn.IFS(X103="m2",((AA103/(Y103/AK103))*H103),X103="m3",((AA103/(Y103/AK103))*H103),X103="kg",(((AA103*AL103)/(1/AK103))*H103),X103="ton",(((AA103/1000*AL103)/(1/AK103))*H103),X103="N/A",""))</f>
        <v>-9.1311999999999998</v>
      </c>
      <c r="M103" s="52">
        <f t="shared" si="22"/>
        <v>32.08</v>
      </c>
      <c r="N103" s="148" cm="1">
        <f t="array" ref="N103">IF(AB103="N/A","",_xlfn.IFS(X103="m2",((AB103/(Y103/AK103))*H103),X103="m3",((AB103/(Y103/AK103))*H103),X103="kg",(((AB103*AL103)/(1/AK103))*H103),X103="ton",(((AB103/1000*AL103)/(1/AK103))*H103),X103="N/A",""))</f>
        <v>32.08</v>
      </c>
      <c r="O103" s="52" t="str">
        <f t="shared" si="23"/>
        <v>N/A</v>
      </c>
      <c r="P103" s="148" t="str" cm="1">
        <f t="array" ref="P103">IF(AD103="N/A","",_xlfn.IFS(X103="m2",((AD103/(Y103/AK103))*H103),X103="m3",((AD103/(Y103/AK103))*H103),X103="kg",(((AD103*AL103)/(1/AK103))*H103),X103="ton",(((AD103/1000*AL103)/(1/AK103))*H103),X103="N/A",""))</f>
        <v/>
      </c>
      <c r="Q103" s="186" t="s">
        <v>5</v>
      </c>
      <c r="R103" s="47"/>
      <c r="S103" s="47">
        <v>2025</v>
      </c>
      <c r="T103" s="47" t="s">
        <v>14</v>
      </c>
      <c r="U103" s="47" t="s">
        <v>191</v>
      </c>
      <c r="W103" s="180" t="s">
        <v>1135</v>
      </c>
      <c r="X103" s="47" t="s">
        <v>20</v>
      </c>
      <c r="Y103" s="47">
        <v>1</v>
      </c>
      <c r="Z103" s="240">
        <f t="shared" si="24"/>
        <v>286.86</v>
      </c>
      <c r="AA103" s="52">
        <f>(-381 +3.86+263)*230/230</f>
        <v>-114.13999999999999</v>
      </c>
      <c r="AB103" s="52">
        <f>(401+0)*230/230</f>
        <v>401</v>
      </c>
      <c r="AC103" s="52">
        <f>(-177)*230/230</f>
        <v>-177</v>
      </c>
      <c r="AD103" s="52" t="str">
        <f t="shared" si="18"/>
        <v>N/A</v>
      </c>
      <c r="AE103" s="25"/>
      <c r="AF103" s="103" t="str">
        <f t="shared" si="19"/>
        <v xml:space="preserve">E </v>
      </c>
      <c r="AG103" s="122" t="s">
        <v>16</v>
      </c>
      <c r="AH103" s="123"/>
      <c r="AI103" s="47"/>
      <c r="AJ103" s="25"/>
      <c r="AK103" s="47">
        <v>0.08</v>
      </c>
      <c r="AL103" s="47">
        <v>230</v>
      </c>
      <c r="AM103" s="47">
        <v>2100</v>
      </c>
      <c r="AN103" s="25"/>
      <c r="AO103" s="173" t="s">
        <v>17</v>
      </c>
      <c r="AP103" s="73"/>
    </row>
    <row r="104" spans="1:42" ht="25.2" customHeight="1" x14ac:dyDescent="0.15">
      <c r="A104" s="25" t="s">
        <v>1129</v>
      </c>
      <c r="B104" s="97" t="s">
        <v>208</v>
      </c>
      <c r="C104" s="97"/>
      <c r="D104" s="47" t="s">
        <v>260</v>
      </c>
      <c r="E104" s="186" t="s">
        <v>142</v>
      </c>
      <c r="F104" s="47" t="s">
        <v>132</v>
      </c>
      <c r="G104" s="40"/>
      <c r="H104" s="111">
        <v>1</v>
      </c>
      <c r="I104" s="52">
        <f t="shared" si="20"/>
        <v>35.919860869565213</v>
      </c>
      <c r="J104" s="148" cm="1">
        <f t="array" ref="J104">IF(AB104="N/A","",_xlfn.IFS(X104="m2",((Z104/(Y104/AK104))*H104),X104="m3",((Z104/(Y104/AK104))*H104),X104="kg",(((Z104*AL104)/(1/AK104))*H104),X104="ton",(((Z104/1000*AL104)/(1/AK104))*H104),X104="N/A",""))</f>
        <v>35.919860869565213</v>
      </c>
      <c r="K104" s="52">
        <f t="shared" si="21"/>
        <v>-14.292313043478259</v>
      </c>
      <c r="L104" s="155" cm="1">
        <f t="array" ref="L104">(_xlfn.IFS(X104="m2",((AA104/(Y104/AK104))*H104),X104="m3",((AA104/(Y104/AK104))*H104),X104="kg",(((AA104*AL104)/(1/AK104))*H104),X104="ton",(((AA104/1000*AL104)/(1/AK104))*H104),X104="N/A",""))</f>
        <v>-14.292313043478259</v>
      </c>
      <c r="M104" s="52">
        <f t="shared" si="22"/>
        <v>50.212173913043472</v>
      </c>
      <c r="N104" s="148" cm="1">
        <f t="array" ref="N104">IF(AB104="N/A","",_xlfn.IFS(X104="m2",((AB104/(Y104/AK104))*H104),X104="m3",((AB104/(Y104/AK104))*H104),X104="kg",(((AB104*AL104)/(1/AK104))*H104),X104="ton",(((AB104/1000*AL104)/(1/AK104))*H104),X104="N/A",""))</f>
        <v>50.212173913043472</v>
      </c>
      <c r="O104" s="52" t="str">
        <f t="shared" si="23"/>
        <v>N/A</v>
      </c>
      <c r="P104" s="148" t="str" cm="1">
        <f t="array" ref="P104">IF(AD104="N/A","",_xlfn.IFS(X104="m2",((AD104/(Y104/AK104))*H104),X104="m3",((AD104/(Y104/AK104))*H104),X104="kg",(((AD104*AL104)/(1/AK104))*H104),X104="ton",(((AD104/1000*AL104)/(1/AK104))*H104),X104="N/A",""))</f>
        <v/>
      </c>
      <c r="Q104" s="186" t="s">
        <v>5</v>
      </c>
      <c r="R104" s="47"/>
      <c r="S104" s="47">
        <v>2025</v>
      </c>
      <c r="T104" s="47" t="s">
        <v>14</v>
      </c>
      <c r="U104" s="47" t="s">
        <v>191</v>
      </c>
      <c r="W104" s="180" t="s">
        <v>1135</v>
      </c>
      <c r="X104" s="47" t="s">
        <v>20</v>
      </c>
      <c r="Y104" s="47">
        <v>1</v>
      </c>
      <c r="Z104" s="240">
        <f t="shared" si="24"/>
        <v>299.33217391304345</v>
      </c>
      <c r="AA104" s="52">
        <f>(-381 +3.86+263)*240/230</f>
        <v>-119.10260869565217</v>
      </c>
      <c r="AB104" s="52">
        <f>(401+0)*240/230</f>
        <v>418.43478260869563</v>
      </c>
      <c r="AC104" s="52">
        <f>(-177)*240/230</f>
        <v>-184.69565217391303</v>
      </c>
      <c r="AD104" s="52" t="str">
        <f t="shared" si="18"/>
        <v>N/A</v>
      </c>
      <c r="AE104" s="25"/>
      <c r="AF104" s="103" t="str">
        <f t="shared" si="19"/>
        <v xml:space="preserve">E </v>
      </c>
      <c r="AG104" s="122" t="s">
        <v>16</v>
      </c>
      <c r="AH104" s="123"/>
      <c r="AI104" s="47"/>
      <c r="AJ104" s="25"/>
      <c r="AK104" s="47">
        <v>0.12</v>
      </c>
      <c r="AL104" s="47">
        <v>240</v>
      </c>
      <c r="AM104" s="47">
        <v>2100</v>
      </c>
      <c r="AN104" s="25"/>
      <c r="AO104" s="173" t="s">
        <v>17</v>
      </c>
      <c r="AP104" s="73"/>
    </row>
    <row r="105" spans="1:42" ht="25.2" customHeight="1" x14ac:dyDescent="0.15">
      <c r="A105" s="25" t="s">
        <v>1130</v>
      </c>
      <c r="B105" s="97" t="s">
        <v>208</v>
      </c>
      <c r="C105" s="97"/>
      <c r="D105" s="47" t="s">
        <v>260</v>
      </c>
      <c r="E105" s="186" t="s">
        <v>142</v>
      </c>
      <c r="F105" s="47" t="s">
        <v>132</v>
      </c>
      <c r="G105" s="40"/>
      <c r="H105" s="112">
        <v>1</v>
      </c>
      <c r="I105" s="52">
        <f t="shared" si="20"/>
        <v>18.708260869565219</v>
      </c>
      <c r="J105" s="148" cm="1">
        <f t="array" ref="J105">IF(AB105="N/A","",_xlfn.IFS(X105="m2",((Z105/(Y105/AK105))*H105),X105="m3",((Z105/(Y105/AK105))*H105),X105="kg",(((Z105*AL105)/(1/AK105))*H105),X105="ton",(((Z105/1000*AL105)/(1/AK105))*H105),X105="N/A",""))</f>
        <v>18.708260869565219</v>
      </c>
      <c r="K105" s="52">
        <f t="shared" si="21"/>
        <v>-7.4439130434782594</v>
      </c>
      <c r="L105" s="155" cm="1">
        <f t="array" ref="L105">(_xlfn.IFS(X105="m2",((AA105/(Y105/AK105))*H105),X105="m3",((AA105/(Y105/AK105))*H105),X105="kg",(((AA105*AL105)/(1/AK105))*H105),X105="ton",(((AA105/1000*AL105)/(1/AK105))*H105),X105="N/A",""))</f>
        <v>-7.4439130434782594</v>
      </c>
      <c r="M105" s="52">
        <f t="shared" si="22"/>
        <v>26.152173913043477</v>
      </c>
      <c r="N105" s="148" cm="1">
        <f t="array" ref="N105">IF(AB105="N/A","",_xlfn.IFS(X105="m2",((AB105/(Y105/AK105))*H105),X105="m3",((AB105/(Y105/AK105))*H105),X105="kg",(((AB105*AL105)/(1/AK105))*H105),X105="ton",(((AB105/1000*AL105)/(1/AK105))*H105),X105="N/A",""))</f>
        <v>26.152173913043477</v>
      </c>
      <c r="O105" s="52" t="str">
        <f t="shared" si="23"/>
        <v>N/A</v>
      </c>
      <c r="P105" s="148" t="str" cm="1">
        <f t="array" ref="P105">IF(AD105="N/A","",_xlfn.IFS(X105="m2",((AD105/(Y105/AK105))*H105),X105="m3",((AD105/(Y105/AK105))*H105),X105="kg",(((AD105*AL105)/(1/AK105))*H105),X105="ton",(((AD105/1000*AL105)/(1/AK105))*H105),X105="N/A",""))</f>
        <v/>
      </c>
      <c r="Q105" s="186" t="s">
        <v>5</v>
      </c>
      <c r="R105" s="47"/>
      <c r="S105" s="47">
        <v>2025</v>
      </c>
      <c r="T105" s="47" t="s">
        <v>14</v>
      </c>
      <c r="U105" s="47" t="s">
        <v>191</v>
      </c>
      <c r="W105" s="180" t="s">
        <v>1135</v>
      </c>
      <c r="X105" s="47" t="s">
        <v>20</v>
      </c>
      <c r="Y105" s="47">
        <v>1</v>
      </c>
      <c r="Z105" s="240">
        <f t="shared" si="24"/>
        <v>311.804347826087</v>
      </c>
      <c r="AA105" s="52">
        <f>(-381 +3.86+263)*250/230</f>
        <v>-124.06521739130433</v>
      </c>
      <c r="AB105" s="52">
        <f>(401+0)*250/230</f>
        <v>435.86956521739131</v>
      </c>
      <c r="AC105" s="52">
        <f>(-177)*250/230</f>
        <v>-192.39130434782609</v>
      </c>
      <c r="AD105" s="52" t="str">
        <f t="shared" si="18"/>
        <v>N/A</v>
      </c>
      <c r="AE105" s="25"/>
      <c r="AF105" s="103" t="str">
        <f t="shared" si="19"/>
        <v xml:space="preserve">E </v>
      </c>
      <c r="AG105" s="122" t="s">
        <v>16</v>
      </c>
      <c r="AH105" s="123"/>
      <c r="AI105" s="47"/>
      <c r="AJ105" s="25"/>
      <c r="AK105" s="47">
        <v>0.06</v>
      </c>
      <c r="AL105" s="47">
        <v>250</v>
      </c>
      <c r="AM105" s="47">
        <v>2100</v>
      </c>
      <c r="AN105" s="25"/>
      <c r="AO105" s="173" t="s">
        <v>17</v>
      </c>
      <c r="AP105" s="73"/>
    </row>
    <row r="106" spans="1:42" ht="25.2" customHeight="1" x14ac:dyDescent="0.15">
      <c r="A106" s="25" t="s">
        <v>1131</v>
      </c>
      <c r="B106" s="97" t="s">
        <v>208</v>
      </c>
      <c r="C106" s="97"/>
      <c r="D106" s="47" t="s">
        <v>260</v>
      </c>
      <c r="E106" s="186" t="s">
        <v>142</v>
      </c>
      <c r="F106" s="47" t="s">
        <v>132</v>
      </c>
      <c r="G106" s="40"/>
      <c r="H106" s="111">
        <v>1</v>
      </c>
      <c r="I106" s="52">
        <f t="shared" si="20"/>
        <v>1.5590217391304351</v>
      </c>
      <c r="J106" s="148" cm="1">
        <f t="array" ref="J106">IF(AB106="N/A","",_xlfn.IFS(X106="m2",((Z106/(Y106/AK106))*H106),X106="m3",((Z106/(Y106/AK106))*H106),X106="kg",(((Z106*AL106)/(1/AK106))*H106),X106="ton",(((Z106/1000*AL106)/(1/AK106))*H106),X106="N/A",""))</f>
        <v>1.5590217391304351</v>
      </c>
      <c r="K106" s="52">
        <f t="shared" si="21"/>
        <v>-0.62032608695652169</v>
      </c>
      <c r="L106" s="155" cm="1">
        <f t="array" ref="L106">(_xlfn.IFS(X106="m2",((AA106/(Y106/AK106))*H106),X106="m3",((AA106/(Y106/AK106))*H106),X106="kg",(((AA106*AL106)/(1/AK106))*H106),X106="ton",(((AA106/1000*AL106)/(1/AK106))*H106),X106="N/A",""))</f>
        <v>-0.62032608695652169</v>
      </c>
      <c r="M106" s="52">
        <f t="shared" si="22"/>
        <v>2.1793478260869565</v>
      </c>
      <c r="N106" s="148" cm="1">
        <f t="array" ref="N106">IF(AB106="N/A","",_xlfn.IFS(X106="m2",((AB106/(Y106/AK106))*H106),X106="m3",((AB106/(Y106/AK106))*H106),X106="kg",(((AB106*AL106)/(1/AK106))*H106),X106="ton",(((AB106/1000*AL106)/(1/AK106))*H106),X106="N/A",""))</f>
        <v>2.1793478260869565</v>
      </c>
      <c r="O106" s="52" t="str">
        <f t="shared" si="23"/>
        <v>N/A</v>
      </c>
      <c r="P106" s="148" t="str" cm="1">
        <f t="array" ref="P106">IF(AD106="N/A","",_xlfn.IFS(X106="m2",((AD106/(Y106/AK106))*H106),X106="m3",((AD106/(Y106/AK106))*H106),X106="kg",(((AD106*AL106)/(1/AK106))*H106),X106="ton",(((AD106/1000*AL106)/(1/AK106))*H106),X106="N/A",""))</f>
        <v/>
      </c>
      <c r="Q106" s="186" t="s">
        <v>5</v>
      </c>
      <c r="R106" s="47"/>
      <c r="S106" s="47">
        <v>2025</v>
      </c>
      <c r="T106" s="47" t="s">
        <v>14</v>
      </c>
      <c r="U106" s="47" t="s">
        <v>191</v>
      </c>
      <c r="W106" s="180" t="s">
        <v>1135</v>
      </c>
      <c r="X106" s="47" t="s">
        <v>20</v>
      </c>
      <c r="Y106" s="47">
        <v>1</v>
      </c>
      <c r="Z106" s="240">
        <f t="shared" si="24"/>
        <v>311.804347826087</v>
      </c>
      <c r="AA106" s="52">
        <f>(-381 +3.86+263)*250/230</f>
        <v>-124.06521739130433</v>
      </c>
      <c r="AB106" s="52">
        <f>(401+0)*250/230</f>
        <v>435.86956521739131</v>
      </c>
      <c r="AC106" s="52">
        <f>(-177)*250/230</f>
        <v>-192.39130434782609</v>
      </c>
      <c r="AD106" s="52" t="str">
        <f t="shared" si="18"/>
        <v>N/A</v>
      </c>
      <c r="AE106" s="25"/>
      <c r="AF106" s="103" t="str">
        <f t="shared" si="19"/>
        <v xml:space="preserve">E </v>
      </c>
      <c r="AG106" s="122" t="s">
        <v>16</v>
      </c>
      <c r="AH106" s="123"/>
      <c r="AI106" s="47"/>
      <c r="AJ106" s="25"/>
      <c r="AK106" s="47">
        <v>5.0000000000000001E-3</v>
      </c>
      <c r="AL106" s="47">
        <v>250</v>
      </c>
      <c r="AM106" s="47">
        <v>2100</v>
      </c>
      <c r="AN106" s="25"/>
      <c r="AO106" s="173" t="s">
        <v>17</v>
      </c>
      <c r="AP106" s="73"/>
    </row>
    <row r="107" spans="1:42" ht="25.2" customHeight="1" x14ac:dyDescent="0.15">
      <c r="A107" s="25" t="s">
        <v>1132</v>
      </c>
      <c r="B107" s="97" t="s">
        <v>208</v>
      </c>
      <c r="C107" s="97"/>
      <c r="D107" s="47" t="s">
        <v>260</v>
      </c>
      <c r="E107" s="186" t="s">
        <v>142</v>
      </c>
      <c r="F107" s="47" t="s">
        <v>132</v>
      </c>
      <c r="G107" s="40"/>
      <c r="H107" s="111">
        <v>1</v>
      </c>
      <c r="I107" s="52">
        <f t="shared" si="20"/>
        <v>13.22050434782609</v>
      </c>
      <c r="J107" s="148" cm="1">
        <f t="array" ref="J107">IF(AB107="N/A","",_xlfn.IFS(X107="m2",((Z107/(Y107/AK107))*H107),X107="m3",((Z107/(Y107/AK107))*H107),X107="kg",(((Z107*AL107)/(1/AK107))*H107),X107="ton",(((Z107/1000*AL107)/(1/AK107))*H107),X107="N/A",""))</f>
        <v>13.22050434782609</v>
      </c>
      <c r="K107" s="52">
        <f t="shared" si="21"/>
        <v>-5.2603652173913034</v>
      </c>
      <c r="L107" s="155" cm="1">
        <f t="array" ref="L107">(_xlfn.IFS(X107="m2",((AA107/(Y107/AK107))*H107),X107="m3",((AA107/(Y107/AK107))*H107),X107="kg",(((AA107*AL107)/(1/AK107))*H107),X107="ton",(((AA107/1000*AL107)/(1/AK107))*H107),X107="N/A",""))</f>
        <v>-5.2603652173913034</v>
      </c>
      <c r="M107" s="52">
        <f t="shared" si="22"/>
        <v>18.480869565217393</v>
      </c>
      <c r="N107" s="148" cm="1">
        <f t="array" ref="N107">IF(AB107="N/A","",_xlfn.IFS(X107="m2",((AB107/(Y107/AK107))*H107),X107="m3",((AB107/(Y107/AK107))*H107),X107="kg",(((AB107*AL107)/(1/AK107))*H107),X107="ton",(((AB107/1000*AL107)/(1/AK107))*H107),X107="N/A",""))</f>
        <v>18.480869565217393</v>
      </c>
      <c r="O107" s="52" t="str">
        <f t="shared" si="23"/>
        <v>N/A</v>
      </c>
      <c r="P107" s="148" t="str" cm="1">
        <f t="array" ref="P107">IF(AD107="N/A","",_xlfn.IFS(X107="m2",((AD107/(Y107/AK107))*H107),X107="m3",((AD107/(Y107/AK107))*H107),X107="kg",(((AD107*AL107)/(1/AK107))*H107),X107="ton",(((AD107/1000*AL107)/(1/AK107))*H107),X107="N/A",""))</f>
        <v/>
      </c>
      <c r="Q107" s="186" t="s">
        <v>5</v>
      </c>
      <c r="R107" s="47"/>
      <c r="S107" s="47">
        <v>2025</v>
      </c>
      <c r="T107" s="47" t="s">
        <v>14</v>
      </c>
      <c r="U107" s="47" t="s">
        <v>191</v>
      </c>
      <c r="W107" s="180" t="s">
        <v>1135</v>
      </c>
      <c r="X107" s="47" t="s">
        <v>20</v>
      </c>
      <c r="Y107" s="47">
        <v>1</v>
      </c>
      <c r="Z107" s="240">
        <f t="shared" si="24"/>
        <v>330.51260869565226</v>
      </c>
      <c r="AA107" s="52">
        <f>(-381 +3.86+263)*265/230</f>
        <v>-131.50913043478258</v>
      </c>
      <c r="AB107" s="52">
        <f>(401+0)*265/230</f>
        <v>462.02173913043481</v>
      </c>
      <c r="AC107" s="52">
        <f>(-177)*265/230</f>
        <v>-203.93478260869566</v>
      </c>
      <c r="AD107" s="52" t="str">
        <f t="shared" si="18"/>
        <v>N/A</v>
      </c>
      <c r="AE107" s="25"/>
      <c r="AF107" s="103" t="str">
        <f t="shared" si="19"/>
        <v xml:space="preserve">E </v>
      </c>
      <c r="AG107" s="122" t="s">
        <v>16</v>
      </c>
      <c r="AH107" s="123"/>
      <c r="AI107" s="47"/>
      <c r="AJ107" s="25"/>
      <c r="AK107" s="47">
        <v>0.04</v>
      </c>
      <c r="AL107" s="47">
        <v>265</v>
      </c>
      <c r="AM107" s="47">
        <v>2100</v>
      </c>
      <c r="AN107" s="25"/>
      <c r="AO107" s="173" t="s">
        <v>17</v>
      </c>
      <c r="AP107" s="73"/>
    </row>
    <row r="108" spans="1:42" ht="25.2" customHeight="1" x14ac:dyDescent="0.15">
      <c r="A108" s="25" t="s">
        <v>1133</v>
      </c>
      <c r="B108" s="97" t="s">
        <v>208</v>
      </c>
      <c r="C108" s="97"/>
      <c r="D108" s="47" t="s">
        <v>260</v>
      </c>
      <c r="E108" s="186" t="s">
        <v>142</v>
      </c>
      <c r="F108" s="47" t="s">
        <v>132</v>
      </c>
      <c r="G108" s="40"/>
      <c r="H108" s="112">
        <v>1</v>
      </c>
      <c r="I108" s="52">
        <f t="shared" si="20"/>
        <v>26.441008695652179</v>
      </c>
      <c r="J108" s="148" cm="1">
        <f t="array" ref="J108">IF(AB108="N/A","",_xlfn.IFS(X108="m2",((Z108/(Y108/AK108))*H108),X108="m3",((Z108/(Y108/AK108))*H108),X108="kg",(((Z108*AL108)/(1/AK108))*H108),X108="ton",(((Z108/1000*AL108)/(1/AK108))*H108),X108="N/A",""))</f>
        <v>26.441008695652179</v>
      </c>
      <c r="K108" s="52">
        <f t="shared" si="21"/>
        <v>-10.520730434782607</v>
      </c>
      <c r="L108" s="155" cm="1">
        <f t="array" ref="L108">(_xlfn.IFS(X108="m2",((AA108/(Y108/AK108))*H108),X108="m3",((AA108/(Y108/AK108))*H108),X108="kg",(((AA108*AL108)/(1/AK108))*H108),X108="ton",(((AA108/1000*AL108)/(1/AK108))*H108),X108="N/A",""))</f>
        <v>-10.520730434782607</v>
      </c>
      <c r="M108" s="52">
        <f t="shared" si="22"/>
        <v>36.961739130434786</v>
      </c>
      <c r="N108" s="148" cm="1">
        <f t="array" ref="N108">IF(AB108="N/A","",_xlfn.IFS(X108="m2",((AB108/(Y108/AK108))*H108),X108="m3",((AB108/(Y108/AK108))*H108),X108="kg",(((AB108*AL108)/(1/AK108))*H108),X108="ton",(((AB108/1000*AL108)/(1/AK108))*H108),X108="N/A",""))</f>
        <v>36.961739130434786</v>
      </c>
      <c r="O108" s="52" t="str">
        <f t="shared" si="23"/>
        <v>N/A</v>
      </c>
      <c r="P108" s="148" t="str" cm="1">
        <f t="array" ref="P108">IF(AD108="N/A","",_xlfn.IFS(X108="m2",((AD108/(Y108/AK108))*H108),X108="m3",((AD108/(Y108/AK108))*H108),X108="kg",(((AD108*AL108)/(1/AK108))*H108),X108="ton",(((AD108/1000*AL108)/(1/AK108))*H108),X108="N/A",""))</f>
        <v/>
      </c>
      <c r="Q108" s="186" t="s">
        <v>5</v>
      </c>
      <c r="R108" s="47"/>
      <c r="S108" s="47">
        <v>2025</v>
      </c>
      <c r="T108" s="47" t="s">
        <v>14</v>
      </c>
      <c r="U108" s="47" t="s">
        <v>191</v>
      </c>
      <c r="W108" s="180" t="s">
        <v>1135</v>
      </c>
      <c r="X108" s="47" t="s">
        <v>20</v>
      </c>
      <c r="Y108" s="47">
        <v>1</v>
      </c>
      <c r="Z108" s="240">
        <f t="shared" si="24"/>
        <v>330.51260869565226</v>
      </c>
      <c r="AA108" s="52">
        <f>(-381 +3.86+263)*265/230</f>
        <v>-131.50913043478258</v>
      </c>
      <c r="AB108" s="52">
        <f>(401+0)*265/230</f>
        <v>462.02173913043481</v>
      </c>
      <c r="AC108" s="52">
        <f>(-177)*265/230</f>
        <v>-203.93478260869566</v>
      </c>
      <c r="AD108" s="52" t="str">
        <f t="shared" si="18"/>
        <v>N/A</v>
      </c>
      <c r="AE108" s="25"/>
      <c r="AF108" s="103" t="str">
        <f t="shared" si="19"/>
        <v xml:space="preserve">E </v>
      </c>
      <c r="AG108" s="122" t="s">
        <v>16</v>
      </c>
      <c r="AH108" s="123"/>
      <c r="AI108" s="47"/>
      <c r="AJ108" s="25"/>
      <c r="AK108" s="47">
        <v>0.08</v>
      </c>
      <c r="AL108" s="47">
        <v>265</v>
      </c>
      <c r="AM108" s="47">
        <v>2100</v>
      </c>
      <c r="AN108" s="25"/>
      <c r="AO108" s="173" t="s">
        <v>17</v>
      </c>
      <c r="AP108" s="73"/>
    </row>
    <row r="109" spans="1:42" ht="25.2" customHeight="1" x14ac:dyDescent="0.15">
      <c r="A109" s="25" t="s">
        <v>1134</v>
      </c>
      <c r="B109" s="97" t="s">
        <v>208</v>
      </c>
      <c r="C109" s="97"/>
      <c r="D109" s="47" t="s">
        <v>260</v>
      </c>
      <c r="E109" s="186" t="s">
        <v>142</v>
      </c>
      <c r="F109" s="47" t="s">
        <v>132</v>
      </c>
      <c r="G109" s="40"/>
      <c r="H109" s="111">
        <v>1</v>
      </c>
      <c r="I109" s="52">
        <f t="shared" si="20"/>
        <v>11.786204347826089</v>
      </c>
      <c r="J109" s="148" cm="1">
        <f t="array" ref="J109">IF(AB109="N/A","",_xlfn.IFS(X109="m2",((Z109/(Y109/AK109))*H109),X109="m3",((Z109/(Y109/AK109))*H109),X109="kg",(((Z109*AL109)/(1/AK109))*H109),X109="ton",(((Z109/1000*AL109)/(1/AK109))*H109),X109="N/A",""))</f>
        <v>11.786204347826089</v>
      </c>
      <c r="K109" s="52">
        <f t="shared" si="21"/>
        <v>-4.6896652173913038</v>
      </c>
      <c r="L109" s="155" cm="1">
        <f t="array" ref="L109">(_xlfn.IFS(X109="m2",((AA109/(Y109/AK109))*H109),X109="m3",((AA109/(Y109/AK109))*H109),X109="kg",(((AA109*AL109)/(1/AK109))*H109),X109="ton",(((AA109/1000*AL109)/(1/AK109))*H109),X109="N/A",""))</f>
        <v>-4.6896652173913038</v>
      </c>
      <c r="M109" s="52">
        <f t="shared" si="22"/>
        <v>16.475869565217394</v>
      </c>
      <c r="N109" s="148" cm="1">
        <f t="array" ref="N109">IF(AB109="N/A","",_xlfn.IFS(X109="m2",((AB109/(Y109/AK109))*H109),X109="m3",((AB109/(Y109/AK109))*H109),X109="kg",(((AB109*AL109)/(1/AK109))*H109),X109="ton",(((AB109/1000*AL109)/(1/AK109))*H109),X109="N/A",""))</f>
        <v>16.475869565217394</v>
      </c>
      <c r="O109" s="52" t="str">
        <f t="shared" si="23"/>
        <v>N/A</v>
      </c>
      <c r="P109" s="148" t="str" cm="1">
        <f t="array" ref="P109">IF(AD109="N/A","",_xlfn.IFS(X109="m2",((AD109/(Y109/AK109))*H109),X109="m3",((AD109/(Y109/AK109))*H109),X109="kg",(((AD109*AL109)/(1/AK109))*H109),X109="ton",(((AD109/1000*AL109)/(1/AK109))*H109),X109="N/A",""))</f>
        <v/>
      </c>
      <c r="Q109" s="186" t="s">
        <v>5</v>
      </c>
      <c r="R109" s="47"/>
      <c r="S109" s="47">
        <v>2025</v>
      </c>
      <c r="T109" s="47" t="s">
        <v>14</v>
      </c>
      <c r="U109" s="47" t="s">
        <v>191</v>
      </c>
      <c r="W109" s="180" t="s">
        <v>1135</v>
      </c>
      <c r="X109" s="47" t="s">
        <v>20</v>
      </c>
      <c r="Y109" s="47">
        <v>1</v>
      </c>
      <c r="Z109" s="240">
        <f t="shared" si="24"/>
        <v>336.74869565217398</v>
      </c>
      <c r="AA109" s="52">
        <f>(-381 +3.86+263)*270/230</f>
        <v>-133.99043478260867</v>
      </c>
      <c r="AB109" s="52">
        <f>(401+0)*270/230</f>
        <v>470.73913043478262</v>
      </c>
      <c r="AC109" s="52">
        <f>(-177)*270/230</f>
        <v>-207.78260869565219</v>
      </c>
      <c r="AD109" s="52" t="str">
        <f t="shared" si="18"/>
        <v>N/A</v>
      </c>
      <c r="AE109" s="25"/>
      <c r="AF109" s="103" t="str">
        <f t="shared" si="19"/>
        <v xml:space="preserve">E </v>
      </c>
      <c r="AG109" s="122" t="s">
        <v>16</v>
      </c>
      <c r="AH109" s="123"/>
      <c r="AI109" s="47"/>
      <c r="AJ109" s="25"/>
      <c r="AK109" s="47">
        <v>3.5000000000000003E-2</v>
      </c>
      <c r="AL109" s="47">
        <v>270</v>
      </c>
      <c r="AM109" s="47">
        <v>2100</v>
      </c>
      <c r="AN109" s="25"/>
      <c r="AO109" s="173" t="s">
        <v>17</v>
      </c>
      <c r="AP109" s="73"/>
    </row>
    <row r="110" spans="1:42" ht="25.2" customHeight="1" x14ac:dyDescent="0.15">
      <c r="A110" s="25"/>
      <c r="B110" s="25"/>
      <c r="C110" s="25"/>
      <c r="D110" s="47"/>
      <c r="E110" s="47"/>
      <c r="F110" s="47"/>
      <c r="G110" s="40"/>
      <c r="H110" s="111"/>
      <c r="I110" s="52"/>
      <c r="J110" s="148"/>
      <c r="K110" s="52"/>
      <c r="L110" s="155"/>
      <c r="M110" s="52"/>
      <c r="N110" s="148"/>
      <c r="O110" s="52"/>
      <c r="P110" s="148"/>
      <c r="Q110" s="47"/>
      <c r="R110" s="47"/>
      <c r="S110" s="47"/>
      <c r="T110" s="47"/>
      <c r="U110" s="47"/>
      <c r="W110" s="52"/>
      <c r="X110" s="52"/>
      <c r="Y110" s="47"/>
      <c r="Z110" s="52"/>
      <c r="AA110" s="52"/>
      <c r="AB110" s="52"/>
      <c r="AC110" s="52"/>
      <c r="AD110" s="52"/>
      <c r="AE110" s="40"/>
      <c r="AF110" s="120"/>
      <c r="AG110" s="75"/>
      <c r="AH110" s="108"/>
      <c r="AI110" s="120"/>
      <c r="AJ110" s="45"/>
      <c r="AK110" s="47"/>
      <c r="AL110" s="47"/>
      <c r="AM110" s="47"/>
      <c r="AN110" s="45"/>
      <c r="AO110" s="109"/>
      <c r="AP110" s="73"/>
    </row>
    <row r="111" spans="1:42" ht="25.2" customHeight="1" x14ac:dyDescent="0.15">
      <c r="A111" s="25"/>
      <c r="B111" s="25"/>
      <c r="C111" s="25"/>
      <c r="D111" s="47"/>
      <c r="E111" s="47"/>
      <c r="F111" s="47"/>
      <c r="G111" s="40"/>
      <c r="H111" s="111"/>
      <c r="I111" s="52"/>
      <c r="J111" s="148"/>
      <c r="K111" s="52"/>
      <c r="L111" s="155"/>
      <c r="M111" s="52"/>
      <c r="N111" s="148"/>
      <c r="O111" s="52"/>
      <c r="P111" s="148"/>
      <c r="Q111" s="47"/>
      <c r="R111" s="47"/>
      <c r="S111" s="47"/>
      <c r="T111" s="47"/>
      <c r="U111" s="47"/>
      <c r="W111" s="52"/>
      <c r="X111" s="52"/>
      <c r="Y111" s="47"/>
      <c r="Z111" s="52"/>
      <c r="AA111" s="52"/>
      <c r="AB111" s="52"/>
      <c r="AC111" s="52"/>
      <c r="AD111" s="52"/>
      <c r="AE111" s="40"/>
      <c r="AF111" s="120"/>
      <c r="AG111" s="75"/>
      <c r="AH111" s="108"/>
      <c r="AI111" s="120"/>
      <c r="AJ111" s="45"/>
      <c r="AK111" s="47"/>
      <c r="AL111" s="47"/>
      <c r="AM111" s="47"/>
      <c r="AN111" s="45"/>
      <c r="AO111" s="109"/>
      <c r="AP111" s="73"/>
    </row>
    <row r="112" spans="1:42" ht="25.2" customHeight="1" x14ac:dyDescent="0.15">
      <c r="A112" s="25"/>
      <c r="B112" s="25"/>
      <c r="C112" s="25"/>
      <c r="D112" s="47"/>
      <c r="E112" s="47"/>
      <c r="F112" s="47"/>
      <c r="G112" s="40"/>
      <c r="H112" s="111"/>
      <c r="I112" s="52"/>
      <c r="J112" s="148"/>
      <c r="K112" s="52"/>
      <c r="L112" s="155"/>
      <c r="M112" s="52"/>
      <c r="N112" s="148"/>
      <c r="O112" s="52"/>
      <c r="P112" s="148"/>
      <c r="Q112" s="47"/>
      <c r="R112" s="47"/>
      <c r="S112" s="47"/>
      <c r="T112" s="47"/>
      <c r="U112" s="47"/>
      <c r="W112" s="52"/>
      <c r="X112" s="52"/>
      <c r="Y112" s="47"/>
      <c r="Z112" s="52"/>
      <c r="AA112" s="52"/>
      <c r="AB112" s="52"/>
      <c r="AC112" s="52"/>
      <c r="AD112" s="52"/>
      <c r="AE112" s="40"/>
      <c r="AF112" s="120"/>
      <c r="AG112" s="75"/>
      <c r="AH112" s="108"/>
      <c r="AI112" s="120"/>
      <c r="AJ112" s="45"/>
      <c r="AK112" s="47"/>
      <c r="AL112" s="47"/>
      <c r="AM112" s="47"/>
      <c r="AN112" s="45"/>
      <c r="AO112" s="109"/>
      <c r="AP112" s="73"/>
    </row>
    <row r="113" spans="1:42" ht="25.2" customHeight="1" x14ac:dyDescent="0.15">
      <c r="A113" s="25"/>
      <c r="B113" s="25"/>
      <c r="C113" s="25"/>
      <c r="D113" s="47"/>
      <c r="E113" s="47"/>
      <c r="F113" s="47"/>
      <c r="G113" s="40"/>
      <c r="H113" s="111"/>
      <c r="I113" s="52"/>
      <c r="J113" s="148"/>
      <c r="K113" s="52"/>
      <c r="L113" s="155"/>
      <c r="M113" s="52"/>
      <c r="N113" s="148"/>
      <c r="O113" s="52"/>
      <c r="P113" s="148"/>
      <c r="Q113" s="47"/>
      <c r="R113" s="47"/>
      <c r="S113" s="47"/>
      <c r="T113" s="47"/>
      <c r="U113" s="47"/>
      <c r="W113" s="52"/>
      <c r="X113" s="52"/>
      <c r="Y113" s="47"/>
      <c r="Z113" s="52"/>
      <c r="AA113" s="52"/>
      <c r="AB113" s="52"/>
      <c r="AC113" s="52"/>
      <c r="AD113" s="52"/>
      <c r="AE113" s="40"/>
      <c r="AF113" s="120"/>
      <c r="AG113" s="75"/>
      <c r="AH113" s="108"/>
      <c r="AI113" s="120"/>
      <c r="AJ113" s="45"/>
      <c r="AK113" s="47"/>
      <c r="AL113" s="47"/>
      <c r="AM113" s="47"/>
      <c r="AN113" s="45"/>
      <c r="AO113" s="109"/>
      <c r="AP113" s="73"/>
    </row>
    <row r="114" spans="1:42" ht="25.2" customHeight="1" x14ac:dyDescent="0.15">
      <c r="A114" s="25"/>
      <c r="B114" s="25"/>
      <c r="C114" s="25"/>
      <c r="D114" s="47"/>
      <c r="E114" s="47"/>
      <c r="F114" s="47"/>
      <c r="G114" s="40"/>
      <c r="H114" s="111"/>
      <c r="I114" s="52"/>
      <c r="J114" s="148"/>
      <c r="K114" s="52"/>
      <c r="L114" s="155"/>
      <c r="M114" s="52"/>
      <c r="N114" s="148"/>
      <c r="O114" s="52"/>
      <c r="P114" s="148"/>
      <c r="Q114" s="47"/>
      <c r="R114" s="47"/>
      <c r="S114" s="47"/>
      <c r="T114" s="47"/>
      <c r="U114" s="47"/>
      <c r="W114" s="52"/>
      <c r="X114" s="52"/>
      <c r="Y114" s="47"/>
      <c r="Z114" s="52"/>
      <c r="AA114" s="52"/>
      <c r="AB114" s="52"/>
      <c r="AC114" s="52"/>
      <c r="AD114" s="52"/>
      <c r="AE114" s="40"/>
      <c r="AF114" s="120"/>
      <c r="AG114" s="75"/>
      <c r="AH114" s="108"/>
      <c r="AI114" s="120"/>
      <c r="AJ114" s="45"/>
      <c r="AK114" s="47"/>
      <c r="AL114" s="47"/>
      <c r="AM114" s="47"/>
      <c r="AN114" s="45"/>
      <c r="AO114" s="109"/>
      <c r="AP114" s="73"/>
    </row>
    <row r="115" spans="1:42" ht="25.2" customHeight="1" x14ac:dyDescent="0.15">
      <c r="A115" s="25"/>
      <c r="B115" s="25"/>
      <c r="C115" s="25"/>
      <c r="D115" s="47"/>
      <c r="E115" s="47"/>
      <c r="F115" s="47"/>
      <c r="G115" s="40"/>
      <c r="H115" s="111"/>
      <c r="I115" s="52"/>
      <c r="J115" s="148"/>
      <c r="K115" s="52"/>
      <c r="L115" s="155"/>
      <c r="M115" s="52"/>
      <c r="N115" s="148"/>
      <c r="O115" s="52"/>
      <c r="P115" s="148"/>
      <c r="Q115" s="47"/>
      <c r="R115" s="47"/>
      <c r="S115" s="47"/>
      <c r="T115" s="47"/>
      <c r="U115" s="47"/>
      <c r="W115" s="52"/>
      <c r="X115" s="52"/>
      <c r="Y115" s="47"/>
      <c r="Z115" s="52"/>
      <c r="AA115" s="52"/>
      <c r="AB115" s="52"/>
      <c r="AC115" s="52"/>
      <c r="AD115" s="52"/>
      <c r="AE115" s="40"/>
      <c r="AF115" s="120"/>
      <c r="AG115" s="75"/>
      <c r="AH115" s="108"/>
      <c r="AI115" s="120"/>
      <c r="AJ115" s="45"/>
      <c r="AK115" s="47"/>
      <c r="AL115" s="47"/>
      <c r="AM115" s="47"/>
      <c r="AN115" s="45"/>
      <c r="AO115" s="109"/>
      <c r="AP115" s="73"/>
    </row>
    <row r="116" spans="1:42" ht="25.2" customHeight="1" x14ac:dyDescent="0.15">
      <c r="A116" s="25"/>
      <c r="B116" s="25"/>
      <c r="C116" s="25"/>
      <c r="D116" s="47"/>
      <c r="E116" s="47"/>
      <c r="F116" s="47"/>
      <c r="G116" s="40"/>
      <c r="H116" s="111"/>
      <c r="I116" s="52"/>
      <c r="J116" s="148"/>
      <c r="K116" s="52"/>
      <c r="L116" s="155"/>
      <c r="M116" s="52"/>
      <c r="N116" s="148"/>
      <c r="O116" s="52"/>
      <c r="P116" s="148"/>
      <c r="Q116" s="47"/>
      <c r="R116" s="47"/>
      <c r="S116" s="47"/>
      <c r="T116" s="47"/>
      <c r="U116" s="47"/>
      <c r="W116" s="52"/>
      <c r="X116" s="52"/>
      <c r="Y116" s="47"/>
      <c r="Z116" s="52"/>
      <c r="AA116" s="52"/>
      <c r="AB116" s="52"/>
      <c r="AC116" s="52"/>
      <c r="AD116" s="52"/>
      <c r="AE116" s="40"/>
      <c r="AF116" s="120"/>
      <c r="AG116" s="75"/>
      <c r="AH116" s="108"/>
      <c r="AI116" s="120"/>
      <c r="AJ116" s="45"/>
      <c r="AK116" s="47"/>
      <c r="AL116" s="47"/>
      <c r="AM116" s="47"/>
      <c r="AN116" s="45"/>
      <c r="AO116" s="109"/>
      <c r="AP116" s="73"/>
    </row>
    <row r="117" spans="1:42" ht="25.2" customHeight="1" x14ac:dyDescent="0.15">
      <c r="A117" s="25"/>
      <c r="B117" s="25"/>
      <c r="C117" s="25"/>
      <c r="D117" s="47"/>
      <c r="E117" s="47"/>
      <c r="F117" s="47"/>
      <c r="G117" s="40"/>
      <c r="H117" s="111"/>
      <c r="I117" s="52"/>
      <c r="J117" s="148"/>
      <c r="K117" s="52"/>
      <c r="L117" s="155"/>
      <c r="M117" s="52"/>
      <c r="N117" s="148"/>
      <c r="O117" s="52"/>
      <c r="P117" s="148"/>
      <c r="Q117" s="47"/>
      <c r="R117" s="47"/>
      <c r="S117" s="47"/>
      <c r="T117" s="47"/>
      <c r="U117" s="47"/>
      <c r="W117" s="52"/>
      <c r="X117" s="52"/>
      <c r="Y117" s="47"/>
      <c r="Z117" s="52"/>
      <c r="AA117" s="52"/>
      <c r="AB117" s="52"/>
      <c r="AC117" s="52"/>
      <c r="AD117" s="52"/>
      <c r="AE117" s="40"/>
      <c r="AF117" s="120"/>
      <c r="AG117" s="75"/>
      <c r="AH117" s="108"/>
      <c r="AI117" s="120"/>
      <c r="AJ117" s="45"/>
      <c r="AK117" s="47"/>
      <c r="AL117" s="47"/>
      <c r="AM117" s="47"/>
      <c r="AN117" s="45"/>
      <c r="AO117" s="109"/>
      <c r="AP117" s="73"/>
    </row>
    <row r="118" spans="1:42" ht="25.2" customHeight="1" x14ac:dyDescent="0.15">
      <c r="A118" s="25"/>
      <c r="B118" s="25"/>
      <c r="C118" s="25"/>
      <c r="D118" s="47"/>
      <c r="E118" s="47"/>
      <c r="F118" s="47"/>
      <c r="G118" s="40"/>
      <c r="H118" s="111"/>
      <c r="I118" s="52"/>
      <c r="J118" s="148"/>
      <c r="K118" s="52"/>
      <c r="L118" s="155"/>
      <c r="M118" s="52"/>
      <c r="N118" s="148"/>
      <c r="O118" s="52"/>
      <c r="P118" s="148"/>
      <c r="Q118" s="47"/>
      <c r="R118" s="47"/>
      <c r="S118" s="47"/>
      <c r="T118" s="47"/>
      <c r="U118" s="47"/>
      <c r="W118" s="52"/>
      <c r="X118" s="52"/>
      <c r="Y118" s="47"/>
      <c r="Z118" s="52"/>
      <c r="AA118" s="52"/>
      <c r="AB118" s="52"/>
      <c r="AC118" s="52"/>
      <c r="AD118" s="52"/>
      <c r="AE118" s="40"/>
      <c r="AF118" s="120"/>
      <c r="AG118" s="75"/>
      <c r="AH118" s="108"/>
      <c r="AI118" s="120"/>
      <c r="AJ118" s="45"/>
      <c r="AK118" s="47"/>
      <c r="AL118" s="47"/>
      <c r="AM118" s="47"/>
      <c r="AN118" s="45"/>
      <c r="AO118" s="109"/>
      <c r="AP118" s="73"/>
    </row>
    <row r="119" spans="1:42" ht="25.2" customHeight="1" x14ac:dyDescent="0.15">
      <c r="A119" s="25"/>
      <c r="B119" s="25"/>
      <c r="C119" s="25"/>
      <c r="D119" s="47"/>
      <c r="E119" s="47"/>
      <c r="F119" s="47"/>
      <c r="G119" s="40"/>
      <c r="H119" s="111"/>
      <c r="I119" s="52"/>
      <c r="J119" s="148"/>
      <c r="K119" s="52"/>
      <c r="L119" s="155"/>
      <c r="M119" s="52"/>
      <c r="N119" s="148"/>
      <c r="O119" s="52"/>
      <c r="P119" s="148"/>
      <c r="Q119" s="47"/>
      <c r="R119" s="47"/>
      <c r="S119" s="47"/>
      <c r="T119" s="47"/>
      <c r="U119" s="47"/>
      <c r="W119" s="52"/>
      <c r="X119" s="52"/>
      <c r="Y119" s="47"/>
      <c r="Z119" s="52"/>
      <c r="AA119" s="52"/>
      <c r="AB119" s="52"/>
      <c r="AC119" s="52"/>
      <c r="AD119" s="52"/>
      <c r="AE119" s="40"/>
      <c r="AF119" s="120"/>
      <c r="AG119" s="75"/>
      <c r="AH119" s="108"/>
      <c r="AI119" s="120"/>
      <c r="AJ119" s="45"/>
      <c r="AK119" s="47"/>
      <c r="AL119" s="47"/>
      <c r="AM119" s="47"/>
      <c r="AN119" s="45"/>
      <c r="AO119" s="109"/>
      <c r="AP119" s="73"/>
    </row>
    <row r="120" spans="1:42" ht="25.2" customHeight="1" x14ac:dyDescent="0.15">
      <c r="A120" s="25"/>
      <c r="B120" s="25"/>
      <c r="C120" s="25"/>
      <c r="D120" s="47"/>
      <c r="E120" s="47"/>
      <c r="F120" s="47"/>
      <c r="G120" s="40"/>
      <c r="H120" s="111"/>
      <c r="I120" s="52"/>
      <c r="J120" s="148"/>
      <c r="K120" s="52"/>
      <c r="L120" s="155"/>
      <c r="M120" s="52"/>
      <c r="N120" s="148"/>
      <c r="O120" s="52"/>
      <c r="P120" s="148"/>
      <c r="Q120" s="47"/>
      <c r="R120" s="47"/>
      <c r="S120" s="47"/>
      <c r="T120" s="47"/>
      <c r="U120" s="47"/>
      <c r="W120" s="52"/>
      <c r="X120" s="52"/>
      <c r="Y120" s="47"/>
      <c r="Z120" s="52"/>
      <c r="AA120" s="52"/>
      <c r="AB120" s="52"/>
      <c r="AC120" s="52"/>
      <c r="AD120" s="52"/>
      <c r="AE120" s="40"/>
      <c r="AF120" s="120"/>
      <c r="AG120" s="75"/>
      <c r="AH120" s="108"/>
      <c r="AI120" s="120"/>
      <c r="AJ120" s="45"/>
      <c r="AK120" s="47"/>
      <c r="AL120" s="47"/>
      <c r="AM120" s="47"/>
      <c r="AN120" s="45"/>
      <c r="AO120" s="109"/>
      <c r="AP120" s="73"/>
    </row>
    <row r="121" spans="1:42" ht="25.2" customHeight="1" x14ac:dyDescent="0.15">
      <c r="A121" s="25"/>
      <c r="B121" s="25"/>
      <c r="C121" s="25"/>
      <c r="D121" s="47"/>
      <c r="E121" s="47"/>
      <c r="F121" s="47"/>
      <c r="G121" s="40"/>
      <c r="H121" s="111"/>
      <c r="I121" s="52"/>
      <c r="J121" s="148"/>
      <c r="K121" s="52"/>
      <c r="L121" s="155"/>
      <c r="M121" s="52"/>
      <c r="N121" s="148"/>
      <c r="O121" s="52"/>
      <c r="P121" s="148"/>
      <c r="Q121" s="47"/>
      <c r="R121" s="47"/>
      <c r="S121" s="47"/>
      <c r="T121" s="47"/>
      <c r="U121" s="47"/>
      <c r="W121" s="52"/>
      <c r="X121" s="52"/>
      <c r="Y121" s="47"/>
      <c r="Z121" s="52"/>
      <c r="AA121" s="52"/>
      <c r="AB121" s="52"/>
      <c r="AC121" s="52"/>
      <c r="AD121" s="52"/>
      <c r="AE121" s="40"/>
      <c r="AF121" s="120"/>
      <c r="AG121" s="75"/>
      <c r="AH121" s="108"/>
      <c r="AI121" s="120"/>
      <c r="AJ121" s="45"/>
      <c r="AK121" s="47"/>
      <c r="AL121" s="47"/>
      <c r="AM121" s="47"/>
      <c r="AN121" s="45"/>
      <c r="AO121" s="109"/>
      <c r="AP121" s="73"/>
    </row>
    <row r="122" spans="1:42" ht="25.2" customHeight="1" x14ac:dyDescent="0.15">
      <c r="A122" s="25"/>
      <c r="B122" s="25"/>
      <c r="C122" s="25"/>
      <c r="D122" s="47"/>
      <c r="E122" s="47"/>
      <c r="F122" s="47"/>
      <c r="G122" s="40"/>
      <c r="H122" s="111"/>
      <c r="I122" s="52"/>
      <c r="J122" s="148"/>
      <c r="K122" s="52"/>
      <c r="L122" s="155"/>
      <c r="M122" s="52"/>
      <c r="N122" s="148"/>
      <c r="O122" s="52"/>
      <c r="P122" s="148"/>
      <c r="Q122" s="47"/>
      <c r="R122" s="47"/>
      <c r="S122" s="47"/>
      <c r="T122" s="47"/>
      <c r="U122" s="47"/>
      <c r="W122" s="52"/>
      <c r="X122" s="52"/>
      <c r="Y122" s="47"/>
      <c r="Z122" s="52"/>
      <c r="AA122" s="52"/>
      <c r="AB122" s="52"/>
      <c r="AC122" s="52"/>
      <c r="AD122" s="52"/>
      <c r="AE122" s="40"/>
      <c r="AF122" s="120"/>
      <c r="AG122" s="75"/>
      <c r="AH122" s="108"/>
      <c r="AI122" s="120"/>
      <c r="AJ122" s="45"/>
      <c r="AK122" s="47"/>
      <c r="AL122" s="47"/>
      <c r="AM122" s="47"/>
      <c r="AN122" s="45"/>
      <c r="AO122" s="109"/>
      <c r="AP122" s="73"/>
    </row>
    <row r="123" spans="1:42" ht="25.2" customHeight="1" x14ac:dyDescent="0.15">
      <c r="A123" s="25"/>
      <c r="B123" s="25"/>
      <c r="C123" s="25"/>
      <c r="D123" s="47"/>
      <c r="E123" s="47"/>
      <c r="F123" s="47"/>
      <c r="G123" s="40"/>
      <c r="H123" s="111"/>
      <c r="I123" s="52"/>
      <c r="J123" s="148"/>
      <c r="K123" s="52"/>
      <c r="L123" s="155"/>
      <c r="M123" s="52"/>
      <c r="N123" s="148"/>
      <c r="O123" s="52"/>
      <c r="P123" s="148"/>
      <c r="Q123" s="47"/>
      <c r="R123" s="47"/>
      <c r="S123" s="47"/>
      <c r="T123" s="47"/>
      <c r="U123" s="47"/>
      <c r="W123" s="52"/>
      <c r="X123" s="52"/>
      <c r="Y123" s="47"/>
      <c r="Z123" s="52"/>
      <c r="AA123" s="52"/>
      <c r="AB123" s="52"/>
      <c r="AC123" s="52"/>
      <c r="AD123" s="52"/>
      <c r="AE123" s="40"/>
      <c r="AF123" s="120"/>
      <c r="AG123" s="75"/>
      <c r="AH123" s="108"/>
      <c r="AI123" s="120"/>
      <c r="AJ123" s="45"/>
      <c r="AK123" s="47"/>
      <c r="AL123" s="47"/>
      <c r="AM123" s="47"/>
      <c r="AN123" s="45"/>
      <c r="AO123" s="109"/>
      <c r="AP123" s="73"/>
    </row>
    <row r="124" spans="1:42" ht="25.2" customHeight="1" x14ac:dyDescent="0.15">
      <c r="A124" s="25"/>
      <c r="B124" s="25"/>
      <c r="C124" s="25"/>
      <c r="D124" s="47"/>
      <c r="E124" s="47"/>
      <c r="F124" s="47"/>
      <c r="G124" s="40"/>
      <c r="H124" s="111"/>
      <c r="I124" s="52"/>
      <c r="J124" s="148"/>
      <c r="K124" s="52"/>
      <c r="L124" s="155"/>
      <c r="M124" s="52"/>
      <c r="N124" s="148"/>
      <c r="O124" s="52"/>
      <c r="P124" s="148"/>
      <c r="Q124" s="47"/>
      <c r="R124" s="47"/>
      <c r="S124" s="47"/>
      <c r="T124" s="47"/>
      <c r="U124" s="47"/>
      <c r="W124" s="52"/>
      <c r="X124" s="52"/>
      <c r="Y124" s="47"/>
      <c r="Z124" s="52"/>
      <c r="AA124" s="52"/>
      <c r="AB124" s="52"/>
      <c r="AC124" s="52"/>
      <c r="AD124" s="52"/>
      <c r="AE124" s="40"/>
      <c r="AF124" s="120"/>
      <c r="AG124" s="75"/>
      <c r="AH124" s="108"/>
      <c r="AI124" s="120"/>
      <c r="AJ124" s="45"/>
      <c r="AK124" s="47"/>
      <c r="AL124" s="47"/>
      <c r="AM124" s="47"/>
      <c r="AN124" s="45"/>
      <c r="AO124" s="109"/>
      <c r="AP124" s="73"/>
    </row>
    <row r="125" spans="1:42" ht="25.2" customHeight="1" x14ac:dyDescent="0.15">
      <c r="A125" s="25"/>
      <c r="B125" s="25"/>
      <c r="C125" s="25"/>
      <c r="D125" s="47"/>
      <c r="E125" s="47"/>
      <c r="F125" s="47"/>
      <c r="G125" s="40"/>
      <c r="H125" s="111"/>
      <c r="I125" s="52"/>
      <c r="J125" s="148"/>
      <c r="K125" s="52"/>
      <c r="L125" s="155"/>
      <c r="M125" s="52"/>
      <c r="N125" s="148"/>
      <c r="O125" s="52"/>
      <c r="P125" s="148"/>
      <c r="Q125" s="47"/>
      <c r="R125" s="47"/>
      <c r="S125" s="47"/>
      <c r="T125" s="47"/>
      <c r="U125" s="47"/>
      <c r="W125" s="52"/>
      <c r="X125" s="52"/>
      <c r="Y125" s="47"/>
      <c r="Z125" s="52"/>
      <c r="AA125" s="52"/>
      <c r="AB125" s="52"/>
      <c r="AC125" s="52"/>
      <c r="AD125" s="52"/>
      <c r="AE125" s="40"/>
      <c r="AF125" s="120"/>
      <c r="AG125" s="75"/>
      <c r="AH125" s="108"/>
      <c r="AI125" s="120"/>
      <c r="AJ125" s="45"/>
      <c r="AK125" s="47"/>
      <c r="AL125" s="47"/>
      <c r="AM125" s="47"/>
      <c r="AN125" s="45"/>
      <c r="AO125" s="109"/>
      <c r="AP125" s="73"/>
    </row>
    <row r="126" spans="1:42" ht="25.2" customHeight="1" x14ac:dyDescent="0.15">
      <c r="A126" s="25"/>
      <c r="B126" s="25"/>
      <c r="C126" s="25"/>
      <c r="D126" s="47"/>
      <c r="E126" s="47"/>
      <c r="F126" s="47"/>
      <c r="G126" s="40"/>
      <c r="H126" s="111"/>
      <c r="I126" s="52"/>
      <c r="J126" s="148"/>
      <c r="K126" s="52"/>
      <c r="L126" s="155"/>
      <c r="M126" s="52"/>
      <c r="N126" s="148"/>
      <c r="O126" s="52"/>
      <c r="P126" s="148"/>
      <c r="Q126" s="47"/>
      <c r="R126" s="47"/>
      <c r="S126" s="47"/>
      <c r="T126" s="47"/>
      <c r="U126" s="47"/>
      <c r="W126" s="52"/>
      <c r="X126" s="52"/>
      <c r="Y126" s="47"/>
      <c r="Z126" s="52"/>
      <c r="AA126" s="52"/>
      <c r="AB126" s="52"/>
      <c r="AC126" s="52"/>
      <c r="AD126" s="52"/>
      <c r="AE126" s="40"/>
      <c r="AF126" s="120"/>
      <c r="AG126" s="75"/>
      <c r="AH126" s="108"/>
      <c r="AI126" s="120"/>
      <c r="AJ126" s="45"/>
      <c r="AK126" s="47"/>
      <c r="AL126" s="47"/>
      <c r="AM126" s="47"/>
      <c r="AN126" s="45"/>
      <c r="AO126" s="109"/>
      <c r="AP126" s="73"/>
    </row>
    <row r="127" spans="1:42" ht="25.2" customHeight="1" x14ac:dyDescent="0.15">
      <c r="A127" s="25"/>
      <c r="B127" s="25"/>
      <c r="C127" s="25"/>
      <c r="D127" s="47"/>
      <c r="E127" s="47"/>
      <c r="F127" s="47"/>
      <c r="G127" s="40"/>
      <c r="H127" s="111"/>
      <c r="I127" s="52"/>
      <c r="J127" s="148"/>
      <c r="K127" s="52"/>
      <c r="L127" s="155"/>
      <c r="M127" s="52"/>
      <c r="N127" s="148"/>
      <c r="O127" s="52"/>
      <c r="P127" s="148"/>
      <c r="Q127" s="47"/>
      <c r="R127" s="47"/>
      <c r="S127" s="47"/>
      <c r="T127" s="47"/>
      <c r="U127" s="47"/>
      <c r="W127" s="52"/>
      <c r="X127" s="52"/>
      <c r="Y127" s="47"/>
      <c r="Z127" s="52"/>
      <c r="AA127" s="52"/>
      <c r="AB127" s="52"/>
      <c r="AC127" s="52"/>
      <c r="AD127" s="52"/>
      <c r="AE127" s="40"/>
      <c r="AF127" s="120"/>
      <c r="AG127" s="75"/>
      <c r="AH127" s="108"/>
      <c r="AI127" s="120"/>
      <c r="AJ127" s="45"/>
      <c r="AK127" s="47"/>
      <c r="AL127" s="47"/>
      <c r="AM127" s="47"/>
      <c r="AN127" s="45"/>
      <c r="AO127" s="109"/>
      <c r="AP127" s="73"/>
    </row>
    <row r="128" spans="1:42" ht="25.2" customHeight="1" x14ac:dyDescent="0.15">
      <c r="A128" s="25"/>
      <c r="B128" s="25"/>
      <c r="C128" s="25"/>
      <c r="D128" s="47"/>
      <c r="E128" s="47"/>
      <c r="F128" s="47"/>
      <c r="G128" s="40"/>
      <c r="H128" s="111"/>
      <c r="I128" s="52"/>
      <c r="J128" s="148"/>
      <c r="K128" s="52"/>
      <c r="L128" s="155"/>
      <c r="M128" s="52"/>
      <c r="N128" s="148"/>
      <c r="O128" s="52"/>
      <c r="P128" s="148"/>
      <c r="Q128" s="47"/>
      <c r="R128" s="47"/>
      <c r="S128" s="47"/>
      <c r="T128" s="47"/>
      <c r="U128" s="47"/>
      <c r="W128" s="52"/>
      <c r="X128" s="52"/>
      <c r="Y128" s="47"/>
      <c r="Z128" s="52"/>
      <c r="AA128" s="52"/>
      <c r="AB128" s="52"/>
      <c r="AC128" s="52"/>
      <c r="AD128" s="52"/>
      <c r="AE128" s="40"/>
      <c r="AF128" s="120"/>
      <c r="AG128" s="75"/>
      <c r="AH128" s="108"/>
      <c r="AI128" s="120"/>
      <c r="AJ128" s="45"/>
      <c r="AK128" s="47"/>
      <c r="AL128" s="47"/>
      <c r="AM128" s="47"/>
      <c r="AN128" s="45"/>
      <c r="AO128" s="109"/>
      <c r="AP128" s="73"/>
    </row>
    <row r="129" spans="1:42" ht="25.2" customHeight="1" x14ac:dyDescent="0.15">
      <c r="A129" s="25"/>
      <c r="B129" s="25"/>
      <c r="C129" s="25"/>
      <c r="D129" s="47"/>
      <c r="E129" s="47"/>
      <c r="F129" s="47"/>
      <c r="G129" s="40"/>
      <c r="H129" s="111"/>
      <c r="I129" s="52"/>
      <c r="J129" s="148"/>
      <c r="K129" s="52"/>
      <c r="L129" s="155"/>
      <c r="M129" s="52"/>
      <c r="N129" s="148"/>
      <c r="O129" s="52"/>
      <c r="P129" s="148"/>
      <c r="Q129" s="47"/>
      <c r="R129" s="47"/>
      <c r="S129" s="47"/>
      <c r="T129" s="47"/>
      <c r="U129" s="47"/>
      <c r="W129" s="52"/>
      <c r="X129" s="52"/>
      <c r="Y129" s="47"/>
      <c r="Z129" s="52"/>
      <c r="AA129" s="52"/>
      <c r="AB129" s="52"/>
      <c r="AC129" s="52"/>
      <c r="AD129" s="52"/>
      <c r="AE129" s="40"/>
      <c r="AF129" s="120"/>
      <c r="AG129" s="75"/>
      <c r="AH129" s="108"/>
      <c r="AI129" s="120"/>
      <c r="AJ129" s="45"/>
      <c r="AK129" s="47"/>
      <c r="AL129" s="47"/>
      <c r="AM129" s="47"/>
      <c r="AN129" s="45"/>
      <c r="AO129" s="109"/>
      <c r="AP129" s="73"/>
    </row>
    <row r="130" spans="1:42" ht="25.2" customHeight="1" x14ac:dyDescent="0.15">
      <c r="A130" s="25"/>
      <c r="B130" s="25"/>
      <c r="C130" s="25"/>
      <c r="D130" s="47"/>
      <c r="E130" s="47"/>
      <c r="F130" s="47"/>
      <c r="G130" s="40"/>
      <c r="H130" s="111"/>
      <c r="I130" s="52"/>
      <c r="J130" s="148"/>
      <c r="K130" s="52"/>
      <c r="L130" s="155"/>
      <c r="M130" s="52"/>
      <c r="N130" s="148"/>
      <c r="O130" s="52"/>
      <c r="P130" s="148"/>
      <c r="Q130" s="47"/>
      <c r="R130" s="47"/>
      <c r="S130" s="47"/>
      <c r="T130" s="47"/>
      <c r="U130" s="47"/>
      <c r="W130" s="52"/>
      <c r="X130" s="52"/>
      <c r="Y130" s="47"/>
      <c r="Z130" s="52"/>
      <c r="AA130" s="52"/>
      <c r="AB130" s="52"/>
      <c r="AC130" s="52"/>
      <c r="AD130" s="52"/>
      <c r="AE130" s="40"/>
      <c r="AF130" s="120"/>
      <c r="AG130" s="75"/>
      <c r="AH130" s="108"/>
      <c r="AI130" s="120"/>
      <c r="AJ130" s="45"/>
      <c r="AK130" s="47"/>
      <c r="AL130" s="47"/>
      <c r="AM130" s="47"/>
      <c r="AN130" s="45"/>
      <c r="AO130" s="109"/>
      <c r="AP130" s="73"/>
    </row>
    <row r="131" spans="1:42" ht="25.2" customHeight="1" x14ac:dyDescent="0.15">
      <c r="A131" s="25"/>
      <c r="B131" s="25"/>
      <c r="C131" s="25"/>
      <c r="D131" s="47"/>
      <c r="E131" s="47"/>
      <c r="F131" s="47"/>
      <c r="G131" s="40"/>
      <c r="H131" s="111"/>
      <c r="I131" s="52"/>
      <c r="J131" s="148"/>
      <c r="K131" s="52"/>
      <c r="L131" s="155"/>
      <c r="M131" s="52"/>
      <c r="N131" s="148"/>
      <c r="O131" s="52"/>
      <c r="P131" s="148"/>
      <c r="Q131" s="47"/>
      <c r="R131" s="47"/>
      <c r="S131" s="47"/>
      <c r="T131" s="47"/>
      <c r="U131" s="47"/>
      <c r="W131" s="52"/>
      <c r="X131" s="52"/>
      <c r="Y131" s="47"/>
      <c r="Z131" s="52"/>
      <c r="AA131" s="52"/>
      <c r="AB131" s="52"/>
      <c r="AC131" s="52"/>
      <c r="AD131" s="52"/>
      <c r="AE131" s="40"/>
      <c r="AF131" s="120"/>
      <c r="AG131" s="75"/>
      <c r="AH131" s="108"/>
      <c r="AI131" s="120"/>
      <c r="AJ131" s="45"/>
      <c r="AK131" s="47"/>
      <c r="AL131" s="47"/>
      <c r="AM131" s="47"/>
      <c r="AN131" s="45"/>
      <c r="AO131" s="109"/>
      <c r="AP131" s="73"/>
    </row>
    <row r="132" spans="1:42" ht="25.2" customHeight="1" x14ac:dyDescent="0.15">
      <c r="A132" s="25"/>
      <c r="B132" s="25"/>
      <c r="C132" s="25"/>
      <c r="D132" s="47"/>
      <c r="E132" s="47"/>
      <c r="F132" s="47"/>
      <c r="G132" s="40"/>
      <c r="H132" s="111"/>
      <c r="I132" s="52"/>
      <c r="J132" s="148"/>
      <c r="K132" s="52"/>
      <c r="L132" s="155"/>
      <c r="M132" s="52"/>
      <c r="N132" s="148"/>
      <c r="O132" s="52"/>
      <c r="P132" s="148"/>
      <c r="Q132" s="47"/>
      <c r="R132" s="47"/>
      <c r="S132" s="47"/>
      <c r="T132" s="47"/>
      <c r="U132" s="47"/>
      <c r="W132" s="52"/>
      <c r="X132" s="52"/>
      <c r="Y132" s="47"/>
      <c r="Z132" s="52"/>
      <c r="AA132" s="52"/>
      <c r="AB132" s="52"/>
      <c r="AC132" s="52"/>
      <c r="AD132" s="52"/>
      <c r="AE132" s="40"/>
      <c r="AF132" s="120"/>
      <c r="AG132" s="75"/>
      <c r="AH132" s="108"/>
      <c r="AI132" s="120"/>
      <c r="AJ132" s="45"/>
      <c r="AK132" s="47"/>
      <c r="AL132" s="47"/>
      <c r="AM132" s="47"/>
      <c r="AN132" s="45"/>
      <c r="AO132" s="109"/>
      <c r="AP132" s="73"/>
    </row>
    <row r="133" spans="1:42" ht="25.2" customHeight="1" x14ac:dyDescent="0.15">
      <c r="A133" s="25"/>
      <c r="B133" s="25"/>
      <c r="C133" s="25"/>
      <c r="D133" s="47"/>
      <c r="E133" s="47"/>
      <c r="F133" s="47"/>
      <c r="G133" s="40"/>
      <c r="H133" s="111"/>
      <c r="I133" s="52"/>
      <c r="J133" s="148"/>
      <c r="K133" s="52"/>
      <c r="L133" s="155"/>
      <c r="M133" s="52"/>
      <c r="N133" s="148"/>
      <c r="O133" s="52"/>
      <c r="P133" s="148"/>
      <c r="Q133" s="47"/>
      <c r="R133" s="47"/>
      <c r="S133" s="47"/>
      <c r="T133" s="47"/>
      <c r="U133" s="47"/>
      <c r="W133" s="52"/>
      <c r="X133" s="52"/>
      <c r="Y133" s="47"/>
      <c r="Z133" s="52"/>
      <c r="AA133" s="52"/>
      <c r="AB133" s="52"/>
      <c r="AC133" s="52"/>
      <c r="AD133" s="52"/>
      <c r="AE133" s="40"/>
      <c r="AF133" s="120"/>
      <c r="AG133" s="75"/>
      <c r="AH133" s="108"/>
      <c r="AI133" s="120"/>
      <c r="AJ133" s="45"/>
      <c r="AK133" s="47"/>
      <c r="AL133" s="47"/>
      <c r="AM133" s="47"/>
      <c r="AN133" s="45"/>
      <c r="AO133" s="109"/>
      <c r="AP133" s="73"/>
    </row>
    <row r="134" spans="1:42" ht="25.2" customHeight="1" x14ac:dyDescent="0.15">
      <c r="A134" s="25"/>
      <c r="B134" s="25"/>
      <c r="C134" s="25"/>
      <c r="D134" s="47"/>
      <c r="E134" s="47"/>
      <c r="F134" s="47"/>
      <c r="G134" s="40"/>
      <c r="H134" s="111"/>
      <c r="I134" s="52"/>
      <c r="J134" s="148"/>
      <c r="K134" s="52"/>
      <c r="L134" s="155"/>
      <c r="M134" s="52"/>
      <c r="N134" s="148"/>
      <c r="O134" s="52"/>
      <c r="P134" s="148"/>
      <c r="Q134" s="47"/>
      <c r="R134" s="47"/>
      <c r="S134" s="47"/>
      <c r="T134" s="47"/>
      <c r="U134" s="47"/>
      <c r="W134" s="52"/>
      <c r="X134" s="52"/>
      <c r="Y134" s="47"/>
      <c r="Z134" s="52"/>
      <c r="AA134" s="52"/>
      <c r="AB134" s="52"/>
      <c r="AC134" s="52"/>
      <c r="AD134" s="52"/>
      <c r="AE134" s="40"/>
      <c r="AF134" s="120"/>
      <c r="AG134" s="75"/>
      <c r="AH134" s="108"/>
      <c r="AI134" s="120"/>
      <c r="AJ134" s="45"/>
      <c r="AK134" s="47"/>
      <c r="AL134" s="47"/>
      <c r="AM134" s="47"/>
      <c r="AN134" s="45"/>
      <c r="AO134" s="109"/>
      <c r="AP134" s="73"/>
    </row>
    <row r="135" spans="1:42" ht="25.2" customHeight="1" x14ac:dyDescent="0.15">
      <c r="A135" s="25"/>
      <c r="B135" s="25"/>
      <c r="C135" s="25"/>
      <c r="D135" s="47"/>
      <c r="E135" s="47"/>
      <c r="F135" s="47"/>
      <c r="G135" s="40"/>
      <c r="H135" s="111"/>
      <c r="I135" s="52"/>
      <c r="J135" s="148"/>
      <c r="K135" s="52"/>
      <c r="L135" s="155"/>
      <c r="M135" s="52"/>
      <c r="N135" s="148"/>
      <c r="O135" s="52"/>
      <c r="P135" s="148"/>
      <c r="Q135" s="47"/>
      <c r="R135" s="47"/>
      <c r="S135" s="47"/>
      <c r="T135" s="47"/>
      <c r="U135" s="47"/>
      <c r="W135" s="52"/>
      <c r="X135" s="52"/>
      <c r="Y135" s="47"/>
      <c r="Z135" s="52"/>
      <c r="AA135" s="52"/>
      <c r="AB135" s="52"/>
      <c r="AC135" s="52"/>
      <c r="AD135" s="52"/>
      <c r="AE135" s="40"/>
      <c r="AF135" s="120"/>
      <c r="AG135" s="75"/>
      <c r="AH135" s="108"/>
      <c r="AI135" s="120"/>
      <c r="AJ135" s="45"/>
      <c r="AK135" s="47"/>
      <c r="AL135" s="47"/>
      <c r="AM135" s="47"/>
      <c r="AN135" s="45"/>
      <c r="AO135" s="109"/>
      <c r="AP135" s="73"/>
    </row>
    <row r="136" spans="1:42" ht="25.2" customHeight="1" x14ac:dyDescent="0.15">
      <c r="A136" s="25"/>
      <c r="B136" s="25"/>
      <c r="C136" s="25"/>
      <c r="D136" s="47"/>
      <c r="E136" s="47"/>
      <c r="F136" s="47"/>
      <c r="G136" s="40"/>
      <c r="H136" s="111"/>
      <c r="I136" s="52"/>
      <c r="J136" s="148"/>
      <c r="K136" s="52"/>
      <c r="L136" s="155"/>
      <c r="M136" s="52"/>
      <c r="N136" s="148"/>
      <c r="O136" s="52"/>
      <c r="P136" s="148"/>
      <c r="Q136" s="47"/>
      <c r="R136" s="47"/>
      <c r="S136" s="47"/>
      <c r="T136" s="47"/>
      <c r="U136" s="47"/>
      <c r="W136" s="52"/>
      <c r="X136" s="52"/>
      <c r="Y136" s="47"/>
      <c r="Z136" s="52"/>
      <c r="AA136" s="52"/>
      <c r="AB136" s="52"/>
      <c r="AC136" s="52"/>
      <c r="AD136" s="52"/>
      <c r="AE136" s="40"/>
      <c r="AF136" s="120"/>
      <c r="AG136" s="75"/>
      <c r="AH136" s="108"/>
      <c r="AI136" s="120"/>
      <c r="AJ136" s="45"/>
      <c r="AK136" s="47"/>
      <c r="AL136" s="47"/>
      <c r="AM136" s="47"/>
      <c r="AN136" s="45"/>
      <c r="AO136" s="109"/>
      <c r="AP136" s="73"/>
    </row>
    <row r="137" spans="1:42" ht="25.2" customHeight="1" x14ac:dyDescent="0.15">
      <c r="A137" s="25"/>
      <c r="B137" s="25"/>
      <c r="C137" s="25"/>
      <c r="D137" s="47"/>
      <c r="E137" s="47"/>
      <c r="F137" s="47"/>
      <c r="G137" s="40"/>
      <c r="H137" s="111"/>
      <c r="I137" s="52"/>
      <c r="J137" s="148"/>
      <c r="K137" s="52"/>
      <c r="L137" s="155"/>
      <c r="M137" s="52"/>
      <c r="N137" s="148"/>
      <c r="O137" s="52"/>
      <c r="P137" s="148"/>
      <c r="Q137" s="47"/>
      <c r="R137" s="47"/>
      <c r="S137" s="47"/>
      <c r="T137" s="47"/>
      <c r="U137" s="47"/>
      <c r="W137" s="52"/>
      <c r="X137" s="52"/>
      <c r="Y137" s="47"/>
      <c r="Z137" s="52"/>
      <c r="AA137" s="52"/>
      <c r="AB137" s="52"/>
      <c r="AC137" s="52"/>
      <c r="AD137" s="52"/>
      <c r="AE137" s="40"/>
      <c r="AF137" s="120"/>
      <c r="AG137" s="75"/>
      <c r="AH137" s="108"/>
      <c r="AI137" s="120"/>
      <c r="AJ137" s="45"/>
      <c r="AK137" s="47"/>
      <c r="AL137" s="47"/>
      <c r="AM137" s="47"/>
      <c r="AN137" s="45"/>
      <c r="AO137" s="109"/>
      <c r="AP137" s="73"/>
    </row>
    <row r="138" spans="1:42" ht="25.2" customHeight="1" x14ac:dyDescent="0.15">
      <c r="A138" s="25"/>
      <c r="B138" s="25"/>
      <c r="C138" s="25"/>
      <c r="D138" s="47"/>
      <c r="E138" s="47"/>
      <c r="F138" s="47"/>
      <c r="G138" s="40"/>
      <c r="H138" s="111"/>
      <c r="I138" s="52"/>
      <c r="J138" s="148"/>
      <c r="K138" s="52"/>
      <c r="L138" s="155"/>
      <c r="M138" s="52"/>
      <c r="N138" s="148"/>
      <c r="O138" s="52"/>
      <c r="P138" s="148"/>
      <c r="Q138" s="47"/>
      <c r="R138" s="47"/>
      <c r="S138" s="47"/>
      <c r="T138" s="47"/>
      <c r="U138" s="47"/>
      <c r="W138" s="52"/>
      <c r="X138" s="52"/>
      <c r="Y138" s="47"/>
      <c r="Z138" s="52"/>
      <c r="AA138" s="52"/>
      <c r="AB138" s="52"/>
      <c r="AC138" s="52"/>
      <c r="AD138" s="52"/>
      <c r="AE138" s="40"/>
      <c r="AF138" s="120"/>
      <c r="AG138" s="75"/>
      <c r="AH138" s="108"/>
      <c r="AI138" s="120"/>
      <c r="AJ138" s="45"/>
      <c r="AK138" s="47"/>
      <c r="AL138" s="47"/>
      <c r="AM138" s="47"/>
      <c r="AN138" s="45"/>
      <c r="AO138" s="109"/>
      <c r="AP138" s="73"/>
    </row>
    <row r="139" spans="1:42" ht="25.2" customHeight="1" x14ac:dyDescent="0.15">
      <c r="A139" s="25"/>
      <c r="B139" s="25"/>
      <c r="C139" s="25"/>
      <c r="D139" s="47"/>
      <c r="E139" s="47"/>
      <c r="F139" s="47"/>
      <c r="G139" s="40"/>
      <c r="H139" s="111"/>
      <c r="I139" s="52"/>
      <c r="J139" s="148"/>
      <c r="K139" s="52"/>
      <c r="L139" s="155"/>
      <c r="M139" s="52"/>
      <c r="N139" s="148"/>
      <c r="O139" s="52"/>
      <c r="P139" s="148"/>
      <c r="Q139" s="47"/>
      <c r="R139" s="47"/>
      <c r="S139" s="47"/>
      <c r="T139" s="47"/>
      <c r="U139" s="47"/>
      <c r="W139" s="52"/>
      <c r="X139" s="52"/>
      <c r="Y139" s="47"/>
      <c r="Z139" s="52"/>
      <c r="AA139" s="52"/>
      <c r="AB139" s="52"/>
      <c r="AC139" s="52"/>
      <c r="AD139" s="52"/>
      <c r="AE139" s="40"/>
      <c r="AF139" s="120"/>
      <c r="AG139" s="75"/>
      <c r="AH139" s="108"/>
      <c r="AI139" s="120"/>
      <c r="AJ139" s="45"/>
      <c r="AK139" s="47"/>
      <c r="AL139" s="47"/>
      <c r="AM139" s="47"/>
      <c r="AN139" s="45"/>
      <c r="AO139" s="109"/>
      <c r="AP139" s="73"/>
    </row>
    <row r="140" spans="1:42" ht="25.2" customHeight="1" x14ac:dyDescent="0.15">
      <c r="A140" s="25"/>
      <c r="B140" s="25"/>
      <c r="C140" s="25"/>
      <c r="D140" s="47"/>
      <c r="E140" s="47"/>
      <c r="F140" s="47"/>
      <c r="G140" s="40"/>
      <c r="H140" s="111"/>
      <c r="I140" s="52"/>
      <c r="J140" s="148"/>
      <c r="K140" s="52"/>
      <c r="L140" s="155"/>
      <c r="M140" s="52"/>
      <c r="N140" s="148"/>
      <c r="O140" s="52"/>
      <c r="P140" s="148"/>
      <c r="Q140" s="47"/>
      <c r="R140" s="47"/>
      <c r="S140" s="47"/>
      <c r="T140" s="47"/>
      <c r="U140" s="47"/>
      <c r="W140" s="52"/>
      <c r="X140" s="52"/>
      <c r="Y140" s="47"/>
      <c r="Z140" s="52"/>
      <c r="AA140" s="52"/>
      <c r="AB140" s="52"/>
      <c r="AC140" s="52"/>
      <c r="AD140" s="52"/>
      <c r="AE140" s="40"/>
      <c r="AF140" s="120"/>
      <c r="AG140" s="75"/>
      <c r="AH140" s="108"/>
      <c r="AI140" s="120"/>
      <c r="AJ140" s="45"/>
      <c r="AK140" s="47"/>
      <c r="AL140" s="47"/>
      <c r="AM140" s="47"/>
      <c r="AN140" s="45"/>
      <c r="AO140" s="109"/>
      <c r="AP140" s="73"/>
    </row>
    <row r="141" spans="1:42" ht="25.2" customHeight="1" x14ac:dyDescent="0.15">
      <c r="A141" s="25"/>
      <c r="B141" s="25"/>
      <c r="C141" s="25"/>
      <c r="D141" s="47"/>
      <c r="E141" s="47"/>
      <c r="F141" s="47"/>
      <c r="G141" s="40"/>
      <c r="H141" s="111"/>
      <c r="I141" s="52"/>
      <c r="J141" s="148"/>
      <c r="K141" s="52"/>
      <c r="L141" s="155"/>
      <c r="M141" s="52"/>
      <c r="N141" s="148"/>
      <c r="O141" s="52"/>
      <c r="P141" s="148"/>
      <c r="Q141" s="47"/>
      <c r="R141" s="47"/>
      <c r="S141" s="47"/>
      <c r="T141" s="47"/>
      <c r="U141" s="47"/>
      <c r="W141" s="52"/>
      <c r="X141" s="52"/>
      <c r="Y141" s="47"/>
      <c r="Z141" s="52"/>
      <c r="AA141" s="52"/>
      <c r="AB141" s="52"/>
      <c r="AC141" s="52"/>
      <c r="AD141" s="52"/>
      <c r="AE141" s="40"/>
      <c r="AF141" s="120"/>
      <c r="AG141" s="75"/>
      <c r="AH141" s="108"/>
      <c r="AI141" s="120"/>
      <c r="AJ141" s="45"/>
      <c r="AK141" s="47"/>
      <c r="AL141" s="47"/>
      <c r="AM141" s="47"/>
      <c r="AN141" s="45"/>
      <c r="AO141" s="109"/>
      <c r="AP141" s="73"/>
    </row>
    <row r="142" spans="1:42" ht="25.2" customHeight="1" x14ac:dyDescent="0.15">
      <c r="A142" s="25"/>
      <c r="B142" s="25"/>
      <c r="C142" s="25"/>
      <c r="D142" s="47"/>
      <c r="E142" s="47"/>
      <c r="F142" s="47"/>
      <c r="G142" s="40"/>
      <c r="H142" s="111"/>
      <c r="I142" s="52"/>
      <c r="J142" s="148"/>
      <c r="K142" s="52"/>
      <c r="L142" s="155"/>
      <c r="M142" s="52"/>
      <c r="N142" s="148"/>
      <c r="O142" s="52"/>
      <c r="P142" s="148"/>
      <c r="Q142" s="47"/>
      <c r="R142" s="47"/>
      <c r="S142" s="47"/>
      <c r="T142" s="47"/>
      <c r="U142" s="47"/>
      <c r="W142" s="52"/>
      <c r="X142" s="52"/>
      <c r="Y142" s="47"/>
      <c r="Z142" s="52"/>
      <c r="AA142" s="52"/>
      <c r="AB142" s="52"/>
      <c r="AC142" s="52"/>
      <c r="AD142" s="52"/>
      <c r="AE142" s="40"/>
      <c r="AF142" s="120"/>
      <c r="AG142" s="75"/>
      <c r="AH142" s="108"/>
      <c r="AI142" s="120"/>
      <c r="AJ142" s="45"/>
      <c r="AK142" s="47"/>
      <c r="AL142" s="47"/>
      <c r="AM142" s="47"/>
      <c r="AN142" s="45"/>
      <c r="AO142" s="109"/>
      <c r="AP142" s="73"/>
    </row>
    <row r="143" spans="1:42" ht="25.2" customHeight="1" x14ac:dyDescent="0.15">
      <c r="A143" s="25"/>
      <c r="B143" s="25"/>
      <c r="C143" s="25"/>
      <c r="D143" s="47"/>
      <c r="E143" s="47"/>
      <c r="F143" s="47"/>
      <c r="G143" s="40"/>
      <c r="H143" s="111"/>
      <c r="I143" s="52"/>
      <c r="J143" s="148"/>
      <c r="K143" s="52"/>
      <c r="L143" s="155"/>
      <c r="M143" s="52"/>
      <c r="N143" s="148"/>
      <c r="O143" s="52"/>
      <c r="P143" s="148"/>
      <c r="Q143" s="47"/>
      <c r="R143" s="47"/>
      <c r="S143" s="47"/>
      <c r="T143" s="47"/>
      <c r="U143" s="47"/>
      <c r="W143" s="52"/>
      <c r="X143" s="52"/>
      <c r="Y143" s="47"/>
      <c r="Z143" s="52"/>
      <c r="AA143" s="52"/>
      <c r="AB143" s="52"/>
      <c r="AC143" s="52"/>
      <c r="AD143" s="52"/>
      <c r="AE143" s="40"/>
      <c r="AF143" s="120"/>
      <c r="AG143" s="75"/>
      <c r="AH143" s="108"/>
      <c r="AI143" s="120"/>
      <c r="AJ143" s="45"/>
      <c r="AK143" s="47"/>
      <c r="AL143" s="47"/>
      <c r="AM143" s="47"/>
      <c r="AN143" s="45"/>
      <c r="AO143" s="109"/>
      <c r="AP143" s="73"/>
    </row>
    <row r="144" spans="1:42" ht="25.2" customHeight="1" x14ac:dyDescent="0.15">
      <c r="A144" s="25"/>
      <c r="B144" s="25"/>
      <c r="C144" s="25"/>
      <c r="D144" s="47"/>
      <c r="E144" s="47"/>
      <c r="F144" s="47"/>
      <c r="G144" s="40"/>
      <c r="H144" s="111"/>
      <c r="I144" s="52"/>
      <c r="J144" s="148"/>
      <c r="K144" s="52"/>
      <c r="L144" s="155"/>
      <c r="M144" s="52"/>
      <c r="N144" s="148"/>
      <c r="O144" s="52"/>
      <c r="P144" s="148"/>
      <c r="Q144" s="47"/>
      <c r="R144" s="47"/>
      <c r="S144" s="47"/>
      <c r="T144" s="47"/>
      <c r="U144" s="47"/>
      <c r="W144" s="52"/>
      <c r="X144" s="52"/>
      <c r="Y144" s="47"/>
      <c r="Z144" s="52"/>
      <c r="AA144" s="52"/>
      <c r="AB144" s="52"/>
      <c r="AC144" s="52"/>
      <c r="AD144" s="52"/>
      <c r="AE144" s="40"/>
      <c r="AF144" s="120"/>
      <c r="AG144" s="75"/>
      <c r="AH144" s="108"/>
      <c r="AI144" s="120"/>
      <c r="AJ144" s="45"/>
      <c r="AK144" s="47"/>
      <c r="AL144" s="47"/>
      <c r="AM144" s="47"/>
      <c r="AN144" s="45"/>
      <c r="AO144" s="109"/>
      <c r="AP144" s="73"/>
    </row>
    <row r="145" spans="1:42" ht="25.2" customHeight="1" x14ac:dyDescent="0.15">
      <c r="A145" s="25"/>
      <c r="B145" s="25"/>
      <c r="C145" s="25"/>
      <c r="D145" s="47"/>
      <c r="E145" s="47"/>
      <c r="F145" s="47"/>
      <c r="G145" s="40"/>
      <c r="H145" s="111"/>
      <c r="I145" s="52"/>
      <c r="J145" s="148"/>
      <c r="K145" s="52"/>
      <c r="L145" s="155"/>
      <c r="M145" s="52"/>
      <c r="N145" s="148"/>
      <c r="O145" s="52"/>
      <c r="P145" s="148"/>
      <c r="Q145" s="47"/>
      <c r="R145" s="47"/>
      <c r="S145" s="47"/>
      <c r="T145" s="47"/>
      <c r="U145" s="47"/>
      <c r="W145" s="52"/>
      <c r="X145" s="52"/>
      <c r="Y145" s="47"/>
      <c r="Z145" s="52"/>
      <c r="AA145" s="52"/>
      <c r="AB145" s="52"/>
      <c r="AC145" s="52"/>
      <c r="AD145" s="52"/>
      <c r="AE145" s="40"/>
      <c r="AF145" s="120"/>
      <c r="AG145" s="75"/>
      <c r="AH145" s="108"/>
      <c r="AI145" s="120"/>
      <c r="AJ145" s="45"/>
      <c r="AK145" s="47"/>
      <c r="AL145" s="47"/>
      <c r="AM145" s="47"/>
      <c r="AN145" s="45"/>
      <c r="AO145" s="109"/>
      <c r="AP145" s="73"/>
    </row>
    <row r="146" spans="1:42" ht="25.2" customHeight="1" x14ac:dyDescent="0.15">
      <c r="A146" s="25"/>
      <c r="B146" s="25"/>
      <c r="C146" s="25"/>
      <c r="D146" s="47"/>
      <c r="E146" s="47"/>
      <c r="F146" s="47"/>
      <c r="G146" s="40"/>
      <c r="H146" s="111"/>
      <c r="I146" s="52"/>
      <c r="J146" s="148"/>
      <c r="K146" s="52"/>
      <c r="L146" s="155"/>
      <c r="M146" s="52"/>
      <c r="N146" s="148"/>
      <c r="O146" s="52"/>
      <c r="P146" s="148"/>
      <c r="Q146" s="47"/>
      <c r="R146" s="47"/>
      <c r="S146" s="47"/>
      <c r="T146" s="47"/>
      <c r="U146" s="47"/>
      <c r="W146" s="52"/>
      <c r="X146" s="52"/>
      <c r="Y146" s="47"/>
      <c r="Z146" s="52"/>
      <c r="AA146" s="52"/>
      <c r="AB146" s="52"/>
      <c r="AC146" s="52"/>
      <c r="AD146" s="52"/>
      <c r="AE146" s="40"/>
      <c r="AF146" s="120"/>
      <c r="AG146" s="75"/>
      <c r="AH146" s="108"/>
      <c r="AI146" s="120"/>
      <c r="AJ146" s="45"/>
      <c r="AK146" s="47"/>
      <c r="AL146" s="47"/>
      <c r="AM146" s="47"/>
      <c r="AN146" s="45"/>
      <c r="AO146" s="109"/>
      <c r="AP146" s="73"/>
    </row>
    <row r="147" spans="1:42" ht="25.2" customHeight="1" x14ac:dyDescent="0.15">
      <c r="A147" s="25"/>
      <c r="B147" s="25"/>
      <c r="C147" s="25"/>
      <c r="D147" s="47"/>
      <c r="E147" s="47"/>
      <c r="F147" s="47"/>
      <c r="G147" s="40"/>
      <c r="H147" s="111"/>
      <c r="I147" s="52"/>
      <c r="J147" s="148"/>
      <c r="K147" s="52"/>
      <c r="L147" s="155"/>
      <c r="M147" s="52"/>
      <c r="N147" s="148"/>
      <c r="O147" s="52"/>
      <c r="P147" s="148"/>
      <c r="Q147" s="47"/>
      <c r="R147" s="47"/>
      <c r="S147" s="47"/>
      <c r="T147" s="47"/>
      <c r="U147" s="47"/>
      <c r="W147" s="52"/>
      <c r="X147" s="52"/>
      <c r="Y147" s="47"/>
      <c r="Z147" s="52"/>
      <c r="AA147" s="52"/>
      <c r="AB147" s="52"/>
      <c r="AC147" s="52"/>
      <c r="AD147" s="52"/>
      <c r="AE147" s="40"/>
      <c r="AF147" s="120"/>
      <c r="AG147" s="75"/>
      <c r="AH147" s="108"/>
      <c r="AI147" s="120"/>
      <c r="AJ147" s="45"/>
      <c r="AK147" s="47"/>
      <c r="AL147" s="47"/>
      <c r="AM147" s="47"/>
      <c r="AN147" s="45"/>
      <c r="AO147" s="109"/>
      <c r="AP147" s="73"/>
    </row>
    <row r="148" spans="1:42" ht="25.2" customHeight="1" x14ac:dyDescent="0.15">
      <c r="A148" s="25"/>
      <c r="B148" s="25"/>
      <c r="C148" s="25"/>
      <c r="D148" s="47"/>
      <c r="E148" s="47"/>
      <c r="F148" s="47"/>
      <c r="G148" s="40"/>
      <c r="H148" s="111"/>
      <c r="I148" s="52"/>
      <c r="J148" s="148"/>
      <c r="K148" s="52"/>
      <c r="L148" s="155"/>
      <c r="M148" s="52"/>
      <c r="N148" s="148"/>
      <c r="O148" s="52"/>
      <c r="P148" s="148"/>
      <c r="Q148" s="47"/>
      <c r="R148" s="47"/>
      <c r="S148" s="47"/>
      <c r="T148" s="47"/>
      <c r="U148" s="47"/>
      <c r="W148" s="52"/>
      <c r="X148" s="52"/>
      <c r="Y148" s="47"/>
      <c r="Z148" s="52"/>
      <c r="AA148" s="52"/>
      <c r="AB148" s="52"/>
      <c r="AC148" s="52"/>
      <c r="AD148" s="52"/>
      <c r="AE148" s="40"/>
      <c r="AF148" s="120"/>
      <c r="AG148" s="75"/>
      <c r="AH148" s="108"/>
      <c r="AI148" s="120"/>
      <c r="AJ148" s="45"/>
      <c r="AK148" s="47"/>
      <c r="AL148" s="47"/>
      <c r="AM148" s="47"/>
      <c r="AN148" s="45"/>
      <c r="AO148" s="109"/>
      <c r="AP148" s="73"/>
    </row>
    <row r="149" spans="1:42" ht="25.2" customHeight="1" x14ac:dyDescent="0.15">
      <c r="A149" s="25"/>
      <c r="B149" s="25"/>
      <c r="C149" s="25"/>
      <c r="D149" s="47"/>
      <c r="E149" s="47"/>
      <c r="F149" s="47"/>
      <c r="G149" s="40"/>
      <c r="H149" s="111"/>
      <c r="I149" s="52"/>
      <c r="J149" s="148"/>
      <c r="K149" s="52"/>
      <c r="L149" s="155"/>
      <c r="M149" s="52"/>
      <c r="N149" s="148"/>
      <c r="O149" s="52"/>
      <c r="P149" s="148"/>
      <c r="Q149" s="47"/>
      <c r="R149" s="47"/>
      <c r="S149" s="47"/>
      <c r="T149" s="47"/>
      <c r="U149" s="47"/>
      <c r="W149" s="52"/>
      <c r="X149" s="52"/>
      <c r="Y149" s="47"/>
      <c r="Z149" s="52"/>
      <c r="AA149" s="52"/>
      <c r="AB149" s="52"/>
      <c r="AC149" s="52"/>
      <c r="AD149" s="52"/>
      <c r="AE149" s="40"/>
      <c r="AF149" s="120"/>
      <c r="AG149" s="75"/>
      <c r="AH149" s="108"/>
      <c r="AI149" s="120"/>
      <c r="AJ149" s="45"/>
      <c r="AK149" s="47"/>
      <c r="AL149" s="47"/>
      <c r="AM149" s="47"/>
      <c r="AN149" s="45"/>
      <c r="AO149" s="109"/>
      <c r="AP149" s="73"/>
    </row>
    <row r="150" spans="1:42" ht="25.2" customHeight="1" x14ac:dyDescent="0.15">
      <c r="A150" s="25"/>
      <c r="B150" s="25"/>
      <c r="C150" s="25"/>
      <c r="D150" s="47"/>
      <c r="E150" s="47"/>
      <c r="F150" s="47"/>
      <c r="G150" s="40"/>
      <c r="H150" s="111"/>
      <c r="I150" s="52"/>
      <c r="J150" s="148"/>
      <c r="K150" s="52"/>
      <c r="L150" s="155"/>
      <c r="M150" s="52"/>
      <c r="N150" s="148"/>
      <c r="O150" s="52"/>
      <c r="P150" s="148"/>
      <c r="Q150" s="47"/>
      <c r="R150" s="47"/>
      <c r="S150" s="47"/>
      <c r="T150" s="47"/>
      <c r="U150" s="47"/>
      <c r="W150" s="52"/>
      <c r="X150" s="52"/>
      <c r="Y150" s="47"/>
      <c r="Z150" s="52"/>
      <c r="AA150" s="52"/>
      <c r="AB150" s="52"/>
      <c r="AC150" s="52"/>
      <c r="AD150" s="52"/>
      <c r="AE150" s="40"/>
      <c r="AF150" s="120"/>
      <c r="AG150" s="75"/>
      <c r="AH150" s="108"/>
      <c r="AI150" s="120"/>
      <c r="AJ150" s="45"/>
      <c r="AK150" s="47"/>
      <c r="AL150" s="47"/>
      <c r="AM150" s="47"/>
      <c r="AN150" s="45"/>
      <c r="AO150" s="109"/>
      <c r="AP150" s="73"/>
    </row>
    <row r="151" spans="1:42" ht="25.2" customHeight="1" x14ac:dyDescent="0.15">
      <c r="A151" s="25"/>
      <c r="B151" s="25"/>
      <c r="C151" s="25"/>
      <c r="D151" s="47"/>
      <c r="E151" s="47"/>
      <c r="F151" s="47"/>
      <c r="G151" s="40"/>
      <c r="H151" s="111"/>
      <c r="I151" s="52"/>
      <c r="J151" s="148"/>
      <c r="K151" s="52"/>
      <c r="L151" s="155"/>
      <c r="M151" s="52"/>
      <c r="N151" s="148"/>
      <c r="O151" s="52"/>
      <c r="P151" s="148"/>
      <c r="Q151" s="47"/>
      <c r="R151" s="47"/>
      <c r="S151" s="47"/>
      <c r="T151" s="47"/>
      <c r="U151" s="47"/>
      <c r="W151" s="52"/>
      <c r="X151" s="52"/>
      <c r="Y151" s="47"/>
      <c r="Z151" s="52"/>
      <c r="AA151" s="52"/>
      <c r="AB151" s="52"/>
      <c r="AC151" s="52"/>
      <c r="AD151" s="52"/>
      <c r="AE151" s="40"/>
      <c r="AF151" s="120"/>
      <c r="AG151" s="75"/>
      <c r="AH151" s="108"/>
      <c r="AI151" s="120"/>
      <c r="AJ151" s="45"/>
      <c r="AK151" s="47"/>
      <c r="AL151" s="47"/>
      <c r="AM151" s="47"/>
      <c r="AN151" s="45"/>
      <c r="AO151" s="109"/>
      <c r="AP151" s="73"/>
    </row>
    <row r="152" spans="1:42" ht="25.2" customHeight="1" x14ac:dyDescent="0.15">
      <c r="A152" s="25"/>
      <c r="B152" s="25"/>
      <c r="C152" s="25"/>
      <c r="D152" s="47"/>
      <c r="E152" s="47"/>
      <c r="F152" s="47"/>
      <c r="G152" s="40"/>
      <c r="H152" s="111"/>
      <c r="I152" s="52"/>
      <c r="J152" s="148"/>
      <c r="K152" s="52"/>
      <c r="L152" s="155"/>
      <c r="M152" s="52"/>
      <c r="N152" s="148"/>
      <c r="O152" s="52"/>
      <c r="P152" s="148"/>
      <c r="Q152" s="47"/>
      <c r="R152" s="47"/>
      <c r="S152" s="47"/>
      <c r="T152" s="47"/>
      <c r="U152" s="47"/>
      <c r="W152" s="52"/>
      <c r="X152" s="52"/>
      <c r="Y152" s="47"/>
      <c r="Z152" s="52"/>
      <c r="AA152" s="52"/>
      <c r="AB152" s="52"/>
      <c r="AC152" s="52"/>
      <c r="AD152" s="52"/>
      <c r="AE152" s="40"/>
      <c r="AF152" s="120"/>
      <c r="AG152" s="75"/>
      <c r="AH152" s="108"/>
      <c r="AI152" s="120"/>
      <c r="AJ152" s="45"/>
      <c r="AK152" s="47"/>
      <c r="AL152" s="47"/>
      <c r="AM152" s="47"/>
      <c r="AN152" s="45"/>
      <c r="AO152" s="109"/>
      <c r="AP152" s="73"/>
    </row>
    <row r="153" spans="1:42" ht="25.2" customHeight="1" x14ac:dyDescent="0.15">
      <c r="A153" s="25"/>
      <c r="B153" s="25"/>
      <c r="C153" s="25"/>
      <c r="D153" s="47"/>
      <c r="E153" s="47"/>
      <c r="F153" s="47"/>
      <c r="G153" s="40"/>
      <c r="H153" s="111"/>
      <c r="I153" s="52"/>
      <c r="J153" s="148"/>
      <c r="K153" s="52"/>
      <c r="L153" s="155"/>
      <c r="M153" s="52"/>
      <c r="N153" s="148"/>
      <c r="O153" s="52"/>
      <c r="P153" s="148"/>
      <c r="Q153" s="47"/>
      <c r="R153" s="47"/>
      <c r="S153" s="47"/>
      <c r="T153" s="47"/>
      <c r="U153" s="47"/>
      <c r="W153" s="52"/>
      <c r="X153" s="52"/>
      <c r="Y153" s="47"/>
      <c r="Z153" s="52"/>
      <c r="AA153" s="52"/>
      <c r="AB153" s="52"/>
      <c r="AC153" s="52"/>
      <c r="AD153" s="52"/>
      <c r="AE153" s="40"/>
      <c r="AF153" s="120"/>
      <c r="AG153" s="75"/>
      <c r="AH153" s="108"/>
      <c r="AI153" s="120"/>
      <c r="AJ153" s="45"/>
      <c r="AK153" s="47"/>
      <c r="AL153" s="47"/>
      <c r="AM153" s="47"/>
      <c r="AN153" s="45"/>
      <c r="AO153" s="109"/>
      <c r="AP153" s="73"/>
    </row>
    <row r="154" spans="1:42" ht="25.2" customHeight="1" x14ac:dyDescent="0.15">
      <c r="A154" s="25"/>
      <c r="B154" s="25"/>
      <c r="C154" s="25"/>
      <c r="D154" s="47"/>
      <c r="E154" s="47"/>
      <c r="F154" s="47"/>
      <c r="G154" s="40"/>
      <c r="H154" s="111"/>
      <c r="I154" s="52"/>
      <c r="J154" s="148"/>
      <c r="K154" s="52"/>
      <c r="L154" s="155"/>
      <c r="M154" s="52"/>
      <c r="N154" s="148"/>
      <c r="O154" s="52"/>
      <c r="P154" s="148"/>
      <c r="Q154" s="47"/>
      <c r="R154" s="47"/>
      <c r="S154" s="47"/>
      <c r="T154" s="47"/>
      <c r="U154" s="47"/>
      <c r="W154" s="52"/>
      <c r="X154" s="52"/>
      <c r="Y154" s="47"/>
      <c r="Z154" s="52"/>
      <c r="AA154" s="52"/>
      <c r="AB154" s="52"/>
      <c r="AC154" s="52"/>
      <c r="AD154" s="52"/>
      <c r="AE154" s="40"/>
      <c r="AF154" s="120"/>
      <c r="AG154" s="75"/>
      <c r="AH154" s="108"/>
      <c r="AI154" s="120"/>
      <c r="AJ154" s="45"/>
      <c r="AK154" s="47"/>
      <c r="AL154" s="47"/>
      <c r="AM154" s="47"/>
      <c r="AN154" s="45"/>
      <c r="AO154" s="109"/>
      <c r="AP154" s="73"/>
    </row>
    <row r="155" spans="1:42" ht="25.2" customHeight="1" x14ac:dyDescent="0.15">
      <c r="A155" s="25"/>
      <c r="B155" s="25"/>
      <c r="C155" s="25"/>
      <c r="D155" s="47"/>
      <c r="E155" s="47"/>
      <c r="F155" s="47"/>
      <c r="G155" s="40"/>
      <c r="H155" s="111"/>
      <c r="I155" s="52"/>
      <c r="J155" s="148"/>
      <c r="K155" s="52"/>
      <c r="L155" s="155"/>
      <c r="M155" s="52"/>
      <c r="N155" s="148"/>
      <c r="O155" s="52"/>
      <c r="P155" s="148"/>
      <c r="Q155" s="47"/>
      <c r="R155" s="47"/>
      <c r="S155" s="47"/>
      <c r="T155" s="47"/>
      <c r="U155" s="47"/>
      <c r="W155" s="52"/>
      <c r="X155" s="52"/>
      <c r="Y155" s="47"/>
      <c r="Z155" s="52"/>
      <c r="AA155" s="52"/>
      <c r="AB155" s="52"/>
      <c r="AC155" s="52"/>
      <c r="AD155" s="52"/>
      <c r="AE155" s="40"/>
      <c r="AF155" s="120"/>
      <c r="AG155" s="75"/>
      <c r="AH155" s="108"/>
      <c r="AI155" s="120"/>
      <c r="AJ155" s="45"/>
      <c r="AK155" s="47"/>
      <c r="AL155" s="47"/>
      <c r="AM155" s="47"/>
      <c r="AN155" s="45"/>
      <c r="AO155" s="109"/>
      <c r="AP155" s="73"/>
    </row>
    <row r="156" spans="1:42" ht="25.2" customHeight="1" x14ac:dyDescent="0.15">
      <c r="A156" s="25"/>
      <c r="B156" s="25"/>
      <c r="C156" s="25"/>
      <c r="D156" s="47"/>
      <c r="E156" s="47"/>
      <c r="F156" s="47"/>
      <c r="G156" s="40"/>
      <c r="H156" s="111"/>
      <c r="I156" s="52"/>
      <c r="J156" s="148"/>
      <c r="K156" s="52"/>
      <c r="L156" s="155"/>
      <c r="M156" s="52"/>
      <c r="N156" s="148"/>
      <c r="O156" s="52"/>
      <c r="P156" s="148"/>
      <c r="Q156" s="47"/>
      <c r="R156" s="47"/>
      <c r="S156" s="47"/>
      <c r="T156" s="47"/>
      <c r="U156" s="47"/>
      <c r="W156" s="52"/>
      <c r="X156" s="52"/>
      <c r="Y156" s="47"/>
      <c r="Z156" s="52"/>
      <c r="AA156" s="52"/>
      <c r="AB156" s="52"/>
      <c r="AC156" s="52"/>
      <c r="AD156" s="52"/>
      <c r="AE156" s="40"/>
      <c r="AF156" s="120"/>
      <c r="AG156" s="75"/>
      <c r="AH156" s="108"/>
      <c r="AI156" s="120"/>
      <c r="AJ156" s="45"/>
      <c r="AK156" s="47"/>
      <c r="AL156" s="47"/>
      <c r="AM156" s="47"/>
      <c r="AN156" s="45"/>
      <c r="AO156" s="109"/>
      <c r="AP156" s="73"/>
    </row>
    <row r="157" spans="1:42" ht="12.75" customHeight="1" x14ac:dyDescent="0.25">
      <c r="B157" s="40"/>
      <c r="C157" s="40"/>
      <c r="D157" s="40"/>
      <c r="E157" s="40"/>
      <c r="F157" s="40"/>
      <c r="G157" s="40"/>
      <c r="H157" s="5"/>
      <c r="Q157" s="40"/>
      <c r="R157" s="40"/>
      <c r="S157" s="40"/>
      <c r="T157" s="40"/>
      <c r="U157" s="40"/>
      <c r="W157" s="40"/>
      <c r="X157" s="40"/>
      <c r="Y157" s="40"/>
      <c r="Z157" s="41"/>
      <c r="AA157" s="41"/>
      <c r="AB157" s="41"/>
      <c r="AC157" s="41"/>
      <c r="AD157" s="41"/>
      <c r="AE157" s="40"/>
      <c r="AF157" s="45"/>
      <c r="AG157" s="5"/>
      <c r="AH157" s="6"/>
      <c r="AI157" s="45"/>
      <c r="AJ157" s="45"/>
      <c r="AK157" s="40"/>
      <c r="AL157" s="40"/>
      <c r="AM157" s="40"/>
      <c r="AN157" s="45"/>
      <c r="AO157" s="46"/>
      <c r="AP157" s="47"/>
    </row>
    <row r="158" spans="1:42" ht="12.75" customHeight="1" x14ac:dyDescent="0.25">
      <c r="B158" s="40"/>
      <c r="C158" s="40"/>
      <c r="D158" s="40"/>
      <c r="E158" s="40"/>
      <c r="F158" s="40"/>
      <c r="G158" s="40"/>
      <c r="H158" s="5"/>
      <c r="Q158" s="40"/>
      <c r="R158" s="40"/>
      <c r="S158" s="40"/>
      <c r="T158" s="40"/>
      <c r="U158" s="40"/>
      <c r="W158" s="40"/>
      <c r="X158" s="40"/>
      <c r="Y158" s="40"/>
      <c r="Z158" s="41"/>
      <c r="AA158" s="41"/>
      <c r="AB158" s="41"/>
      <c r="AC158" s="41"/>
      <c r="AD158" s="41"/>
      <c r="AE158" s="40"/>
      <c r="AF158" s="45"/>
      <c r="AG158" s="5"/>
      <c r="AH158" s="6"/>
      <c r="AI158" s="45"/>
      <c r="AJ158" s="45"/>
      <c r="AK158" s="40"/>
      <c r="AL158" s="40"/>
      <c r="AM158" s="40"/>
      <c r="AN158" s="45"/>
      <c r="AO158" s="40"/>
    </row>
    <row r="159" spans="1:42" ht="12.75" customHeight="1" x14ac:dyDescent="0.25">
      <c r="B159" s="40"/>
      <c r="C159" s="40"/>
      <c r="D159" s="40"/>
      <c r="E159" s="40"/>
      <c r="F159" s="40"/>
      <c r="G159" s="40"/>
      <c r="H159" s="5"/>
      <c r="Q159" s="40"/>
      <c r="R159" s="40"/>
      <c r="S159" s="40"/>
      <c r="T159" s="40"/>
      <c r="U159" s="40"/>
      <c r="W159" s="40"/>
      <c r="X159" s="40"/>
      <c r="Y159" s="40"/>
      <c r="Z159" s="41"/>
      <c r="AA159" s="41"/>
      <c r="AB159" s="41"/>
      <c r="AC159" s="41"/>
      <c r="AD159" s="41"/>
      <c r="AE159" s="40"/>
      <c r="AF159" s="45"/>
      <c r="AG159" s="5"/>
      <c r="AH159" s="6"/>
      <c r="AI159" s="45"/>
      <c r="AJ159" s="45"/>
      <c r="AK159" s="40"/>
      <c r="AL159" s="40"/>
      <c r="AM159" s="40"/>
      <c r="AN159" s="45"/>
      <c r="AO159" s="40"/>
    </row>
    <row r="160" spans="1:42" ht="12.75" customHeight="1" x14ac:dyDescent="0.25">
      <c r="B160" s="40"/>
      <c r="C160" s="40"/>
      <c r="D160" s="40"/>
      <c r="E160" s="40"/>
      <c r="F160" s="40"/>
      <c r="G160" s="40"/>
      <c r="H160" s="5"/>
      <c r="Q160" s="40"/>
      <c r="R160" s="40"/>
      <c r="S160" s="40"/>
      <c r="T160" s="40"/>
      <c r="U160" s="40"/>
      <c r="W160" s="40"/>
      <c r="X160" s="40"/>
      <c r="Y160" s="40"/>
      <c r="Z160" s="41"/>
      <c r="AA160" s="41"/>
      <c r="AB160" s="41"/>
      <c r="AC160" s="41"/>
      <c r="AD160" s="41"/>
      <c r="AE160" s="40"/>
      <c r="AF160" s="45"/>
      <c r="AG160" s="5"/>
      <c r="AH160" s="6"/>
      <c r="AI160" s="45"/>
      <c r="AJ160" s="45"/>
      <c r="AK160" s="40"/>
      <c r="AL160" s="40"/>
      <c r="AM160" s="40"/>
      <c r="AN160" s="45"/>
      <c r="AO160" s="40"/>
    </row>
    <row r="161" spans="2:41" ht="12.75" customHeight="1" x14ac:dyDescent="0.25">
      <c r="B161" s="40"/>
      <c r="C161" s="40"/>
      <c r="D161" s="40"/>
      <c r="E161" s="40"/>
      <c r="F161" s="40"/>
      <c r="G161" s="40"/>
      <c r="H161" s="5"/>
      <c r="Q161" s="40"/>
      <c r="R161" s="40"/>
      <c r="S161" s="40"/>
      <c r="T161" s="40"/>
      <c r="U161" s="40"/>
      <c r="W161" s="40"/>
      <c r="X161" s="40"/>
      <c r="Y161" s="40"/>
      <c r="Z161" s="41"/>
      <c r="AA161" s="41"/>
      <c r="AB161" s="41"/>
      <c r="AC161" s="41"/>
      <c r="AD161" s="41"/>
      <c r="AE161" s="40"/>
      <c r="AF161" s="45"/>
      <c r="AG161" s="5"/>
      <c r="AH161" s="6"/>
      <c r="AI161" s="45"/>
      <c r="AJ161" s="45"/>
      <c r="AK161" s="40"/>
      <c r="AL161" s="40"/>
      <c r="AM161" s="40"/>
      <c r="AN161" s="45"/>
      <c r="AO161" s="40"/>
    </row>
    <row r="162" spans="2:41" ht="12.75" customHeight="1" x14ac:dyDescent="0.25">
      <c r="B162" s="40"/>
      <c r="C162" s="40"/>
      <c r="D162" s="40"/>
      <c r="E162" s="40"/>
      <c r="F162" s="40"/>
      <c r="G162" s="40"/>
      <c r="H162" s="5"/>
      <c r="Q162" s="40"/>
      <c r="R162" s="40"/>
      <c r="S162" s="40"/>
      <c r="T162" s="40"/>
      <c r="U162" s="40"/>
      <c r="W162" s="40"/>
      <c r="X162" s="40"/>
      <c r="Y162" s="40"/>
      <c r="Z162" s="41"/>
      <c r="AA162" s="41"/>
      <c r="AB162" s="41"/>
      <c r="AC162" s="41"/>
      <c r="AD162" s="41"/>
      <c r="AE162" s="40"/>
      <c r="AF162" s="45"/>
      <c r="AG162" s="5"/>
      <c r="AH162" s="6"/>
      <c r="AI162" s="45"/>
      <c r="AJ162" s="45"/>
      <c r="AK162" s="40"/>
      <c r="AL162" s="40"/>
      <c r="AM162" s="40"/>
      <c r="AN162" s="45"/>
      <c r="AO162" s="40"/>
    </row>
    <row r="163" spans="2:41" ht="12.75" customHeight="1" x14ac:dyDescent="0.25">
      <c r="B163" s="40"/>
      <c r="C163" s="40"/>
      <c r="D163" s="40"/>
      <c r="E163" s="40"/>
      <c r="F163" s="40"/>
      <c r="G163" s="40"/>
      <c r="H163" s="5"/>
      <c r="Q163" s="40"/>
      <c r="R163" s="40"/>
      <c r="S163" s="40"/>
      <c r="T163" s="40"/>
      <c r="U163" s="40"/>
      <c r="W163" s="40"/>
      <c r="X163" s="40"/>
      <c r="Y163" s="40"/>
      <c r="Z163" s="41"/>
      <c r="AA163" s="41"/>
      <c r="AB163" s="41"/>
      <c r="AC163" s="41"/>
      <c r="AD163" s="41"/>
      <c r="AE163" s="40"/>
      <c r="AF163" s="45"/>
      <c r="AG163" s="5"/>
      <c r="AH163" s="6"/>
      <c r="AI163" s="45"/>
      <c r="AJ163" s="45"/>
      <c r="AK163" s="40"/>
      <c r="AL163" s="40"/>
      <c r="AM163" s="40"/>
      <c r="AN163" s="45"/>
      <c r="AO163" s="40"/>
    </row>
    <row r="164" spans="2:41" ht="12.75" customHeight="1" x14ac:dyDescent="0.25">
      <c r="B164" s="40"/>
      <c r="C164" s="40"/>
      <c r="D164" s="40"/>
      <c r="E164" s="40"/>
      <c r="F164" s="40"/>
      <c r="G164" s="40"/>
      <c r="H164" s="5"/>
      <c r="Q164" s="40"/>
      <c r="R164" s="40"/>
      <c r="S164" s="40"/>
      <c r="T164" s="40"/>
      <c r="U164" s="40"/>
      <c r="W164" s="40"/>
      <c r="X164" s="40"/>
      <c r="Y164" s="40"/>
      <c r="Z164" s="41"/>
      <c r="AA164" s="41"/>
      <c r="AB164" s="41"/>
      <c r="AC164" s="41"/>
      <c r="AD164" s="41"/>
      <c r="AE164" s="40"/>
      <c r="AF164" s="45"/>
      <c r="AG164" s="5"/>
      <c r="AH164" s="6"/>
      <c r="AI164" s="45"/>
      <c r="AJ164" s="45"/>
      <c r="AK164" s="40"/>
      <c r="AL164" s="40"/>
      <c r="AM164" s="40"/>
      <c r="AN164" s="45"/>
      <c r="AO164" s="40"/>
    </row>
    <row r="165" spans="2:41" ht="12.75" customHeight="1" x14ac:dyDescent="0.25">
      <c r="B165" s="40"/>
      <c r="C165" s="40"/>
      <c r="D165" s="40"/>
      <c r="E165" s="40"/>
      <c r="F165" s="40"/>
      <c r="G165" s="40"/>
      <c r="H165" s="5"/>
      <c r="Q165" s="40"/>
      <c r="R165" s="40"/>
      <c r="S165" s="40"/>
      <c r="T165" s="40"/>
      <c r="U165" s="40"/>
      <c r="W165" s="40"/>
      <c r="X165" s="40"/>
      <c r="Y165" s="40"/>
      <c r="Z165" s="41"/>
      <c r="AA165" s="41"/>
      <c r="AB165" s="41"/>
      <c r="AC165" s="41"/>
      <c r="AD165" s="41"/>
      <c r="AE165" s="40"/>
      <c r="AF165" s="45"/>
      <c r="AG165" s="5"/>
      <c r="AH165" s="6"/>
      <c r="AI165" s="45"/>
      <c r="AJ165" s="45"/>
      <c r="AK165" s="40"/>
      <c r="AL165" s="40"/>
      <c r="AM165" s="40"/>
      <c r="AN165" s="45"/>
      <c r="AO165" s="40"/>
    </row>
    <row r="166" spans="2:41" ht="12.75" customHeight="1" x14ac:dyDescent="0.25">
      <c r="B166" s="40"/>
      <c r="C166" s="40"/>
      <c r="D166" s="40"/>
      <c r="E166" s="40"/>
      <c r="F166" s="40"/>
      <c r="G166" s="40"/>
      <c r="H166" s="5"/>
      <c r="Q166" s="40"/>
      <c r="R166" s="40"/>
      <c r="S166" s="40"/>
      <c r="T166" s="40"/>
      <c r="U166" s="40"/>
      <c r="W166" s="40"/>
      <c r="X166" s="40"/>
      <c r="Y166" s="40"/>
      <c r="Z166" s="41"/>
      <c r="AA166" s="41"/>
      <c r="AB166" s="41"/>
      <c r="AC166" s="41"/>
      <c r="AD166" s="41"/>
      <c r="AE166" s="40"/>
      <c r="AF166" s="45"/>
      <c r="AG166" s="5"/>
      <c r="AH166" s="6"/>
      <c r="AI166" s="45"/>
      <c r="AJ166" s="45"/>
      <c r="AK166" s="40"/>
      <c r="AL166" s="40"/>
      <c r="AM166" s="40"/>
      <c r="AN166" s="45"/>
      <c r="AO166" s="40"/>
    </row>
    <row r="167" spans="2:41" ht="12.75" customHeight="1" x14ac:dyDescent="0.25">
      <c r="B167" s="40"/>
      <c r="C167" s="40"/>
      <c r="D167" s="40"/>
      <c r="E167" s="40"/>
      <c r="F167" s="40"/>
      <c r="G167" s="40"/>
      <c r="H167" s="5"/>
      <c r="Q167" s="40"/>
      <c r="R167" s="40"/>
      <c r="S167" s="40"/>
      <c r="T167" s="40"/>
      <c r="U167" s="40"/>
      <c r="W167" s="40"/>
      <c r="X167" s="40"/>
      <c r="Y167" s="40"/>
      <c r="Z167" s="41"/>
      <c r="AA167" s="41"/>
      <c r="AB167" s="41"/>
      <c r="AC167" s="41"/>
      <c r="AD167" s="41"/>
      <c r="AE167" s="40"/>
      <c r="AF167" s="45"/>
      <c r="AG167" s="5"/>
      <c r="AH167" s="6"/>
      <c r="AI167" s="45"/>
      <c r="AJ167" s="45"/>
      <c r="AK167" s="40"/>
      <c r="AL167" s="40"/>
      <c r="AM167" s="40"/>
      <c r="AN167" s="45"/>
      <c r="AO167" s="40"/>
    </row>
    <row r="168" spans="2:41" ht="12.75" customHeight="1" x14ac:dyDescent="0.25">
      <c r="B168" s="40"/>
      <c r="C168" s="40"/>
      <c r="D168" s="40"/>
      <c r="E168" s="40"/>
      <c r="F168" s="40"/>
      <c r="G168" s="40"/>
      <c r="H168" s="5"/>
      <c r="Q168" s="40"/>
      <c r="R168" s="40"/>
      <c r="S168" s="40"/>
      <c r="T168" s="40"/>
      <c r="U168" s="40"/>
      <c r="W168" s="40"/>
      <c r="X168" s="40"/>
      <c r="Y168" s="40"/>
      <c r="Z168" s="41"/>
      <c r="AA168" s="41"/>
      <c r="AB168" s="41"/>
      <c r="AC168" s="41"/>
      <c r="AD168" s="41"/>
      <c r="AE168" s="40"/>
      <c r="AF168" s="45"/>
      <c r="AG168" s="5"/>
      <c r="AH168" s="6"/>
      <c r="AI168" s="45"/>
      <c r="AJ168" s="45"/>
      <c r="AK168" s="40"/>
      <c r="AL168" s="40"/>
      <c r="AM168" s="40"/>
      <c r="AN168" s="45"/>
      <c r="AO168" s="40"/>
    </row>
    <row r="169" spans="2:41" ht="12.75" customHeight="1" x14ac:dyDescent="0.25">
      <c r="B169" s="40"/>
      <c r="C169" s="40"/>
      <c r="D169" s="40"/>
      <c r="E169" s="40"/>
      <c r="F169" s="40"/>
      <c r="G169" s="40"/>
      <c r="H169" s="5"/>
      <c r="Q169" s="40"/>
      <c r="R169" s="40"/>
      <c r="S169" s="40"/>
      <c r="T169" s="40"/>
      <c r="U169" s="40"/>
      <c r="W169" s="40"/>
      <c r="X169" s="40"/>
      <c r="Y169" s="40"/>
      <c r="Z169" s="41"/>
      <c r="AA169" s="41"/>
      <c r="AB169" s="41"/>
      <c r="AC169" s="41"/>
      <c r="AD169" s="41"/>
      <c r="AE169" s="40"/>
      <c r="AF169" s="45"/>
      <c r="AG169" s="5"/>
      <c r="AH169" s="6"/>
      <c r="AI169" s="45"/>
      <c r="AJ169" s="45"/>
      <c r="AK169" s="40"/>
      <c r="AL169" s="40"/>
      <c r="AM169" s="40"/>
      <c r="AN169" s="45"/>
      <c r="AO169" s="40"/>
    </row>
    <row r="170" spans="2:41" ht="12.75" customHeight="1" x14ac:dyDescent="0.25">
      <c r="B170" s="40"/>
      <c r="C170" s="40"/>
      <c r="D170" s="40"/>
      <c r="E170" s="40"/>
      <c r="F170" s="40"/>
      <c r="G170" s="40"/>
      <c r="H170" s="5"/>
      <c r="Q170" s="40"/>
      <c r="R170" s="40"/>
      <c r="S170" s="40"/>
      <c r="T170" s="40"/>
      <c r="U170" s="40"/>
      <c r="W170" s="40"/>
      <c r="X170" s="40"/>
      <c r="Y170" s="40"/>
      <c r="Z170" s="41"/>
      <c r="AA170" s="41"/>
      <c r="AB170" s="41"/>
      <c r="AC170" s="41"/>
      <c r="AD170" s="41"/>
      <c r="AE170" s="40"/>
      <c r="AF170" s="45"/>
      <c r="AG170" s="5"/>
      <c r="AH170" s="6"/>
      <c r="AI170" s="45"/>
      <c r="AJ170" s="45"/>
      <c r="AK170" s="40"/>
      <c r="AL170" s="40"/>
      <c r="AM170" s="40"/>
      <c r="AN170" s="45"/>
      <c r="AO170" s="40"/>
    </row>
    <row r="171" spans="2:41" ht="12.75" customHeight="1" x14ac:dyDescent="0.25">
      <c r="B171" s="40"/>
      <c r="C171" s="40"/>
      <c r="D171" s="40"/>
      <c r="E171" s="40"/>
      <c r="F171" s="40"/>
      <c r="G171" s="40"/>
      <c r="H171" s="5"/>
      <c r="Q171" s="40"/>
      <c r="R171" s="40"/>
      <c r="S171" s="40"/>
      <c r="T171" s="40"/>
      <c r="U171" s="40"/>
      <c r="W171" s="40"/>
      <c r="X171" s="40"/>
      <c r="Y171" s="40"/>
      <c r="Z171" s="41"/>
      <c r="AA171" s="41"/>
      <c r="AB171" s="41"/>
      <c r="AC171" s="41"/>
      <c r="AD171" s="41"/>
      <c r="AE171" s="40"/>
      <c r="AF171" s="45"/>
      <c r="AG171" s="5"/>
      <c r="AH171" s="6"/>
      <c r="AI171" s="45"/>
      <c r="AJ171" s="45"/>
      <c r="AK171" s="40"/>
      <c r="AL171" s="40"/>
      <c r="AM171" s="40"/>
      <c r="AN171" s="45"/>
      <c r="AO171" s="40"/>
    </row>
    <row r="172" spans="2:41" ht="12.75" customHeight="1" x14ac:dyDescent="0.25">
      <c r="B172" s="40"/>
      <c r="C172" s="40"/>
      <c r="D172" s="40"/>
      <c r="E172" s="40"/>
      <c r="F172" s="40"/>
      <c r="G172" s="40"/>
      <c r="H172" s="5"/>
      <c r="Q172" s="40"/>
      <c r="R172" s="40"/>
      <c r="S172" s="40"/>
      <c r="T172" s="40"/>
      <c r="U172" s="40"/>
      <c r="W172" s="40"/>
      <c r="X172" s="40"/>
      <c r="Y172" s="40"/>
      <c r="Z172" s="41"/>
      <c r="AA172" s="41"/>
      <c r="AB172" s="41"/>
      <c r="AC172" s="41"/>
      <c r="AD172" s="41"/>
      <c r="AE172" s="40"/>
      <c r="AF172" s="45"/>
      <c r="AG172" s="5"/>
      <c r="AH172" s="6"/>
      <c r="AI172" s="45"/>
      <c r="AJ172" s="45"/>
      <c r="AK172" s="40"/>
      <c r="AL172" s="40"/>
      <c r="AM172" s="40"/>
      <c r="AN172" s="45"/>
      <c r="AO172" s="40"/>
    </row>
    <row r="173" spans="2:41" ht="12.75" customHeight="1" x14ac:dyDescent="0.25">
      <c r="B173" s="40"/>
      <c r="C173" s="40"/>
      <c r="D173" s="40"/>
      <c r="E173" s="40"/>
      <c r="F173" s="40"/>
      <c r="G173" s="40"/>
      <c r="H173" s="5"/>
      <c r="Q173" s="40"/>
      <c r="R173" s="40"/>
      <c r="S173" s="40"/>
      <c r="T173" s="40"/>
      <c r="U173" s="40"/>
      <c r="W173" s="40"/>
      <c r="X173" s="40"/>
      <c r="Y173" s="40"/>
      <c r="Z173" s="41"/>
      <c r="AA173" s="41"/>
      <c r="AB173" s="41"/>
      <c r="AC173" s="41"/>
      <c r="AD173" s="41"/>
      <c r="AE173" s="40"/>
      <c r="AF173" s="45"/>
      <c r="AG173" s="5"/>
      <c r="AH173" s="6"/>
      <c r="AI173" s="45"/>
      <c r="AJ173" s="45"/>
      <c r="AK173" s="40"/>
      <c r="AL173" s="40"/>
      <c r="AM173" s="40"/>
      <c r="AN173" s="45"/>
      <c r="AO173" s="40"/>
    </row>
    <row r="174" spans="2:41" ht="12.75" customHeight="1" x14ac:dyDescent="0.25">
      <c r="B174" s="40"/>
      <c r="C174" s="40"/>
      <c r="D174" s="40"/>
      <c r="E174" s="40"/>
      <c r="F174" s="40"/>
      <c r="G174" s="40"/>
      <c r="H174" s="5"/>
      <c r="Q174" s="40"/>
      <c r="R174" s="40"/>
      <c r="S174" s="40"/>
      <c r="T174" s="40"/>
      <c r="U174" s="40"/>
      <c r="W174" s="40"/>
      <c r="X174" s="40"/>
      <c r="Y174" s="40"/>
      <c r="Z174" s="41"/>
      <c r="AA174" s="41"/>
      <c r="AB174" s="41"/>
      <c r="AC174" s="41"/>
      <c r="AD174" s="41"/>
      <c r="AE174" s="40"/>
      <c r="AF174" s="45"/>
      <c r="AG174" s="5"/>
      <c r="AH174" s="6"/>
      <c r="AI174" s="45"/>
      <c r="AJ174" s="45"/>
      <c r="AK174" s="40"/>
      <c r="AL174" s="40"/>
      <c r="AM174" s="40"/>
      <c r="AN174" s="45"/>
      <c r="AO174" s="40"/>
    </row>
    <row r="175" spans="2:41" ht="12.75" customHeight="1" x14ac:dyDescent="0.25">
      <c r="B175" s="40"/>
      <c r="C175" s="40"/>
      <c r="D175" s="40"/>
      <c r="E175" s="40"/>
      <c r="F175" s="40"/>
      <c r="G175" s="40"/>
      <c r="H175" s="5"/>
      <c r="Q175" s="40"/>
      <c r="R175" s="40"/>
      <c r="S175" s="40"/>
      <c r="T175" s="40"/>
      <c r="U175" s="40"/>
      <c r="W175" s="40"/>
      <c r="X175" s="40"/>
      <c r="Y175" s="40"/>
      <c r="Z175" s="41"/>
      <c r="AA175" s="41"/>
      <c r="AB175" s="41"/>
      <c r="AC175" s="41"/>
      <c r="AD175" s="41"/>
      <c r="AE175" s="40"/>
      <c r="AF175" s="45"/>
      <c r="AG175" s="5"/>
      <c r="AH175" s="6"/>
      <c r="AI175" s="45"/>
      <c r="AJ175" s="45"/>
      <c r="AK175" s="40"/>
      <c r="AL175" s="40"/>
      <c r="AM175" s="40"/>
      <c r="AN175" s="45"/>
      <c r="AO175" s="40"/>
    </row>
    <row r="176" spans="2:41" ht="12.75" customHeight="1" x14ac:dyDescent="0.25">
      <c r="B176" s="40"/>
      <c r="C176" s="40"/>
      <c r="D176" s="40"/>
      <c r="E176" s="40"/>
      <c r="F176" s="40"/>
      <c r="G176" s="40"/>
      <c r="H176" s="5"/>
      <c r="Q176" s="40"/>
      <c r="R176" s="40"/>
      <c r="S176" s="40"/>
      <c r="T176" s="40"/>
      <c r="U176" s="40"/>
      <c r="W176" s="40"/>
      <c r="X176" s="40"/>
      <c r="Y176" s="40"/>
      <c r="Z176" s="41"/>
      <c r="AA176" s="41"/>
      <c r="AB176" s="41"/>
      <c r="AC176" s="41"/>
      <c r="AD176" s="41"/>
      <c r="AE176" s="40"/>
      <c r="AF176" s="45"/>
      <c r="AG176" s="5"/>
      <c r="AH176" s="6"/>
      <c r="AI176" s="45"/>
      <c r="AJ176" s="45"/>
      <c r="AK176" s="40"/>
      <c r="AL176" s="40"/>
      <c r="AM176" s="40"/>
      <c r="AN176" s="45"/>
      <c r="AO176" s="40"/>
    </row>
    <row r="177" spans="2:41" ht="12.75" customHeight="1" x14ac:dyDescent="0.25">
      <c r="B177" s="40"/>
      <c r="C177" s="40"/>
      <c r="D177" s="40"/>
      <c r="E177" s="40"/>
      <c r="F177" s="40"/>
      <c r="G177" s="40"/>
      <c r="H177" s="5"/>
      <c r="Q177" s="40"/>
      <c r="R177" s="40"/>
      <c r="S177" s="40"/>
      <c r="T177" s="40"/>
      <c r="U177" s="40"/>
      <c r="W177" s="40"/>
      <c r="X177" s="40"/>
      <c r="Y177" s="40"/>
      <c r="Z177" s="41"/>
      <c r="AA177" s="41"/>
      <c r="AB177" s="41"/>
      <c r="AC177" s="41"/>
      <c r="AD177" s="41"/>
      <c r="AE177" s="40"/>
      <c r="AF177" s="45"/>
      <c r="AG177" s="5"/>
      <c r="AH177" s="6"/>
      <c r="AI177" s="45"/>
      <c r="AJ177" s="45"/>
      <c r="AK177" s="40"/>
      <c r="AL177" s="40"/>
      <c r="AM177" s="40"/>
      <c r="AN177" s="45"/>
      <c r="AO177" s="40"/>
    </row>
    <row r="178" spans="2:41" ht="12.75" customHeight="1" x14ac:dyDescent="0.25">
      <c r="B178" s="40"/>
      <c r="C178" s="40"/>
      <c r="D178" s="40"/>
      <c r="E178" s="40"/>
      <c r="F178" s="40"/>
      <c r="G178" s="40"/>
      <c r="H178" s="5"/>
      <c r="Q178" s="40"/>
      <c r="R178" s="40"/>
      <c r="S178" s="40"/>
      <c r="T178" s="40"/>
      <c r="U178" s="40"/>
      <c r="W178" s="40"/>
      <c r="X178" s="40"/>
      <c r="Y178" s="40"/>
      <c r="Z178" s="41"/>
      <c r="AA178" s="41"/>
      <c r="AB178" s="41"/>
      <c r="AC178" s="41"/>
      <c r="AD178" s="41"/>
      <c r="AE178" s="40"/>
      <c r="AF178" s="45"/>
      <c r="AG178" s="5"/>
      <c r="AH178" s="6"/>
      <c r="AI178" s="45"/>
      <c r="AJ178" s="45"/>
      <c r="AK178" s="40"/>
      <c r="AL178" s="40"/>
      <c r="AM178" s="40"/>
      <c r="AN178" s="45"/>
      <c r="AO178" s="40"/>
    </row>
    <row r="179" spans="2:41" ht="12.75" customHeight="1" x14ac:dyDescent="0.25">
      <c r="B179" s="40"/>
      <c r="C179" s="40"/>
      <c r="D179" s="40"/>
      <c r="E179" s="40"/>
      <c r="F179" s="40"/>
      <c r="G179" s="40"/>
      <c r="H179" s="5"/>
      <c r="Q179" s="40"/>
      <c r="R179" s="40"/>
      <c r="S179" s="40"/>
      <c r="T179" s="40"/>
      <c r="U179" s="40"/>
      <c r="W179" s="40"/>
      <c r="X179" s="40"/>
      <c r="Y179" s="40"/>
      <c r="Z179" s="41"/>
      <c r="AA179" s="41"/>
      <c r="AB179" s="41"/>
      <c r="AC179" s="41"/>
      <c r="AD179" s="41"/>
      <c r="AE179" s="40"/>
      <c r="AF179" s="45"/>
      <c r="AG179" s="5"/>
      <c r="AH179" s="6"/>
      <c r="AI179" s="45"/>
      <c r="AJ179" s="45"/>
      <c r="AK179" s="40"/>
      <c r="AL179" s="40"/>
      <c r="AM179" s="40"/>
      <c r="AN179" s="45"/>
      <c r="AO179" s="40"/>
    </row>
    <row r="180" spans="2:41" ht="12.75" customHeight="1" x14ac:dyDescent="0.25">
      <c r="B180" s="40"/>
      <c r="C180" s="40"/>
      <c r="D180" s="40"/>
      <c r="E180" s="40"/>
      <c r="F180" s="40"/>
      <c r="G180" s="40"/>
      <c r="H180" s="5"/>
      <c r="Q180" s="40"/>
      <c r="R180" s="40"/>
      <c r="S180" s="40"/>
      <c r="T180" s="40"/>
      <c r="U180" s="40"/>
      <c r="W180" s="40"/>
      <c r="X180" s="40"/>
      <c r="Y180" s="40"/>
      <c r="Z180" s="41"/>
      <c r="AA180" s="41"/>
      <c r="AB180" s="41"/>
      <c r="AC180" s="41"/>
      <c r="AD180" s="41"/>
      <c r="AE180" s="40"/>
      <c r="AF180" s="45"/>
      <c r="AG180" s="5"/>
      <c r="AH180" s="6"/>
      <c r="AI180" s="45"/>
      <c r="AJ180" s="45"/>
      <c r="AK180" s="40"/>
      <c r="AL180" s="40"/>
      <c r="AM180" s="40"/>
      <c r="AN180" s="45"/>
      <c r="AO180" s="40"/>
    </row>
    <row r="181" spans="2:41" ht="12.75" customHeight="1" x14ac:dyDescent="0.25">
      <c r="B181" s="40"/>
      <c r="C181" s="40"/>
      <c r="D181" s="40"/>
      <c r="E181" s="40"/>
      <c r="F181" s="40"/>
      <c r="G181" s="40"/>
      <c r="H181" s="5"/>
      <c r="Q181" s="40"/>
      <c r="R181" s="40"/>
      <c r="S181" s="40"/>
      <c r="T181" s="40"/>
      <c r="U181" s="40"/>
      <c r="W181" s="40"/>
      <c r="X181" s="40"/>
      <c r="Y181" s="40"/>
      <c r="Z181" s="41"/>
      <c r="AA181" s="41"/>
      <c r="AB181" s="41"/>
      <c r="AC181" s="41"/>
      <c r="AD181" s="41"/>
      <c r="AE181" s="40"/>
      <c r="AF181" s="45"/>
      <c r="AG181" s="5"/>
      <c r="AH181" s="6"/>
      <c r="AI181" s="45"/>
      <c r="AJ181" s="45"/>
      <c r="AK181" s="40"/>
      <c r="AL181" s="40"/>
      <c r="AM181" s="40"/>
      <c r="AN181" s="45"/>
      <c r="AO181" s="40"/>
    </row>
    <row r="182" spans="2:41" ht="12.75" customHeight="1" x14ac:dyDescent="0.25">
      <c r="B182" s="40"/>
      <c r="C182" s="40"/>
      <c r="D182" s="40"/>
      <c r="E182" s="40"/>
      <c r="F182" s="40"/>
      <c r="G182" s="40"/>
      <c r="H182" s="5"/>
      <c r="Q182" s="40"/>
      <c r="R182" s="40"/>
      <c r="S182" s="40"/>
      <c r="T182" s="40"/>
      <c r="U182" s="40"/>
      <c r="W182" s="40"/>
      <c r="X182" s="40"/>
      <c r="Y182" s="40"/>
      <c r="Z182" s="41"/>
      <c r="AA182" s="41"/>
      <c r="AB182" s="41"/>
      <c r="AC182" s="41"/>
      <c r="AD182" s="41"/>
      <c r="AE182" s="40"/>
      <c r="AF182" s="45"/>
      <c r="AG182" s="5"/>
      <c r="AH182" s="6"/>
      <c r="AI182" s="45"/>
      <c r="AJ182" s="45"/>
      <c r="AK182" s="40"/>
      <c r="AL182" s="40"/>
      <c r="AM182" s="40"/>
      <c r="AN182" s="45"/>
      <c r="AO182" s="40"/>
    </row>
    <row r="183" spans="2:41" ht="12.75" customHeight="1" x14ac:dyDescent="0.25">
      <c r="B183" s="40"/>
      <c r="C183" s="40"/>
      <c r="D183" s="40"/>
      <c r="E183" s="40"/>
      <c r="F183" s="40"/>
      <c r="G183" s="40"/>
      <c r="H183" s="5"/>
      <c r="Q183" s="40"/>
      <c r="R183" s="40"/>
      <c r="S183" s="40"/>
      <c r="T183" s="40"/>
      <c r="U183" s="40"/>
      <c r="W183" s="40"/>
      <c r="X183" s="40"/>
      <c r="Y183" s="40"/>
      <c r="Z183" s="41"/>
      <c r="AA183" s="41"/>
      <c r="AB183" s="41"/>
      <c r="AC183" s="41"/>
      <c r="AD183" s="41"/>
      <c r="AE183" s="40"/>
      <c r="AF183" s="45"/>
      <c r="AG183" s="5"/>
      <c r="AH183" s="6"/>
      <c r="AI183" s="45"/>
      <c r="AJ183" s="45"/>
      <c r="AK183" s="40"/>
      <c r="AL183" s="40"/>
      <c r="AM183" s="40"/>
      <c r="AN183" s="45"/>
      <c r="AO183" s="40"/>
    </row>
    <row r="184" spans="2:41" ht="12.75" customHeight="1" x14ac:dyDescent="0.25">
      <c r="B184" s="40"/>
      <c r="C184" s="40"/>
      <c r="D184" s="40"/>
      <c r="E184" s="40"/>
      <c r="F184" s="40"/>
      <c r="G184" s="40"/>
      <c r="H184" s="5"/>
      <c r="Q184" s="40"/>
      <c r="R184" s="40"/>
      <c r="S184" s="40"/>
      <c r="T184" s="40"/>
      <c r="U184" s="40"/>
      <c r="W184" s="40"/>
      <c r="X184" s="40"/>
      <c r="Y184" s="40"/>
      <c r="Z184" s="41"/>
      <c r="AA184" s="41"/>
      <c r="AB184" s="41"/>
      <c r="AC184" s="41"/>
      <c r="AD184" s="41"/>
      <c r="AE184" s="40"/>
      <c r="AF184" s="45"/>
      <c r="AG184" s="5"/>
      <c r="AH184" s="6"/>
      <c r="AI184" s="45"/>
      <c r="AJ184" s="45"/>
      <c r="AK184" s="40"/>
      <c r="AL184" s="40"/>
      <c r="AM184" s="40"/>
      <c r="AN184" s="45"/>
      <c r="AO184" s="40"/>
    </row>
    <row r="185" spans="2:41" ht="12.75" customHeight="1" x14ac:dyDescent="0.25">
      <c r="B185" s="40"/>
      <c r="C185" s="40"/>
      <c r="D185" s="40"/>
      <c r="E185" s="40"/>
      <c r="F185" s="40"/>
      <c r="G185" s="40"/>
      <c r="H185" s="5"/>
      <c r="Q185" s="40"/>
      <c r="R185" s="40"/>
      <c r="S185" s="40"/>
      <c r="T185" s="40"/>
      <c r="U185" s="40"/>
      <c r="W185" s="40"/>
      <c r="X185" s="40"/>
      <c r="Y185" s="40"/>
      <c r="Z185" s="41"/>
      <c r="AA185" s="41"/>
      <c r="AB185" s="41"/>
      <c r="AC185" s="41"/>
      <c r="AD185" s="41"/>
      <c r="AE185" s="40"/>
      <c r="AF185" s="45"/>
      <c r="AG185" s="5"/>
      <c r="AH185" s="6"/>
      <c r="AI185" s="45"/>
      <c r="AJ185" s="45"/>
      <c r="AK185" s="40"/>
      <c r="AL185" s="40"/>
      <c r="AM185" s="40"/>
      <c r="AN185" s="45"/>
      <c r="AO185" s="40"/>
    </row>
    <row r="186" spans="2:41" ht="12.75" customHeight="1" x14ac:dyDescent="0.25">
      <c r="B186" s="40"/>
      <c r="C186" s="40"/>
      <c r="D186" s="40"/>
      <c r="E186" s="40"/>
      <c r="F186" s="40"/>
      <c r="G186" s="40"/>
      <c r="H186" s="5"/>
      <c r="Q186" s="40"/>
      <c r="R186" s="40"/>
      <c r="S186" s="40"/>
      <c r="T186" s="40"/>
      <c r="U186" s="40"/>
      <c r="W186" s="40"/>
      <c r="X186" s="40"/>
      <c r="Y186" s="40"/>
      <c r="Z186" s="41"/>
      <c r="AA186" s="41"/>
      <c r="AB186" s="41"/>
      <c r="AC186" s="41"/>
      <c r="AD186" s="41"/>
      <c r="AE186" s="40"/>
      <c r="AF186" s="45"/>
      <c r="AG186" s="5"/>
      <c r="AH186" s="6"/>
      <c r="AI186" s="45"/>
      <c r="AJ186" s="45"/>
      <c r="AK186" s="40"/>
      <c r="AL186" s="40"/>
      <c r="AM186" s="40"/>
      <c r="AN186" s="45"/>
      <c r="AO186" s="40"/>
    </row>
    <row r="187" spans="2:41" ht="12.75" customHeight="1" x14ac:dyDescent="0.25">
      <c r="B187" s="40"/>
      <c r="C187" s="40"/>
      <c r="D187" s="40"/>
      <c r="E187" s="40"/>
      <c r="F187" s="40"/>
      <c r="G187" s="40"/>
      <c r="H187" s="5"/>
      <c r="Q187" s="40"/>
      <c r="R187" s="40"/>
      <c r="S187" s="40"/>
      <c r="T187" s="40"/>
      <c r="U187" s="40"/>
      <c r="W187" s="40"/>
      <c r="X187" s="40"/>
      <c r="Y187" s="40"/>
      <c r="Z187" s="41"/>
      <c r="AA187" s="41"/>
      <c r="AB187" s="41"/>
      <c r="AC187" s="41"/>
      <c r="AD187" s="41"/>
      <c r="AE187" s="40"/>
      <c r="AF187" s="45"/>
      <c r="AG187" s="5"/>
      <c r="AH187" s="6"/>
      <c r="AI187" s="45"/>
      <c r="AJ187" s="45"/>
      <c r="AK187" s="40"/>
      <c r="AL187" s="40"/>
      <c r="AM187" s="40"/>
      <c r="AN187" s="45"/>
      <c r="AO187" s="40"/>
    </row>
    <row r="188" spans="2:41" ht="12.75" customHeight="1" x14ac:dyDescent="0.25">
      <c r="B188" s="40"/>
      <c r="C188" s="40"/>
      <c r="D188" s="40"/>
      <c r="E188" s="40"/>
      <c r="F188" s="40"/>
      <c r="G188" s="40"/>
      <c r="H188" s="5"/>
      <c r="Q188" s="40"/>
      <c r="R188" s="40"/>
      <c r="S188" s="40"/>
      <c r="T188" s="40"/>
      <c r="U188" s="40"/>
      <c r="W188" s="40"/>
      <c r="X188" s="40"/>
      <c r="Y188" s="40"/>
      <c r="Z188" s="41"/>
      <c r="AA188" s="41"/>
      <c r="AB188" s="41"/>
      <c r="AC188" s="41"/>
      <c r="AD188" s="41"/>
      <c r="AE188" s="40"/>
      <c r="AF188" s="45"/>
      <c r="AG188" s="5"/>
      <c r="AH188" s="6"/>
      <c r="AI188" s="45"/>
      <c r="AJ188" s="45"/>
      <c r="AK188" s="40"/>
      <c r="AL188" s="40"/>
      <c r="AM188" s="40"/>
      <c r="AN188" s="45"/>
      <c r="AO188" s="40"/>
    </row>
    <row r="189" spans="2:41" ht="12.75" customHeight="1" x14ac:dyDescent="0.25">
      <c r="B189" s="40"/>
      <c r="C189" s="40"/>
      <c r="D189" s="40"/>
      <c r="E189" s="40"/>
      <c r="F189" s="40"/>
      <c r="G189" s="40"/>
      <c r="H189" s="5"/>
      <c r="Q189" s="40"/>
      <c r="R189" s="40"/>
      <c r="S189" s="40"/>
      <c r="T189" s="40"/>
      <c r="U189" s="40"/>
      <c r="W189" s="40"/>
      <c r="X189" s="40"/>
      <c r="Y189" s="40"/>
      <c r="Z189" s="41"/>
      <c r="AA189" s="41"/>
      <c r="AB189" s="41"/>
      <c r="AC189" s="41"/>
      <c r="AD189" s="41"/>
      <c r="AE189" s="40"/>
      <c r="AF189" s="45"/>
      <c r="AG189" s="5"/>
      <c r="AH189" s="6"/>
      <c r="AI189" s="45"/>
      <c r="AJ189" s="45"/>
      <c r="AK189" s="40"/>
      <c r="AL189" s="40"/>
      <c r="AM189" s="40"/>
      <c r="AN189" s="45"/>
      <c r="AO189" s="40"/>
    </row>
    <row r="190" spans="2:41" ht="12.75" customHeight="1" x14ac:dyDescent="0.25">
      <c r="B190" s="40"/>
      <c r="C190" s="40"/>
      <c r="D190" s="40"/>
      <c r="E190" s="40"/>
      <c r="F190" s="40"/>
      <c r="G190" s="40"/>
      <c r="H190" s="5"/>
      <c r="Q190" s="40"/>
      <c r="R190" s="40"/>
      <c r="S190" s="40"/>
      <c r="T190" s="40"/>
      <c r="U190" s="40"/>
      <c r="W190" s="40"/>
      <c r="X190" s="40"/>
      <c r="Y190" s="40"/>
      <c r="Z190" s="41"/>
      <c r="AA190" s="41"/>
      <c r="AB190" s="41"/>
      <c r="AC190" s="41"/>
      <c r="AD190" s="41"/>
      <c r="AE190" s="40"/>
      <c r="AF190" s="45"/>
      <c r="AG190" s="5"/>
      <c r="AH190" s="6"/>
      <c r="AI190" s="45"/>
      <c r="AJ190" s="45"/>
      <c r="AK190" s="40"/>
      <c r="AL190" s="40"/>
      <c r="AM190" s="40"/>
      <c r="AN190" s="45"/>
      <c r="AO190" s="40"/>
    </row>
    <row r="191" spans="2:41" ht="12.75" customHeight="1" x14ac:dyDescent="0.25">
      <c r="B191" s="40"/>
      <c r="C191" s="40"/>
      <c r="D191" s="40"/>
      <c r="E191" s="40"/>
      <c r="F191" s="40"/>
      <c r="G191" s="40"/>
      <c r="H191" s="5"/>
      <c r="Q191" s="40"/>
      <c r="R191" s="40"/>
      <c r="S191" s="40"/>
      <c r="T191" s="40"/>
      <c r="U191" s="40"/>
      <c r="W191" s="40"/>
      <c r="X191" s="40"/>
      <c r="Y191" s="40"/>
      <c r="Z191" s="41"/>
      <c r="AA191" s="41"/>
      <c r="AB191" s="41"/>
      <c r="AC191" s="41"/>
      <c r="AD191" s="41"/>
      <c r="AE191" s="40"/>
      <c r="AF191" s="45"/>
      <c r="AG191" s="5"/>
      <c r="AH191" s="6"/>
      <c r="AI191" s="45"/>
      <c r="AJ191" s="45"/>
      <c r="AK191" s="40"/>
      <c r="AL191" s="40"/>
      <c r="AM191" s="40"/>
      <c r="AN191" s="45"/>
      <c r="AO191" s="40"/>
    </row>
    <row r="192" spans="2:41" ht="12.75" customHeight="1" x14ac:dyDescent="0.25">
      <c r="B192" s="40"/>
      <c r="C192" s="40"/>
      <c r="D192" s="40"/>
      <c r="E192" s="40"/>
      <c r="F192" s="40"/>
      <c r="G192" s="40"/>
      <c r="H192" s="5"/>
      <c r="Q192" s="40"/>
      <c r="R192" s="40"/>
      <c r="S192" s="40"/>
      <c r="T192" s="40"/>
      <c r="U192" s="40"/>
      <c r="W192" s="40"/>
      <c r="X192" s="40"/>
      <c r="Y192" s="40"/>
      <c r="Z192" s="41"/>
      <c r="AA192" s="41"/>
      <c r="AB192" s="41"/>
      <c r="AC192" s="41"/>
      <c r="AD192" s="41"/>
      <c r="AE192" s="40"/>
      <c r="AF192" s="45"/>
      <c r="AG192" s="5"/>
      <c r="AH192" s="6"/>
      <c r="AI192" s="45"/>
      <c r="AJ192" s="45"/>
      <c r="AK192" s="40"/>
      <c r="AL192" s="40"/>
      <c r="AM192" s="40"/>
      <c r="AN192" s="45"/>
      <c r="AO192" s="40"/>
    </row>
    <row r="193" spans="2:41" ht="12.75" customHeight="1" x14ac:dyDescent="0.25">
      <c r="B193" s="40"/>
      <c r="C193" s="40"/>
      <c r="D193" s="40"/>
      <c r="E193" s="40"/>
      <c r="F193" s="40"/>
      <c r="G193" s="40"/>
      <c r="H193" s="5"/>
      <c r="Q193" s="40"/>
      <c r="R193" s="40"/>
      <c r="S193" s="40"/>
      <c r="T193" s="40"/>
      <c r="U193" s="40"/>
      <c r="W193" s="40"/>
      <c r="X193" s="40"/>
      <c r="Y193" s="40"/>
      <c r="Z193" s="41"/>
      <c r="AA193" s="41"/>
      <c r="AB193" s="41"/>
      <c r="AC193" s="41"/>
      <c r="AD193" s="41"/>
      <c r="AE193" s="40"/>
      <c r="AF193" s="45"/>
      <c r="AG193" s="5"/>
      <c r="AH193" s="6"/>
      <c r="AI193" s="45"/>
      <c r="AJ193" s="45"/>
      <c r="AK193" s="40"/>
      <c r="AL193" s="40"/>
      <c r="AM193" s="40"/>
      <c r="AN193" s="45"/>
      <c r="AO193" s="40"/>
    </row>
    <row r="194" spans="2:41" ht="12.75" customHeight="1" x14ac:dyDescent="0.25">
      <c r="B194" s="40"/>
      <c r="C194" s="40"/>
      <c r="D194" s="40"/>
      <c r="E194" s="40"/>
      <c r="F194" s="40"/>
      <c r="G194" s="40"/>
      <c r="H194" s="5"/>
      <c r="Q194" s="40"/>
      <c r="R194" s="40"/>
      <c r="S194" s="40"/>
      <c r="T194" s="40"/>
      <c r="U194" s="40"/>
      <c r="W194" s="40"/>
      <c r="X194" s="40"/>
      <c r="Y194" s="40"/>
      <c r="Z194" s="41"/>
      <c r="AA194" s="41"/>
      <c r="AB194" s="41"/>
      <c r="AC194" s="41"/>
      <c r="AD194" s="41"/>
      <c r="AE194" s="40"/>
      <c r="AF194" s="45"/>
      <c r="AG194" s="5"/>
      <c r="AH194" s="6"/>
      <c r="AI194" s="45"/>
      <c r="AJ194" s="45"/>
      <c r="AK194" s="40"/>
      <c r="AL194" s="40"/>
      <c r="AM194" s="40"/>
      <c r="AN194" s="45"/>
      <c r="AO194" s="40"/>
    </row>
    <row r="195" spans="2:41" ht="12.75" customHeight="1" x14ac:dyDescent="0.25">
      <c r="B195" s="40"/>
      <c r="C195" s="40"/>
      <c r="D195" s="40"/>
      <c r="E195" s="40"/>
      <c r="F195" s="40"/>
      <c r="G195" s="40"/>
      <c r="H195" s="5"/>
      <c r="Q195" s="40"/>
      <c r="R195" s="40"/>
      <c r="S195" s="40"/>
      <c r="T195" s="40"/>
      <c r="U195" s="40"/>
      <c r="W195" s="40"/>
      <c r="X195" s="40"/>
      <c r="Y195" s="40"/>
      <c r="Z195" s="41"/>
      <c r="AA195" s="41"/>
      <c r="AB195" s="41"/>
      <c r="AC195" s="41"/>
      <c r="AD195" s="41"/>
      <c r="AE195" s="40"/>
      <c r="AF195" s="45"/>
      <c r="AG195" s="5"/>
      <c r="AH195" s="6"/>
      <c r="AI195" s="45"/>
      <c r="AJ195" s="45"/>
      <c r="AK195" s="40"/>
      <c r="AL195" s="40"/>
      <c r="AM195" s="40"/>
      <c r="AN195" s="45"/>
      <c r="AO195" s="40"/>
    </row>
    <row r="196" spans="2:41" ht="12.75" customHeight="1" x14ac:dyDescent="0.25">
      <c r="B196" s="40"/>
      <c r="C196" s="40"/>
      <c r="D196" s="40"/>
      <c r="E196" s="40"/>
      <c r="F196" s="40"/>
      <c r="G196" s="40"/>
      <c r="H196" s="5"/>
      <c r="Q196" s="40"/>
      <c r="R196" s="40"/>
      <c r="S196" s="40"/>
      <c r="T196" s="40"/>
      <c r="U196" s="40"/>
      <c r="W196" s="40"/>
      <c r="X196" s="40"/>
      <c r="Y196" s="40"/>
      <c r="Z196" s="41"/>
      <c r="AA196" s="41"/>
      <c r="AB196" s="41"/>
      <c r="AC196" s="41"/>
      <c r="AD196" s="41"/>
      <c r="AE196" s="40"/>
      <c r="AF196" s="45"/>
      <c r="AG196" s="5"/>
      <c r="AH196" s="6"/>
      <c r="AI196" s="45"/>
      <c r="AJ196" s="45"/>
      <c r="AK196" s="40"/>
      <c r="AL196" s="40"/>
      <c r="AM196" s="40"/>
      <c r="AN196" s="45"/>
      <c r="AO196" s="40"/>
    </row>
    <row r="197" spans="2:41" ht="12.75" customHeight="1" x14ac:dyDescent="0.25">
      <c r="B197" s="40"/>
      <c r="C197" s="40"/>
      <c r="D197" s="40"/>
      <c r="E197" s="40"/>
      <c r="F197" s="40"/>
      <c r="G197" s="40"/>
      <c r="H197" s="5"/>
      <c r="Q197" s="40"/>
      <c r="R197" s="40"/>
      <c r="S197" s="40"/>
      <c r="T197" s="40"/>
      <c r="U197" s="40"/>
      <c r="W197" s="40"/>
      <c r="X197" s="40"/>
      <c r="Y197" s="40"/>
      <c r="Z197" s="41"/>
      <c r="AA197" s="41"/>
      <c r="AB197" s="41"/>
      <c r="AC197" s="41"/>
      <c r="AD197" s="41"/>
      <c r="AE197" s="40"/>
      <c r="AF197" s="45"/>
      <c r="AG197" s="5"/>
      <c r="AH197" s="6"/>
      <c r="AI197" s="45"/>
      <c r="AJ197" s="45"/>
      <c r="AK197" s="40"/>
      <c r="AL197" s="40"/>
      <c r="AM197" s="40"/>
      <c r="AN197" s="45"/>
      <c r="AO197" s="40"/>
    </row>
    <row r="198" spans="2:41" ht="12.75" customHeight="1" x14ac:dyDescent="0.25">
      <c r="B198" s="40"/>
      <c r="C198" s="40"/>
      <c r="D198" s="40"/>
      <c r="E198" s="40"/>
      <c r="F198" s="40"/>
      <c r="G198" s="40"/>
      <c r="H198" s="5"/>
      <c r="Q198" s="40"/>
      <c r="R198" s="40"/>
      <c r="S198" s="40"/>
      <c r="T198" s="40"/>
      <c r="U198" s="40"/>
      <c r="W198" s="40"/>
      <c r="X198" s="40"/>
      <c r="Y198" s="40"/>
      <c r="Z198" s="41"/>
      <c r="AA198" s="41"/>
      <c r="AB198" s="41"/>
      <c r="AC198" s="41"/>
      <c r="AD198" s="41"/>
      <c r="AE198" s="40"/>
      <c r="AF198" s="45"/>
      <c r="AG198" s="5"/>
      <c r="AH198" s="6"/>
      <c r="AI198" s="45"/>
      <c r="AJ198" s="45"/>
      <c r="AK198" s="40"/>
      <c r="AL198" s="40"/>
      <c r="AM198" s="40"/>
      <c r="AN198" s="45"/>
      <c r="AO198" s="40"/>
    </row>
    <row r="199" spans="2:41" ht="12.75" customHeight="1" x14ac:dyDescent="0.25">
      <c r="B199" s="40"/>
      <c r="C199" s="40"/>
      <c r="D199" s="40"/>
      <c r="E199" s="40"/>
      <c r="F199" s="40"/>
      <c r="G199" s="40"/>
      <c r="H199" s="5"/>
      <c r="Q199" s="40"/>
      <c r="R199" s="40"/>
      <c r="S199" s="40"/>
      <c r="T199" s="40"/>
      <c r="U199" s="40"/>
      <c r="W199" s="40"/>
      <c r="X199" s="40"/>
      <c r="Y199" s="40"/>
      <c r="Z199" s="41"/>
      <c r="AA199" s="41"/>
      <c r="AB199" s="41"/>
      <c r="AC199" s="41"/>
      <c r="AD199" s="41"/>
      <c r="AE199" s="40"/>
      <c r="AF199" s="45"/>
      <c r="AG199" s="5"/>
      <c r="AH199" s="6"/>
      <c r="AI199" s="45"/>
      <c r="AJ199" s="45"/>
      <c r="AK199" s="40"/>
      <c r="AL199" s="40"/>
      <c r="AM199" s="40"/>
      <c r="AN199" s="45"/>
      <c r="AO199" s="40"/>
    </row>
    <row r="200" spans="2:41" ht="12.75" customHeight="1" x14ac:dyDescent="0.25">
      <c r="B200" s="40"/>
      <c r="C200" s="40"/>
      <c r="D200" s="40"/>
      <c r="E200" s="40"/>
      <c r="F200" s="40"/>
      <c r="G200" s="40"/>
      <c r="H200" s="5"/>
      <c r="Q200" s="40"/>
      <c r="R200" s="40"/>
      <c r="S200" s="40"/>
      <c r="T200" s="40"/>
      <c r="U200" s="40"/>
      <c r="W200" s="40"/>
      <c r="X200" s="40"/>
      <c r="Y200" s="40"/>
      <c r="Z200" s="41"/>
      <c r="AA200" s="41"/>
      <c r="AB200" s="41"/>
      <c r="AC200" s="41"/>
      <c r="AD200" s="41"/>
      <c r="AE200" s="40"/>
      <c r="AF200" s="45"/>
      <c r="AG200" s="5"/>
      <c r="AH200" s="6"/>
      <c r="AI200" s="45"/>
      <c r="AJ200" s="45"/>
      <c r="AK200" s="40"/>
      <c r="AL200" s="40"/>
      <c r="AM200" s="40"/>
      <c r="AN200" s="45"/>
      <c r="AO200" s="40"/>
    </row>
    <row r="201" spans="2:41" ht="12.75" customHeight="1" x14ac:dyDescent="0.25">
      <c r="B201" s="40"/>
      <c r="C201" s="40"/>
      <c r="D201" s="40"/>
      <c r="E201" s="40"/>
      <c r="F201" s="40"/>
      <c r="G201" s="40"/>
      <c r="H201" s="5"/>
      <c r="Q201" s="40"/>
      <c r="R201" s="40"/>
      <c r="S201" s="40"/>
      <c r="T201" s="40"/>
      <c r="U201" s="40"/>
      <c r="W201" s="40"/>
      <c r="X201" s="40"/>
      <c r="Y201" s="40"/>
      <c r="Z201" s="41"/>
      <c r="AA201" s="41"/>
      <c r="AB201" s="41"/>
      <c r="AC201" s="41"/>
      <c r="AD201" s="41"/>
      <c r="AE201" s="40"/>
      <c r="AF201" s="45"/>
      <c r="AG201" s="5"/>
      <c r="AH201" s="6"/>
      <c r="AI201" s="45"/>
      <c r="AJ201" s="45"/>
      <c r="AK201" s="40"/>
      <c r="AL201" s="40"/>
      <c r="AM201" s="40"/>
      <c r="AN201" s="45"/>
      <c r="AO201" s="40"/>
    </row>
    <row r="202" spans="2:41" ht="12.75" customHeight="1" x14ac:dyDescent="0.25">
      <c r="B202" s="40"/>
      <c r="C202" s="40"/>
      <c r="D202" s="40"/>
      <c r="E202" s="40"/>
      <c r="F202" s="40"/>
      <c r="G202" s="40"/>
      <c r="H202" s="5"/>
      <c r="Q202" s="40"/>
      <c r="R202" s="40"/>
      <c r="S202" s="40"/>
      <c r="T202" s="40"/>
      <c r="U202" s="40"/>
      <c r="W202" s="40"/>
      <c r="X202" s="40"/>
      <c r="Y202" s="40"/>
      <c r="Z202" s="41"/>
      <c r="AA202" s="41"/>
      <c r="AB202" s="41"/>
      <c r="AC202" s="41"/>
      <c r="AD202" s="41"/>
      <c r="AE202" s="40"/>
      <c r="AF202" s="45"/>
      <c r="AG202" s="5"/>
      <c r="AH202" s="6"/>
      <c r="AI202" s="45"/>
      <c r="AJ202" s="45"/>
      <c r="AK202" s="40"/>
      <c r="AL202" s="40"/>
      <c r="AM202" s="40"/>
      <c r="AN202" s="45"/>
      <c r="AO202" s="40"/>
    </row>
    <row r="203" spans="2:41" ht="12.75" customHeight="1" x14ac:dyDescent="0.25">
      <c r="B203" s="40"/>
      <c r="C203" s="40"/>
      <c r="D203" s="40"/>
      <c r="E203" s="40"/>
      <c r="F203" s="40"/>
      <c r="G203" s="40"/>
      <c r="H203" s="5"/>
      <c r="Q203" s="40"/>
      <c r="R203" s="40"/>
      <c r="S203" s="40"/>
      <c r="T203" s="40"/>
      <c r="U203" s="40"/>
      <c r="W203" s="40"/>
      <c r="X203" s="40"/>
      <c r="Y203" s="40"/>
      <c r="Z203" s="41"/>
      <c r="AA203" s="41"/>
      <c r="AB203" s="41"/>
      <c r="AC203" s="41"/>
      <c r="AD203" s="41"/>
      <c r="AE203" s="40"/>
      <c r="AF203" s="45"/>
      <c r="AG203" s="5"/>
      <c r="AH203" s="6"/>
      <c r="AI203" s="45"/>
      <c r="AJ203" s="45"/>
      <c r="AK203" s="40"/>
      <c r="AL203" s="40"/>
      <c r="AM203" s="40"/>
      <c r="AN203" s="45"/>
      <c r="AO203" s="40"/>
    </row>
    <row r="204" spans="2:41" ht="12.75" customHeight="1" x14ac:dyDescent="0.25">
      <c r="B204" s="40"/>
      <c r="C204" s="40"/>
      <c r="D204" s="40"/>
      <c r="E204" s="40"/>
      <c r="F204" s="40"/>
      <c r="G204" s="40"/>
      <c r="H204" s="5"/>
      <c r="Q204" s="40"/>
      <c r="R204" s="40"/>
      <c r="S204" s="40"/>
      <c r="T204" s="40"/>
      <c r="U204" s="40"/>
      <c r="W204" s="40"/>
      <c r="X204" s="40"/>
      <c r="Y204" s="40"/>
      <c r="Z204" s="41"/>
      <c r="AA204" s="41"/>
      <c r="AB204" s="41"/>
      <c r="AC204" s="41"/>
      <c r="AD204" s="41"/>
      <c r="AE204" s="40"/>
      <c r="AF204" s="45"/>
      <c r="AG204" s="5"/>
      <c r="AH204" s="6"/>
      <c r="AI204" s="45"/>
      <c r="AJ204" s="45"/>
      <c r="AK204" s="40"/>
      <c r="AL204" s="40"/>
      <c r="AM204" s="40"/>
      <c r="AN204" s="45"/>
      <c r="AO204" s="40"/>
    </row>
    <row r="205" spans="2:41" ht="12.75" customHeight="1" x14ac:dyDescent="0.25">
      <c r="B205" s="40"/>
      <c r="C205" s="40"/>
      <c r="D205" s="40"/>
      <c r="E205" s="40"/>
      <c r="F205" s="40"/>
      <c r="G205" s="40"/>
      <c r="H205" s="5"/>
      <c r="Q205" s="40"/>
      <c r="R205" s="40"/>
      <c r="S205" s="40"/>
      <c r="T205" s="40"/>
      <c r="U205" s="40"/>
      <c r="W205" s="40"/>
      <c r="X205" s="40"/>
      <c r="Y205" s="40"/>
      <c r="Z205" s="41"/>
      <c r="AA205" s="41"/>
      <c r="AB205" s="41"/>
      <c r="AC205" s="41"/>
      <c r="AD205" s="41"/>
      <c r="AE205" s="40"/>
      <c r="AF205" s="45"/>
      <c r="AG205" s="5"/>
      <c r="AH205" s="6"/>
      <c r="AI205" s="45"/>
      <c r="AJ205" s="45"/>
      <c r="AK205" s="40"/>
      <c r="AL205" s="40"/>
      <c r="AM205" s="40"/>
      <c r="AN205" s="45"/>
      <c r="AO205" s="40"/>
    </row>
    <row r="206" spans="2:41" ht="12.75" customHeight="1" x14ac:dyDescent="0.25">
      <c r="B206" s="40"/>
      <c r="C206" s="40"/>
      <c r="D206" s="40"/>
      <c r="E206" s="40"/>
      <c r="F206" s="40"/>
      <c r="G206" s="40"/>
      <c r="H206" s="5"/>
      <c r="Q206" s="40"/>
      <c r="R206" s="40"/>
      <c r="S206" s="40"/>
      <c r="T206" s="40"/>
      <c r="U206" s="40"/>
      <c r="W206" s="40"/>
      <c r="X206" s="40"/>
      <c r="Y206" s="40"/>
      <c r="Z206" s="41"/>
      <c r="AA206" s="41"/>
      <c r="AB206" s="41"/>
      <c r="AC206" s="41"/>
      <c r="AD206" s="41"/>
      <c r="AE206" s="40"/>
      <c r="AF206" s="45"/>
      <c r="AG206" s="5"/>
      <c r="AH206" s="6"/>
      <c r="AI206" s="45"/>
      <c r="AJ206" s="45"/>
      <c r="AK206" s="40"/>
      <c r="AL206" s="40"/>
      <c r="AM206" s="40"/>
      <c r="AN206" s="45"/>
      <c r="AO206" s="40"/>
    </row>
    <row r="207" spans="2:41" ht="12.75" customHeight="1" x14ac:dyDescent="0.25">
      <c r="B207" s="40"/>
      <c r="C207" s="40"/>
      <c r="D207" s="40"/>
      <c r="E207" s="40"/>
      <c r="F207" s="40"/>
      <c r="G207" s="40"/>
      <c r="H207" s="5"/>
      <c r="Q207" s="40"/>
      <c r="R207" s="40"/>
      <c r="S207" s="40"/>
      <c r="T207" s="40"/>
      <c r="U207" s="40"/>
      <c r="W207" s="40"/>
      <c r="X207" s="40"/>
      <c r="Y207" s="40"/>
      <c r="Z207" s="41"/>
      <c r="AA207" s="41"/>
      <c r="AB207" s="41"/>
      <c r="AC207" s="41"/>
      <c r="AD207" s="41"/>
      <c r="AE207" s="40"/>
      <c r="AF207" s="45"/>
      <c r="AG207" s="5"/>
      <c r="AH207" s="6"/>
      <c r="AI207" s="45"/>
      <c r="AJ207" s="45"/>
      <c r="AK207" s="40"/>
      <c r="AL207" s="40"/>
      <c r="AM207" s="40"/>
      <c r="AN207" s="45"/>
      <c r="AO207" s="40"/>
    </row>
    <row r="208" spans="2:41" ht="12.75" customHeight="1" x14ac:dyDescent="0.25">
      <c r="B208" s="40"/>
      <c r="C208" s="40"/>
      <c r="D208" s="40"/>
      <c r="E208" s="40"/>
      <c r="F208" s="40"/>
      <c r="G208" s="40"/>
      <c r="H208" s="5"/>
      <c r="Q208" s="40"/>
      <c r="R208" s="40"/>
      <c r="S208" s="40"/>
      <c r="T208" s="40"/>
      <c r="U208" s="40"/>
      <c r="W208" s="40"/>
      <c r="X208" s="40"/>
      <c r="Y208" s="40"/>
      <c r="Z208" s="41"/>
      <c r="AA208" s="41"/>
      <c r="AB208" s="41"/>
      <c r="AC208" s="41"/>
      <c r="AD208" s="41"/>
      <c r="AE208" s="40"/>
      <c r="AF208" s="45"/>
      <c r="AG208" s="5"/>
      <c r="AH208" s="6"/>
      <c r="AI208" s="45"/>
      <c r="AJ208" s="45"/>
      <c r="AK208" s="40"/>
      <c r="AL208" s="40"/>
      <c r="AM208" s="40"/>
      <c r="AN208" s="45"/>
      <c r="AO208" s="40"/>
    </row>
    <row r="209" spans="2:41" ht="12.75" customHeight="1" x14ac:dyDescent="0.25">
      <c r="B209" s="40"/>
      <c r="C209" s="40"/>
      <c r="D209" s="40"/>
      <c r="E209" s="40"/>
      <c r="F209" s="40"/>
      <c r="G209" s="40"/>
      <c r="H209" s="5"/>
      <c r="Q209" s="40"/>
      <c r="R209" s="40"/>
      <c r="S209" s="40"/>
      <c r="T209" s="40"/>
      <c r="U209" s="40"/>
      <c r="W209" s="40"/>
      <c r="X209" s="40"/>
      <c r="Y209" s="40"/>
      <c r="Z209" s="41"/>
      <c r="AA209" s="41"/>
      <c r="AB209" s="41"/>
      <c r="AC209" s="41"/>
      <c r="AD209" s="41"/>
      <c r="AE209" s="40"/>
      <c r="AF209" s="45"/>
      <c r="AG209" s="5"/>
      <c r="AH209" s="6"/>
      <c r="AI209" s="45"/>
      <c r="AJ209" s="45"/>
      <c r="AK209" s="40"/>
      <c r="AL209" s="40"/>
      <c r="AM209" s="40"/>
      <c r="AN209" s="45"/>
      <c r="AO209" s="40"/>
    </row>
    <row r="210" spans="2:41" ht="12.75" customHeight="1" x14ac:dyDescent="0.25">
      <c r="B210" s="40"/>
      <c r="C210" s="40"/>
      <c r="D210" s="40"/>
      <c r="E210" s="40"/>
      <c r="F210" s="40"/>
      <c r="G210" s="40"/>
      <c r="H210" s="5"/>
      <c r="Q210" s="40"/>
      <c r="R210" s="40"/>
      <c r="S210" s="40"/>
      <c r="T210" s="40"/>
      <c r="U210" s="40"/>
      <c r="W210" s="40"/>
      <c r="X210" s="40"/>
      <c r="Y210" s="40"/>
      <c r="Z210" s="41"/>
      <c r="AA210" s="41"/>
      <c r="AB210" s="41"/>
      <c r="AC210" s="41"/>
      <c r="AD210" s="41"/>
      <c r="AE210" s="40"/>
      <c r="AF210" s="45"/>
      <c r="AG210" s="5"/>
      <c r="AH210" s="6"/>
      <c r="AI210" s="45"/>
      <c r="AJ210" s="45"/>
      <c r="AK210" s="40"/>
      <c r="AL210" s="40"/>
      <c r="AM210" s="40"/>
      <c r="AN210" s="45"/>
      <c r="AO210" s="40"/>
    </row>
    <row r="211" spans="2:41" ht="12.75" customHeight="1" x14ac:dyDescent="0.25">
      <c r="B211" s="40"/>
      <c r="C211" s="40"/>
      <c r="D211" s="40"/>
      <c r="E211" s="40"/>
      <c r="F211" s="40"/>
      <c r="G211" s="40"/>
      <c r="H211" s="5"/>
      <c r="Q211" s="40"/>
      <c r="R211" s="40"/>
      <c r="S211" s="40"/>
      <c r="T211" s="40"/>
      <c r="U211" s="40"/>
      <c r="W211" s="40"/>
      <c r="X211" s="40"/>
      <c r="Y211" s="40"/>
      <c r="Z211" s="41"/>
      <c r="AA211" s="41"/>
      <c r="AB211" s="41"/>
      <c r="AC211" s="41"/>
      <c r="AD211" s="41"/>
      <c r="AE211" s="40"/>
      <c r="AF211" s="45"/>
      <c r="AG211" s="5"/>
      <c r="AH211" s="6"/>
      <c r="AI211" s="45"/>
      <c r="AJ211" s="45"/>
      <c r="AK211" s="40"/>
      <c r="AL211" s="40"/>
      <c r="AM211" s="40"/>
      <c r="AN211" s="45"/>
      <c r="AO211" s="40"/>
    </row>
    <row r="212" spans="2:41" ht="12.75" customHeight="1" x14ac:dyDescent="0.25">
      <c r="B212" s="40"/>
      <c r="C212" s="40"/>
      <c r="D212" s="40"/>
      <c r="E212" s="40"/>
      <c r="F212" s="40"/>
      <c r="G212" s="40"/>
      <c r="H212" s="5"/>
      <c r="Q212" s="40"/>
      <c r="R212" s="40"/>
      <c r="S212" s="40"/>
      <c r="T212" s="40"/>
      <c r="U212" s="40"/>
      <c r="W212" s="40"/>
      <c r="X212" s="40"/>
      <c r="Y212" s="40"/>
      <c r="Z212" s="41"/>
      <c r="AA212" s="41"/>
      <c r="AB212" s="41"/>
      <c r="AC212" s="41"/>
      <c r="AD212" s="41"/>
      <c r="AE212" s="40"/>
      <c r="AF212" s="45"/>
      <c r="AG212" s="5"/>
      <c r="AH212" s="6"/>
      <c r="AI212" s="45"/>
      <c r="AJ212" s="45"/>
      <c r="AK212" s="40"/>
      <c r="AL212" s="40"/>
      <c r="AM212" s="40"/>
      <c r="AN212" s="45"/>
      <c r="AO212" s="40"/>
    </row>
    <row r="213" spans="2:41" ht="12.75" customHeight="1" x14ac:dyDescent="0.25">
      <c r="B213" s="40"/>
      <c r="C213" s="40"/>
      <c r="D213" s="40"/>
      <c r="E213" s="40"/>
      <c r="F213" s="40"/>
      <c r="G213" s="40"/>
      <c r="H213" s="5"/>
      <c r="Q213" s="40"/>
      <c r="R213" s="40"/>
      <c r="S213" s="40"/>
      <c r="T213" s="40"/>
      <c r="U213" s="40"/>
      <c r="W213" s="40"/>
      <c r="X213" s="40"/>
      <c r="Y213" s="40"/>
      <c r="Z213" s="41"/>
      <c r="AA213" s="41"/>
      <c r="AB213" s="41"/>
      <c r="AC213" s="41"/>
      <c r="AD213" s="41"/>
      <c r="AE213" s="40"/>
      <c r="AF213" s="45"/>
      <c r="AG213" s="5"/>
      <c r="AH213" s="6"/>
      <c r="AI213" s="45"/>
      <c r="AJ213" s="45"/>
      <c r="AK213" s="40"/>
      <c r="AL213" s="40"/>
      <c r="AM213" s="40"/>
      <c r="AN213" s="45"/>
      <c r="AO213" s="40"/>
    </row>
    <row r="214" spans="2:41" ht="12.75" customHeight="1" x14ac:dyDescent="0.25">
      <c r="B214" s="40"/>
      <c r="C214" s="40"/>
      <c r="D214" s="40"/>
      <c r="E214" s="40"/>
      <c r="F214" s="40"/>
      <c r="G214" s="40"/>
      <c r="H214" s="5"/>
      <c r="Q214" s="40"/>
      <c r="R214" s="40"/>
      <c r="S214" s="40"/>
      <c r="T214" s="40"/>
      <c r="U214" s="40"/>
      <c r="W214" s="40"/>
      <c r="X214" s="40"/>
      <c r="Y214" s="40"/>
      <c r="Z214" s="41"/>
      <c r="AA214" s="41"/>
      <c r="AB214" s="41"/>
      <c r="AC214" s="41"/>
      <c r="AD214" s="41"/>
      <c r="AE214" s="40"/>
      <c r="AF214" s="45"/>
      <c r="AG214" s="5"/>
      <c r="AH214" s="6"/>
      <c r="AI214" s="45"/>
      <c r="AJ214" s="45"/>
      <c r="AK214" s="40"/>
      <c r="AL214" s="40"/>
      <c r="AM214" s="40"/>
      <c r="AN214" s="45"/>
      <c r="AO214" s="40"/>
    </row>
    <row r="215" spans="2:41" ht="12.75" customHeight="1" x14ac:dyDescent="0.25">
      <c r="B215" s="40"/>
      <c r="C215" s="40"/>
      <c r="D215" s="40"/>
      <c r="E215" s="40"/>
      <c r="F215" s="40"/>
      <c r="G215" s="40"/>
      <c r="H215" s="5"/>
      <c r="Q215" s="40"/>
      <c r="R215" s="40"/>
      <c r="S215" s="40"/>
      <c r="T215" s="40"/>
      <c r="U215" s="40"/>
      <c r="W215" s="40"/>
      <c r="X215" s="40"/>
      <c r="Y215" s="40"/>
      <c r="Z215" s="41"/>
      <c r="AA215" s="41"/>
      <c r="AB215" s="41"/>
      <c r="AC215" s="41"/>
      <c r="AD215" s="41"/>
      <c r="AE215" s="40"/>
      <c r="AF215" s="45"/>
      <c r="AG215" s="5"/>
      <c r="AH215" s="6"/>
      <c r="AI215" s="45"/>
      <c r="AJ215" s="45"/>
      <c r="AK215" s="40"/>
      <c r="AL215" s="40"/>
      <c r="AM215" s="40"/>
      <c r="AN215" s="45"/>
      <c r="AO215" s="40"/>
    </row>
    <row r="216" spans="2:41" ht="12.75" customHeight="1" x14ac:dyDescent="0.25">
      <c r="B216" s="40"/>
      <c r="C216" s="40"/>
      <c r="D216" s="40"/>
      <c r="E216" s="40"/>
      <c r="F216" s="40"/>
      <c r="G216" s="40"/>
      <c r="H216" s="5"/>
      <c r="Q216" s="40"/>
      <c r="R216" s="40"/>
      <c r="S216" s="40"/>
      <c r="T216" s="40"/>
      <c r="U216" s="40"/>
      <c r="W216" s="40"/>
      <c r="X216" s="40"/>
      <c r="Y216" s="40"/>
      <c r="Z216" s="41"/>
      <c r="AA216" s="41"/>
      <c r="AB216" s="41"/>
      <c r="AC216" s="41"/>
      <c r="AD216" s="41"/>
      <c r="AE216" s="40"/>
      <c r="AF216" s="45"/>
      <c r="AG216" s="5"/>
      <c r="AH216" s="6"/>
      <c r="AI216" s="45"/>
      <c r="AJ216" s="45"/>
      <c r="AK216" s="40"/>
      <c r="AL216" s="40"/>
      <c r="AM216" s="40"/>
      <c r="AN216" s="45"/>
      <c r="AO216" s="40"/>
    </row>
    <row r="217" spans="2:41" ht="12.75" customHeight="1" x14ac:dyDescent="0.25">
      <c r="B217" s="40"/>
      <c r="C217" s="40"/>
      <c r="D217" s="40"/>
      <c r="E217" s="40"/>
      <c r="F217" s="40"/>
      <c r="G217" s="40"/>
      <c r="H217" s="5"/>
      <c r="Q217" s="40"/>
      <c r="R217" s="40"/>
      <c r="S217" s="40"/>
      <c r="T217" s="40"/>
      <c r="U217" s="40"/>
      <c r="W217" s="40"/>
      <c r="X217" s="40"/>
      <c r="Y217" s="40"/>
      <c r="Z217" s="41"/>
      <c r="AA217" s="41"/>
      <c r="AB217" s="41"/>
      <c r="AC217" s="41"/>
      <c r="AD217" s="41"/>
      <c r="AE217" s="40"/>
      <c r="AF217" s="45"/>
      <c r="AG217" s="5"/>
      <c r="AH217" s="6"/>
      <c r="AI217" s="45"/>
      <c r="AJ217" s="45"/>
      <c r="AK217" s="40"/>
      <c r="AL217" s="40"/>
      <c r="AM217" s="40"/>
      <c r="AN217" s="45"/>
      <c r="AO217" s="40"/>
    </row>
    <row r="218" spans="2:41" ht="12.75" customHeight="1" x14ac:dyDescent="0.25">
      <c r="B218" s="40"/>
      <c r="C218" s="40"/>
      <c r="D218" s="40"/>
      <c r="E218" s="40"/>
      <c r="F218" s="40"/>
      <c r="G218" s="40"/>
      <c r="H218" s="5"/>
      <c r="Q218" s="40"/>
      <c r="R218" s="40"/>
      <c r="S218" s="40"/>
      <c r="T218" s="40"/>
      <c r="U218" s="40"/>
      <c r="W218" s="40"/>
      <c r="X218" s="40"/>
      <c r="Y218" s="40"/>
      <c r="Z218" s="41"/>
      <c r="AA218" s="41"/>
      <c r="AB218" s="41"/>
      <c r="AC218" s="41"/>
      <c r="AD218" s="41"/>
      <c r="AE218" s="40"/>
      <c r="AF218" s="45"/>
      <c r="AG218" s="5"/>
      <c r="AH218" s="6"/>
      <c r="AI218" s="45"/>
      <c r="AJ218" s="45"/>
      <c r="AK218" s="40"/>
      <c r="AL218" s="40"/>
      <c r="AM218" s="40"/>
      <c r="AN218" s="45"/>
      <c r="AO218" s="40"/>
    </row>
    <row r="219" spans="2:41" ht="12.75" customHeight="1" x14ac:dyDescent="0.25">
      <c r="B219" s="40"/>
      <c r="C219" s="40"/>
      <c r="D219" s="40"/>
      <c r="E219" s="40"/>
      <c r="F219" s="40"/>
      <c r="G219" s="40"/>
      <c r="H219" s="5"/>
      <c r="Q219" s="40"/>
      <c r="R219" s="40"/>
      <c r="S219" s="40"/>
      <c r="T219" s="40"/>
      <c r="U219" s="40"/>
      <c r="W219" s="40"/>
      <c r="X219" s="40"/>
      <c r="Y219" s="40"/>
      <c r="Z219" s="41"/>
      <c r="AA219" s="41"/>
      <c r="AB219" s="41"/>
      <c r="AC219" s="41"/>
      <c r="AD219" s="41"/>
      <c r="AE219" s="40"/>
      <c r="AF219" s="45"/>
      <c r="AG219" s="5"/>
      <c r="AH219" s="6"/>
      <c r="AI219" s="45"/>
      <c r="AJ219" s="45"/>
      <c r="AK219" s="40"/>
      <c r="AL219" s="40"/>
      <c r="AM219" s="40"/>
      <c r="AN219" s="45"/>
      <c r="AO219" s="40"/>
    </row>
    <row r="220" spans="2:41" ht="12.75" customHeight="1" x14ac:dyDescent="0.25">
      <c r="B220" s="40"/>
      <c r="C220" s="40"/>
      <c r="D220" s="40"/>
      <c r="E220" s="40"/>
      <c r="F220" s="40"/>
      <c r="G220" s="40"/>
      <c r="H220" s="5"/>
      <c r="Q220" s="40"/>
      <c r="R220" s="40"/>
      <c r="S220" s="40"/>
      <c r="T220" s="40"/>
      <c r="U220" s="40"/>
      <c r="W220" s="40"/>
      <c r="X220" s="40"/>
      <c r="Y220" s="40"/>
      <c r="Z220" s="41"/>
      <c r="AA220" s="41"/>
      <c r="AB220" s="41"/>
      <c r="AC220" s="41"/>
      <c r="AD220" s="41"/>
      <c r="AE220" s="40"/>
      <c r="AF220" s="45"/>
      <c r="AG220" s="5"/>
      <c r="AH220" s="6"/>
      <c r="AI220" s="45"/>
      <c r="AJ220" s="45"/>
      <c r="AK220" s="40"/>
      <c r="AL220" s="40"/>
      <c r="AM220" s="40"/>
      <c r="AN220" s="45"/>
      <c r="AO220" s="40"/>
    </row>
    <row r="221" spans="2:41" ht="12.75" customHeight="1" x14ac:dyDescent="0.25">
      <c r="B221" s="40"/>
      <c r="C221" s="40"/>
      <c r="D221" s="40"/>
      <c r="E221" s="40"/>
      <c r="F221" s="40"/>
      <c r="G221" s="40"/>
      <c r="H221" s="5"/>
      <c r="Q221" s="40"/>
      <c r="R221" s="40"/>
      <c r="S221" s="40"/>
      <c r="T221" s="40"/>
      <c r="U221" s="40"/>
      <c r="W221" s="40"/>
      <c r="X221" s="40"/>
      <c r="Y221" s="40"/>
      <c r="Z221" s="41"/>
      <c r="AA221" s="41"/>
      <c r="AB221" s="41"/>
      <c r="AC221" s="41"/>
      <c r="AD221" s="41"/>
      <c r="AE221" s="40"/>
      <c r="AF221" s="45"/>
      <c r="AG221" s="5"/>
      <c r="AH221" s="6"/>
      <c r="AI221" s="45"/>
      <c r="AJ221" s="45"/>
      <c r="AK221" s="40"/>
      <c r="AL221" s="40"/>
      <c r="AM221" s="40"/>
      <c r="AN221" s="45"/>
      <c r="AO221" s="40"/>
    </row>
    <row r="222" spans="2:41" ht="12.75" customHeight="1" x14ac:dyDescent="0.25">
      <c r="B222" s="40"/>
      <c r="C222" s="40"/>
      <c r="D222" s="40"/>
      <c r="E222" s="40"/>
      <c r="F222" s="40"/>
      <c r="G222" s="40"/>
      <c r="H222" s="5"/>
      <c r="Q222" s="40"/>
      <c r="R222" s="40"/>
      <c r="S222" s="40"/>
      <c r="T222" s="40"/>
      <c r="U222" s="40"/>
      <c r="W222" s="40"/>
      <c r="X222" s="40"/>
      <c r="Y222" s="40"/>
      <c r="Z222" s="41"/>
      <c r="AA222" s="41"/>
      <c r="AB222" s="41"/>
      <c r="AC222" s="41"/>
      <c r="AD222" s="41"/>
      <c r="AE222" s="40"/>
      <c r="AF222" s="45"/>
      <c r="AG222" s="5"/>
      <c r="AH222" s="6"/>
      <c r="AI222" s="45"/>
      <c r="AJ222" s="45"/>
      <c r="AK222" s="40"/>
      <c r="AL222" s="40"/>
      <c r="AM222" s="40"/>
      <c r="AN222" s="45"/>
      <c r="AO222" s="40"/>
    </row>
    <row r="223" spans="2:41" ht="12.75" customHeight="1" x14ac:dyDescent="0.25">
      <c r="B223" s="40"/>
      <c r="C223" s="40"/>
      <c r="D223" s="40"/>
      <c r="E223" s="40"/>
      <c r="F223" s="40"/>
      <c r="G223" s="40"/>
      <c r="H223" s="5"/>
      <c r="Q223" s="40"/>
      <c r="R223" s="40"/>
      <c r="S223" s="40"/>
      <c r="T223" s="40"/>
      <c r="U223" s="40"/>
      <c r="W223" s="40"/>
      <c r="X223" s="40"/>
      <c r="Y223" s="40"/>
      <c r="Z223" s="41"/>
      <c r="AA223" s="41"/>
      <c r="AB223" s="41"/>
      <c r="AC223" s="41"/>
      <c r="AD223" s="41"/>
      <c r="AE223" s="40"/>
      <c r="AF223" s="45"/>
      <c r="AG223" s="5"/>
      <c r="AH223" s="6"/>
      <c r="AI223" s="45"/>
      <c r="AJ223" s="45"/>
      <c r="AK223" s="40"/>
      <c r="AL223" s="40"/>
      <c r="AM223" s="40"/>
      <c r="AN223" s="45"/>
      <c r="AO223" s="40"/>
    </row>
    <row r="224" spans="2:41" ht="12.75" customHeight="1" x14ac:dyDescent="0.25">
      <c r="B224" s="40"/>
      <c r="C224" s="40"/>
      <c r="D224" s="40"/>
      <c r="E224" s="40"/>
      <c r="F224" s="40"/>
      <c r="G224" s="40"/>
      <c r="H224" s="5"/>
      <c r="Q224" s="40"/>
      <c r="R224" s="40"/>
      <c r="S224" s="40"/>
      <c r="T224" s="40"/>
      <c r="U224" s="40"/>
      <c r="W224" s="40"/>
      <c r="X224" s="40"/>
      <c r="Y224" s="40"/>
      <c r="Z224" s="41"/>
      <c r="AA224" s="41"/>
      <c r="AB224" s="41"/>
      <c r="AC224" s="41"/>
      <c r="AD224" s="41"/>
      <c r="AE224" s="40"/>
      <c r="AF224" s="45"/>
      <c r="AG224" s="5"/>
      <c r="AH224" s="6"/>
      <c r="AI224" s="45"/>
      <c r="AJ224" s="45"/>
      <c r="AK224" s="40"/>
      <c r="AL224" s="40"/>
      <c r="AM224" s="40"/>
      <c r="AN224" s="45"/>
      <c r="AO224" s="40"/>
    </row>
    <row r="225" spans="2:41" ht="12.75" customHeight="1" x14ac:dyDescent="0.25">
      <c r="B225" s="40"/>
      <c r="C225" s="40"/>
      <c r="D225" s="40"/>
      <c r="E225" s="40"/>
      <c r="F225" s="40"/>
      <c r="G225" s="40"/>
      <c r="H225" s="5"/>
      <c r="Q225" s="40"/>
      <c r="R225" s="40"/>
      <c r="S225" s="40"/>
      <c r="T225" s="40"/>
      <c r="U225" s="40"/>
      <c r="W225" s="40"/>
      <c r="X225" s="40"/>
      <c r="Y225" s="40"/>
      <c r="Z225" s="41"/>
      <c r="AA225" s="41"/>
      <c r="AB225" s="41"/>
      <c r="AC225" s="41"/>
      <c r="AD225" s="41"/>
      <c r="AE225" s="40"/>
      <c r="AF225" s="45"/>
      <c r="AG225" s="5"/>
      <c r="AH225" s="6"/>
      <c r="AI225" s="45"/>
      <c r="AJ225" s="45"/>
      <c r="AK225" s="40"/>
      <c r="AL225" s="40"/>
      <c r="AM225" s="40"/>
      <c r="AN225" s="45"/>
      <c r="AO225" s="40"/>
    </row>
    <row r="226" spans="2:41" ht="12.75" customHeight="1" x14ac:dyDescent="0.25">
      <c r="B226" s="40"/>
      <c r="C226" s="40"/>
      <c r="D226" s="40"/>
      <c r="E226" s="40"/>
      <c r="F226" s="40"/>
      <c r="G226" s="40"/>
      <c r="H226" s="5"/>
      <c r="Q226" s="40"/>
      <c r="R226" s="40"/>
      <c r="S226" s="40"/>
      <c r="T226" s="40"/>
      <c r="U226" s="40"/>
      <c r="W226" s="40"/>
      <c r="X226" s="40"/>
      <c r="Y226" s="40"/>
      <c r="Z226" s="41"/>
      <c r="AA226" s="41"/>
      <c r="AB226" s="41"/>
      <c r="AC226" s="41"/>
      <c r="AD226" s="41"/>
      <c r="AE226" s="40"/>
      <c r="AF226" s="45"/>
      <c r="AG226" s="5"/>
      <c r="AH226" s="6"/>
      <c r="AI226" s="45"/>
      <c r="AJ226" s="45"/>
      <c r="AK226" s="40"/>
      <c r="AL226" s="40"/>
      <c r="AM226" s="40"/>
      <c r="AN226" s="45"/>
      <c r="AO226" s="40"/>
    </row>
    <row r="227" spans="2:41" ht="12.75" customHeight="1" x14ac:dyDescent="0.25">
      <c r="B227" s="40"/>
      <c r="C227" s="40"/>
      <c r="D227" s="40"/>
      <c r="E227" s="40"/>
      <c r="F227" s="40"/>
      <c r="G227" s="40"/>
      <c r="H227" s="5"/>
      <c r="Q227" s="40"/>
      <c r="R227" s="40"/>
      <c r="S227" s="40"/>
      <c r="T227" s="40"/>
      <c r="U227" s="40"/>
      <c r="W227" s="40"/>
      <c r="X227" s="40"/>
      <c r="Y227" s="40"/>
      <c r="Z227" s="41"/>
      <c r="AA227" s="41"/>
      <c r="AB227" s="41"/>
      <c r="AC227" s="41"/>
      <c r="AD227" s="41"/>
      <c r="AE227" s="40"/>
      <c r="AF227" s="45"/>
      <c r="AG227" s="5"/>
      <c r="AH227" s="6"/>
      <c r="AI227" s="45"/>
      <c r="AJ227" s="45"/>
      <c r="AK227" s="40"/>
      <c r="AL227" s="40"/>
      <c r="AM227" s="40"/>
      <c r="AN227" s="45"/>
      <c r="AO227" s="40"/>
    </row>
    <row r="228" spans="2:41" ht="12.75" customHeight="1" x14ac:dyDescent="0.25">
      <c r="B228" s="40"/>
      <c r="C228" s="40"/>
      <c r="D228" s="40"/>
      <c r="E228" s="40"/>
      <c r="F228" s="40"/>
      <c r="G228" s="40"/>
      <c r="H228" s="5"/>
      <c r="Q228" s="40"/>
      <c r="R228" s="40"/>
      <c r="S228" s="40"/>
      <c r="T228" s="40"/>
      <c r="U228" s="40"/>
      <c r="W228" s="40"/>
      <c r="X228" s="40"/>
      <c r="Y228" s="40"/>
      <c r="Z228" s="41"/>
      <c r="AA228" s="41"/>
      <c r="AB228" s="41"/>
      <c r="AC228" s="41"/>
      <c r="AD228" s="41"/>
      <c r="AE228" s="40"/>
      <c r="AF228" s="45"/>
      <c r="AG228" s="5"/>
      <c r="AH228" s="6"/>
      <c r="AI228" s="45"/>
      <c r="AJ228" s="45"/>
      <c r="AK228" s="40"/>
      <c r="AL228" s="40"/>
      <c r="AM228" s="40"/>
      <c r="AN228" s="45"/>
      <c r="AO228" s="40"/>
    </row>
    <row r="229" spans="2:41" ht="12.75" customHeight="1" x14ac:dyDescent="0.25">
      <c r="B229" s="40"/>
      <c r="C229" s="40"/>
      <c r="D229" s="40"/>
      <c r="E229" s="40"/>
      <c r="F229" s="40"/>
      <c r="G229" s="40"/>
      <c r="H229" s="5"/>
      <c r="Q229" s="40"/>
      <c r="R229" s="40"/>
      <c r="S229" s="40"/>
      <c r="T229" s="40"/>
      <c r="U229" s="40"/>
      <c r="W229" s="40"/>
      <c r="X229" s="40"/>
      <c r="Y229" s="40"/>
      <c r="Z229" s="41"/>
      <c r="AA229" s="41"/>
      <c r="AB229" s="41"/>
      <c r="AC229" s="41"/>
      <c r="AD229" s="41"/>
      <c r="AE229" s="40"/>
      <c r="AF229" s="45"/>
      <c r="AG229" s="5"/>
      <c r="AH229" s="6"/>
      <c r="AI229" s="45"/>
      <c r="AJ229" s="45"/>
      <c r="AK229" s="40"/>
      <c r="AL229" s="40"/>
      <c r="AM229" s="40"/>
      <c r="AN229" s="45"/>
      <c r="AO229" s="40"/>
    </row>
    <row r="230" spans="2:41" ht="12.75" customHeight="1" x14ac:dyDescent="0.25">
      <c r="B230" s="40"/>
      <c r="C230" s="40"/>
      <c r="D230" s="40"/>
      <c r="E230" s="40"/>
      <c r="F230" s="40"/>
      <c r="G230" s="40"/>
      <c r="H230" s="5"/>
      <c r="Q230" s="40"/>
      <c r="R230" s="40"/>
      <c r="S230" s="40"/>
      <c r="T230" s="40"/>
      <c r="U230" s="40"/>
      <c r="W230" s="40"/>
      <c r="X230" s="40"/>
      <c r="Y230" s="40"/>
      <c r="Z230" s="41"/>
      <c r="AA230" s="41"/>
      <c r="AB230" s="41"/>
      <c r="AC230" s="41"/>
      <c r="AD230" s="41"/>
      <c r="AE230" s="40"/>
      <c r="AF230" s="45"/>
      <c r="AG230" s="5"/>
      <c r="AH230" s="6"/>
      <c r="AI230" s="45"/>
      <c r="AJ230" s="45"/>
      <c r="AK230" s="40"/>
      <c r="AL230" s="40"/>
      <c r="AM230" s="40"/>
      <c r="AN230" s="45"/>
      <c r="AO230" s="40"/>
    </row>
    <row r="231" spans="2:41" ht="12.75" customHeight="1" x14ac:dyDescent="0.25">
      <c r="B231" s="40"/>
      <c r="C231" s="40"/>
      <c r="D231" s="40"/>
      <c r="E231" s="40"/>
      <c r="F231" s="40"/>
      <c r="G231" s="40"/>
      <c r="H231" s="5"/>
      <c r="Q231" s="40"/>
      <c r="R231" s="40"/>
      <c r="S231" s="40"/>
      <c r="T231" s="40"/>
      <c r="U231" s="40"/>
      <c r="W231" s="40"/>
      <c r="X231" s="40"/>
      <c r="Y231" s="40"/>
      <c r="Z231" s="41"/>
      <c r="AA231" s="41"/>
      <c r="AB231" s="41"/>
      <c r="AC231" s="41"/>
      <c r="AD231" s="41"/>
      <c r="AE231" s="40"/>
      <c r="AF231" s="45"/>
      <c r="AG231" s="5"/>
      <c r="AH231" s="6"/>
      <c r="AI231" s="45"/>
      <c r="AJ231" s="45"/>
      <c r="AK231" s="40"/>
      <c r="AL231" s="40"/>
      <c r="AM231" s="40"/>
      <c r="AN231" s="45"/>
      <c r="AO231" s="40"/>
    </row>
    <row r="232" spans="2:41" ht="12.75" customHeight="1" x14ac:dyDescent="0.25">
      <c r="B232" s="40"/>
      <c r="C232" s="40"/>
      <c r="D232" s="40"/>
      <c r="E232" s="40"/>
      <c r="F232" s="40"/>
      <c r="G232" s="40"/>
      <c r="H232" s="5"/>
      <c r="Q232" s="40"/>
      <c r="R232" s="40"/>
      <c r="S232" s="40"/>
      <c r="T232" s="40"/>
      <c r="U232" s="40"/>
      <c r="W232" s="40"/>
      <c r="X232" s="40"/>
      <c r="Y232" s="40"/>
      <c r="Z232" s="41"/>
      <c r="AA232" s="41"/>
      <c r="AB232" s="41"/>
      <c r="AC232" s="41"/>
      <c r="AD232" s="41"/>
      <c r="AE232" s="40"/>
      <c r="AF232" s="45"/>
      <c r="AG232" s="5"/>
      <c r="AH232" s="6"/>
      <c r="AI232" s="45"/>
      <c r="AJ232" s="45"/>
      <c r="AK232" s="40"/>
      <c r="AL232" s="40"/>
      <c r="AM232" s="40"/>
      <c r="AN232" s="45"/>
      <c r="AO232" s="40"/>
    </row>
    <row r="233" spans="2:41" ht="12.75" customHeight="1" x14ac:dyDescent="0.25">
      <c r="B233" s="40"/>
      <c r="C233" s="40"/>
      <c r="D233" s="40"/>
      <c r="E233" s="40"/>
      <c r="F233" s="40"/>
      <c r="G233" s="40"/>
      <c r="H233" s="5"/>
      <c r="Q233" s="40"/>
      <c r="R233" s="40"/>
      <c r="S233" s="40"/>
      <c r="T233" s="40"/>
      <c r="U233" s="40"/>
      <c r="W233" s="40"/>
      <c r="X233" s="40"/>
      <c r="Y233" s="40"/>
      <c r="Z233" s="41"/>
      <c r="AA233" s="41"/>
      <c r="AB233" s="41"/>
      <c r="AC233" s="41"/>
      <c r="AD233" s="41"/>
      <c r="AE233" s="40"/>
      <c r="AF233" s="45"/>
      <c r="AG233" s="5"/>
      <c r="AH233" s="6"/>
      <c r="AI233" s="45"/>
      <c r="AJ233" s="45"/>
      <c r="AK233" s="40"/>
      <c r="AL233" s="40"/>
      <c r="AM233" s="40"/>
      <c r="AN233" s="45"/>
      <c r="AO233" s="40"/>
    </row>
    <row r="234" spans="2:41" ht="12.75" customHeight="1" x14ac:dyDescent="0.25">
      <c r="B234" s="40"/>
      <c r="C234" s="40"/>
      <c r="D234" s="40"/>
      <c r="E234" s="40"/>
      <c r="F234" s="40"/>
      <c r="G234" s="40"/>
      <c r="H234" s="5"/>
      <c r="Q234" s="40"/>
      <c r="R234" s="40"/>
      <c r="S234" s="40"/>
      <c r="T234" s="40"/>
      <c r="U234" s="40"/>
      <c r="W234" s="40"/>
      <c r="X234" s="40"/>
      <c r="Y234" s="40"/>
      <c r="Z234" s="41"/>
      <c r="AA234" s="41"/>
      <c r="AB234" s="41"/>
      <c r="AC234" s="41"/>
      <c r="AD234" s="41"/>
      <c r="AE234" s="40"/>
      <c r="AF234" s="45"/>
      <c r="AG234" s="5"/>
      <c r="AH234" s="6"/>
      <c r="AI234" s="45"/>
      <c r="AJ234" s="45"/>
      <c r="AK234" s="40"/>
      <c r="AL234" s="40"/>
      <c r="AM234" s="40"/>
      <c r="AN234" s="45"/>
      <c r="AO234" s="40"/>
    </row>
    <row r="235" spans="2:41" ht="12.75" customHeight="1" x14ac:dyDescent="0.25">
      <c r="B235" s="40"/>
      <c r="C235" s="40"/>
      <c r="D235" s="40"/>
      <c r="E235" s="40"/>
      <c r="F235" s="40"/>
      <c r="G235" s="40"/>
      <c r="H235" s="5"/>
      <c r="Q235" s="40"/>
      <c r="R235" s="40"/>
      <c r="S235" s="40"/>
      <c r="T235" s="40"/>
      <c r="U235" s="40"/>
      <c r="W235" s="40"/>
      <c r="X235" s="40"/>
      <c r="Y235" s="40"/>
      <c r="Z235" s="41"/>
      <c r="AA235" s="41"/>
      <c r="AB235" s="41"/>
      <c r="AC235" s="41"/>
      <c r="AD235" s="41"/>
      <c r="AE235" s="40"/>
      <c r="AF235" s="45"/>
      <c r="AG235" s="5"/>
      <c r="AH235" s="6"/>
      <c r="AI235" s="45"/>
      <c r="AJ235" s="45"/>
      <c r="AK235" s="40"/>
      <c r="AL235" s="40"/>
      <c r="AM235" s="40"/>
      <c r="AN235" s="45"/>
      <c r="AO235" s="40"/>
    </row>
    <row r="236" spans="2:41" ht="12.75" customHeight="1" x14ac:dyDescent="0.25">
      <c r="B236" s="40"/>
      <c r="C236" s="40"/>
      <c r="D236" s="40"/>
      <c r="E236" s="40"/>
      <c r="F236" s="40"/>
      <c r="G236" s="40"/>
      <c r="H236" s="5"/>
      <c r="Q236" s="40"/>
      <c r="R236" s="40"/>
      <c r="S236" s="40"/>
      <c r="T236" s="40"/>
      <c r="U236" s="40"/>
      <c r="W236" s="40"/>
      <c r="X236" s="40"/>
      <c r="Y236" s="40"/>
      <c r="Z236" s="41"/>
      <c r="AA236" s="41"/>
      <c r="AB236" s="41"/>
      <c r="AC236" s="41"/>
      <c r="AD236" s="41"/>
      <c r="AE236" s="40"/>
      <c r="AF236" s="45"/>
      <c r="AG236" s="5"/>
      <c r="AH236" s="6"/>
      <c r="AI236" s="45"/>
      <c r="AJ236" s="45"/>
      <c r="AK236" s="40"/>
      <c r="AL236" s="40"/>
      <c r="AM236" s="40"/>
      <c r="AN236" s="45"/>
      <c r="AO236" s="40"/>
    </row>
    <row r="237" spans="2:41" ht="12.75" customHeight="1" x14ac:dyDescent="0.25">
      <c r="B237" s="40"/>
      <c r="C237" s="40"/>
      <c r="D237" s="40"/>
      <c r="E237" s="40"/>
      <c r="F237" s="40"/>
      <c r="G237" s="40"/>
      <c r="H237" s="5"/>
      <c r="Q237" s="40"/>
      <c r="R237" s="40"/>
      <c r="S237" s="40"/>
      <c r="T237" s="40"/>
      <c r="U237" s="40"/>
      <c r="W237" s="40"/>
      <c r="X237" s="40"/>
      <c r="Y237" s="40"/>
      <c r="Z237" s="41"/>
      <c r="AA237" s="41"/>
      <c r="AB237" s="41"/>
      <c r="AC237" s="41"/>
      <c r="AD237" s="41"/>
      <c r="AE237" s="40"/>
      <c r="AF237" s="45"/>
      <c r="AG237" s="5"/>
      <c r="AH237" s="6"/>
      <c r="AI237" s="45"/>
      <c r="AJ237" s="45"/>
      <c r="AK237" s="40"/>
      <c r="AL237" s="40"/>
      <c r="AM237" s="40"/>
      <c r="AN237" s="45"/>
      <c r="AO237" s="40"/>
    </row>
    <row r="238" spans="2:41" ht="12.75" customHeight="1" x14ac:dyDescent="0.25">
      <c r="B238" s="40"/>
      <c r="C238" s="40"/>
      <c r="D238" s="40"/>
      <c r="E238" s="40"/>
      <c r="F238" s="40"/>
      <c r="G238" s="40"/>
      <c r="H238" s="5"/>
      <c r="Q238" s="40"/>
      <c r="R238" s="40"/>
      <c r="S238" s="40"/>
      <c r="T238" s="40"/>
      <c r="U238" s="40"/>
      <c r="W238" s="40"/>
      <c r="X238" s="40"/>
      <c r="Y238" s="40"/>
      <c r="Z238" s="41"/>
      <c r="AA238" s="41"/>
      <c r="AB238" s="41"/>
      <c r="AC238" s="41"/>
      <c r="AD238" s="41"/>
      <c r="AE238" s="40"/>
      <c r="AF238" s="45"/>
      <c r="AG238" s="5"/>
      <c r="AH238" s="6"/>
      <c r="AI238" s="45"/>
      <c r="AJ238" s="45"/>
      <c r="AK238" s="40"/>
      <c r="AL238" s="40"/>
      <c r="AM238" s="40"/>
      <c r="AN238" s="45"/>
      <c r="AO238" s="40"/>
    </row>
    <row r="239" spans="2:41" ht="12.75" customHeight="1" x14ac:dyDescent="0.25">
      <c r="B239" s="40"/>
      <c r="C239" s="40"/>
      <c r="D239" s="40"/>
      <c r="E239" s="40"/>
      <c r="F239" s="40"/>
      <c r="G239" s="40"/>
      <c r="H239" s="5"/>
      <c r="Q239" s="40"/>
      <c r="R239" s="40"/>
      <c r="S239" s="40"/>
      <c r="T239" s="40"/>
      <c r="U239" s="40"/>
      <c r="W239" s="40"/>
      <c r="X239" s="40"/>
      <c r="Y239" s="40"/>
      <c r="Z239" s="41"/>
      <c r="AA239" s="41"/>
      <c r="AB239" s="41"/>
      <c r="AC239" s="41"/>
      <c r="AD239" s="41"/>
      <c r="AE239" s="40"/>
      <c r="AF239" s="45"/>
      <c r="AG239" s="5"/>
      <c r="AH239" s="6"/>
      <c r="AI239" s="45"/>
      <c r="AJ239" s="45"/>
      <c r="AK239" s="40"/>
      <c r="AL239" s="40"/>
      <c r="AM239" s="40"/>
      <c r="AN239" s="45"/>
      <c r="AO239" s="40"/>
    </row>
    <row r="240" spans="2:41" ht="12.75" customHeight="1" x14ac:dyDescent="0.25">
      <c r="B240" s="40"/>
      <c r="C240" s="40"/>
      <c r="D240" s="40"/>
      <c r="E240" s="40"/>
      <c r="F240" s="40"/>
      <c r="G240" s="40"/>
      <c r="H240" s="5"/>
      <c r="Q240" s="40"/>
      <c r="R240" s="40"/>
      <c r="S240" s="40"/>
      <c r="T240" s="40"/>
      <c r="U240" s="40"/>
      <c r="W240" s="40"/>
      <c r="X240" s="40"/>
      <c r="Y240" s="40"/>
      <c r="Z240" s="41"/>
      <c r="AA240" s="41"/>
      <c r="AB240" s="41"/>
      <c r="AC240" s="41"/>
      <c r="AD240" s="41"/>
      <c r="AE240" s="40"/>
      <c r="AF240" s="45"/>
      <c r="AG240" s="5"/>
      <c r="AH240" s="6"/>
      <c r="AI240" s="45"/>
      <c r="AJ240" s="45"/>
      <c r="AK240" s="40"/>
      <c r="AL240" s="40"/>
      <c r="AM240" s="40"/>
      <c r="AN240" s="45"/>
      <c r="AO240" s="40"/>
    </row>
    <row r="241" spans="2:41" ht="12.75" customHeight="1" x14ac:dyDescent="0.25">
      <c r="B241" s="40"/>
      <c r="C241" s="40"/>
      <c r="D241" s="40"/>
      <c r="E241" s="40"/>
      <c r="F241" s="40"/>
      <c r="G241" s="40"/>
      <c r="H241" s="5"/>
      <c r="Q241" s="40"/>
      <c r="R241" s="40"/>
      <c r="S241" s="40"/>
      <c r="T241" s="40"/>
      <c r="U241" s="40"/>
      <c r="W241" s="40"/>
      <c r="X241" s="40"/>
      <c r="Y241" s="40"/>
      <c r="Z241" s="41"/>
      <c r="AA241" s="41"/>
      <c r="AB241" s="41"/>
      <c r="AC241" s="41"/>
      <c r="AD241" s="41"/>
      <c r="AE241" s="40"/>
      <c r="AF241" s="45"/>
      <c r="AG241" s="5"/>
      <c r="AH241" s="6"/>
      <c r="AI241" s="45"/>
      <c r="AJ241" s="45"/>
      <c r="AK241" s="40"/>
      <c r="AL241" s="40"/>
      <c r="AM241" s="40"/>
      <c r="AN241" s="45"/>
      <c r="AO241" s="40"/>
    </row>
    <row r="242" spans="2:41" ht="12.75" customHeight="1" x14ac:dyDescent="0.25">
      <c r="B242" s="40"/>
      <c r="C242" s="40"/>
      <c r="D242" s="40"/>
      <c r="E242" s="40"/>
      <c r="F242" s="40"/>
      <c r="G242" s="40"/>
      <c r="H242" s="5"/>
      <c r="Q242" s="40"/>
      <c r="R242" s="40"/>
      <c r="S242" s="40"/>
      <c r="T242" s="40"/>
      <c r="U242" s="40"/>
      <c r="W242" s="40"/>
      <c r="X242" s="40"/>
      <c r="Y242" s="40"/>
      <c r="Z242" s="41"/>
      <c r="AA242" s="41"/>
      <c r="AB242" s="41"/>
      <c r="AC242" s="41"/>
      <c r="AD242" s="41"/>
      <c r="AE242" s="40"/>
      <c r="AF242" s="45"/>
      <c r="AG242" s="5"/>
      <c r="AH242" s="6"/>
      <c r="AI242" s="45"/>
      <c r="AJ242" s="45"/>
      <c r="AK242" s="40"/>
      <c r="AL242" s="40"/>
      <c r="AM242" s="40"/>
      <c r="AN242" s="45"/>
      <c r="AO242" s="40"/>
    </row>
    <row r="243" spans="2:41" ht="12.75" customHeight="1" x14ac:dyDescent="0.25">
      <c r="B243" s="40"/>
      <c r="C243" s="40"/>
      <c r="D243" s="40"/>
      <c r="E243" s="40"/>
      <c r="F243" s="40"/>
      <c r="G243" s="40"/>
      <c r="H243" s="5"/>
      <c r="Q243" s="40"/>
      <c r="R243" s="40"/>
      <c r="S243" s="40"/>
      <c r="T243" s="40"/>
      <c r="U243" s="40"/>
      <c r="W243" s="40"/>
      <c r="X243" s="40"/>
      <c r="Y243" s="40"/>
      <c r="Z243" s="41"/>
      <c r="AA243" s="41"/>
      <c r="AB243" s="41"/>
      <c r="AC243" s="41"/>
      <c r="AD243" s="41"/>
      <c r="AE243" s="40"/>
      <c r="AF243" s="45"/>
      <c r="AG243" s="5"/>
      <c r="AH243" s="6"/>
      <c r="AI243" s="45"/>
      <c r="AJ243" s="45"/>
      <c r="AK243" s="40"/>
      <c r="AL243" s="40"/>
      <c r="AM243" s="40"/>
      <c r="AN243" s="45"/>
      <c r="AO243" s="40"/>
    </row>
    <row r="244" spans="2:41" ht="12.75" customHeight="1" x14ac:dyDescent="0.25">
      <c r="B244" s="40"/>
      <c r="C244" s="40"/>
      <c r="D244" s="40"/>
      <c r="E244" s="40"/>
      <c r="F244" s="40"/>
      <c r="G244" s="40"/>
      <c r="H244" s="5"/>
      <c r="Q244" s="40"/>
      <c r="R244" s="40"/>
      <c r="S244" s="40"/>
      <c r="T244" s="40"/>
      <c r="U244" s="40"/>
      <c r="W244" s="40"/>
      <c r="X244" s="40"/>
      <c r="Y244" s="40"/>
      <c r="Z244" s="41"/>
      <c r="AA244" s="41"/>
      <c r="AB244" s="41"/>
      <c r="AC244" s="41"/>
      <c r="AD244" s="41"/>
      <c r="AE244" s="40"/>
      <c r="AF244" s="45"/>
      <c r="AG244" s="5"/>
      <c r="AH244" s="6"/>
      <c r="AI244" s="45"/>
      <c r="AJ244" s="45"/>
      <c r="AK244" s="40"/>
      <c r="AL244" s="40"/>
      <c r="AM244" s="40"/>
      <c r="AN244" s="45"/>
      <c r="AO244" s="40"/>
    </row>
    <row r="245" spans="2:41" ht="12.75" customHeight="1" x14ac:dyDescent="0.25">
      <c r="B245" s="40"/>
      <c r="C245" s="40"/>
      <c r="D245" s="40"/>
      <c r="E245" s="40"/>
      <c r="F245" s="40"/>
      <c r="G245" s="40"/>
      <c r="H245" s="5"/>
      <c r="Q245" s="40"/>
      <c r="R245" s="40"/>
      <c r="S245" s="40"/>
      <c r="T245" s="40"/>
      <c r="U245" s="40"/>
      <c r="W245" s="40"/>
      <c r="X245" s="40"/>
      <c r="Y245" s="40"/>
      <c r="Z245" s="41"/>
      <c r="AA245" s="41"/>
      <c r="AB245" s="41"/>
      <c r="AC245" s="41"/>
      <c r="AD245" s="41"/>
      <c r="AE245" s="40"/>
      <c r="AF245" s="45"/>
      <c r="AG245" s="5"/>
      <c r="AH245" s="6"/>
      <c r="AI245" s="45"/>
      <c r="AJ245" s="45"/>
      <c r="AK245" s="40"/>
      <c r="AL245" s="40"/>
      <c r="AM245" s="40"/>
      <c r="AN245" s="45"/>
      <c r="AO245" s="40"/>
    </row>
    <row r="246" spans="2:41" ht="12.75" customHeight="1" x14ac:dyDescent="0.25">
      <c r="B246" s="40"/>
      <c r="C246" s="40"/>
      <c r="D246" s="40"/>
      <c r="E246" s="40"/>
      <c r="F246" s="40"/>
      <c r="G246" s="40"/>
      <c r="H246" s="5"/>
      <c r="Q246" s="40"/>
      <c r="R246" s="40"/>
      <c r="S246" s="40"/>
      <c r="T246" s="40"/>
      <c r="U246" s="40"/>
      <c r="W246" s="40"/>
      <c r="X246" s="40"/>
      <c r="Y246" s="40"/>
      <c r="Z246" s="41"/>
      <c r="AA246" s="41"/>
      <c r="AB246" s="41"/>
      <c r="AC246" s="41"/>
      <c r="AD246" s="41"/>
      <c r="AE246" s="40"/>
      <c r="AF246" s="45"/>
      <c r="AG246" s="5"/>
      <c r="AH246" s="6"/>
      <c r="AI246" s="45"/>
      <c r="AJ246" s="45"/>
      <c r="AK246" s="40"/>
      <c r="AL246" s="40"/>
      <c r="AM246" s="40"/>
      <c r="AN246" s="45"/>
      <c r="AO246" s="40"/>
    </row>
    <row r="247" spans="2:41" ht="12.75" customHeight="1" x14ac:dyDescent="0.25">
      <c r="B247" s="40"/>
      <c r="C247" s="40"/>
      <c r="D247" s="40"/>
      <c r="E247" s="40"/>
      <c r="F247" s="40"/>
      <c r="G247" s="40"/>
      <c r="H247" s="5"/>
      <c r="Q247" s="40"/>
      <c r="R247" s="40"/>
      <c r="S247" s="40"/>
      <c r="T247" s="40"/>
      <c r="U247" s="40"/>
      <c r="W247" s="40"/>
      <c r="X247" s="40"/>
      <c r="Y247" s="40"/>
      <c r="Z247" s="41"/>
      <c r="AA247" s="41"/>
      <c r="AB247" s="41"/>
      <c r="AC247" s="41"/>
      <c r="AD247" s="41"/>
      <c r="AE247" s="40"/>
      <c r="AF247" s="45"/>
      <c r="AG247" s="5"/>
      <c r="AH247" s="6"/>
      <c r="AI247" s="45"/>
      <c r="AJ247" s="45"/>
      <c r="AK247" s="40"/>
      <c r="AL247" s="40"/>
      <c r="AM247" s="40"/>
      <c r="AN247" s="45"/>
      <c r="AO247" s="40"/>
    </row>
    <row r="248" spans="2:41" ht="12.75" customHeight="1" x14ac:dyDescent="0.25">
      <c r="B248" s="40"/>
      <c r="C248" s="40"/>
      <c r="D248" s="40"/>
      <c r="E248" s="40"/>
      <c r="F248" s="40"/>
      <c r="G248" s="40"/>
      <c r="H248" s="5"/>
      <c r="Q248" s="40"/>
      <c r="R248" s="40"/>
      <c r="S248" s="40"/>
      <c r="T248" s="40"/>
      <c r="U248" s="40"/>
      <c r="W248" s="40"/>
      <c r="X248" s="40"/>
      <c r="Y248" s="40"/>
      <c r="Z248" s="41"/>
      <c r="AA248" s="41"/>
      <c r="AB248" s="41"/>
      <c r="AC248" s="41"/>
      <c r="AD248" s="41"/>
      <c r="AE248" s="40"/>
      <c r="AF248" s="45"/>
      <c r="AG248" s="5"/>
      <c r="AH248" s="6"/>
      <c r="AI248" s="45"/>
      <c r="AJ248" s="45"/>
      <c r="AK248" s="40"/>
      <c r="AL248" s="40"/>
      <c r="AM248" s="40"/>
      <c r="AN248" s="45"/>
      <c r="AO248" s="40"/>
    </row>
    <row r="249" spans="2:41" ht="12.75" customHeight="1" x14ac:dyDescent="0.25">
      <c r="B249" s="40"/>
      <c r="C249" s="40"/>
      <c r="D249" s="40"/>
      <c r="E249" s="40"/>
      <c r="F249" s="40"/>
      <c r="G249" s="40"/>
      <c r="H249" s="5"/>
      <c r="Q249" s="40"/>
      <c r="R249" s="40"/>
      <c r="S249" s="40"/>
      <c r="T249" s="40"/>
      <c r="U249" s="40"/>
      <c r="W249" s="40"/>
      <c r="X249" s="40"/>
      <c r="Y249" s="40"/>
      <c r="Z249" s="41"/>
      <c r="AA249" s="41"/>
      <c r="AB249" s="41"/>
      <c r="AC249" s="41"/>
      <c r="AD249" s="41"/>
      <c r="AE249" s="40"/>
      <c r="AF249" s="45"/>
      <c r="AG249" s="5"/>
      <c r="AH249" s="6"/>
      <c r="AI249" s="45"/>
      <c r="AJ249" s="45"/>
      <c r="AK249" s="40"/>
      <c r="AL249" s="40"/>
      <c r="AM249" s="40"/>
      <c r="AN249" s="45"/>
      <c r="AO249" s="40"/>
    </row>
    <row r="250" spans="2:41" ht="12.75" customHeight="1" x14ac:dyDescent="0.25">
      <c r="B250" s="40"/>
      <c r="C250" s="40"/>
      <c r="D250" s="40"/>
      <c r="E250" s="40"/>
      <c r="F250" s="40"/>
      <c r="G250" s="40"/>
      <c r="H250" s="5"/>
      <c r="Q250" s="40"/>
      <c r="R250" s="40"/>
      <c r="S250" s="40"/>
      <c r="T250" s="40"/>
      <c r="U250" s="40"/>
      <c r="W250" s="40"/>
      <c r="X250" s="40"/>
      <c r="Y250" s="40"/>
      <c r="Z250" s="41"/>
      <c r="AA250" s="41"/>
      <c r="AB250" s="41"/>
      <c r="AC250" s="41"/>
      <c r="AD250" s="41"/>
      <c r="AE250" s="40"/>
      <c r="AF250" s="45"/>
      <c r="AG250" s="5"/>
      <c r="AH250" s="6"/>
      <c r="AI250" s="45"/>
      <c r="AJ250" s="45"/>
      <c r="AK250" s="40"/>
      <c r="AL250" s="40"/>
      <c r="AM250" s="40"/>
      <c r="AN250" s="45"/>
      <c r="AO250" s="40"/>
    </row>
    <row r="251" spans="2:41" ht="12.75" customHeight="1" x14ac:dyDescent="0.25">
      <c r="B251" s="40"/>
      <c r="C251" s="40"/>
      <c r="D251" s="40"/>
      <c r="E251" s="40"/>
      <c r="F251" s="40"/>
      <c r="G251" s="40"/>
      <c r="H251" s="5"/>
      <c r="Q251" s="40"/>
      <c r="R251" s="40"/>
      <c r="S251" s="40"/>
      <c r="T251" s="40"/>
      <c r="U251" s="40"/>
      <c r="W251" s="40"/>
      <c r="X251" s="40"/>
      <c r="Y251" s="40"/>
      <c r="Z251" s="41"/>
      <c r="AA251" s="41"/>
      <c r="AB251" s="41"/>
      <c r="AC251" s="41"/>
      <c r="AD251" s="41"/>
      <c r="AE251" s="40"/>
      <c r="AF251" s="45"/>
      <c r="AG251" s="5"/>
      <c r="AH251" s="6"/>
      <c r="AI251" s="45"/>
      <c r="AJ251" s="45"/>
      <c r="AK251" s="40"/>
      <c r="AL251" s="40"/>
      <c r="AM251" s="40"/>
      <c r="AN251" s="45"/>
      <c r="AO251" s="40"/>
    </row>
    <row r="252" spans="2:41" ht="12.75" customHeight="1" x14ac:dyDescent="0.25">
      <c r="B252" s="40"/>
      <c r="C252" s="40"/>
      <c r="D252" s="40"/>
      <c r="E252" s="40"/>
      <c r="F252" s="40"/>
      <c r="G252" s="40"/>
      <c r="H252" s="5"/>
      <c r="Q252" s="40"/>
      <c r="R252" s="40"/>
      <c r="S252" s="40"/>
      <c r="T252" s="40"/>
      <c r="U252" s="40"/>
      <c r="W252" s="40"/>
      <c r="X252" s="40"/>
      <c r="Y252" s="40"/>
      <c r="Z252" s="41"/>
      <c r="AA252" s="41"/>
      <c r="AB252" s="41"/>
      <c r="AC252" s="41"/>
      <c r="AD252" s="41"/>
      <c r="AE252" s="40"/>
      <c r="AF252" s="45"/>
      <c r="AG252" s="5"/>
      <c r="AH252" s="6"/>
      <c r="AI252" s="45"/>
      <c r="AJ252" s="45"/>
      <c r="AK252" s="40"/>
      <c r="AL252" s="40"/>
      <c r="AM252" s="40"/>
      <c r="AN252" s="45"/>
      <c r="AO252" s="40"/>
    </row>
    <row r="253" spans="2:41" ht="12.75" customHeight="1" x14ac:dyDescent="0.25">
      <c r="B253" s="40"/>
      <c r="C253" s="40"/>
      <c r="D253" s="40"/>
      <c r="E253" s="40"/>
      <c r="F253" s="40"/>
      <c r="G253" s="40"/>
      <c r="H253" s="5"/>
      <c r="Q253" s="40"/>
      <c r="R253" s="40"/>
      <c r="S253" s="40"/>
      <c r="T253" s="40"/>
      <c r="U253" s="40"/>
      <c r="W253" s="40"/>
      <c r="X253" s="40"/>
      <c r="Y253" s="40"/>
      <c r="Z253" s="41"/>
      <c r="AA253" s="41"/>
      <c r="AB253" s="41"/>
      <c r="AC253" s="41"/>
      <c r="AD253" s="41"/>
      <c r="AE253" s="40"/>
      <c r="AF253" s="45"/>
      <c r="AG253" s="5"/>
      <c r="AH253" s="6"/>
      <c r="AI253" s="45"/>
      <c r="AJ253" s="45"/>
      <c r="AK253" s="40"/>
      <c r="AL253" s="40"/>
      <c r="AM253" s="40"/>
      <c r="AN253" s="45"/>
      <c r="AO253" s="40"/>
    </row>
    <row r="254" spans="2:41" ht="12.75" customHeight="1" x14ac:dyDescent="0.25">
      <c r="B254" s="40"/>
      <c r="C254" s="40"/>
      <c r="D254" s="40"/>
      <c r="E254" s="40"/>
      <c r="F254" s="40"/>
      <c r="G254" s="40"/>
      <c r="H254" s="5"/>
      <c r="Q254" s="40"/>
      <c r="R254" s="40"/>
      <c r="S254" s="40"/>
      <c r="T254" s="40"/>
      <c r="U254" s="40"/>
      <c r="W254" s="40"/>
      <c r="X254" s="40"/>
      <c r="Y254" s="40"/>
      <c r="Z254" s="41"/>
      <c r="AA254" s="41"/>
      <c r="AB254" s="41"/>
      <c r="AC254" s="41"/>
      <c r="AD254" s="41"/>
      <c r="AE254" s="40"/>
      <c r="AF254" s="45"/>
      <c r="AG254" s="5"/>
      <c r="AH254" s="6"/>
      <c r="AI254" s="45"/>
      <c r="AJ254" s="45"/>
      <c r="AK254" s="40"/>
      <c r="AL254" s="40"/>
      <c r="AM254" s="40"/>
      <c r="AN254" s="45"/>
      <c r="AO254" s="40"/>
    </row>
    <row r="255" spans="2:41" ht="12.75" customHeight="1" x14ac:dyDescent="0.25">
      <c r="B255" s="40"/>
      <c r="C255" s="40"/>
      <c r="D255" s="40"/>
      <c r="E255" s="40"/>
      <c r="F255" s="40"/>
      <c r="G255" s="40"/>
      <c r="H255" s="5"/>
      <c r="Q255" s="40"/>
      <c r="R255" s="40"/>
      <c r="S255" s="40"/>
      <c r="T255" s="40"/>
      <c r="U255" s="40"/>
      <c r="W255" s="40"/>
      <c r="X255" s="40"/>
      <c r="Y255" s="40"/>
      <c r="Z255" s="41"/>
      <c r="AA255" s="41"/>
      <c r="AB255" s="41"/>
      <c r="AC255" s="41"/>
      <c r="AD255" s="41"/>
      <c r="AE255" s="40"/>
      <c r="AF255" s="45"/>
      <c r="AG255" s="5"/>
      <c r="AH255" s="6"/>
      <c r="AI255" s="45"/>
      <c r="AJ255" s="45"/>
      <c r="AK255" s="40"/>
      <c r="AL255" s="40"/>
      <c r="AM255" s="40"/>
      <c r="AN255" s="45"/>
      <c r="AO255" s="40"/>
    </row>
    <row r="256" spans="2:41" ht="12.75" customHeight="1" x14ac:dyDescent="0.25">
      <c r="B256" s="40"/>
      <c r="C256" s="40"/>
      <c r="D256" s="40"/>
      <c r="E256" s="40"/>
      <c r="F256" s="40"/>
      <c r="G256" s="40"/>
      <c r="H256" s="5"/>
      <c r="Q256" s="40"/>
      <c r="R256" s="40"/>
      <c r="S256" s="40"/>
      <c r="T256" s="40"/>
      <c r="U256" s="40"/>
      <c r="W256" s="40"/>
      <c r="X256" s="40"/>
      <c r="Y256" s="40"/>
      <c r="Z256" s="41"/>
      <c r="AA256" s="41"/>
      <c r="AB256" s="41"/>
      <c r="AC256" s="41"/>
      <c r="AD256" s="41"/>
      <c r="AE256" s="40"/>
      <c r="AF256" s="45"/>
      <c r="AG256" s="5"/>
      <c r="AH256" s="6"/>
      <c r="AI256" s="45"/>
      <c r="AJ256" s="45"/>
      <c r="AK256" s="40"/>
      <c r="AL256" s="40"/>
      <c r="AM256" s="40"/>
      <c r="AN256" s="45"/>
      <c r="AO256" s="40"/>
    </row>
    <row r="257" spans="2:41" ht="12.75" customHeight="1" x14ac:dyDescent="0.25">
      <c r="B257" s="40"/>
      <c r="C257" s="40"/>
      <c r="D257" s="40"/>
      <c r="E257" s="40"/>
      <c r="F257" s="40"/>
      <c r="G257" s="40"/>
      <c r="H257" s="5"/>
      <c r="Q257" s="40"/>
      <c r="R257" s="40"/>
      <c r="S257" s="40"/>
      <c r="T257" s="40"/>
      <c r="U257" s="40"/>
      <c r="W257" s="40"/>
      <c r="X257" s="40"/>
      <c r="Y257" s="40"/>
      <c r="Z257" s="41"/>
      <c r="AA257" s="41"/>
      <c r="AB257" s="41"/>
      <c r="AC257" s="41"/>
      <c r="AD257" s="41"/>
      <c r="AE257" s="40"/>
      <c r="AF257" s="45"/>
      <c r="AG257" s="5"/>
      <c r="AH257" s="6"/>
      <c r="AI257" s="45"/>
      <c r="AJ257" s="45"/>
      <c r="AK257" s="40"/>
      <c r="AL257" s="40"/>
      <c r="AM257" s="40"/>
      <c r="AN257" s="45"/>
      <c r="AO257" s="40"/>
    </row>
    <row r="258" spans="2:41" ht="12.75" customHeight="1" x14ac:dyDescent="0.25">
      <c r="B258" s="40"/>
      <c r="C258" s="40"/>
      <c r="D258" s="40"/>
      <c r="E258" s="40"/>
      <c r="F258" s="40"/>
      <c r="G258" s="40"/>
      <c r="H258" s="5"/>
      <c r="Q258" s="40"/>
      <c r="R258" s="40"/>
      <c r="S258" s="40"/>
      <c r="T258" s="40"/>
      <c r="U258" s="40"/>
      <c r="W258" s="40"/>
      <c r="X258" s="40"/>
      <c r="Y258" s="40"/>
      <c r="Z258" s="41"/>
      <c r="AA258" s="41"/>
      <c r="AB258" s="41"/>
      <c r="AC258" s="41"/>
      <c r="AD258" s="41"/>
      <c r="AE258" s="40"/>
      <c r="AF258" s="45"/>
      <c r="AG258" s="5"/>
      <c r="AH258" s="6"/>
      <c r="AI258" s="45"/>
      <c r="AJ258" s="45"/>
      <c r="AK258" s="40"/>
      <c r="AL258" s="40"/>
      <c r="AM258" s="40"/>
      <c r="AN258" s="45"/>
      <c r="AO258" s="40"/>
    </row>
    <row r="259" spans="2:41" ht="12.75" customHeight="1" x14ac:dyDescent="0.25">
      <c r="B259" s="40"/>
      <c r="C259" s="40"/>
      <c r="D259" s="40"/>
      <c r="E259" s="40"/>
      <c r="F259" s="40"/>
      <c r="G259" s="40"/>
      <c r="H259" s="5"/>
      <c r="Q259" s="40"/>
      <c r="R259" s="40"/>
      <c r="S259" s="40"/>
      <c r="T259" s="40"/>
      <c r="U259" s="40"/>
      <c r="W259" s="40"/>
      <c r="X259" s="40"/>
      <c r="Y259" s="40"/>
      <c r="Z259" s="41"/>
      <c r="AA259" s="41"/>
      <c r="AB259" s="41"/>
      <c r="AC259" s="41"/>
      <c r="AD259" s="41"/>
      <c r="AE259" s="40"/>
      <c r="AF259" s="45"/>
      <c r="AG259" s="5"/>
      <c r="AH259" s="6"/>
      <c r="AI259" s="45"/>
      <c r="AJ259" s="45"/>
      <c r="AK259" s="40"/>
      <c r="AL259" s="40"/>
      <c r="AM259" s="40"/>
      <c r="AN259" s="45"/>
      <c r="AO259" s="40"/>
    </row>
    <row r="260" spans="2:41" ht="12.75" customHeight="1" x14ac:dyDescent="0.25">
      <c r="B260" s="40"/>
      <c r="C260" s="40"/>
      <c r="D260" s="40"/>
      <c r="E260" s="40"/>
      <c r="F260" s="40"/>
      <c r="G260" s="40"/>
      <c r="H260" s="5"/>
      <c r="Q260" s="40"/>
      <c r="R260" s="40"/>
      <c r="S260" s="40"/>
      <c r="T260" s="40"/>
      <c r="U260" s="40"/>
      <c r="W260" s="40"/>
      <c r="X260" s="40"/>
      <c r="Y260" s="40"/>
      <c r="Z260" s="41"/>
      <c r="AA260" s="41"/>
      <c r="AB260" s="41"/>
      <c r="AC260" s="41"/>
      <c r="AD260" s="41"/>
      <c r="AE260" s="40"/>
      <c r="AF260" s="45"/>
      <c r="AG260" s="5"/>
      <c r="AH260" s="6"/>
      <c r="AI260" s="45"/>
      <c r="AJ260" s="45"/>
      <c r="AK260" s="40"/>
      <c r="AL260" s="40"/>
      <c r="AM260" s="40"/>
      <c r="AN260" s="45"/>
      <c r="AO260" s="40"/>
    </row>
    <row r="261" spans="2:41" ht="12.75" customHeight="1" x14ac:dyDescent="0.25">
      <c r="B261" s="40"/>
      <c r="C261" s="40"/>
      <c r="D261" s="40"/>
      <c r="E261" s="40"/>
      <c r="F261" s="40"/>
      <c r="G261" s="40"/>
      <c r="H261" s="5"/>
      <c r="Q261" s="40"/>
      <c r="R261" s="40"/>
      <c r="S261" s="40"/>
      <c r="T261" s="40"/>
      <c r="U261" s="40"/>
      <c r="W261" s="40"/>
      <c r="X261" s="40"/>
      <c r="Y261" s="40"/>
      <c r="Z261" s="41"/>
      <c r="AA261" s="41"/>
      <c r="AB261" s="41"/>
      <c r="AC261" s="41"/>
      <c r="AD261" s="41"/>
      <c r="AE261" s="40"/>
      <c r="AF261" s="45"/>
      <c r="AG261" s="5"/>
      <c r="AH261" s="6"/>
      <c r="AI261" s="45"/>
      <c r="AJ261" s="45"/>
      <c r="AK261" s="40"/>
      <c r="AL261" s="40"/>
      <c r="AM261" s="40"/>
      <c r="AN261" s="45"/>
      <c r="AO261" s="40"/>
    </row>
    <row r="262" spans="2:41" ht="12.75" customHeight="1" x14ac:dyDescent="0.25">
      <c r="B262" s="40"/>
      <c r="C262" s="40"/>
      <c r="D262" s="40"/>
      <c r="E262" s="40"/>
      <c r="F262" s="40"/>
      <c r="G262" s="40"/>
      <c r="H262" s="5"/>
      <c r="Q262" s="40"/>
      <c r="R262" s="40"/>
      <c r="S262" s="40"/>
      <c r="T262" s="40"/>
      <c r="U262" s="40"/>
      <c r="W262" s="40"/>
      <c r="X262" s="40"/>
      <c r="Y262" s="40"/>
      <c r="Z262" s="41"/>
      <c r="AA262" s="41"/>
      <c r="AB262" s="41"/>
      <c r="AC262" s="41"/>
      <c r="AD262" s="41"/>
      <c r="AE262" s="40"/>
      <c r="AF262" s="45"/>
      <c r="AG262" s="5"/>
      <c r="AH262" s="6"/>
      <c r="AI262" s="45"/>
      <c r="AJ262" s="45"/>
      <c r="AK262" s="40"/>
      <c r="AL262" s="40"/>
      <c r="AM262" s="40"/>
      <c r="AN262" s="45"/>
      <c r="AO262" s="40"/>
    </row>
    <row r="263" spans="2:41" ht="12.75" customHeight="1" x14ac:dyDescent="0.25">
      <c r="B263" s="40"/>
      <c r="C263" s="40"/>
      <c r="D263" s="40"/>
      <c r="E263" s="40"/>
      <c r="F263" s="40"/>
      <c r="G263" s="40"/>
      <c r="H263" s="5"/>
      <c r="Q263" s="40"/>
      <c r="R263" s="40"/>
      <c r="S263" s="40"/>
      <c r="T263" s="40"/>
      <c r="U263" s="40"/>
      <c r="W263" s="40"/>
      <c r="X263" s="40"/>
      <c r="Y263" s="40"/>
      <c r="Z263" s="41"/>
      <c r="AA263" s="41"/>
      <c r="AB263" s="41"/>
      <c r="AC263" s="41"/>
      <c r="AD263" s="41"/>
      <c r="AE263" s="40"/>
      <c r="AF263" s="45"/>
      <c r="AG263" s="5"/>
      <c r="AH263" s="6"/>
      <c r="AI263" s="45"/>
      <c r="AJ263" s="45"/>
      <c r="AK263" s="40"/>
      <c r="AL263" s="40"/>
      <c r="AM263" s="40"/>
      <c r="AN263" s="45"/>
      <c r="AO263" s="40"/>
    </row>
    <row r="264" spans="2:41" ht="12.75" customHeight="1" x14ac:dyDescent="0.25">
      <c r="B264" s="40"/>
      <c r="C264" s="40"/>
      <c r="D264" s="40"/>
      <c r="E264" s="40"/>
      <c r="F264" s="40"/>
      <c r="G264" s="40"/>
      <c r="H264" s="5"/>
      <c r="Q264" s="40"/>
      <c r="R264" s="40"/>
      <c r="S264" s="40"/>
      <c r="T264" s="40"/>
      <c r="U264" s="40"/>
      <c r="W264" s="40"/>
      <c r="X264" s="40"/>
      <c r="Y264" s="40"/>
      <c r="Z264" s="41"/>
      <c r="AA264" s="41"/>
      <c r="AB264" s="41"/>
      <c r="AC264" s="41"/>
      <c r="AD264" s="41"/>
      <c r="AE264" s="40"/>
      <c r="AF264" s="45"/>
      <c r="AG264" s="5"/>
      <c r="AH264" s="6"/>
      <c r="AI264" s="45"/>
      <c r="AJ264" s="45"/>
      <c r="AK264" s="40"/>
      <c r="AL264" s="40"/>
      <c r="AM264" s="40"/>
      <c r="AN264" s="45"/>
      <c r="AO264" s="40"/>
    </row>
    <row r="265" spans="2:41" ht="12.75" customHeight="1" x14ac:dyDescent="0.25">
      <c r="B265" s="40"/>
      <c r="C265" s="40"/>
      <c r="D265" s="40"/>
      <c r="E265" s="40"/>
      <c r="F265" s="40"/>
      <c r="G265" s="40"/>
      <c r="H265" s="5"/>
      <c r="Q265" s="40"/>
      <c r="R265" s="40"/>
      <c r="S265" s="40"/>
      <c r="T265" s="40"/>
      <c r="U265" s="40"/>
      <c r="W265" s="40"/>
      <c r="X265" s="40"/>
      <c r="Y265" s="40"/>
      <c r="Z265" s="41"/>
      <c r="AA265" s="41"/>
      <c r="AB265" s="41"/>
      <c r="AC265" s="41"/>
      <c r="AD265" s="41"/>
      <c r="AE265" s="40"/>
      <c r="AF265" s="45"/>
      <c r="AG265" s="5"/>
      <c r="AH265" s="6"/>
      <c r="AI265" s="45"/>
      <c r="AJ265" s="45"/>
      <c r="AK265" s="40"/>
      <c r="AL265" s="40"/>
      <c r="AM265" s="40"/>
      <c r="AN265" s="45"/>
      <c r="AO265" s="40"/>
    </row>
    <row r="266" spans="2:41" ht="12.75" customHeight="1" x14ac:dyDescent="0.25">
      <c r="B266" s="40"/>
      <c r="C266" s="40"/>
      <c r="D266" s="40"/>
      <c r="E266" s="40"/>
      <c r="F266" s="40"/>
      <c r="G266" s="40"/>
      <c r="H266" s="5"/>
      <c r="Q266" s="40"/>
      <c r="R266" s="40"/>
      <c r="S266" s="40"/>
      <c r="T266" s="40"/>
      <c r="U266" s="40"/>
      <c r="W266" s="40"/>
      <c r="X266" s="40"/>
      <c r="Y266" s="40"/>
      <c r="Z266" s="41"/>
      <c r="AA266" s="41"/>
      <c r="AB266" s="41"/>
      <c r="AC266" s="41"/>
      <c r="AD266" s="41"/>
      <c r="AE266" s="40"/>
      <c r="AF266" s="45"/>
      <c r="AG266" s="5"/>
      <c r="AH266" s="6"/>
      <c r="AI266" s="45"/>
      <c r="AJ266" s="45"/>
      <c r="AK266" s="40"/>
      <c r="AL266" s="40"/>
      <c r="AM266" s="40"/>
      <c r="AN266" s="45"/>
      <c r="AO266" s="40"/>
    </row>
    <row r="267" spans="2:41" ht="12.75" customHeight="1" x14ac:dyDescent="0.25">
      <c r="B267" s="40"/>
      <c r="C267" s="40"/>
      <c r="D267" s="40"/>
      <c r="E267" s="40"/>
      <c r="F267" s="40"/>
      <c r="G267" s="40"/>
      <c r="H267" s="5"/>
      <c r="Q267" s="40"/>
      <c r="R267" s="40"/>
      <c r="S267" s="40"/>
      <c r="T267" s="40"/>
      <c r="U267" s="40"/>
      <c r="W267" s="40"/>
      <c r="X267" s="40"/>
      <c r="Y267" s="40"/>
      <c r="Z267" s="41"/>
      <c r="AA267" s="41"/>
      <c r="AB267" s="41"/>
      <c r="AC267" s="41"/>
      <c r="AD267" s="41"/>
      <c r="AE267" s="40"/>
      <c r="AF267" s="45"/>
      <c r="AG267" s="5"/>
      <c r="AH267" s="6"/>
      <c r="AI267" s="45"/>
      <c r="AJ267" s="45"/>
      <c r="AK267" s="40"/>
      <c r="AL267" s="40"/>
      <c r="AM267" s="40"/>
      <c r="AN267" s="45"/>
      <c r="AO267" s="40"/>
    </row>
    <row r="268" spans="2:41" ht="12.75" customHeight="1" x14ac:dyDescent="0.25">
      <c r="B268" s="40"/>
      <c r="C268" s="40"/>
      <c r="D268" s="40"/>
      <c r="E268" s="40"/>
      <c r="F268" s="40"/>
      <c r="G268" s="40"/>
      <c r="H268" s="5"/>
      <c r="Q268" s="40"/>
      <c r="R268" s="40"/>
      <c r="S268" s="40"/>
      <c r="T268" s="40"/>
      <c r="U268" s="40"/>
      <c r="W268" s="40"/>
      <c r="X268" s="40"/>
      <c r="Y268" s="40"/>
      <c r="Z268" s="41"/>
      <c r="AA268" s="41"/>
      <c r="AB268" s="41"/>
      <c r="AC268" s="41"/>
      <c r="AD268" s="41"/>
      <c r="AE268" s="40"/>
      <c r="AF268" s="45"/>
      <c r="AG268" s="5"/>
      <c r="AH268" s="6"/>
      <c r="AI268" s="45"/>
      <c r="AJ268" s="45"/>
      <c r="AK268" s="40"/>
      <c r="AL268" s="40"/>
      <c r="AM268" s="40"/>
      <c r="AN268" s="45"/>
      <c r="AO268" s="40"/>
    </row>
    <row r="269" spans="2:41" ht="12.75" customHeight="1" x14ac:dyDescent="0.25">
      <c r="B269" s="40"/>
      <c r="C269" s="40"/>
      <c r="D269" s="40"/>
      <c r="E269" s="40"/>
      <c r="F269" s="40"/>
      <c r="G269" s="40"/>
      <c r="H269" s="5"/>
      <c r="Q269" s="40"/>
      <c r="R269" s="40"/>
      <c r="S269" s="40"/>
      <c r="T269" s="40"/>
      <c r="U269" s="40"/>
      <c r="W269" s="40"/>
      <c r="X269" s="40"/>
      <c r="Y269" s="40"/>
      <c r="Z269" s="41"/>
      <c r="AA269" s="41"/>
      <c r="AB269" s="41"/>
      <c r="AC269" s="41"/>
      <c r="AD269" s="41"/>
      <c r="AE269" s="40"/>
      <c r="AF269" s="45"/>
      <c r="AG269" s="5"/>
      <c r="AH269" s="6"/>
      <c r="AI269" s="45"/>
      <c r="AJ269" s="45"/>
      <c r="AK269" s="40"/>
      <c r="AL269" s="40"/>
      <c r="AM269" s="40"/>
      <c r="AN269" s="45"/>
      <c r="AO269" s="40"/>
    </row>
    <row r="270" spans="2:41" ht="12.75" customHeight="1" x14ac:dyDescent="0.25">
      <c r="B270" s="40"/>
      <c r="C270" s="40"/>
      <c r="D270" s="40"/>
      <c r="E270" s="40"/>
      <c r="F270" s="40"/>
      <c r="G270" s="40"/>
      <c r="H270" s="5"/>
      <c r="Q270" s="40"/>
      <c r="R270" s="40"/>
      <c r="S270" s="40"/>
      <c r="T270" s="40"/>
      <c r="U270" s="40"/>
      <c r="W270" s="40"/>
      <c r="X270" s="40"/>
      <c r="Y270" s="40"/>
      <c r="Z270" s="41"/>
      <c r="AA270" s="41"/>
      <c r="AB270" s="41"/>
      <c r="AC270" s="41"/>
      <c r="AD270" s="41"/>
      <c r="AE270" s="40"/>
      <c r="AF270" s="45"/>
      <c r="AG270" s="5"/>
      <c r="AH270" s="6"/>
      <c r="AI270" s="45"/>
      <c r="AJ270" s="45"/>
      <c r="AK270" s="40"/>
      <c r="AL270" s="40"/>
      <c r="AM270" s="40"/>
      <c r="AN270" s="45"/>
      <c r="AO270" s="40"/>
    </row>
    <row r="271" spans="2:41" ht="12.75" customHeight="1" x14ac:dyDescent="0.25">
      <c r="B271" s="40"/>
      <c r="C271" s="40"/>
      <c r="D271" s="40"/>
      <c r="E271" s="40"/>
      <c r="F271" s="40"/>
      <c r="G271" s="40"/>
      <c r="H271" s="5"/>
      <c r="Q271" s="40"/>
      <c r="R271" s="40"/>
      <c r="S271" s="40"/>
      <c r="T271" s="40"/>
      <c r="U271" s="40"/>
      <c r="W271" s="40"/>
      <c r="X271" s="40"/>
      <c r="Y271" s="40"/>
      <c r="Z271" s="41"/>
      <c r="AA271" s="41"/>
      <c r="AB271" s="41"/>
      <c r="AC271" s="41"/>
      <c r="AD271" s="41"/>
      <c r="AE271" s="40"/>
      <c r="AF271" s="45"/>
      <c r="AG271" s="5"/>
      <c r="AH271" s="6"/>
      <c r="AI271" s="45"/>
      <c r="AJ271" s="45"/>
      <c r="AK271" s="40"/>
      <c r="AL271" s="40"/>
      <c r="AM271" s="40"/>
      <c r="AN271" s="45"/>
      <c r="AO271" s="40"/>
    </row>
    <row r="272" spans="2:41" ht="12.75" customHeight="1" x14ac:dyDescent="0.25">
      <c r="B272" s="40"/>
      <c r="C272" s="40"/>
      <c r="D272" s="40"/>
      <c r="E272" s="40"/>
      <c r="F272" s="40"/>
      <c r="G272" s="40"/>
      <c r="H272" s="5"/>
      <c r="Q272" s="40"/>
      <c r="R272" s="40"/>
      <c r="S272" s="40"/>
      <c r="T272" s="40"/>
      <c r="U272" s="40"/>
      <c r="W272" s="40"/>
      <c r="X272" s="40"/>
      <c r="Y272" s="40"/>
      <c r="Z272" s="41"/>
      <c r="AA272" s="41"/>
      <c r="AB272" s="41"/>
      <c r="AC272" s="41"/>
      <c r="AD272" s="41"/>
      <c r="AE272" s="40"/>
      <c r="AF272" s="45"/>
      <c r="AG272" s="5"/>
      <c r="AH272" s="6"/>
      <c r="AI272" s="45"/>
      <c r="AJ272" s="45"/>
      <c r="AK272" s="40"/>
      <c r="AL272" s="40"/>
      <c r="AM272" s="40"/>
      <c r="AN272" s="45"/>
      <c r="AO272" s="40"/>
    </row>
    <row r="273" spans="2:41" ht="12.75" customHeight="1" x14ac:dyDescent="0.25">
      <c r="B273" s="40"/>
      <c r="C273" s="40"/>
      <c r="D273" s="40"/>
      <c r="E273" s="40"/>
      <c r="F273" s="40"/>
      <c r="G273" s="40"/>
      <c r="H273" s="5"/>
      <c r="Q273" s="40"/>
      <c r="R273" s="40"/>
      <c r="S273" s="40"/>
      <c r="T273" s="40"/>
      <c r="U273" s="40"/>
      <c r="W273" s="40"/>
      <c r="X273" s="40"/>
      <c r="Y273" s="40"/>
      <c r="Z273" s="41"/>
      <c r="AA273" s="41"/>
      <c r="AB273" s="41"/>
      <c r="AC273" s="41"/>
      <c r="AD273" s="41"/>
      <c r="AE273" s="40"/>
      <c r="AF273" s="45"/>
      <c r="AG273" s="5"/>
      <c r="AH273" s="6"/>
      <c r="AI273" s="45"/>
      <c r="AJ273" s="45"/>
      <c r="AK273" s="40"/>
      <c r="AL273" s="40"/>
      <c r="AM273" s="40"/>
      <c r="AN273" s="45"/>
      <c r="AO273" s="40"/>
    </row>
    <row r="274" spans="2:41" ht="12.75" customHeight="1" x14ac:dyDescent="0.25">
      <c r="B274" s="40"/>
      <c r="C274" s="40"/>
      <c r="D274" s="40"/>
      <c r="E274" s="40"/>
      <c r="F274" s="40"/>
      <c r="G274" s="40"/>
      <c r="H274" s="5"/>
      <c r="Q274" s="40"/>
      <c r="R274" s="40"/>
      <c r="S274" s="40"/>
      <c r="T274" s="40"/>
      <c r="U274" s="40"/>
      <c r="W274" s="40"/>
      <c r="X274" s="40"/>
      <c r="Y274" s="40"/>
      <c r="Z274" s="41"/>
      <c r="AA274" s="41"/>
      <c r="AB274" s="41"/>
      <c r="AC274" s="41"/>
      <c r="AD274" s="41"/>
      <c r="AE274" s="40"/>
      <c r="AF274" s="45"/>
      <c r="AG274" s="5"/>
      <c r="AH274" s="6"/>
      <c r="AI274" s="45"/>
      <c r="AJ274" s="45"/>
      <c r="AK274" s="40"/>
      <c r="AL274" s="40"/>
      <c r="AM274" s="40"/>
      <c r="AN274" s="45"/>
      <c r="AO274" s="40"/>
    </row>
    <row r="275" spans="2:41" ht="12.75" customHeight="1" x14ac:dyDescent="0.25">
      <c r="B275" s="40"/>
      <c r="C275" s="40"/>
      <c r="D275" s="40"/>
      <c r="E275" s="40"/>
      <c r="F275" s="40"/>
      <c r="G275" s="40"/>
      <c r="H275" s="5"/>
      <c r="Q275" s="40"/>
      <c r="R275" s="40"/>
      <c r="S275" s="40"/>
      <c r="T275" s="40"/>
      <c r="U275" s="40"/>
      <c r="W275" s="40"/>
      <c r="X275" s="40"/>
      <c r="Y275" s="40"/>
      <c r="Z275" s="41"/>
      <c r="AA275" s="41"/>
      <c r="AB275" s="41"/>
      <c r="AC275" s="41"/>
      <c r="AD275" s="41"/>
      <c r="AE275" s="40"/>
      <c r="AF275" s="45"/>
      <c r="AG275" s="5"/>
      <c r="AH275" s="6"/>
      <c r="AI275" s="45"/>
      <c r="AJ275" s="45"/>
      <c r="AK275" s="40"/>
      <c r="AL275" s="40"/>
      <c r="AM275" s="40"/>
      <c r="AN275" s="45"/>
      <c r="AO275" s="40"/>
    </row>
    <row r="276" spans="2:41" ht="12.75" customHeight="1" x14ac:dyDescent="0.25">
      <c r="B276" s="40"/>
      <c r="C276" s="40"/>
      <c r="D276" s="40"/>
      <c r="E276" s="40"/>
      <c r="F276" s="40"/>
      <c r="G276" s="40"/>
      <c r="H276" s="5"/>
      <c r="Q276" s="40"/>
      <c r="R276" s="40"/>
      <c r="S276" s="40"/>
      <c r="T276" s="40"/>
      <c r="U276" s="40"/>
      <c r="W276" s="40"/>
      <c r="X276" s="40"/>
      <c r="Y276" s="40"/>
      <c r="Z276" s="41"/>
      <c r="AA276" s="41"/>
      <c r="AB276" s="41"/>
      <c r="AC276" s="41"/>
      <c r="AD276" s="41"/>
      <c r="AE276" s="40"/>
      <c r="AF276" s="45"/>
      <c r="AG276" s="5"/>
      <c r="AH276" s="6"/>
      <c r="AI276" s="45"/>
      <c r="AJ276" s="45"/>
      <c r="AK276" s="40"/>
      <c r="AL276" s="40"/>
      <c r="AM276" s="40"/>
      <c r="AN276" s="45"/>
      <c r="AO276" s="40"/>
    </row>
    <row r="277" spans="2:41" ht="12.75" customHeight="1" x14ac:dyDescent="0.25">
      <c r="B277" s="40"/>
      <c r="C277" s="40"/>
      <c r="D277" s="40"/>
      <c r="E277" s="40"/>
      <c r="F277" s="40"/>
      <c r="G277" s="40"/>
      <c r="H277" s="5"/>
      <c r="Q277" s="40"/>
      <c r="R277" s="40"/>
      <c r="S277" s="40"/>
      <c r="T277" s="40"/>
      <c r="U277" s="40"/>
      <c r="W277" s="40"/>
      <c r="X277" s="40"/>
      <c r="Y277" s="40"/>
      <c r="Z277" s="41"/>
      <c r="AA277" s="41"/>
      <c r="AB277" s="41"/>
      <c r="AC277" s="41"/>
      <c r="AD277" s="41"/>
      <c r="AE277" s="40"/>
      <c r="AF277" s="45"/>
      <c r="AG277" s="5"/>
      <c r="AH277" s="6"/>
      <c r="AI277" s="45"/>
      <c r="AJ277" s="45"/>
      <c r="AK277" s="40"/>
      <c r="AL277" s="40"/>
      <c r="AM277" s="40"/>
      <c r="AN277" s="45"/>
      <c r="AO277" s="40"/>
    </row>
    <row r="278" spans="2:41" ht="12.75" customHeight="1" x14ac:dyDescent="0.25">
      <c r="B278" s="40"/>
      <c r="C278" s="40"/>
      <c r="D278" s="40"/>
      <c r="E278" s="40"/>
      <c r="F278" s="40"/>
      <c r="G278" s="40"/>
      <c r="H278" s="5"/>
      <c r="Q278" s="40"/>
      <c r="R278" s="40"/>
      <c r="S278" s="40"/>
      <c r="T278" s="40"/>
      <c r="U278" s="40"/>
      <c r="W278" s="40"/>
      <c r="X278" s="40"/>
      <c r="Y278" s="40"/>
      <c r="Z278" s="41"/>
      <c r="AA278" s="41"/>
      <c r="AB278" s="41"/>
      <c r="AC278" s="41"/>
      <c r="AD278" s="41"/>
      <c r="AE278" s="40"/>
      <c r="AF278" s="45"/>
      <c r="AG278" s="5"/>
      <c r="AH278" s="6"/>
      <c r="AI278" s="45"/>
      <c r="AJ278" s="45"/>
      <c r="AK278" s="40"/>
      <c r="AL278" s="40"/>
      <c r="AM278" s="40"/>
      <c r="AN278" s="45"/>
      <c r="AO278" s="40"/>
    </row>
    <row r="279" spans="2:41" ht="12.75" customHeight="1" x14ac:dyDescent="0.25">
      <c r="B279" s="40"/>
      <c r="C279" s="40"/>
      <c r="D279" s="40"/>
      <c r="E279" s="40"/>
      <c r="F279" s="40"/>
      <c r="G279" s="40"/>
      <c r="H279" s="5"/>
      <c r="Q279" s="40"/>
      <c r="R279" s="40"/>
      <c r="S279" s="40"/>
      <c r="T279" s="40"/>
      <c r="U279" s="40"/>
      <c r="W279" s="40"/>
      <c r="X279" s="40"/>
      <c r="Y279" s="40"/>
      <c r="Z279" s="41"/>
      <c r="AA279" s="41"/>
      <c r="AB279" s="41"/>
      <c r="AC279" s="41"/>
      <c r="AD279" s="41"/>
      <c r="AE279" s="40"/>
      <c r="AF279" s="45"/>
      <c r="AG279" s="5"/>
      <c r="AH279" s="6"/>
      <c r="AI279" s="45"/>
      <c r="AJ279" s="45"/>
      <c r="AK279" s="40"/>
      <c r="AL279" s="40"/>
      <c r="AM279" s="40"/>
      <c r="AN279" s="45"/>
      <c r="AO279" s="40"/>
    </row>
    <row r="280" spans="2:41" ht="12.75" customHeight="1" x14ac:dyDescent="0.25">
      <c r="B280" s="40"/>
      <c r="C280" s="40"/>
      <c r="D280" s="40"/>
      <c r="E280" s="40"/>
      <c r="F280" s="40"/>
      <c r="G280" s="40"/>
      <c r="H280" s="5"/>
      <c r="Q280" s="40"/>
      <c r="R280" s="40"/>
      <c r="S280" s="40"/>
      <c r="T280" s="40"/>
      <c r="U280" s="40"/>
      <c r="W280" s="40"/>
      <c r="X280" s="40"/>
      <c r="Y280" s="40"/>
      <c r="Z280" s="41"/>
      <c r="AA280" s="41"/>
      <c r="AB280" s="41"/>
      <c r="AC280" s="41"/>
      <c r="AD280" s="41"/>
      <c r="AE280" s="40"/>
      <c r="AF280" s="45"/>
      <c r="AG280" s="5"/>
      <c r="AH280" s="6"/>
      <c r="AI280" s="45"/>
      <c r="AJ280" s="45"/>
      <c r="AK280" s="40"/>
      <c r="AL280" s="40"/>
      <c r="AM280" s="40"/>
      <c r="AN280" s="45"/>
      <c r="AO280" s="40"/>
    </row>
    <row r="281" spans="2:41" ht="12.75" customHeight="1" x14ac:dyDescent="0.25">
      <c r="B281" s="40"/>
      <c r="C281" s="40"/>
      <c r="D281" s="40"/>
      <c r="E281" s="40"/>
      <c r="F281" s="40"/>
      <c r="G281" s="40"/>
      <c r="H281" s="5"/>
      <c r="Q281" s="40"/>
      <c r="R281" s="40"/>
      <c r="S281" s="40"/>
      <c r="T281" s="40"/>
      <c r="U281" s="40"/>
      <c r="W281" s="40"/>
      <c r="X281" s="40"/>
      <c r="Y281" s="40"/>
      <c r="Z281" s="41"/>
      <c r="AA281" s="41"/>
      <c r="AB281" s="41"/>
      <c r="AC281" s="41"/>
      <c r="AD281" s="41"/>
      <c r="AE281" s="40"/>
      <c r="AF281" s="45"/>
      <c r="AG281" s="5"/>
      <c r="AH281" s="6"/>
      <c r="AI281" s="45"/>
      <c r="AJ281" s="45"/>
      <c r="AK281" s="40"/>
      <c r="AL281" s="40"/>
      <c r="AM281" s="40"/>
      <c r="AN281" s="45"/>
      <c r="AO281" s="40"/>
    </row>
    <row r="282" spans="2:41" ht="12.75" customHeight="1" x14ac:dyDescent="0.25">
      <c r="B282" s="40"/>
      <c r="C282" s="40"/>
      <c r="D282" s="40"/>
      <c r="E282" s="40"/>
      <c r="F282" s="40"/>
      <c r="G282" s="40"/>
      <c r="H282" s="5"/>
      <c r="Q282" s="40"/>
      <c r="R282" s="40"/>
      <c r="S282" s="40"/>
      <c r="T282" s="40"/>
      <c r="U282" s="40"/>
      <c r="W282" s="40"/>
      <c r="X282" s="40"/>
      <c r="Y282" s="40"/>
      <c r="Z282" s="41"/>
      <c r="AA282" s="41"/>
      <c r="AB282" s="41"/>
      <c r="AC282" s="41"/>
      <c r="AD282" s="41"/>
      <c r="AE282" s="40"/>
      <c r="AF282" s="45"/>
      <c r="AG282" s="5"/>
      <c r="AH282" s="6"/>
      <c r="AI282" s="45"/>
      <c r="AJ282" s="45"/>
      <c r="AK282" s="40"/>
      <c r="AL282" s="40"/>
      <c r="AM282" s="40"/>
      <c r="AN282" s="45"/>
      <c r="AO282" s="40"/>
    </row>
    <row r="283" spans="2:41" ht="12.75" customHeight="1" x14ac:dyDescent="0.25">
      <c r="B283" s="40"/>
      <c r="C283" s="40"/>
      <c r="D283" s="40"/>
      <c r="E283" s="40"/>
      <c r="F283" s="40"/>
      <c r="G283" s="40"/>
      <c r="H283" s="5"/>
      <c r="Q283" s="40"/>
      <c r="R283" s="40"/>
      <c r="S283" s="40"/>
      <c r="T283" s="40"/>
      <c r="U283" s="40"/>
      <c r="W283" s="40"/>
      <c r="X283" s="40"/>
      <c r="Y283" s="40"/>
      <c r="Z283" s="41"/>
      <c r="AA283" s="41"/>
      <c r="AB283" s="41"/>
      <c r="AC283" s="41"/>
      <c r="AD283" s="41"/>
      <c r="AE283" s="40"/>
      <c r="AF283" s="45"/>
      <c r="AG283" s="5"/>
      <c r="AH283" s="6"/>
      <c r="AI283" s="45"/>
      <c r="AJ283" s="45"/>
      <c r="AK283" s="40"/>
      <c r="AL283" s="40"/>
      <c r="AM283" s="40"/>
      <c r="AN283" s="45"/>
      <c r="AO283" s="40"/>
    </row>
    <row r="284" spans="2:41" ht="12.75" customHeight="1" x14ac:dyDescent="0.25">
      <c r="B284" s="40"/>
      <c r="C284" s="40"/>
      <c r="D284" s="40"/>
      <c r="E284" s="40"/>
      <c r="F284" s="40"/>
      <c r="G284" s="40"/>
      <c r="H284" s="5"/>
      <c r="Q284" s="40"/>
      <c r="R284" s="40"/>
      <c r="S284" s="40"/>
      <c r="T284" s="40"/>
      <c r="U284" s="40"/>
      <c r="W284" s="40"/>
      <c r="X284" s="40"/>
      <c r="Y284" s="40"/>
      <c r="Z284" s="41"/>
      <c r="AA284" s="41"/>
      <c r="AB284" s="41"/>
      <c r="AC284" s="41"/>
      <c r="AD284" s="41"/>
      <c r="AE284" s="40"/>
      <c r="AF284" s="45"/>
      <c r="AG284" s="5"/>
      <c r="AH284" s="6"/>
      <c r="AI284" s="45"/>
      <c r="AJ284" s="45"/>
      <c r="AK284" s="40"/>
      <c r="AL284" s="40"/>
      <c r="AM284" s="40"/>
      <c r="AN284" s="45"/>
      <c r="AO284" s="40"/>
    </row>
    <row r="285" spans="2:41" ht="12.75" customHeight="1" x14ac:dyDescent="0.25">
      <c r="B285" s="40"/>
      <c r="C285" s="40"/>
      <c r="D285" s="40"/>
      <c r="E285" s="40"/>
      <c r="F285" s="40"/>
      <c r="G285" s="40"/>
      <c r="H285" s="5"/>
      <c r="Q285" s="40"/>
      <c r="R285" s="40"/>
      <c r="S285" s="40"/>
      <c r="T285" s="40"/>
      <c r="U285" s="40"/>
      <c r="W285" s="40"/>
      <c r="X285" s="40"/>
      <c r="Y285" s="40"/>
      <c r="Z285" s="41"/>
      <c r="AA285" s="41"/>
      <c r="AB285" s="41"/>
      <c r="AC285" s="41"/>
      <c r="AD285" s="41"/>
      <c r="AE285" s="40"/>
      <c r="AF285" s="45"/>
      <c r="AG285" s="5"/>
      <c r="AH285" s="6"/>
      <c r="AI285" s="45"/>
      <c r="AJ285" s="45"/>
      <c r="AK285" s="40"/>
      <c r="AL285" s="40"/>
      <c r="AM285" s="40"/>
      <c r="AN285" s="45"/>
      <c r="AO285" s="40"/>
    </row>
    <row r="286" spans="2:41" ht="12.75" customHeight="1" x14ac:dyDescent="0.25">
      <c r="B286" s="40"/>
      <c r="C286" s="40"/>
      <c r="D286" s="40"/>
      <c r="E286" s="40"/>
      <c r="F286" s="40"/>
      <c r="G286" s="40"/>
      <c r="H286" s="5"/>
      <c r="Q286" s="40"/>
      <c r="R286" s="40"/>
      <c r="S286" s="40"/>
      <c r="T286" s="40"/>
      <c r="U286" s="40"/>
      <c r="W286" s="40"/>
      <c r="X286" s="40"/>
      <c r="Y286" s="40"/>
      <c r="Z286" s="41"/>
      <c r="AA286" s="41"/>
      <c r="AB286" s="41"/>
      <c r="AC286" s="41"/>
      <c r="AD286" s="41"/>
      <c r="AE286" s="40"/>
      <c r="AF286" s="45"/>
      <c r="AG286" s="5"/>
      <c r="AH286" s="6"/>
      <c r="AI286" s="45"/>
      <c r="AJ286" s="45"/>
      <c r="AK286" s="40"/>
      <c r="AL286" s="40"/>
      <c r="AM286" s="40"/>
      <c r="AN286" s="45"/>
      <c r="AO286" s="40"/>
    </row>
    <row r="287" spans="2:41" ht="12.75" customHeight="1" x14ac:dyDescent="0.25">
      <c r="B287" s="40"/>
      <c r="C287" s="40"/>
      <c r="D287" s="40"/>
      <c r="E287" s="40"/>
      <c r="F287" s="40"/>
      <c r="G287" s="40"/>
      <c r="H287" s="5"/>
      <c r="Q287" s="40"/>
      <c r="R287" s="40"/>
      <c r="S287" s="40"/>
      <c r="T287" s="40"/>
      <c r="U287" s="40"/>
      <c r="W287" s="40"/>
      <c r="X287" s="40"/>
      <c r="Y287" s="40"/>
      <c r="Z287" s="41"/>
      <c r="AA287" s="41"/>
      <c r="AB287" s="41"/>
      <c r="AC287" s="41"/>
      <c r="AD287" s="41"/>
      <c r="AE287" s="40"/>
      <c r="AF287" s="45"/>
      <c r="AG287" s="5"/>
      <c r="AH287" s="6"/>
      <c r="AI287" s="45"/>
      <c r="AJ287" s="45"/>
      <c r="AK287" s="40"/>
      <c r="AL287" s="40"/>
      <c r="AM287" s="40"/>
      <c r="AN287" s="45"/>
      <c r="AO287" s="40"/>
    </row>
    <row r="288" spans="2:41" ht="12.75" customHeight="1" x14ac:dyDescent="0.25">
      <c r="B288" s="40"/>
      <c r="C288" s="40"/>
      <c r="D288" s="40"/>
      <c r="E288" s="40"/>
      <c r="F288" s="40"/>
      <c r="G288" s="40"/>
      <c r="H288" s="5"/>
      <c r="Q288" s="40"/>
      <c r="R288" s="40"/>
      <c r="S288" s="40"/>
      <c r="T288" s="40"/>
      <c r="U288" s="40"/>
      <c r="W288" s="40"/>
      <c r="X288" s="40"/>
      <c r="Y288" s="40"/>
      <c r="Z288" s="41"/>
      <c r="AA288" s="41"/>
      <c r="AB288" s="41"/>
      <c r="AC288" s="41"/>
      <c r="AD288" s="41"/>
      <c r="AE288" s="40"/>
      <c r="AF288" s="45"/>
      <c r="AG288" s="5"/>
      <c r="AH288" s="6"/>
      <c r="AI288" s="45"/>
      <c r="AJ288" s="45"/>
      <c r="AK288" s="40"/>
      <c r="AL288" s="40"/>
      <c r="AM288" s="40"/>
      <c r="AN288" s="45"/>
      <c r="AO288" s="40"/>
    </row>
    <row r="289" spans="2:41" ht="12.75" customHeight="1" x14ac:dyDescent="0.25">
      <c r="B289" s="40"/>
      <c r="C289" s="40"/>
      <c r="D289" s="40"/>
      <c r="E289" s="40"/>
      <c r="F289" s="40"/>
      <c r="G289" s="40"/>
      <c r="H289" s="5"/>
      <c r="Q289" s="40"/>
      <c r="R289" s="40"/>
      <c r="S289" s="40"/>
      <c r="T289" s="40"/>
      <c r="U289" s="40"/>
      <c r="W289" s="40"/>
      <c r="X289" s="40"/>
      <c r="Y289" s="40"/>
      <c r="Z289" s="41"/>
      <c r="AA289" s="41"/>
      <c r="AB289" s="41"/>
      <c r="AC289" s="41"/>
      <c r="AD289" s="41"/>
      <c r="AE289" s="40"/>
      <c r="AF289" s="45"/>
      <c r="AG289" s="5"/>
      <c r="AH289" s="6"/>
      <c r="AI289" s="45"/>
      <c r="AJ289" s="45"/>
      <c r="AK289" s="40"/>
      <c r="AL289" s="40"/>
      <c r="AM289" s="40"/>
      <c r="AN289" s="45"/>
      <c r="AO289" s="40"/>
    </row>
    <row r="290" spans="2:41" ht="12.75" customHeight="1" x14ac:dyDescent="0.25">
      <c r="B290" s="40"/>
      <c r="C290" s="40"/>
      <c r="D290" s="40"/>
      <c r="E290" s="40"/>
      <c r="F290" s="40"/>
      <c r="G290" s="40"/>
      <c r="H290" s="5"/>
      <c r="Q290" s="40"/>
      <c r="R290" s="40"/>
      <c r="S290" s="40"/>
      <c r="T290" s="40"/>
      <c r="U290" s="40"/>
      <c r="W290" s="40"/>
      <c r="X290" s="40"/>
      <c r="Y290" s="40"/>
      <c r="Z290" s="41"/>
      <c r="AA290" s="41"/>
      <c r="AB290" s="41"/>
      <c r="AC290" s="41"/>
      <c r="AD290" s="41"/>
      <c r="AE290" s="40"/>
      <c r="AF290" s="45"/>
      <c r="AG290" s="5"/>
      <c r="AH290" s="6"/>
      <c r="AI290" s="45"/>
      <c r="AJ290" s="45"/>
      <c r="AK290" s="40"/>
      <c r="AL290" s="40"/>
      <c r="AM290" s="40"/>
      <c r="AN290" s="45"/>
      <c r="AO290" s="40"/>
    </row>
    <row r="291" spans="2:41" ht="12.75" customHeight="1" x14ac:dyDescent="0.25">
      <c r="B291" s="40"/>
      <c r="C291" s="40"/>
      <c r="D291" s="40"/>
      <c r="E291" s="40"/>
      <c r="F291" s="40"/>
      <c r="G291" s="40"/>
      <c r="H291" s="5"/>
      <c r="Q291" s="40"/>
      <c r="R291" s="40"/>
      <c r="S291" s="40"/>
      <c r="T291" s="40"/>
      <c r="U291" s="40"/>
      <c r="W291" s="40"/>
      <c r="X291" s="40"/>
      <c r="Y291" s="40"/>
      <c r="Z291" s="41"/>
      <c r="AA291" s="41"/>
      <c r="AB291" s="41"/>
      <c r="AC291" s="41"/>
      <c r="AD291" s="41"/>
      <c r="AE291" s="40"/>
      <c r="AF291" s="45"/>
      <c r="AG291" s="5"/>
      <c r="AH291" s="6"/>
      <c r="AI291" s="45"/>
      <c r="AJ291" s="45"/>
      <c r="AK291" s="40"/>
      <c r="AL291" s="40"/>
      <c r="AM291" s="40"/>
      <c r="AN291" s="45"/>
      <c r="AO291" s="40"/>
    </row>
    <row r="292" spans="2:41" ht="12.75" customHeight="1" x14ac:dyDescent="0.25">
      <c r="B292" s="40"/>
      <c r="C292" s="40"/>
      <c r="D292" s="40"/>
      <c r="E292" s="40"/>
      <c r="F292" s="40"/>
      <c r="G292" s="40"/>
      <c r="H292" s="5"/>
      <c r="Q292" s="40"/>
      <c r="R292" s="40"/>
      <c r="S292" s="40"/>
      <c r="T292" s="40"/>
      <c r="U292" s="40"/>
      <c r="W292" s="40"/>
      <c r="X292" s="40"/>
      <c r="Y292" s="40"/>
      <c r="Z292" s="41"/>
      <c r="AA292" s="41"/>
      <c r="AB292" s="41"/>
      <c r="AC292" s="41"/>
      <c r="AD292" s="41"/>
      <c r="AE292" s="40"/>
      <c r="AF292" s="45"/>
      <c r="AG292" s="5"/>
      <c r="AH292" s="6"/>
      <c r="AI292" s="45"/>
      <c r="AJ292" s="45"/>
      <c r="AK292" s="40"/>
      <c r="AL292" s="40"/>
      <c r="AM292" s="40"/>
      <c r="AN292" s="45"/>
      <c r="AO292" s="40"/>
    </row>
    <row r="293" spans="2:41" ht="12.75" customHeight="1" x14ac:dyDescent="0.25">
      <c r="B293" s="40"/>
      <c r="C293" s="40"/>
      <c r="D293" s="40"/>
      <c r="E293" s="40"/>
      <c r="F293" s="40"/>
      <c r="G293" s="40"/>
      <c r="H293" s="5"/>
      <c r="Q293" s="40"/>
      <c r="R293" s="40"/>
      <c r="S293" s="40"/>
      <c r="T293" s="40"/>
      <c r="U293" s="40"/>
      <c r="W293" s="40"/>
      <c r="X293" s="40"/>
      <c r="Y293" s="40"/>
      <c r="Z293" s="41"/>
      <c r="AA293" s="41"/>
      <c r="AB293" s="41"/>
      <c r="AC293" s="41"/>
      <c r="AD293" s="41"/>
      <c r="AE293" s="40"/>
      <c r="AF293" s="45"/>
      <c r="AG293" s="5"/>
      <c r="AH293" s="6"/>
      <c r="AI293" s="45"/>
      <c r="AJ293" s="45"/>
      <c r="AK293" s="40"/>
      <c r="AL293" s="40"/>
      <c r="AM293" s="40"/>
      <c r="AN293" s="45"/>
      <c r="AO293" s="40"/>
    </row>
    <row r="294" spans="2:41" ht="12.75" customHeight="1" x14ac:dyDescent="0.25">
      <c r="B294" s="40"/>
      <c r="C294" s="40"/>
      <c r="D294" s="40"/>
      <c r="E294" s="40"/>
      <c r="F294" s="40"/>
      <c r="G294" s="40"/>
      <c r="H294" s="5"/>
      <c r="Q294" s="40"/>
      <c r="R294" s="40"/>
      <c r="S294" s="40"/>
      <c r="T294" s="40"/>
      <c r="U294" s="40"/>
      <c r="W294" s="40"/>
      <c r="X294" s="40"/>
      <c r="Y294" s="40"/>
      <c r="Z294" s="41"/>
      <c r="AA294" s="41"/>
      <c r="AB294" s="41"/>
      <c r="AC294" s="41"/>
      <c r="AD294" s="41"/>
      <c r="AE294" s="40"/>
      <c r="AF294" s="45"/>
      <c r="AG294" s="5"/>
      <c r="AH294" s="6"/>
      <c r="AI294" s="45"/>
      <c r="AJ294" s="45"/>
      <c r="AK294" s="40"/>
      <c r="AL294" s="40"/>
      <c r="AM294" s="40"/>
      <c r="AN294" s="45"/>
      <c r="AO294" s="40"/>
    </row>
    <row r="295" spans="2:41" ht="12.75" customHeight="1" x14ac:dyDescent="0.25">
      <c r="B295" s="40"/>
      <c r="C295" s="40"/>
      <c r="D295" s="40"/>
      <c r="E295" s="40"/>
      <c r="F295" s="40"/>
      <c r="G295" s="40"/>
      <c r="H295" s="5"/>
      <c r="Q295" s="40"/>
      <c r="R295" s="40"/>
      <c r="S295" s="40"/>
      <c r="T295" s="40"/>
      <c r="U295" s="40"/>
      <c r="W295" s="40"/>
      <c r="X295" s="40"/>
      <c r="Y295" s="40"/>
      <c r="Z295" s="41"/>
      <c r="AA295" s="41"/>
      <c r="AB295" s="41"/>
      <c r="AC295" s="41"/>
      <c r="AD295" s="41"/>
      <c r="AE295" s="40"/>
      <c r="AF295" s="45"/>
      <c r="AG295" s="5"/>
      <c r="AH295" s="6"/>
      <c r="AI295" s="45"/>
      <c r="AJ295" s="45"/>
      <c r="AK295" s="40"/>
      <c r="AL295" s="40"/>
      <c r="AM295" s="40"/>
      <c r="AN295" s="45"/>
      <c r="AO295" s="40"/>
    </row>
    <row r="296" spans="2:41" ht="12.75" customHeight="1" x14ac:dyDescent="0.25">
      <c r="B296" s="40"/>
      <c r="C296" s="40"/>
      <c r="D296" s="40"/>
      <c r="E296" s="40"/>
      <c r="F296" s="40"/>
      <c r="G296" s="40"/>
      <c r="H296" s="5"/>
      <c r="Q296" s="40"/>
      <c r="R296" s="40"/>
      <c r="S296" s="40"/>
      <c r="T296" s="40"/>
      <c r="U296" s="40"/>
      <c r="W296" s="40"/>
      <c r="X296" s="40"/>
      <c r="Y296" s="40"/>
      <c r="Z296" s="41"/>
      <c r="AA296" s="41"/>
      <c r="AB296" s="41"/>
      <c r="AC296" s="41"/>
      <c r="AD296" s="41"/>
      <c r="AE296" s="40"/>
      <c r="AF296" s="45"/>
      <c r="AG296" s="5"/>
      <c r="AH296" s="6"/>
      <c r="AI296" s="45"/>
      <c r="AJ296" s="45"/>
      <c r="AK296" s="40"/>
      <c r="AL296" s="40"/>
      <c r="AM296" s="40"/>
      <c r="AN296" s="45"/>
      <c r="AO296" s="40"/>
    </row>
    <row r="297" spans="2:41" ht="12.75" customHeight="1" x14ac:dyDescent="0.25">
      <c r="B297" s="40"/>
      <c r="C297" s="40"/>
      <c r="D297" s="40"/>
      <c r="E297" s="40"/>
      <c r="F297" s="40"/>
      <c r="G297" s="40"/>
      <c r="H297" s="5"/>
      <c r="Q297" s="40"/>
      <c r="R297" s="40"/>
      <c r="S297" s="40"/>
      <c r="T297" s="40"/>
      <c r="U297" s="40"/>
      <c r="W297" s="40"/>
      <c r="X297" s="40"/>
      <c r="Y297" s="40"/>
      <c r="Z297" s="41"/>
      <c r="AA297" s="41"/>
      <c r="AB297" s="41"/>
      <c r="AC297" s="41"/>
      <c r="AD297" s="41"/>
      <c r="AE297" s="40"/>
      <c r="AF297" s="45"/>
      <c r="AG297" s="5"/>
      <c r="AH297" s="6"/>
      <c r="AI297" s="45"/>
      <c r="AJ297" s="45"/>
      <c r="AK297" s="40"/>
      <c r="AL297" s="40"/>
      <c r="AM297" s="40"/>
      <c r="AN297" s="45"/>
      <c r="AO297" s="40"/>
    </row>
    <row r="298" spans="2:41" ht="12.75" customHeight="1" x14ac:dyDescent="0.25">
      <c r="B298" s="40"/>
      <c r="C298" s="40"/>
      <c r="D298" s="40"/>
      <c r="E298" s="40"/>
      <c r="F298" s="40"/>
      <c r="G298" s="40"/>
      <c r="H298" s="5"/>
      <c r="Q298" s="40"/>
      <c r="R298" s="40"/>
      <c r="S298" s="40"/>
      <c r="T298" s="40"/>
      <c r="U298" s="40"/>
      <c r="W298" s="40"/>
      <c r="X298" s="40"/>
      <c r="Y298" s="40"/>
      <c r="Z298" s="41"/>
      <c r="AA298" s="41"/>
      <c r="AB298" s="41"/>
      <c r="AC298" s="41"/>
      <c r="AD298" s="41"/>
      <c r="AE298" s="40"/>
      <c r="AF298" s="45"/>
      <c r="AG298" s="5"/>
      <c r="AH298" s="6"/>
      <c r="AI298" s="45"/>
      <c r="AJ298" s="45"/>
      <c r="AK298" s="40"/>
      <c r="AL298" s="40"/>
      <c r="AM298" s="40"/>
      <c r="AN298" s="45"/>
      <c r="AO298" s="40"/>
    </row>
    <row r="299" spans="2:41" ht="12.75" customHeight="1" x14ac:dyDescent="0.25">
      <c r="B299" s="40"/>
      <c r="C299" s="40"/>
      <c r="D299" s="40"/>
      <c r="E299" s="40"/>
      <c r="F299" s="40"/>
      <c r="G299" s="40"/>
      <c r="H299" s="5"/>
      <c r="Q299" s="40"/>
      <c r="R299" s="40"/>
      <c r="S299" s="40"/>
      <c r="T299" s="40"/>
      <c r="U299" s="40"/>
      <c r="W299" s="40"/>
      <c r="X299" s="40"/>
      <c r="Y299" s="40"/>
      <c r="Z299" s="41"/>
      <c r="AA299" s="41"/>
      <c r="AB299" s="41"/>
      <c r="AC299" s="41"/>
      <c r="AD299" s="41"/>
      <c r="AE299" s="40"/>
      <c r="AF299" s="45"/>
      <c r="AG299" s="5"/>
      <c r="AH299" s="6"/>
      <c r="AI299" s="45"/>
      <c r="AJ299" s="45"/>
      <c r="AK299" s="40"/>
      <c r="AL299" s="40"/>
      <c r="AM299" s="40"/>
      <c r="AN299" s="45"/>
      <c r="AO299" s="40"/>
    </row>
    <row r="300" spans="2:41" ht="12.75" customHeight="1" x14ac:dyDescent="0.25">
      <c r="B300" s="40"/>
      <c r="C300" s="40"/>
      <c r="D300" s="40"/>
      <c r="E300" s="40"/>
      <c r="F300" s="40"/>
      <c r="G300" s="40"/>
      <c r="H300" s="5"/>
      <c r="Q300" s="40"/>
      <c r="R300" s="40"/>
      <c r="S300" s="40"/>
      <c r="T300" s="40"/>
      <c r="U300" s="40"/>
      <c r="W300" s="40"/>
      <c r="X300" s="40"/>
      <c r="Y300" s="40"/>
      <c r="Z300" s="41"/>
      <c r="AA300" s="41"/>
      <c r="AB300" s="41"/>
      <c r="AC300" s="41"/>
      <c r="AD300" s="41"/>
      <c r="AE300" s="40"/>
      <c r="AF300" s="45"/>
      <c r="AG300" s="5"/>
      <c r="AH300" s="6"/>
      <c r="AI300" s="45"/>
      <c r="AJ300" s="45"/>
      <c r="AK300" s="40"/>
      <c r="AL300" s="40"/>
      <c r="AM300" s="40"/>
      <c r="AN300" s="45"/>
      <c r="AO300" s="40"/>
    </row>
    <row r="301" spans="2:41" ht="12.75" customHeight="1" x14ac:dyDescent="0.25">
      <c r="B301" s="40"/>
      <c r="C301" s="40"/>
      <c r="D301" s="40"/>
      <c r="E301" s="40"/>
      <c r="F301" s="40"/>
      <c r="G301" s="40"/>
      <c r="H301" s="5"/>
      <c r="Q301" s="40"/>
      <c r="R301" s="40"/>
      <c r="S301" s="40"/>
      <c r="T301" s="40"/>
      <c r="U301" s="40"/>
      <c r="W301" s="40"/>
      <c r="X301" s="40"/>
      <c r="Y301" s="40"/>
      <c r="Z301" s="41"/>
      <c r="AA301" s="41"/>
      <c r="AB301" s="41"/>
      <c r="AC301" s="41"/>
      <c r="AD301" s="41"/>
      <c r="AE301" s="40"/>
      <c r="AF301" s="45"/>
      <c r="AG301" s="5"/>
      <c r="AH301" s="6"/>
      <c r="AI301" s="45"/>
      <c r="AJ301" s="45"/>
      <c r="AK301" s="40"/>
      <c r="AL301" s="40"/>
      <c r="AM301" s="40"/>
      <c r="AN301" s="45"/>
      <c r="AO301" s="40"/>
    </row>
    <row r="302" spans="2:41" ht="12.75" customHeight="1" x14ac:dyDescent="0.25">
      <c r="B302" s="40"/>
      <c r="C302" s="40"/>
      <c r="D302" s="40"/>
      <c r="E302" s="40"/>
      <c r="F302" s="40"/>
      <c r="G302" s="40"/>
      <c r="H302" s="5"/>
      <c r="Q302" s="40"/>
      <c r="R302" s="40"/>
      <c r="S302" s="40"/>
      <c r="T302" s="40"/>
      <c r="U302" s="40"/>
      <c r="W302" s="40"/>
      <c r="X302" s="40"/>
      <c r="Y302" s="40"/>
      <c r="Z302" s="41"/>
      <c r="AA302" s="41"/>
      <c r="AB302" s="41"/>
      <c r="AC302" s="41"/>
      <c r="AD302" s="41"/>
      <c r="AE302" s="40"/>
      <c r="AF302" s="45"/>
      <c r="AG302" s="5"/>
      <c r="AH302" s="6"/>
      <c r="AI302" s="45"/>
      <c r="AJ302" s="45"/>
      <c r="AK302" s="40"/>
      <c r="AL302" s="40"/>
      <c r="AM302" s="40"/>
      <c r="AN302" s="45"/>
      <c r="AO302" s="40"/>
    </row>
    <row r="303" spans="2:41" ht="12.75" customHeight="1" x14ac:dyDescent="0.25">
      <c r="B303" s="40"/>
      <c r="C303" s="40"/>
      <c r="D303" s="40"/>
      <c r="E303" s="40"/>
      <c r="F303" s="40"/>
      <c r="G303" s="40"/>
      <c r="H303" s="5"/>
      <c r="Q303" s="40"/>
      <c r="R303" s="40"/>
      <c r="S303" s="40"/>
      <c r="T303" s="40"/>
      <c r="U303" s="40"/>
      <c r="W303" s="40"/>
      <c r="X303" s="40"/>
      <c r="Y303" s="40"/>
      <c r="Z303" s="41"/>
      <c r="AA303" s="41"/>
      <c r="AB303" s="41"/>
      <c r="AC303" s="41"/>
      <c r="AD303" s="41"/>
      <c r="AE303" s="40"/>
      <c r="AF303" s="45"/>
      <c r="AG303" s="5"/>
      <c r="AH303" s="6"/>
      <c r="AI303" s="45"/>
      <c r="AJ303" s="45"/>
      <c r="AK303" s="40"/>
      <c r="AL303" s="40"/>
      <c r="AM303" s="40"/>
      <c r="AN303" s="45"/>
      <c r="AO303" s="40"/>
    </row>
    <row r="304" spans="2:41" ht="12.75" customHeight="1" x14ac:dyDescent="0.25">
      <c r="B304" s="40"/>
      <c r="C304" s="40"/>
      <c r="D304" s="40"/>
      <c r="E304" s="40"/>
      <c r="F304" s="40"/>
      <c r="G304" s="40"/>
      <c r="H304" s="5"/>
      <c r="Q304" s="40"/>
      <c r="R304" s="40"/>
      <c r="S304" s="40"/>
      <c r="T304" s="40"/>
      <c r="U304" s="40"/>
      <c r="W304" s="40"/>
      <c r="X304" s="40"/>
      <c r="Y304" s="40"/>
      <c r="Z304" s="41"/>
      <c r="AA304" s="41"/>
      <c r="AB304" s="41"/>
      <c r="AC304" s="41"/>
      <c r="AD304" s="41"/>
      <c r="AE304" s="40"/>
      <c r="AF304" s="45"/>
      <c r="AG304" s="5"/>
      <c r="AH304" s="6"/>
      <c r="AI304" s="45"/>
      <c r="AJ304" s="45"/>
      <c r="AK304" s="40"/>
      <c r="AL304" s="40"/>
      <c r="AM304" s="40"/>
      <c r="AN304" s="45"/>
      <c r="AO304" s="40"/>
    </row>
    <row r="305" spans="2:41" ht="12.75" customHeight="1" x14ac:dyDescent="0.25">
      <c r="B305" s="40"/>
      <c r="C305" s="40"/>
      <c r="D305" s="40"/>
      <c r="E305" s="40"/>
      <c r="F305" s="40"/>
      <c r="G305" s="40"/>
      <c r="H305" s="5"/>
      <c r="Q305" s="40"/>
      <c r="R305" s="40"/>
      <c r="S305" s="40"/>
      <c r="T305" s="40"/>
      <c r="U305" s="40"/>
      <c r="W305" s="40"/>
      <c r="X305" s="40"/>
      <c r="Y305" s="40"/>
      <c r="Z305" s="41"/>
      <c r="AA305" s="41"/>
      <c r="AB305" s="41"/>
      <c r="AC305" s="41"/>
      <c r="AD305" s="41"/>
      <c r="AE305" s="40"/>
      <c r="AF305" s="45"/>
      <c r="AG305" s="5"/>
      <c r="AH305" s="6"/>
      <c r="AI305" s="45"/>
      <c r="AJ305" s="45"/>
      <c r="AK305" s="40"/>
      <c r="AL305" s="40"/>
      <c r="AM305" s="40"/>
      <c r="AN305" s="45"/>
      <c r="AO305" s="40"/>
    </row>
    <row r="306" spans="2:41" ht="12.75" customHeight="1" x14ac:dyDescent="0.25">
      <c r="B306" s="40"/>
      <c r="C306" s="40"/>
      <c r="D306" s="40"/>
      <c r="E306" s="40"/>
      <c r="F306" s="40"/>
      <c r="G306" s="40"/>
      <c r="H306" s="5"/>
      <c r="Q306" s="40"/>
      <c r="R306" s="40"/>
      <c r="S306" s="40"/>
      <c r="T306" s="40"/>
      <c r="U306" s="40"/>
      <c r="W306" s="40"/>
      <c r="X306" s="40"/>
      <c r="Y306" s="40"/>
      <c r="Z306" s="41"/>
      <c r="AA306" s="41"/>
      <c r="AB306" s="41"/>
      <c r="AC306" s="41"/>
      <c r="AD306" s="41"/>
      <c r="AE306" s="40"/>
      <c r="AF306" s="45"/>
      <c r="AG306" s="5"/>
      <c r="AH306" s="6"/>
      <c r="AI306" s="45"/>
      <c r="AJ306" s="45"/>
      <c r="AK306" s="40"/>
      <c r="AL306" s="40"/>
      <c r="AM306" s="40"/>
      <c r="AN306" s="45"/>
      <c r="AO306" s="40"/>
    </row>
    <row r="307" spans="2:41" ht="12.75" customHeight="1" x14ac:dyDescent="0.25">
      <c r="B307" s="40"/>
      <c r="C307" s="40"/>
      <c r="D307" s="40"/>
      <c r="E307" s="40"/>
      <c r="F307" s="40"/>
      <c r="G307" s="40"/>
      <c r="H307" s="5"/>
      <c r="Q307" s="40"/>
      <c r="R307" s="40"/>
      <c r="S307" s="40"/>
      <c r="T307" s="40"/>
      <c r="U307" s="40"/>
      <c r="W307" s="40"/>
      <c r="X307" s="40"/>
      <c r="Y307" s="40"/>
      <c r="Z307" s="41"/>
      <c r="AA307" s="41"/>
      <c r="AB307" s="41"/>
      <c r="AC307" s="41"/>
      <c r="AD307" s="41"/>
      <c r="AE307" s="40"/>
      <c r="AF307" s="45"/>
      <c r="AG307" s="5"/>
      <c r="AH307" s="6"/>
      <c r="AI307" s="45"/>
      <c r="AJ307" s="45"/>
      <c r="AK307" s="40"/>
      <c r="AL307" s="40"/>
      <c r="AM307" s="40"/>
      <c r="AN307" s="45"/>
      <c r="AO307" s="40"/>
    </row>
    <row r="308" spans="2:41" ht="12.75" customHeight="1" x14ac:dyDescent="0.25">
      <c r="B308" s="40"/>
      <c r="C308" s="40"/>
      <c r="D308" s="40"/>
      <c r="E308" s="40"/>
      <c r="F308" s="40"/>
      <c r="G308" s="40"/>
      <c r="H308" s="5"/>
      <c r="Q308" s="40"/>
      <c r="R308" s="40"/>
      <c r="S308" s="40"/>
      <c r="T308" s="40"/>
      <c r="U308" s="40"/>
      <c r="W308" s="40"/>
      <c r="X308" s="40"/>
      <c r="Y308" s="40"/>
      <c r="Z308" s="41"/>
      <c r="AA308" s="41"/>
      <c r="AB308" s="41"/>
      <c r="AC308" s="41"/>
      <c r="AD308" s="41"/>
      <c r="AE308" s="40"/>
      <c r="AF308" s="45"/>
      <c r="AG308" s="5"/>
      <c r="AH308" s="6"/>
      <c r="AI308" s="45"/>
      <c r="AJ308" s="45"/>
      <c r="AK308" s="40"/>
      <c r="AL308" s="40"/>
      <c r="AM308" s="40"/>
      <c r="AN308" s="45"/>
      <c r="AO308" s="40"/>
    </row>
    <row r="309" spans="2:41" ht="12.75" customHeight="1" x14ac:dyDescent="0.25">
      <c r="B309" s="40"/>
      <c r="C309" s="40"/>
      <c r="D309" s="40"/>
      <c r="E309" s="40"/>
      <c r="F309" s="40"/>
      <c r="G309" s="40"/>
      <c r="H309" s="5"/>
      <c r="Q309" s="40"/>
      <c r="R309" s="40"/>
      <c r="S309" s="40"/>
      <c r="T309" s="40"/>
      <c r="U309" s="40"/>
      <c r="W309" s="40"/>
      <c r="X309" s="40"/>
      <c r="Y309" s="40"/>
      <c r="Z309" s="41"/>
      <c r="AA309" s="41"/>
      <c r="AB309" s="41"/>
      <c r="AC309" s="41"/>
      <c r="AD309" s="41"/>
      <c r="AE309" s="40"/>
      <c r="AF309" s="45"/>
      <c r="AG309" s="5"/>
      <c r="AH309" s="6"/>
      <c r="AI309" s="45"/>
      <c r="AJ309" s="45"/>
      <c r="AK309" s="40"/>
      <c r="AL309" s="40"/>
      <c r="AM309" s="40"/>
      <c r="AN309" s="45"/>
      <c r="AO309" s="40"/>
    </row>
    <row r="310" spans="2:41" ht="12.75" customHeight="1" x14ac:dyDescent="0.25">
      <c r="B310" s="40"/>
      <c r="C310" s="40"/>
      <c r="D310" s="40"/>
      <c r="E310" s="40"/>
      <c r="F310" s="40"/>
      <c r="G310" s="40"/>
      <c r="H310" s="5"/>
      <c r="Q310" s="40"/>
      <c r="R310" s="40"/>
      <c r="S310" s="40"/>
      <c r="T310" s="40"/>
      <c r="U310" s="40"/>
      <c r="W310" s="40"/>
      <c r="X310" s="40"/>
      <c r="Y310" s="40"/>
      <c r="Z310" s="41"/>
      <c r="AA310" s="41"/>
      <c r="AB310" s="41"/>
      <c r="AC310" s="41"/>
      <c r="AD310" s="41"/>
      <c r="AE310" s="40"/>
      <c r="AF310" s="45"/>
      <c r="AG310" s="5"/>
      <c r="AH310" s="6"/>
      <c r="AI310" s="45"/>
      <c r="AJ310" s="45"/>
      <c r="AK310" s="40"/>
      <c r="AL310" s="40"/>
      <c r="AM310" s="40"/>
      <c r="AN310" s="45"/>
      <c r="AO310" s="40"/>
    </row>
    <row r="311" spans="2:41" ht="12.75" customHeight="1" x14ac:dyDescent="0.25">
      <c r="B311" s="40"/>
      <c r="C311" s="40"/>
      <c r="D311" s="40"/>
      <c r="E311" s="40"/>
      <c r="F311" s="40"/>
      <c r="G311" s="40"/>
      <c r="H311" s="5"/>
      <c r="Q311" s="40"/>
      <c r="R311" s="40"/>
      <c r="S311" s="40"/>
      <c r="T311" s="40"/>
      <c r="U311" s="40"/>
      <c r="W311" s="40"/>
      <c r="X311" s="40"/>
      <c r="Y311" s="40"/>
      <c r="Z311" s="41"/>
      <c r="AA311" s="41"/>
      <c r="AB311" s="41"/>
      <c r="AC311" s="41"/>
      <c r="AD311" s="41"/>
      <c r="AE311" s="40"/>
      <c r="AF311" s="45"/>
      <c r="AG311" s="5"/>
      <c r="AH311" s="6"/>
      <c r="AI311" s="45"/>
      <c r="AJ311" s="45"/>
      <c r="AK311" s="40"/>
      <c r="AL311" s="40"/>
      <c r="AM311" s="40"/>
      <c r="AN311" s="45"/>
      <c r="AO311" s="40"/>
    </row>
    <row r="312" spans="2:41" ht="12.75" customHeight="1" x14ac:dyDescent="0.25">
      <c r="B312" s="40"/>
      <c r="C312" s="40"/>
      <c r="D312" s="40"/>
      <c r="E312" s="40"/>
      <c r="F312" s="40"/>
      <c r="G312" s="40"/>
      <c r="H312" s="5"/>
      <c r="Q312" s="40"/>
      <c r="R312" s="40"/>
      <c r="S312" s="40"/>
      <c r="T312" s="40"/>
      <c r="U312" s="40"/>
      <c r="W312" s="40"/>
      <c r="X312" s="40"/>
      <c r="Y312" s="40"/>
      <c r="Z312" s="41"/>
      <c r="AA312" s="41"/>
      <c r="AB312" s="41"/>
      <c r="AC312" s="41"/>
      <c r="AD312" s="41"/>
      <c r="AE312" s="40"/>
      <c r="AF312" s="45"/>
      <c r="AG312" s="5"/>
      <c r="AH312" s="6"/>
      <c r="AI312" s="45"/>
      <c r="AJ312" s="45"/>
      <c r="AK312" s="40"/>
      <c r="AL312" s="40"/>
      <c r="AM312" s="40"/>
      <c r="AN312" s="45"/>
      <c r="AO312" s="40"/>
    </row>
    <row r="313" spans="2:41" ht="12.75" customHeight="1" x14ac:dyDescent="0.25">
      <c r="B313" s="40"/>
      <c r="C313" s="40"/>
      <c r="D313" s="40"/>
      <c r="E313" s="40"/>
      <c r="F313" s="40"/>
      <c r="G313" s="40"/>
      <c r="H313" s="5"/>
      <c r="Q313" s="40"/>
      <c r="R313" s="40"/>
      <c r="S313" s="40"/>
      <c r="T313" s="40"/>
      <c r="U313" s="40"/>
      <c r="W313" s="40"/>
      <c r="X313" s="40"/>
      <c r="Y313" s="40"/>
      <c r="Z313" s="41"/>
      <c r="AA313" s="41"/>
      <c r="AB313" s="41"/>
      <c r="AC313" s="41"/>
      <c r="AD313" s="41"/>
      <c r="AE313" s="40"/>
      <c r="AF313" s="45"/>
      <c r="AG313" s="5"/>
      <c r="AH313" s="6"/>
      <c r="AI313" s="45"/>
      <c r="AJ313" s="45"/>
      <c r="AK313" s="40"/>
      <c r="AL313" s="40"/>
      <c r="AM313" s="40"/>
      <c r="AN313" s="45"/>
      <c r="AO313" s="40"/>
    </row>
    <row r="314" spans="2:41" ht="12.75" customHeight="1" x14ac:dyDescent="0.25">
      <c r="B314" s="40"/>
      <c r="C314" s="40"/>
      <c r="D314" s="40"/>
      <c r="E314" s="40"/>
      <c r="F314" s="40"/>
      <c r="G314" s="40"/>
      <c r="H314" s="5"/>
      <c r="Q314" s="40"/>
      <c r="R314" s="40"/>
      <c r="S314" s="40"/>
      <c r="T314" s="40"/>
      <c r="U314" s="40"/>
      <c r="W314" s="40"/>
      <c r="X314" s="40"/>
      <c r="Y314" s="40"/>
      <c r="Z314" s="41"/>
      <c r="AA314" s="41"/>
      <c r="AB314" s="41"/>
      <c r="AC314" s="41"/>
      <c r="AD314" s="41"/>
      <c r="AE314" s="40"/>
      <c r="AF314" s="45"/>
      <c r="AG314" s="5"/>
      <c r="AH314" s="6"/>
      <c r="AI314" s="45"/>
      <c r="AJ314" s="45"/>
      <c r="AK314" s="40"/>
      <c r="AL314" s="40"/>
      <c r="AM314" s="40"/>
      <c r="AN314" s="45"/>
      <c r="AO314" s="40"/>
    </row>
    <row r="315" spans="2:41" ht="12.75" customHeight="1" x14ac:dyDescent="0.25">
      <c r="B315" s="40"/>
      <c r="C315" s="40"/>
      <c r="D315" s="40"/>
      <c r="E315" s="40"/>
      <c r="F315" s="40"/>
      <c r="G315" s="40"/>
      <c r="H315" s="5"/>
      <c r="Q315" s="40"/>
      <c r="R315" s="40"/>
      <c r="S315" s="40"/>
      <c r="T315" s="40"/>
      <c r="U315" s="40"/>
      <c r="W315" s="40"/>
      <c r="X315" s="40"/>
      <c r="Y315" s="40"/>
      <c r="Z315" s="41"/>
      <c r="AA315" s="41"/>
      <c r="AB315" s="41"/>
      <c r="AC315" s="41"/>
      <c r="AD315" s="41"/>
      <c r="AE315" s="40"/>
      <c r="AF315" s="45"/>
      <c r="AG315" s="5"/>
      <c r="AH315" s="6"/>
      <c r="AI315" s="45"/>
      <c r="AJ315" s="45"/>
      <c r="AK315" s="40"/>
      <c r="AL315" s="40"/>
      <c r="AM315" s="40"/>
      <c r="AN315" s="45"/>
      <c r="AO315" s="40"/>
    </row>
    <row r="316" spans="2:41" ht="12.75" customHeight="1" x14ac:dyDescent="0.25">
      <c r="B316" s="40"/>
      <c r="C316" s="40"/>
      <c r="D316" s="40"/>
      <c r="E316" s="40"/>
      <c r="F316" s="40"/>
      <c r="G316" s="40"/>
      <c r="H316" s="5"/>
      <c r="Q316" s="40"/>
      <c r="R316" s="40"/>
      <c r="S316" s="40"/>
      <c r="T316" s="40"/>
      <c r="U316" s="40"/>
      <c r="W316" s="40"/>
      <c r="X316" s="40"/>
      <c r="Y316" s="40"/>
      <c r="Z316" s="41"/>
      <c r="AA316" s="41"/>
      <c r="AB316" s="41"/>
      <c r="AC316" s="41"/>
      <c r="AD316" s="41"/>
      <c r="AE316" s="40"/>
      <c r="AF316" s="45"/>
      <c r="AG316" s="5"/>
      <c r="AH316" s="6"/>
      <c r="AI316" s="45"/>
      <c r="AJ316" s="45"/>
      <c r="AK316" s="40"/>
      <c r="AL316" s="40"/>
      <c r="AM316" s="40"/>
      <c r="AN316" s="45"/>
      <c r="AO316" s="40"/>
    </row>
    <row r="317" spans="2:41" ht="12.75" customHeight="1" x14ac:dyDescent="0.25">
      <c r="B317" s="40"/>
      <c r="C317" s="40"/>
      <c r="D317" s="40"/>
      <c r="E317" s="40"/>
      <c r="F317" s="40"/>
      <c r="G317" s="40"/>
      <c r="H317" s="5"/>
      <c r="Q317" s="40"/>
      <c r="R317" s="40"/>
      <c r="S317" s="40"/>
      <c r="T317" s="40"/>
      <c r="U317" s="40"/>
      <c r="W317" s="40"/>
      <c r="X317" s="40"/>
      <c r="Y317" s="40"/>
      <c r="Z317" s="41"/>
      <c r="AA317" s="41"/>
      <c r="AB317" s="41"/>
      <c r="AC317" s="41"/>
      <c r="AD317" s="41"/>
      <c r="AE317" s="40"/>
      <c r="AF317" s="45"/>
      <c r="AG317" s="5"/>
      <c r="AH317" s="6"/>
      <c r="AI317" s="45"/>
      <c r="AJ317" s="45"/>
      <c r="AK317" s="40"/>
      <c r="AL317" s="40"/>
      <c r="AM317" s="40"/>
      <c r="AN317" s="45"/>
      <c r="AO317" s="40"/>
    </row>
    <row r="318" spans="2:41" ht="12.75" customHeight="1" x14ac:dyDescent="0.25">
      <c r="B318" s="40"/>
      <c r="C318" s="40"/>
      <c r="D318" s="40"/>
      <c r="E318" s="40"/>
      <c r="F318" s="40"/>
      <c r="G318" s="40"/>
      <c r="H318" s="5"/>
      <c r="Q318" s="40"/>
      <c r="R318" s="40"/>
      <c r="S318" s="40"/>
      <c r="T318" s="40"/>
      <c r="U318" s="40"/>
      <c r="W318" s="40"/>
      <c r="X318" s="40"/>
      <c r="Y318" s="40"/>
      <c r="Z318" s="41"/>
      <c r="AA318" s="41"/>
      <c r="AB318" s="41"/>
      <c r="AC318" s="41"/>
      <c r="AD318" s="41"/>
      <c r="AE318" s="40"/>
      <c r="AF318" s="45"/>
      <c r="AG318" s="5"/>
      <c r="AH318" s="6"/>
      <c r="AI318" s="45"/>
      <c r="AJ318" s="45"/>
      <c r="AK318" s="40"/>
      <c r="AL318" s="40"/>
      <c r="AM318" s="40"/>
      <c r="AN318" s="45"/>
      <c r="AO318" s="40"/>
    </row>
    <row r="319" spans="2:41" ht="12.75" customHeight="1" x14ac:dyDescent="0.25">
      <c r="B319" s="40"/>
      <c r="C319" s="40"/>
      <c r="D319" s="40"/>
      <c r="E319" s="40"/>
      <c r="F319" s="40"/>
      <c r="G319" s="40"/>
      <c r="H319" s="5"/>
      <c r="Q319" s="40"/>
      <c r="R319" s="40"/>
      <c r="S319" s="40"/>
      <c r="T319" s="40"/>
      <c r="U319" s="40"/>
      <c r="W319" s="40"/>
      <c r="X319" s="40"/>
      <c r="Y319" s="40"/>
      <c r="Z319" s="41"/>
      <c r="AA319" s="41"/>
      <c r="AB319" s="41"/>
      <c r="AC319" s="41"/>
      <c r="AD319" s="41"/>
      <c r="AE319" s="40"/>
      <c r="AF319" s="45"/>
      <c r="AG319" s="5"/>
      <c r="AH319" s="6"/>
      <c r="AI319" s="45"/>
      <c r="AJ319" s="45"/>
      <c r="AK319" s="40"/>
      <c r="AL319" s="40"/>
      <c r="AM319" s="40"/>
      <c r="AN319" s="45"/>
      <c r="AO319" s="40"/>
    </row>
    <row r="320" spans="2:41" ht="12.75" customHeight="1" x14ac:dyDescent="0.25">
      <c r="B320" s="40"/>
      <c r="C320" s="40"/>
      <c r="D320" s="40"/>
      <c r="E320" s="40"/>
      <c r="F320" s="40"/>
      <c r="G320" s="40"/>
      <c r="H320" s="5"/>
      <c r="Q320" s="40"/>
      <c r="R320" s="40"/>
      <c r="S320" s="40"/>
      <c r="T320" s="40"/>
      <c r="U320" s="40"/>
      <c r="W320" s="40"/>
      <c r="X320" s="40"/>
      <c r="Y320" s="40"/>
      <c r="Z320" s="41"/>
      <c r="AA320" s="41"/>
      <c r="AB320" s="41"/>
      <c r="AC320" s="41"/>
      <c r="AD320" s="41"/>
      <c r="AE320" s="40"/>
      <c r="AF320" s="45"/>
      <c r="AG320" s="5"/>
      <c r="AH320" s="6"/>
      <c r="AI320" s="45"/>
      <c r="AJ320" s="45"/>
      <c r="AK320" s="40"/>
      <c r="AL320" s="40"/>
      <c r="AM320" s="40"/>
      <c r="AN320" s="45"/>
      <c r="AO320" s="40"/>
    </row>
    <row r="321" spans="2:41" ht="12.75" customHeight="1" x14ac:dyDescent="0.25">
      <c r="B321" s="40"/>
      <c r="C321" s="40"/>
      <c r="D321" s="40"/>
      <c r="E321" s="40"/>
      <c r="F321" s="40"/>
      <c r="G321" s="40"/>
      <c r="H321" s="5"/>
      <c r="Q321" s="40"/>
      <c r="R321" s="40"/>
      <c r="S321" s="40"/>
      <c r="T321" s="40"/>
      <c r="U321" s="40"/>
      <c r="W321" s="40"/>
      <c r="X321" s="40"/>
      <c r="Y321" s="40"/>
      <c r="Z321" s="41"/>
      <c r="AA321" s="41"/>
      <c r="AB321" s="41"/>
      <c r="AC321" s="41"/>
      <c r="AD321" s="41"/>
      <c r="AE321" s="40"/>
      <c r="AF321" s="45"/>
      <c r="AG321" s="5"/>
      <c r="AH321" s="6"/>
      <c r="AI321" s="45"/>
      <c r="AJ321" s="45"/>
      <c r="AK321" s="40"/>
      <c r="AL321" s="40"/>
      <c r="AM321" s="40"/>
      <c r="AN321" s="45"/>
      <c r="AO321" s="40"/>
    </row>
    <row r="322" spans="2:41" ht="12.75" customHeight="1" x14ac:dyDescent="0.25">
      <c r="B322" s="40"/>
      <c r="C322" s="40"/>
      <c r="D322" s="40"/>
      <c r="E322" s="40"/>
      <c r="F322" s="40"/>
      <c r="G322" s="40"/>
      <c r="H322" s="5"/>
      <c r="Q322" s="40"/>
      <c r="R322" s="40"/>
      <c r="S322" s="40"/>
      <c r="T322" s="40"/>
      <c r="U322" s="40"/>
      <c r="W322" s="40"/>
      <c r="X322" s="40"/>
      <c r="Y322" s="40"/>
      <c r="Z322" s="41"/>
      <c r="AA322" s="41"/>
      <c r="AB322" s="41"/>
      <c r="AC322" s="41"/>
      <c r="AD322" s="41"/>
      <c r="AE322" s="40"/>
      <c r="AF322" s="45"/>
      <c r="AG322" s="5"/>
      <c r="AH322" s="6"/>
      <c r="AI322" s="45"/>
      <c r="AJ322" s="45"/>
      <c r="AK322" s="40"/>
      <c r="AL322" s="40"/>
      <c r="AM322" s="40"/>
      <c r="AN322" s="45"/>
      <c r="AO322" s="40"/>
    </row>
    <row r="323" spans="2:41" ht="12.75" customHeight="1" x14ac:dyDescent="0.25">
      <c r="B323" s="40"/>
      <c r="C323" s="40"/>
      <c r="D323" s="40"/>
      <c r="E323" s="40"/>
      <c r="F323" s="40"/>
      <c r="G323" s="40"/>
      <c r="H323" s="5"/>
      <c r="Q323" s="40"/>
      <c r="R323" s="40"/>
      <c r="S323" s="40"/>
      <c r="T323" s="40"/>
      <c r="U323" s="40"/>
      <c r="W323" s="40"/>
      <c r="X323" s="40"/>
      <c r="Y323" s="40"/>
      <c r="Z323" s="41"/>
      <c r="AA323" s="41"/>
      <c r="AB323" s="41"/>
      <c r="AC323" s="41"/>
      <c r="AD323" s="41"/>
      <c r="AE323" s="40"/>
      <c r="AF323" s="45"/>
      <c r="AG323" s="5"/>
      <c r="AH323" s="6"/>
      <c r="AI323" s="45"/>
      <c r="AJ323" s="45"/>
      <c r="AK323" s="40"/>
      <c r="AL323" s="40"/>
      <c r="AM323" s="40"/>
      <c r="AN323" s="45"/>
      <c r="AO323" s="40"/>
    </row>
    <row r="324" spans="2:41" ht="12.75" customHeight="1" x14ac:dyDescent="0.25">
      <c r="B324" s="40"/>
      <c r="C324" s="40"/>
      <c r="D324" s="40"/>
      <c r="E324" s="40"/>
      <c r="F324" s="40"/>
      <c r="G324" s="40"/>
      <c r="H324" s="5"/>
      <c r="Q324" s="40"/>
      <c r="R324" s="40"/>
      <c r="S324" s="40"/>
      <c r="T324" s="40"/>
      <c r="U324" s="40"/>
      <c r="W324" s="40"/>
      <c r="X324" s="40"/>
      <c r="Y324" s="40"/>
      <c r="Z324" s="41"/>
      <c r="AA324" s="41"/>
      <c r="AB324" s="41"/>
      <c r="AC324" s="41"/>
      <c r="AD324" s="41"/>
      <c r="AE324" s="40"/>
      <c r="AF324" s="45"/>
      <c r="AG324" s="5"/>
      <c r="AH324" s="6"/>
      <c r="AI324" s="45"/>
      <c r="AJ324" s="45"/>
      <c r="AK324" s="40"/>
      <c r="AL324" s="40"/>
      <c r="AM324" s="40"/>
      <c r="AN324" s="45"/>
      <c r="AO324" s="40"/>
    </row>
    <row r="325" spans="2:41" ht="12.75" customHeight="1" x14ac:dyDescent="0.25">
      <c r="B325" s="40"/>
      <c r="C325" s="40"/>
      <c r="D325" s="40"/>
      <c r="E325" s="40"/>
      <c r="F325" s="40"/>
      <c r="G325" s="40"/>
      <c r="H325" s="5"/>
      <c r="Q325" s="40"/>
      <c r="R325" s="40"/>
      <c r="S325" s="40"/>
      <c r="T325" s="40"/>
      <c r="U325" s="40"/>
      <c r="W325" s="40"/>
      <c r="X325" s="40"/>
      <c r="Y325" s="40"/>
      <c r="Z325" s="41"/>
      <c r="AA325" s="41"/>
      <c r="AB325" s="41"/>
      <c r="AC325" s="41"/>
      <c r="AD325" s="41"/>
      <c r="AE325" s="40"/>
      <c r="AF325" s="45"/>
      <c r="AG325" s="5"/>
      <c r="AH325" s="6"/>
      <c r="AI325" s="45"/>
      <c r="AJ325" s="45"/>
      <c r="AK325" s="40"/>
      <c r="AL325" s="40"/>
      <c r="AM325" s="40"/>
      <c r="AN325" s="45"/>
      <c r="AO325" s="40"/>
    </row>
    <row r="326" spans="2:41" ht="12.75" customHeight="1" x14ac:dyDescent="0.25">
      <c r="B326" s="40"/>
      <c r="C326" s="40"/>
      <c r="D326" s="40"/>
      <c r="E326" s="40"/>
      <c r="F326" s="40"/>
      <c r="G326" s="40"/>
      <c r="H326" s="5"/>
      <c r="Q326" s="40"/>
      <c r="R326" s="40"/>
      <c r="S326" s="40"/>
      <c r="T326" s="40"/>
      <c r="U326" s="40"/>
      <c r="W326" s="40"/>
      <c r="X326" s="40"/>
      <c r="Y326" s="40"/>
      <c r="Z326" s="41"/>
      <c r="AA326" s="41"/>
      <c r="AB326" s="41"/>
      <c r="AC326" s="41"/>
      <c r="AD326" s="41"/>
      <c r="AE326" s="40"/>
      <c r="AF326" s="45"/>
      <c r="AG326" s="5"/>
      <c r="AH326" s="6"/>
      <c r="AI326" s="45"/>
      <c r="AJ326" s="45"/>
      <c r="AK326" s="40"/>
      <c r="AL326" s="40"/>
      <c r="AM326" s="40"/>
      <c r="AN326" s="45"/>
      <c r="AO326" s="40"/>
    </row>
    <row r="327" spans="2:41" ht="12.75" customHeight="1" x14ac:dyDescent="0.25">
      <c r="B327" s="40"/>
      <c r="C327" s="40"/>
      <c r="D327" s="40"/>
      <c r="E327" s="40"/>
      <c r="F327" s="40"/>
      <c r="G327" s="40"/>
      <c r="H327" s="5"/>
      <c r="Q327" s="40"/>
      <c r="R327" s="40"/>
      <c r="S327" s="40"/>
      <c r="T327" s="40"/>
      <c r="U327" s="40"/>
      <c r="W327" s="40"/>
      <c r="X327" s="40"/>
      <c r="Y327" s="40"/>
      <c r="Z327" s="41"/>
      <c r="AA327" s="41"/>
      <c r="AB327" s="41"/>
      <c r="AC327" s="41"/>
      <c r="AD327" s="41"/>
      <c r="AE327" s="40"/>
      <c r="AF327" s="45"/>
      <c r="AG327" s="5"/>
      <c r="AH327" s="6"/>
      <c r="AI327" s="45"/>
      <c r="AJ327" s="45"/>
      <c r="AK327" s="40"/>
      <c r="AL327" s="40"/>
      <c r="AM327" s="40"/>
      <c r="AN327" s="45"/>
      <c r="AO327" s="40"/>
    </row>
    <row r="328" spans="2:41" ht="12.75" customHeight="1" x14ac:dyDescent="0.25">
      <c r="B328" s="40"/>
      <c r="C328" s="40"/>
      <c r="D328" s="40"/>
      <c r="E328" s="40"/>
      <c r="F328" s="40"/>
      <c r="G328" s="40"/>
      <c r="H328" s="5"/>
      <c r="Q328" s="40"/>
      <c r="R328" s="40"/>
      <c r="S328" s="40"/>
      <c r="T328" s="40"/>
      <c r="U328" s="40"/>
      <c r="W328" s="40"/>
      <c r="X328" s="40"/>
      <c r="Y328" s="40"/>
      <c r="Z328" s="41"/>
      <c r="AA328" s="41"/>
      <c r="AB328" s="41"/>
      <c r="AC328" s="41"/>
      <c r="AD328" s="41"/>
      <c r="AE328" s="40"/>
      <c r="AF328" s="45"/>
      <c r="AG328" s="5"/>
      <c r="AH328" s="6"/>
      <c r="AI328" s="45"/>
      <c r="AJ328" s="45"/>
      <c r="AK328" s="40"/>
      <c r="AL328" s="40"/>
      <c r="AM328" s="40"/>
      <c r="AN328" s="45"/>
      <c r="AO328" s="40"/>
    </row>
    <row r="329" spans="2:41" ht="12.75" customHeight="1" x14ac:dyDescent="0.25">
      <c r="B329" s="40"/>
      <c r="C329" s="40"/>
      <c r="D329" s="40"/>
      <c r="E329" s="40"/>
      <c r="F329" s="40"/>
      <c r="G329" s="40"/>
      <c r="H329" s="5"/>
      <c r="Q329" s="40"/>
      <c r="R329" s="40"/>
      <c r="S329" s="40"/>
      <c r="T329" s="40"/>
      <c r="U329" s="40"/>
      <c r="W329" s="40"/>
      <c r="X329" s="40"/>
      <c r="Y329" s="40"/>
      <c r="Z329" s="41"/>
      <c r="AA329" s="41"/>
      <c r="AB329" s="41"/>
      <c r="AC329" s="41"/>
      <c r="AD329" s="41"/>
      <c r="AE329" s="40"/>
      <c r="AF329" s="45"/>
      <c r="AG329" s="5"/>
      <c r="AH329" s="6"/>
      <c r="AI329" s="45"/>
      <c r="AJ329" s="45"/>
      <c r="AK329" s="40"/>
      <c r="AL329" s="40"/>
      <c r="AM329" s="40"/>
      <c r="AN329" s="45"/>
      <c r="AO329" s="40"/>
    </row>
    <row r="330" spans="2:41" ht="12.75" customHeight="1" x14ac:dyDescent="0.25">
      <c r="B330" s="40"/>
      <c r="C330" s="40"/>
      <c r="D330" s="40"/>
      <c r="E330" s="40"/>
      <c r="F330" s="40"/>
      <c r="G330" s="40"/>
      <c r="H330" s="5"/>
      <c r="Q330" s="40"/>
      <c r="R330" s="40"/>
      <c r="S330" s="40"/>
      <c r="T330" s="40"/>
      <c r="U330" s="40"/>
      <c r="W330" s="40"/>
      <c r="X330" s="40"/>
      <c r="Y330" s="40"/>
      <c r="Z330" s="41"/>
      <c r="AA330" s="41"/>
      <c r="AB330" s="41"/>
      <c r="AC330" s="41"/>
      <c r="AD330" s="41"/>
      <c r="AE330" s="40"/>
      <c r="AF330" s="45"/>
      <c r="AG330" s="5"/>
      <c r="AH330" s="6"/>
      <c r="AI330" s="45"/>
      <c r="AJ330" s="45"/>
      <c r="AK330" s="40"/>
      <c r="AL330" s="40"/>
      <c r="AM330" s="40"/>
      <c r="AN330" s="45"/>
      <c r="AO330" s="40"/>
    </row>
    <row r="331" spans="2:41" ht="12.75" customHeight="1" x14ac:dyDescent="0.25">
      <c r="B331" s="40"/>
      <c r="C331" s="40"/>
      <c r="D331" s="40"/>
      <c r="E331" s="40"/>
      <c r="F331" s="40"/>
      <c r="G331" s="40"/>
      <c r="H331" s="5"/>
      <c r="Q331" s="40"/>
      <c r="R331" s="40"/>
      <c r="S331" s="40"/>
      <c r="T331" s="40"/>
      <c r="U331" s="40"/>
      <c r="W331" s="40"/>
      <c r="X331" s="40"/>
      <c r="Y331" s="40"/>
      <c r="Z331" s="41"/>
      <c r="AA331" s="41"/>
      <c r="AB331" s="41"/>
      <c r="AC331" s="41"/>
      <c r="AD331" s="41"/>
      <c r="AE331" s="40"/>
      <c r="AF331" s="45"/>
      <c r="AG331" s="5"/>
      <c r="AH331" s="6"/>
      <c r="AI331" s="45"/>
      <c r="AJ331" s="45"/>
      <c r="AK331" s="40"/>
      <c r="AL331" s="40"/>
      <c r="AM331" s="40"/>
      <c r="AN331" s="45"/>
      <c r="AO331" s="40"/>
    </row>
    <row r="332" spans="2:41" ht="12.75" customHeight="1" x14ac:dyDescent="0.25">
      <c r="B332" s="40"/>
      <c r="C332" s="40"/>
      <c r="D332" s="40"/>
      <c r="E332" s="40"/>
      <c r="F332" s="40"/>
      <c r="G332" s="40"/>
      <c r="H332" s="5"/>
      <c r="Q332" s="40"/>
      <c r="R332" s="40"/>
      <c r="S332" s="40"/>
      <c r="T332" s="40"/>
      <c r="U332" s="40"/>
      <c r="W332" s="40"/>
      <c r="X332" s="40"/>
      <c r="Y332" s="40"/>
      <c r="Z332" s="41"/>
      <c r="AA332" s="41"/>
      <c r="AB332" s="41"/>
      <c r="AC332" s="41"/>
      <c r="AD332" s="41"/>
      <c r="AE332" s="40"/>
      <c r="AF332" s="45"/>
      <c r="AG332" s="5"/>
      <c r="AH332" s="6"/>
      <c r="AI332" s="45"/>
      <c r="AJ332" s="45"/>
      <c r="AK332" s="40"/>
      <c r="AL332" s="40"/>
      <c r="AM332" s="40"/>
      <c r="AN332" s="45"/>
      <c r="AO332" s="40"/>
    </row>
    <row r="333" spans="2:41" ht="12.75" customHeight="1" x14ac:dyDescent="0.25">
      <c r="B333" s="40"/>
      <c r="C333" s="40"/>
      <c r="D333" s="40"/>
      <c r="E333" s="40"/>
      <c r="F333" s="40"/>
      <c r="G333" s="40"/>
      <c r="H333" s="5"/>
      <c r="Q333" s="40"/>
      <c r="R333" s="40"/>
      <c r="S333" s="40"/>
      <c r="T333" s="40"/>
      <c r="U333" s="40"/>
      <c r="W333" s="40"/>
      <c r="X333" s="40"/>
      <c r="Y333" s="40"/>
      <c r="Z333" s="41"/>
      <c r="AA333" s="41"/>
      <c r="AB333" s="41"/>
      <c r="AC333" s="41"/>
      <c r="AD333" s="41"/>
      <c r="AE333" s="40"/>
      <c r="AF333" s="45"/>
      <c r="AG333" s="5"/>
      <c r="AH333" s="6"/>
      <c r="AI333" s="45"/>
      <c r="AJ333" s="45"/>
      <c r="AK333" s="40"/>
      <c r="AL333" s="40"/>
      <c r="AM333" s="40"/>
      <c r="AN333" s="45"/>
      <c r="AO333" s="40"/>
    </row>
    <row r="334" spans="2:41" ht="12.75" customHeight="1" x14ac:dyDescent="0.25">
      <c r="B334" s="40"/>
      <c r="C334" s="40"/>
      <c r="D334" s="40"/>
      <c r="E334" s="40"/>
      <c r="F334" s="40"/>
      <c r="G334" s="40"/>
      <c r="H334" s="5"/>
      <c r="Q334" s="40"/>
      <c r="R334" s="40"/>
      <c r="S334" s="40"/>
      <c r="T334" s="40"/>
      <c r="U334" s="40"/>
      <c r="W334" s="40"/>
      <c r="X334" s="40"/>
      <c r="Y334" s="40"/>
      <c r="Z334" s="41"/>
      <c r="AA334" s="41"/>
      <c r="AB334" s="41"/>
      <c r="AC334" s="41"/>
      <c r="AD334" s="41"/>
      <c r="AE334" s="40"/>
      <c r="AF334" s="45"/>
      <c r="AG334" s="5"/>
      <c r="AH334" s="6"/>
      <c r="AI334" s="45"/>
      <c r="AJ334" s="45"/>
      <c r="AK334" s="40"/>
      <c r="AL334" s="40"/>
      <c r="AM334" s="40"/>
      <c r="AN334" s="45"/>
      <c r="AO334" s="40"/>
    </row>
    <row r="335" spans="2:41" ht="12.75" customHeight="1" x14ac:dyDescent="0.25">
      <c r="B335" s="40"/>
      <c r="C335" s="40"/>
      <c r="D335" s="40"/>
      <c r="E335" s="40"/>
      <c r="F335" s="40"/>
      <c r="G335" s="40"/>
      <c r="H335" s="5"/>
      <c r="Q335" s="40"/>
      <c r="R335" s="40"/>
      <c r="S335" s="40"/>
      <c r="T335" s="40"/>
      <c r="U335" s="40"/>
      <c r="W335" s="40"/>
      <c r="X335" s="40"/>
      <c r="Y335" s="40"/>
      <c r="Z335" s="41"/>
      <c r="AA335" s="41"/>
      <c r="AB335" s="41"/>
      <c r="AC335" s="41"/>
      <c r="AD335" s="41"/>
      <c r="AE335" s="40"/>
      <c r="AF335" s="45"/>
      <c r="AG335" s="5"/>
      <c r="AH335" s="6"/>
      <c r="AI335" s="45"/>
      <c r="AJ335" s="45"/>
      <c r="AK335" s="40"/>
      <c r="AL335" s="40"/>
      <c r="AM335" s="40"/>
      <c r="AN335" s="45"/>
      <c r="AO335" s="40"/>
    </row>
    <row r="336" spans="2:41" ht="12.75" customHeight="1" x14ac:dyDescent="0.25">
      <c r="B336" s="40"/>
      <c r="C336" s="40"/>
      <c r="D336" s="40"/>
      <c r="E336" s="40"/>
      <c r="F336" s="40"/>
      <c r="G336" s="40"/>
      <c r="H336" s="5"/>
      <c r="Q336" s="40"/>
      <c r="R336" s="40"/>
      <c r="S336" s="40"/>
      <c r="T336" s="40"/>
      <c r="U336" s="40"/>
      <c r="W336" s="40"/>
      <c r="X336" s="40"/>
      <c r="Y336" s="40"/>
      <c r="Z336" s="41"/>
      <c r="AA336" s="41"/>
      <c r="AB336" s="41"/>
      <c r="AC336" s="41"/>
      <c r="AD336" s="41"/>
      <c r="AE336" s="40"/>
      <c r="AF336" s="45"/>
      <c r="AG336" s="5"/>
      <c r="AH336" s="6"/>
      <c r="AI336" s="45"/>
      <c r="AJ336" s="45"/>
      <c r="AK336" s="40"/>
      <c r="AL336" s="40"/>
      <c r="AM336" s="40"/>
      <c r="AN336" s="45"/>
      <c r="AO336" s="40"/>
    </row>
    <row r="337" spans="2:41" ht="12.75" customHeight="1" x14ac:dyDescent="0.25">
      <c r="B337" s="40"/>
      <c r="C337" s="40"/>
      <c r="D337" s="40"/>
      <c r="E337" s="40"/>
      <c r="F337" s="40"/>
      <c r="G337" s="40"/>
      <c r="H337" s="5"/>
      <c r="Q337" s="40"/>
      <c r="R337" s="40"/>
      <c r="S337" s="40"/>
      <c r="T337" s="40"/>
      <c r="U337" s="40"/>
      <c r="W337" s="40"/>
      <c r="X337" s="40"/>
      <c r="Y337" s="40"/>
      <c r="Z337" s="41"/>
      <c r="AA337" s="41"/>
      <c r="AB337" s="41"/>
      <c r="AC337" s="41"/>
      <c r="AD337" s="41"/>
      <c r="AE337" s="40"/>
      <c r="AF337" s="45"/>
      <c r="AG337" s="5"/>
      <c r="AH337" s="6"/>
      <c r="AI337" s="45"/>
      <c r="AJ337" s="45"/>
      <c r="AK337" s="40"/>
      <c r="AL337" s="40"/>
      <c r="AM337" s="40"/>
      <c r="AN337" s="45"/>
      <c r="AO337" s="40"/>
    </row>
    <row r="338" spans="2:41" ht="12.75" customHeight="1" x14ac:dyDescent="0.25">
      <c r="B338" s="40"/>
      <c r="C338" s="40"/>
      <c r="D338" s="40"/>
      <c r="E338" s="40"/>
      <c r="F338" s="40"/>
      <c r="G338" s="40"/>
      <c r="H338" s="5"/>
      <c r="Q338" s="40"/>
      <c r="R338" s="40"/>
      <c r="S338" s="40"/>
      <c r="T338" s="40"/>
      <c r="U338" s="40"/>
      <c r="W338" s="40"/>
      <c r="X338" s="40"/>
      <c r="Y338" s="40"/>
      <c r="Z338" s="41"/>
      <c r="AA338" s="41"/>
      <c r="AB338" s="41"/>
      <c r="AC338" s="41"/>
      <c r="AD338" s="41"/>
      <c r="AE338" s="40"/>
      <c r="AF338" s="45"/>
      <c r="AG338" s="5"/>
      <c r="AH338" s="6"/>
      <c r="AI338" s="45"/>
      <c r="AJ338" s="45"/>
      <c r="AK338" s="40"/>
      <c r="AL338" s="40"/>
      <c r="AM338" s="40"/>
      <c r="AN338" s="45"/>
      <c r="AO338" s="40"/>
    </row>
    <row r="339" spans="2:41" ht="12.75" customHeight="1" x14ac:dyDescent="0.25">
      <c r="B339" s="40"/>
      <c r="C339" s="40"/>
      <c r="D339" s="40"/>
      <c r="E339" s="40"/>
      <c r="F339" s="40"/>
      <c r="G339" s="40"/>
      <c r="H339" s="5"/>
      <c r="Q339" s="40"/>
      <c r="R339" s="40"/>
      <c r="S339" s="40"/>
      <c r="T339" s="40"/>
      <c r="U339" s="40"/>
      <c r="W339" s="40"/>
      <c r="X339" s="40"/>
      <c r="Y339" s="40"/>
      <c r="Z339" s="41"/>
      <c r="AA339" s="41"/>
      <c r="AB339" s="41"/>
      <c r="AC339" s="41"/>
      <c r="AD339" s="41"/>
      <c r="AE339" s="40"/>
      <c r="AF339" s="45"/>
      <c r="AG339" s="5"/>
      <c r="AH339" s="6"/>
      <c r="AI339" s="45"/>
      <c r="AJ339" s="45"/>
      <c r="AK339" s="40"/>
      <c r="AL339" s="40"/>
      <c r="AM339" s="40"/>
      <c r="AN339" s="45"/>
      <c r="AO339" s="40"/>
    </row>
    <row r="340" spans="2:41" ht="12.75" customHeight="1" x14ac:dyDescent="0.25">
      <c r="B340" s="40"/>
      <c r="C340" s="40"/>
      <c r="D340" s="40"/>
      <c r="E340" s="40"/>
      <c r="F340" s="40"/>
      <c r="G340" s="40"/>
      <c r="H340" s="5"/>
      <c r="Q340" s="40"/>
      <c r="R340" s="40"/>
      <c r="S340" s="40"/>
      <c r="T340" s="40"/>
      <c r="U340" s="40"/>
      <c r="W340" s="40"/>
      <c r="X340" s="40"/>
      <c r="Y340" s="40"/>
      <c r="Z340" s="41"/>
      <c r="AA340" s="41"/>
      <c r="AB340" s="41"/>
      <c r="AC340" s="41"/>
      <c r="AD340" s="41"/>
      <c r="AE340" s="40"/>
      <c r="AF340" s="45"/>
      <c r="AG340" s="5"/>
      <c r="AH340" s="6"/>
      <c r="AI340" s="45"/>
      <c r="AJ340" s="45"/>
      <c r="AK340" s="40"/>
      <c r="AL340" s="40"/>
      <c r="AM340" s="40"/>
      <c r="AN340" s="45"/>
      <c r="AO340" s="40"/>
    </row>
    <row r="341" spans="2:41" ht="12.75" customHeight="1" x14ac:dyDescent="0.25">
      <c r="B341" s="40"/>
      <c r="C341" s="40"/>
      <c r="D341" s="40"/>
      <c r="E341" s="40"/>
      <c r="F341" s="40"/>
      <c r="G341" s="40"/>
      <c r="H341" s="5"/>
      <c r="Q341" s="40"/>
      <c r="R341" s="40"/>
      <c r="S341" s="40"/>
      <c r="T341" s="40"/>
      <c r="U341" s="40"/>
      <c r="W341" s="40"/>
      <c r="X341" s="40"/>
      <c r="Y341" s="40"/>
      <c r="Z341" s="41"/>
      <c r="AA341" s="41"/>
      <c r="AB341" s="41"/>
      <c r="AC341" s="41"/>
      <c r="AD341" s="41"/>
      <c r="AE341" s="40"/>
      <c r="AF341" s="45"/>
      <c r="AG341" s="5"/>
      <c r="AH341" s="6"/>
      <c r="AI341" s="45"/>
      <c r="AJ341" s="45"/>
      <c r="AK341" s="40"/>
      <c r="AL341" s="40"/>
      <c r="AM341" s="40"/>
      <c r="AN341" s="45"/>
      <c r="AO341" s="40"/>
    </row>
    <row r="342" spans="2:41" ht="12.75" customHeight="1" x14ac:dyDescent="0.25">
      <c r="B342" s="40"/>
      <c r="C342" s="40"/>
      <c r="D342" s="40"/>
      <c r="E342" s="40"/>
      <c r="F342" s="40"/>
      <c r="G342" s="40"/>
      <c r="H342" s="5"/>
      <c r="Q342" s="40"/>
      <c r="R342" s="40"/>
      <c r="S342" s="40"/>
      <c r="T342" s="40"/>
      <c r="U342" s="40"/>
      <c r="W342" s="40"/>
      <c r="X342" s="40"/>
      <c r="Y342" s="40"/>
      <c r="Z342" s="41"/>
      <c r="AA342" s="41"/>
      <c r="AB342" s="41"/>
      <c r="AC342" s="41"/>
      <c r="AD342" s="41"/>
      <c r="AE342" s="40"/>
      <c r="AF342" s="45"/>
      <c r="AG342" s="5"/>
      <c r="AH342" s="6"/>
      <c r="AI342" s="45"/>
      <c r="AJ342" s="45"/>
      <c r="AK342" s="40"/>
      <c r="AL342" s="40"/>
      <c r="AM342" s="40"/>
      <c r="AN342" s="45"/>
      <c r="AO342" s="40"/>
    </row>
    <row r="343" spans="2:41" ht="12.75" customHeight="1" x14ac:dyDescent="0.25">
      <c r="B343" s="40"/>
      <c r="C343" s="40"/>
      <c r="D343" s="40"/>
      <c r="E343" s="40"/>
      <c r="F343" s="40"/>
      <c r="G343" s="40"/>
      <c r="H343" s="5"/>
      <c r="Q343" s="40"/>
      <c r="R343" s="40"/>
      <c r="S343" s="40"/>
      <c r="T343" s="40"/>
      <c r="U343" s="40"/>
      <c r="W343" s="40"/>
      <c r="X343" s="40"/>
      <c r="Y343" s="40"/>
      <c r="Z343" s="41"/>
      <c r="AA343" s="41"/>
      <c r="AB343" s="41"/>
      <c r="AC343" s="41"/>
      <c r="AD343" s="41"/>
      <c r="AE343" s="40"/>
      <c r="AF343" s="45"/>
      <c r="AG343" s="5"/>
      <c r="AH343" s="6"/>
      <c r="AI343" s="45"/>
      <c r="AJ343" s="45"/>
      <c r="AK343" s="40"/>
      <c r="AL343" s="40"/>
      <c r="AM343" s="40"/>
      <c r="AN343" s="45"/>
      <c r="AO343" s="40"/>
    </row>
    <row r="344" spans="2:41" ht="12.75" customHeight="1" x14ac:dyDescent="0.25">
      <c r="B344" s="40"/>
      <c r="C344" s="40"/>
      <c r="D344" s="40"/>
      <c r="E344" s="40"/>
      <c r="F344" s="40"/>
      <c r="G344" s="40"/>
      <c r="H344" s="5"/>
      <c r="Q344" s="40"/>
      <c r="R344" s="40"/>
      <c r="S344" s="40"/>
      <c r="T344" s="40"/>
      <c r="U344" s="40"/>
      <c r="W344" s="40"/>
      <c r="X344" s="40"/>
      <c r="Y344" s="40"/>
      <c r="Z344" s="41"/>
      <c r="AA344" s="41"/>
      <c r="AB344" s="41"/>
      <c r="AC344" s="41"/>
      <c r="AD344" s="41"/>
      <c r="AE344" s="40"/>
      <c r="AF344" s="45"/>
      <c r="AG344" s="5"/>
      <c r="AH344" s="6"/>
      <c r="AI344" s="45"/>
      <c r="AJ344" s="45"/>
      <c r="AK344" s="40"/>
      <c r="AL344" s="40"/>
      <c r="AM344" s="40"/>
      <c r="AN344" s="45"/>
      <c r="AO344" s="40"/>
    </row>
    <row r="345" spans="2:41" ht="12.75" customHeight="1" x14ac:dyDescent="0.25">
      <c r="B345" s="40"/>
      <c r="C345" s="40"/>
      <c r="D345" s="40"/>
      <c r="E345" s="40"/>
      <c r="F345" s="40"/>
      <c r="G345" s="40"/>
      <c r="H345" s="5"/>
      <c r="Q345" s="40"/>
      <c r="R345" s="40"/>
      <c r="S345" s="40"/>
      <c r="T345" s="40"/>
      <c r="U345" s="40"/>
      <c r="W345" s="40"/>
      <c r="X345" s="40"/>
      <c r="Y345" s="40"/>
      <c r="Z345" s="41"/>
      <c r="AA345" s="41"/>
      <c r="AB345" s="41"/>
      <c r="AC345" s="41"/>
      <c r="AD345" s="41"/>
      <c r="AE345" s="40"/>
      <c r="AF345" s="45"/>
      <c r="AG345" s="5"/>
      <c r="AH345" s="6"/>
      <c r="AI345" s="45"/>
      <c r="AJ345" s="45"/>
      <c r="AK345" s="40"/>
      <c r="AL345" s="40"/>
      <c r="AM345" s="40"/>
      <c r="AN345" s="45"/>
      <c r="AO345" s="40"/>
    </row>
    <row r="346" spans="2:41" ht="12.75" customHeight="1" x14ac:dyDescent="0.25">
      <c r="B346" s="40"/>
      <c r="C346" s="40"/>
      <c r="D346" s="40"/>
      <c r="E346" s="40"/>
      <c r="F346" s="40"/>
      <c r="G346" s="40"/>
      <c r="H346" s="5"/>
      <c r="Q346" s="40"/>
      <c r="R346" s="40"/>
      <c r="S346" s="40"/>
      <c r="T346" s="40"/>
      <c r="U346" s="40"/>
      <c r="W346" s="40"/>
      <c r="X346" s="40"/>
      <c r="Y346" s="40"/>
      <c r="Z346" s="41"/>
      <c r="AA346" s="41"/>
      <c r="AB346" s="41"/>
      <c r="AC346" s="41"/>
      <c r="AD346" s="41"/>
      <c r="AE346" s="40"/>
      <c r="AF346" s="45"/>
      <c r="AG346" s="5"/>
      <c r="AH346" s="6"/>
      <c r="AI346" s="45"/>
      <c r="AJ346" s="45"/>
      <c r="AK346" s="40"/>
      <c r="AL346" s="40"/>
      <c r="AM346" s="40"/>
      <c r="AN346" s="45"/>
      <c r="AO346" s="40"/>
    </row>
    <row r="347" spans="2:41" ht="12.75" customHeight="1" x14ac:dyDescent="0.25">
      <c r="B347" s="40"/>
      <c r="C347" s="40"/>
      <c r="D347" s="40"/>
      <c r="E347" s="40"/>
      <c r="F347" s="40"/>
      <c r="G347" s="40"/>
      <c r="H347" s="5"/>
      <c r="Q347" s="40"/>
      <c r="R347" s="40"/>
      <c r="S347" s="40"/>
      <c r="T347" s="40"/>
      <c r="U347" s="40"/>
      <c r="W347" s="40"/>
      <c r="X347" s="40"/>
      <c r="Y347" s="40"/>
      <c r="Z347" s="41"/>
      <c r="AA347" s="41"/>
      <c r="AB347" s="41"/>
      <c r="AC347" s="41"/>
      <c r="AD347" s="41"/>
      <c r="AE347" s="40"/>
      <c r="AF347" s="45"/>
      <c r="AG347" s="5"/>
      <c r="AH347" s="6"/>
      <c r="AI347" s="45"/>
      <c r="AJ347" s="45"/>
      <c r="AK347" s="40"/>
      <c r="AL347" s="40"/>
      <c r="AM347" s="40"/>
      <c r="AN347" s="45"/>
      <c r="AO347" s="40"/>
    </row>
    <row r="348" spans="2:41" ht="12.75" customHeight="1" x14ac:dyDescent="0.25">
      <c r="B348" s="40"/>
      <c r="C348" s="40"/>
      <c r="D348" s="40"/>
      <c r="E348" s="40"/>
      <c r="F348" s="40"/>
      <c r="G348" s="40"/>
      <c r="H348" s="5"/>
      <c r="Q348" s="40"/>
      <c r="R348" s="40"/>
      <c r="S348" s="40"/>
      <c r="T348" s="40"/>
      <c r="U348" s="40"/>
      <c r="W348" s="40"/>
      <c r="X348" s="40"/>
      <c r="Y348" s="40"/>
      <c r="Z348" s="41"/>
      <c r="AA348" s="41"/>
      <c r="AB348" s="41"/>
      <c r="AC348" s="41"/>
      <c r="AD348" s="41"/>
      <c r="AE348" s="40"/>
      <c r="AF348" s="45"/>
      <c r="AG348" s="5"/>
      <c r="AH348" s="6"/>
      <c r="AI348" s="45"/>
      <c r="AJ348" s="45"/>
      <c r="AK348" s="40"/>
      <c r="AL348" s="40"/>
      <c r="AM348" s="40"/>
      <c r="AN348" s="45"/>
      <c r="AO348" s="40"/>
    </row>
    <row r="349" spans="2:41" ht="12.75" customHeight="1" x14ac:dyDescent="0.25">
      <c r="B349" s="40"/>
      <c r="C349" s="40"/>
      <c r="D349" s="40"/>
      <c r="E349" s="40"/>
      <c r="F349" s="40"/>
      <c r="G349" s="40"/>
      <c r="H349" s="5"/>
      <c r="Q349" s="40"/>
      <c r="R349" s="40"/>
      <c r="S349" s="40"/>
      <c r="T349" s="40"/>
      <c r="U349" s="40"/>
      <c r="W349" s="40"/>
      <c r="X349" s="40"/>
      <c r="Y349" s="40"/>
      <c r="Z349" s="41"/>
      <c r="AA349" s="41"/>
      <c r="AB349" s="41"/>
      <c r="AC349" s="41"/>
      <c r="AD349" s="41"/>
      <c r="AE349" s="40"/>
      <c r="AF349" s="45"/>
      <c r="AG349" s="5"/>
      <c r="AH349" s="6"/>
      <c r="AI349" s="45"/>
      <c r="AJ349" s="45"/>
      <c r="AK349" s="40"/>
      <c r="AL349" s="40"/>
      <c r="AM349" s="40"/>
      <c r="AN349" s="45"/>
      <c r="AO349" s="40"/>
    </row>
    <row r="350" spans="2:41" ht="12.75" customHeight="1" x14ac:dyDescent="0.25">
      <c r="B350" s="40"/>
      <c r="C350" s="40"/>
      <c r="D350" s="40"/>
      <c r="E350" s="40"/>
      <c r="F350" s="40"/>
      <c r="G350" s="40"/>
      <c r="H350" s="5"/>
      <c r="Q350" s="40"/>
      <c r="R350" s="40"/>
      <c r="S350" s="40"/>
      <c r="T350" s="40"/>
      <c r="U350" s="40"/>
      <c r="W350" s="40"/>
      <c r="X350" s="40"/>
      <c r="Y350" s="40"/>
      <c r="Z350" s="41"/>
      <c r="AA350" s="41"/>
      <c r="AB350" s="41"/>
      <c r="AC350" s="41"/>
      <c r="AD350" s="41"/>
      <c r="AE350" s="40"/>
      <c r="AF350" s="45"/>
      <c r="AG350" s="5"/>
      <c r="AH350" s="6"/>
      <c r="AI350" s="45"/>
      <c r="AJ350" s="45"/>
      <c r="AK350" s="40"/>
      <c r="AL350" s="40"/>
      <c r="AM350" s="40"/>
      <c r="AN350" s="45"/>
      <c r="AO350" s="40"/>
    </row>
    <row r="351" spans="2:41" ht="12.75" customHeight="1" x14ac:dyDescent="0.25">
      <c r="B351" s="40"/>
      <c r="C351" s="40"/>
      <c r="D351" s="40"/>
      <c r="E351" s="40"/>
      <c r="F351" s="40"/>
      <c r="G351" s="40"/>
      <c r="H351" s="5"/>
      <c r="Q351" s="40"/>
      <c r="R351" s="40"/>
      <c r="S351" s="40"/>
      <c r="T351" s="40"/>
      <c r="U351" s="40"/>
      <c r="W351" s="40"/>
      <c r="X351" s="40"/>
      <c r="Y351" s="40"/>
      <c r="Z351" s="41"/>
      <c r="AA351" s="41"/>
      <c r="AB351" s="41"/>
      <c r="AC351" s="41"/>
      <c r="AD351" s="41"/>
      <c r="AE351" s="40"/>
      <c r="AF351" s="45"/>
      <c r="AG351" s="5"/>
      <c r="AH351" s="6"/>
      <c r="AI351" s="45"/>
      <c r="AJ351" s="45"/>
      <c r="AK351" s="40"/>
      <c r="AL351" s="40"/>
      <c r="AM351" s="40"/>
      <c r="AN351" s="45"/>
      <c r="AO351" s="40"/>
    </row>
    <row r="352" spans="2:41" ht="12.75" customHeight="1" x14ac:dyDescent="0.25">
      <c r="B352" s="40"/>
      <c r="C352" s="40"/>
      <c r="D352" s="40"/>
      <c r="E352" s="40"/>
      <c r="F352" s="40"/>
      <c r="G352" s="40"/>
      <c r="H352" s="5"/>
      <c r="Q352" s="40"/>
      <c r="R352" s="40"/>
      <c r="S352" s="40"/>
      <c r="T352" s="40"/>
      <c r="U352" s="40"/>
      <c r="W352" s="40"/>
      <c r="X352" s="40"/>
      <c r="Y352" s="40"/>
      <c r="Z352" s="41"/>
      <c r="AA352" s="41"/>
      <c r="AB352" s="41"/>
      <c r="AC352" s="41"/>
      <c r="AD352" s="41"/>
      <c r="AE352" s="40"/>
      <c r="AF352" s="45"/>
      <c r="AG352" s="5"/>
      <c r="AH352" s="6"/>
      <c r="AI352" s="45"/>
      <c r="AJ352" s="45"/>
      <c r="AK352" s="40"/>
      <c r="AL352" s="40"/>
      <c r="AM352" s="40"/>
      <c r="AN352" s="45"/>
      <c r="AO352" s="40"/>
    </row>
    <row r="353" spans="2:41" ht="12.75" customHeight="1" x14ac:dyDescent="0.25">
      <c r="B353" s="40"/>
      <c r="C353" s="40"/>
      <c r="D353" s="40"/>
      <c r="E353" s="40"/>
      <c r="F353" s="40"/>
      <c r="G353" s="40"/>
      <c r="H353" s="5"/>
      <c r="Q353" s="40"/>
      <c r="R353" s="40"/>
      <c r="S353" s="40"/>
      <c r="T353" s="40"/>
      <c r="U353" s="40"/>
      <c r="W353" s="40"/>
      <c r="X353" s="40"/>
      <c r="Y353" s="40"/>
      <c r="Z353" s="41"/>
      <c r="AA353" s="41"/>
      <c r="AB353" s="41"/>
      <c r="AC353" s="41"/>
      <c r="AD353" s="41"/>
      <c r="AE353" s="40"/>
      <c r="AF353" s="45"/>
      <c r="AG353" s="5"/>
      <c r="AH353" s="6"/>
      <c r="AI353" s="45"/>
      <c r="AJ353" s="45"/>
      <c r="AK353" s="40"/>
      <c r="AL353" s="40"/>
      <c r="AM353" s="40"/>
      <c r="AN353" s="45"/>
      <c r="AO353" s="40"/>
    </row>
    <row r="354" spans="2:41" ht="12.75" customHeight="1" x14ac:dyDescent="0.25">
      <c r="B354" s="40"/>
      <c r="C354" s="40"/>
      <c r="D354" s="40"/>
      <c r="E354" s="40"/>
      <c r="F354" s="40"/>
      <c r="G354" s="40"/>
      <c r="H354" s="5"/>
      <c r="Q354" s="40"/>
      <c r="R354" s="40"/>
      <c r="S354" s="40"/>
      <c r="T354" s="40"/>
      <c r="U354" s="40"/>
      <c r="W354" s="40"/>
      <c r="X354" s="40"/>
      <c r="Y354" s="40"/>
      <c r="Z354" s="41"/>
      <c r="AA354" s="41"/>
      <c r="AB354" s="41"/>
      <c r="AC354" s="41"/>
      <c r="AD354" s="41"/>
      <c r="AE354" s="40"/>
      <c r="AF354" s="45"/>
      <c r="AG354" s="5"/>
      <c r="AH354" s="6"/>
      <c r="AI354" s="45"/>
      <c r="AJ354" s="45"/>
      <c r="AK354" s="40"/>
      <c r="AL354" s="40"/>
      <c r="AM354" s="40"/>
      <c r="AN354" s="45"/>
      <c r="AO354" s="40"/>
    </row>
    <row r="355" spans="2:41" ht="12.75" customHeight="1" x14ac:dyDescent="0.25">
      <c r="B355" s="40"/>
      <c r="C355" s="40"/>
      <c r="D355" s="40"/>
      <c r="E355" s="40"/>
      <c r="F355" s="40"/>
      <c r="G355" s="40"/>
      <c r="H355" s="5"/>
      <c r="Q355" s="40"/>
      <c r="R355" s="40"/>
      <c r="S355" s="40"/>
      <c r="T355" s="40"/>
      <c r="U355" s="40"/>
      <c r="W355" s="40"/>
      <c r="X355" s="40"/>
      <c r="Y355" s="40"/>
      <c r="Z355" s="41"/>
      <c r="AA355" s="41"/>
      <c r="AB355" s="41"/>
      <c r="AC355" s="41"/>
      <c r="AD355" s="41"/>
      <c r="AE355" s="40"/>
      <c r="AF355" s="45"/>
      <c r="AG355" s="5"/>
      <c r="AH355" s="6"/>
      <c r="AI355" s="45"/>
      <c r="AJ355" s="45"/>
      <c r="AK355" s="40"/>
      <c r="AL355" s="40"/>
      <c r="AM355" s="40"/>
      <c r="AN355" s="45"/>
      <c r="AO355" s="40"/>
    </row>
    <row r="356" spans="2:41" ht="12.75" customHeight="1" x14ac:dyDescent="0.25">
      <c r="B356" s="40"/>
      <c r="C356" s="40"/>
      <c r="D356" s="40"/>
      <c r="E356" s="40"/>
      <c r="F356" s="40"/>
      <c r="G356" s="40"/>
      <c r="H356" s="5"/>
      <c r="Q356" s="40"/>
      <c r="R356" s="40"/>
      <c r="S356" s="40"/>
      <c r="T356" s="40"/>
      <c r="U356" s="40"/>
      <c r="W356" s="40"/>
      <c r="X356" s="40"/>
      <c r="Y356" s="40"/>
      <c r="Z356" s="41"/>
      <c r="AA356" s="41"/>
      <c r="AB356" s="41"/>
      <c r="AC356" s="41"/>
      <c r="AD356" s="41"/>
      <c r="AE356" s="40"/>
      <c r="AF356" s="45"/>
      <c r="AG356" s="5"/>
      <c r="AH356" s="6"/>
      <c r="AI356" s="45"/>
      <c r="AJ356" s="45"/>
      <c r="AK356" s="40"/>
      <c r="AL356" s="40"/>
      <c r="AM356" s="40"/>
      <c r="AN356" s="45"/>
      <c r="AO356" s="40"/>
    </row>
    <row r="357" spans="2:41" ht="12.75" customHeight="1" x14ac:dyDescent="0.25">
      <c r="B357" s="40"/>
      <c r="C357" s="40"/>
      <c r="D357" s="40"/>
      <c r="E357" s="40"/>
      <c r="F357" s="40"/>
      <c r="G357" s="40"/>
      <c r="H357" s="5"/>
      <c r="Q357" s="40"/>
      <c r="R357" s="40"/>
      <c r="S357" s="40"/>
      <c r="T357" s="40"/>
      <c r="U357" s="40"/>
      <c r="W357" s="40"/>
      <c r="X357" s="40"/>
      <c r="Y357" s="40"/>
      <c r="Z357" s="41"/>
      <c r="AA357" s="41"/>
      <c r="AB357" s="41"/>
      <c r="AC357" s="41"/>
      <c r="AD357" s="41"/>
      <c r="AE357" s="40"/>
      <c r="AF357" s="45"/>
      <c r="AG357" s="5"/>
      <c r="AH357" s="6"/>
      <c r="AI357" s="45"/>
      <c r="AJ357" s="45"/>
      <c r="AK357" s="40"/>
      <c r="AL357" s="40"/>
      <c r="AM357" s="40"/>
      <c r="AN357" s="45"/>
      <c r="AO357" s="40"/>
    </row>
    <row r="358" spans="2:41" ht="12.75" customHeight="1" x14ac:dyDescent="0.25">
      <c r="B358" s="40"/>
      <c r="C358" s="40"/>
      <c r="D358" s="40"/>
      <c r="E358" s="40"/>
      <c r="F358" s="40"/>
      <c r="G358" s="40"/>
      <c r="H358" s="5"/>
      <c r="Q358" s="40"/>
      <c r="R358" s="40"/>
      <c r="S358" s="40"/>
      <c r="T358" s="40"/>
      <c r="U358" s="40"/>
      <c r="W358" s="40"/>
      <c r="X358" s="40"/>
      <c r="Y358" s="40"/>
      <c r="Z358" s="41"/>
      <c r="AA358" s="41"/>
      <c r="AB358" s="41"/>
      <c r="AC358" s="41"/>
      <c r="AD358" s="41"/>
      <c r="AE358" s="40"/>
      <c r="AF358" s="45"/>
      <c r="AG358" s="5"/>
      <c r="AH358" s="6"/>
      <c r="AI358" s="45"/>
      <c r="AJ358" s="45"/>
      <c r="AK358" s="40"/>
      <c r="AL358" s="40"/>
      <c r="AM358" s="40"/>
      <c r="AN358" s="45"/>
      <c r="AO358" s="40"/>
    </row>
    <row r="359" spans="2:41" ht="12.75" customHeight="1" x14ac:dyDescent="0.25">
      <c r="B359" s="40"/>
      <c r="C359" s="40"/>
      <c r="D359" s="40"/>
      <c r="E359" s="40"/>
      <c r="F359" s="40"/>
      <c r="G359" s="40"/>
      <c r="H359" s="5"/>
      <c r="Q359" s="40"/>
      <c r="R359" s="40"/>
      <c r="S359" s="40"/>
      <c r="T359" s="40"/>
      <c r="U359" s="40"/>
      <c r="W359" s="40"/>
      <c r="X359" s="40"/>
      <c r="Y359" s="40"/>
      <c r="Z359" s="41"/>
      <c r="AA359" s="41"/>
      <c r="AB359" s="41"/>
      <c r="AC359" s="41"/>
      <c r="AD359" s="41"/>
      <c r="AE359" s="40"/>
      <c r="AF359" s="45"/>
      <c r="AG359" s="5"/>
      <c r="AH359" s="6"/>
      <c r="AI359" s="45"/>
      <c r="AJ359" s="45"/>
      <c r="AK359" s="40"/>
      <c r="AL359" s="40"/>
      <c r="AM359" s="40"/>
      <c r="AN359" s="45"/>
      <c r="AO359" s="40"/>
    </row>
    <row r="360" spans="2:41" ht="12.75" customHeight="1" x14ac:dyDescent="0.25">
      <c r="B360" s="40"/>
      <c r="C360" s="40"/>
      <c r="D360" s="40"/>
      <c r="E360" s="40"/>
      <c r="F360" s="40"/>
      <c r="G360" s="40"/>
      <c r="H360" s="5"/>
      <c r="Q360" s="40"/>
      <c r="R360" s="40"/>
      <c r="S360" s="40"/>
      <c r="T360" s="40"/>
      <c r="U360" s="40"/>
      <c r="W360" s="40"/>
      <c r="X360" s="40"/>
      <c r="Y360" s="40"/>
      <c r="Z360" s="41"/>
      <c r="AA360" s="41"/>
      <c r="AB360" s="41"/>
      <c r="AC360" s="41"/>
      <c r="AD360" s="41"/>
      <c r="AE360" s="40"/>
      <c r="AF360" s="45"/>
      <c r="AG360" s="5"/>
      <c r="AH360" s="6"/>
      <c r="AI360" s="45"/>
      <c r="AJ360" s="45"/>
      <c r="AK360" s="40"/>
      <c r="AL360" s="40"/>
      <c r="AM360" s="40"/>
      <c r="AN360" s="45"/>
      <c r="AO360" s="40"/>
    </row>
    <row r="361" spans="2:41" ht="12.75" customHeight="1" x14ac:dyDescent="0.25">
      <c r="B361" s="40"/>
      <c r="C361" s="40"/>
      <c r="D361" s="40"/>
      <c r="E361" s="40"/>
      <c r="F361" s="40"/>
      <c r="G361" s="40"/>
      <c r="H361" s="5"/>
      <c r="Q361" s="40"/>
      <c r="R361" s="40"/>
      <c r="S361" s="40"/>
      <c r="T361" s="40"/>
      <c r="U361" s="40"/>
      <c r="W361" s="40"/>
      <c r="X361" s="40"/>
      <c r="Y361" s="40"/>
      <c r="Z361" s="41"/>
      <c r="AA361" s="41"/>
      <c r="AB361" s="41"/>
      <c r="AC361" s="41"/>
      <c r="AD361" s="41"/>
      <c r="AE361" s="40"/>
      <c r="AF361" s="45"/>
      <c r="AG361" s="5"/>
      <c r="AH361" s="6"/>
      <c r="AI361" s="45"/>
      <c r="AJ361" s="45"/>
      <c r="AK361" s="40"/>
      <c r="AL361" s="40"/>
      <c r="AM361" s="40"/>
      <c r="AN361" s="45"/>
      <c r="AO361" s="40"/>
    </row>
    <row r="362" spans="2:41" ht="12.75" customHeight="1" x14ac:dyDescent="0.25">
      <c r="B362" s="40"/>
      <c r="C362" s="40"/>
      <c r="D362" s="40"/>
      <c r="E362" s="40"/>
      <c r="F362" s="40"/>
      <c r="G362" s="40"/>
      <c r="H362" s="5"/>
      <c r="Q362" s="40"/>
      <c r="R362" s="40"/>
      <c r="S362" s="40"/>
      <c r="T362" s="40"/>
      <c r="U362" s="40"/>
      <c r="W362" s="40"/>
      <c r="X362" s="40"/>
      <c r="Y362" s="40"/>
      <c r="Z362" s="41"/>
      <c r="AA362" s="41"/>
      <c r="AB362" s="41"/>
      <c r="AC362" s="41"/>
      <c r="AD362" s="41"/>
      <c r="AE362" s="40"/>
      <c r="AF362" s="45"/>
      <c r="AG362" s="5"/>
      <c r="AH362" s="6"/>
      <c r="AI362" s="45"/>
      <c r="AJ362" s="45"/>
      <c r="AK362" s="40"/>
      <c r="AL362" s="40"/>
      <c r="AM362" s="40"/>
      <c r="AN362" s="45"/>
      <c r="AO362" s="40"/>
    </row>
    <row r="363" spans="2:41" ht="12.75" customHeight="1" x14ac:dyDescent="0.25">
      <c r="B363" s="40"/>
      <c r="C363" s="40"/>
      <c r="D363" s="40"/>
      <c r="E363" s="40"/>
      <c r="F363" s="40"/>
      <c r="G363" s="40"/>
      <c r="H363" s="5"/>
      <c r="Q363" s="40"/>
      <c r="R363" s="40"/>
      <c r="S363" s="40"/>
      <c r="T363" s="40"/>
      <c r="U363" s="40"/>
      <c r="W363" s="40"/>
      <c r="X363" s="40"/>
      <c r="Y363" s="40"/>
      <c r="Z363" s="41"/>
      <c r="AA363" s="41"/>
      <c r="AB363" s="41"/>
      <c r="AC363" s="41"/>
      <c r="AD363" s="41"/>
      <c r="AE363" s="40"/>
      <c r="AF363" s="45"/>
      <c r="AG363" s="5"/>
      <c r="AH363" s="6"/>
      <c r="AI363" s="45"/>
      <c r="AJ363" s="45"/>
      <c r="AK363" s="40"/>
      <c r="AL363" s="40"/>
      <c r="AM363" s="40"/>
      <c r="AN363" s="45"/>
      <c r="AO363" s="40"/>
    </row>
    <row r="364" spans="2:41" ht="12.75" customHeight="1" x14ac:dyDescent="0.25">
      <c r="B364" s="40"/>
      <c r="C364" s="40"/>
      <c r="D364" s="40"/>
      <c r="E364" s="40"/>
      <c r="F364" s="40"/>
      <c r="G364" s="40"/>
      <c r="H364" s="5"/>
      <c r="Q364" s="40"/>
      <c r="R364" s="40"/>
      <c r="S364" s="40"/>
      <c r="T364" s="40"/>
      <c r="U364" s="40"/>
      <c r="W364" s="40"/>
      <c r="X364" s="40"/>
      <c r="Y364" s="40"/>
      <c r="Z364" s="41"/>
      <c r="AA364" s="41"/>
      <c r="AB364" s="41"/>
      <c r="AC364" s="41"/>
      <c r="AD364" s="41"/>
      <c r="AE364" s="40"/>
      <c r="AF364" s="45"/>
      <c r="AG364" s="5"/>
      <c r="AH364" s="6"/>
      <c r="AI364" s="45"/>
      <c r="AJ364" s="45"/>
      <c r="AK364" s="40"/>
      <c r="AL364" s="40"/>
      <c r="AM364" s="40"/>
      <c r="AN364" s="45"/>
      <c r="AO364" s="40"/>
    </row>
    <row r="365" spans="2:41" ht="12.75" customHeight="1" x14ac:dyDescent="0.25">
      <c r="B365" s="40"/>
      <c r="C365" s="40"/>
      <c r="D365" s="40"/>
      <c r="E365" s="40"/>
      <c r="F365" s="40"/>
      <c r="G365" s="40"/>
      <c r="H365" s="5"/>
      <c r="Q365" s="40"/>
      <c r="R365" s="40"/>
      <c r="S365" s="40"/>
      <c r="T365" s="40"/>
      <c r="U365" s="40"/>
      <c r="W365" s="40"/>
      <c r="X365" s="40"/>
      <c r="Y365" s="40"/>
      <c r="Z365" s="41"/>
      <c r="AA365" s="41"/>
      <c r="AB365" s="41"/>
      <c r="AC365" s="41"/>
      <c r="AD365" s="41"/>
      <c r="AE365" s="40"/>
      <c r="AF365" s="45"/>
      <c r="AG365" s="5"/>
      <c r="AH365" s="6"/>
      <c r="AI365" s="45"/>
      <c r="AJ365" s="45"/>
      <c r="AK365" s="40"/>
      <c r="AL365" s="40"/>
      <c r="AM365" s="40"/>
      <c r="AN365" s="45"/>
      <c r="AO365" s="40"/>
    </row>
    <row r="366" spans="2:41" ht="12.75" customHeight="1" x14ac:dyDescent="0.25">
      <c r="B366" s="40"/>
      <c r="C366" s="40"/>
      <c r="D366" s="40"/>
      <c r="E366" s="40"/>
      <c r="F366" s="40"/>
      <c r="G366" s="40"/>
      <c r="H366" s="5"/>
      <c r="Q366" s="40"/>
      <c r="R366" s="40"/>
      <c r="S366" s="40"/>
      <c r="T366" s="40"/>
      <c r="U366" s="40"/>
      <c r="W366" s="40"/>
      <c r="X366" s="40"/>
      <c r="Y366" s="40"/>
      <c r="Z366" s="41"/>
      <c r="AA366" s="41"/>
      <c r="AB366" s="41"/>
      <c r="AC366" s="41"/>
      <c r="AD366" s="41"/>
      <c r="AE366" s="40"/>
      <c r="AF366" s="45"/>
      <c r="AG366" s="5"/>
      <c r="AH366" s="6"/>
      <c r="AI366" s="45"/>
      <c r="AJ366" s="45"/>
      <c r="AK366" s="40"/>
      <c r="AL366" s="40"/>
      <c r="AM366" s="40"/>
      <c r="AN366" s="45"/>
      <c r="AO366" s="40"/>
    </row>
    <row r="367" spans="2:41" ht="12.75" customHeight="1" x14ac:dyDescent="0.25">
      <c r="B367" s="40"/>
      <c r="C367" s="40"/>
      <c r="D367" s="40"/>
      <c r="E367" s="40"/>
      <c r="F367" s="40"/>
      <c r="G367" s="40"/>
      <c r="H367" s="5"/>
      <c r="Q367" s="40"/>
      <c r="R367" s="40"/>
      <c r="S367" s="40"/>
      <c r="T367" s="40"/>
      <c r="U367" s="40"/>
      <c r="W367" s="40"/>
      <c r="X367" s="40"/>
      <c r="Y367" s="40"/>
      <c r="Z367" s="41"/>
      <c r="AA367" s="41"/>
      <c r="AB367" s="41"/>
      <c r="AC367" s="41"/>
      <c r="AD367" s="41"/>
      <c r="AE367" s="40"/>
      <c r="AF367" s="45"/>
      <c r="AG367" s="5"/>
      <c r="AH367" s="6"/>
      <c r="AI367" s="45"/>
      <c r="AJ367" s="45"/>
      <c r="AK367" s="40"/>
      <c r="AL367" s="40"/>
      <c r="AM367" s="40"/>
      <c r="AN367" s="45"/>
      <c r="AO367" s="40"/>
    </row>
    <row r="368" spans="2:41" ht="12.75" customHeight="1" x14ac:dyDescent="0.25">
      <c r="B368" s="40"/>
      <c r="C368" s="40"/>
      <c r="D368" s="40"/>
      <c r="E368" s="40"/>
      <c r="F368" s="40"/>
      <c r="G368" s="40"/>
      <c r="H368" s="5"/>
      <c r="Q368" s="40"/>
      <c r="R368" s="40"/>
      <c r="S368" s="40"/>
      <c r="T368" s="40"/>
      <c r="U368" s="40"/>
      <c r="W368" s="40"/>
      <c r="X368" s="40"/>
      <c r="Y368" s="40"/>
      <c r="Z368" s="41"/>
      <c r="AA368" s="41"/>
      <c r="AB368" s="41"/>
      <c r="AC368" s="41"/>
      <c r="AD368" s="41"/>
      <c r="AE368" s="40"/>
      <c r="AF368" s="45"/>
      <c r="AG368" s="5"/>
      <c r="AH368" s="6"/>
      <c r="AI368" s="45"/>
      <c r="AJ368" s="45"/>
      <c r="AK368" s="40"/>
      <c r="AL368" s="40"/>
      <c r="AM368" s="40"/>
      <c r="AN368" s="45"/>
      <c r="AO368" s="40"/>
    </row>
    <row r="369" spans="2:41" ht="12.75" customHeight="1" x14ac:dyDescent="0.25">
      <c r="B369" s="40"/>
      <c r="C369" s="40"/>
      <c r="D369" s="40"/>
      <c r="E369" s="40"/>
      <c r="F369" s="40"/>
      <c r="G369" s="40"/>
      <c r="H369" s="5"/>
      <c r="Q369" s="40"/>
      <c r="R369" s="40"/>
      <c r="S369" s="40"/>
      <c r="T369" s="40"/>
      <c r="U369" s="40"/>
      <c r="W369" s="40"/>
      <c r="X369" s="40"/>
      <c r="Y369" s="40"/>
      <c r="Z369" s="41"/>
      <c r="AA369" s="41"/>
      <c r="AB369" s="41"/>
      <c r="AC369" s="41"/>
      <c r="AD369" s="41"/>
      <c r="AE369" s="40"/>
      <c r="AF369" s="45"/>
      <c r="AG369" s="5"/>
      <c r="AH369" s="6"/>
      <c r="AI369" s="45"/>
      <c r="AJ369" s="45"/>
      <c r="AK369" s="40"/>
      <c r="AL369" s="40"/>
      <c r="AM369" s="40"/>
      <c r="AN369" s="45"/>
      <c r="AO369" s="40"/>
    </row>
    <row r="370" spans="2:41" ht="12.75" customHeight="1" x14ac:dyDescent="0.25">
      <c r="B370" s="40"/>
      <c r="C370" s="40"/>
      <c r="D370" s="40"/>
      <c r="E370" s="40"/>
      <c r="F370" s="40"/>
      <c r="G370" s="40"/>
      <c r="H370" s="5"/>
      <c r="Q370" s="40"/>
      <c r="R370" s="40"/>
      <c r="S370" s="40"/>
      <c r="T370" s="40"/>
      <c r="U370" s="40"/>
      <c r="W370" s="40"/>
      <c r="X370" s="40"/>
      <c r="Y370" s="40"/>
      <c r="Z370" s="41"/>
      <c r="AA370" s="41"/>
      <c r="AB370" s="41"/>
      <c r="AC370" s="41"/>
      <c r="AD370" s="41"/>
      <c r="AE370" s="40"/>
      <c r="AF370" s="45"/>
      <c r="AG370" s="5"/>
      <c r="AH370" s="6"/>
      <c r="AI370" s="45"/>
      <c r="AJ370" s="45"/>
      <c r="AK370" s="40"/>
      <c r="AL370" s="40"/>
      <c r="AM370" s="40"/>
      <c r="AN370" s="45"/>
      <c r="AO370" s="40"/>
    </row>
    <row r="371" spans="2:41" ht="12.75" customHeight="1" x14ac:dyDescent="0.25">
      <c r="B371" s="40"/>
      <c r="C371" s="40"/>
      <c r="D371" s="40"/>
      <c r="E371" s="40"/>
      <c r="F371" s="40"/>
      <c r="G371" s="40"/>
      <c r="H371" s="5"/>
      <c r="Q371" s="40"/>
      <c r="R371" s="40"/>
      <c r="S371" s="40"/>
      <c r="T371" s="40"/>
      <c r="U371" s="40"/>
      <c r="W371" s="40"/>
      <c r="X371" s="40"/>
      <c r="Y371" s="40"/>
      <c r="Z371" s="41"/>
      <c r="AA371" s="41"/>
      <c r="AB371" s="41"/>
      <c r="AC371" s="41"/>
      <c r="AD371" s="41"/>
      <c r="AE371" s="40"/>
      <c r="AF371" s="45"/>
      <c r="AG371" s="5"/>
      <c r="AH371" s="6"/>
      <c r="AI371" s="45"/>
      <c r="AJ371" s="45"/>
      <c r="AK371" s="40"/>
      <c r="AL371" s="40"/>
      <c r="AM371" s="40"/>
      <c r="AN371" s="45"/>
      <c r="AO371" s="40"/>
    </row>
    <row r="372" spans="2:41" ht="12.75" customHeight="1" x14ac:dyDescent="0.25">
      <c r="B372" s="40"/>
      <c r="C372" s="40"/>
      <c r="D372" s="40"/>
      <c r="E372" s="40"/>
      <c r="F372" s="40"/>
      <c r="G372" s="40"/>
      <c r="H372" s="5"/>
      <c r="Q372" s="40"/>
      <c r="R372" s="40"/>
      <c r="S372" s="40"/>
      <c r="T372" s="40"/>
      <c r="U372" s="40"/>
      <c r="W372" s="40"/>
      <c r="X372" s="40"/>
      <c r="Y372" s="40"/>
      <c r="Z372" s="41"/>
      <c r="AA372" s="41"/>
      <c r="AB372" s="41"/>
      <c r="AC372" s="41"/>
      <c r="AD372" s="41"/>
      <c r="AE372" s="40"/>
      <c r="AF372" s="45"/>
      <c r="AG372" s="5"/>
      <c r="AH372" s="6"/>
      <c r="AI372" s="45"/>
      <c r="AJ372" s="45"/>
      <c r="AK372" s="40"/>
      <c r="AL372" s="40"/>
      <c r="AM372" s="40"/>
      <c r="AN372" s="45"/>
      <c r="AO372" s="40"/>
    </row>
    <row r="373" spans="2:41" ht="12.75" customHeight="1" x14ac:dyDescent="0.25">
      <c r="B373" s="40"/>
      <c r="C373" s="40"/>
      <c r="D373" s="40"/>
      <c r="E373" s="40"/>
      <c r="F373" s="40"/>
      <c r="G373" s="40"/>
      <c r="H373" s="5"/>
      <c r="Q373" s="40"/>
      <c r="R373" s="40"/>
      <c r="S373" s="40"/>
      <c r="T373" s="40"/>
      <c r="U373" s="40"/>
      <c r="W373" s="40"/>
      <c r="X373" s="40"/>
      <c r="Y373" s="40"/>
      <c r="Z373" s="41"/>
      <c r="AA373" s="41"/>
      <c r="AB373" s="41"/>
      <c r="AC373" s="41"/>
      <c r="AD373" s="41"/>
      <c r="AE373" s="40"/>
      <c r="AF373" s="45"/>
      <c r="AG373" s="5"/>
      <c r="AH373" s="6"/>
      <c r="AI373" s="45"/>
      <c r="AJ373" s="45"/>
      <c r="AK373" s="40"/>
      <c r="AL373" s="40"/>
      <c r="AM373" s="40"/>
      <c r="AN373" s="45"/>
      <c r="AO373" s="40"/>
    </row>
    <row r="374" spans="2:41" ht="12.75" customHeight="1" x14ac:dyDescent="0.25">
      <c r="B374" s="40"/>
      <c r="C374" s="40"/>
      <c r="D374" s="40"/>
      <c r="E374" s="40"/>
      <c r="F374" s="40"/>
      <c r="G374" s="40"/>
      <c r="H374" s="5"/>
      <c r="Q374" s="40"/>
      <c r="R374" s="40"/>
      <c r="S374" s="40"/>
      <c r="T374" s="40"/>
      <c r="U374" s="40"/>
      <c r="W374" s="40"/>
      <c r="X374" s="40"/>
      <c r="Y374" s="40"/>
      <c r="Z374" s="41"/>
      <c r="AA374" s="41"/>
      <c r="AB374" s="41"/>
      <c r="AC374" s="41"/>
      <c r="AD374" s="41"/>
      <c r="AE374" s="40"/>
      <c r="AF374" s="45"/>
      <c r="AG374" s="5"/>
      <c r="AH374" s="6"/>
      <c r="AI374" s="45"/>
      <c r="AJ374" s="45"/>
      <c r="AK374" s="40"/>
      <c r="AL374" s="40"/>
      <c r="AM374" s="40"/>
      <c r="AN374" s="45"/>
      <c r="AO374" s="40"/>
    </row>
    <row r="375" spans="2:41" ht="12.75" customHeight="1" x14ac:dyDescent="0.25">
      <c r="B375" s="40"/>
      <c r="C375" s="40"/>
      <c r="D375" s="40"/>
      <c r="E375" s="40"/>
      <c r="F375" s="40"/>
      <c r="G375" s="40"/>
      <c r="H375" s="5"/>
      <c r="Q375" s="40"/>
      <c r="R375" s="40"/>
      <c r="S375" s="40"/>
      <c r="T375" s="40"/>
      <c r="U375" s="40"/>
      <c r="W375" s="40"/>
      <c r="X375" s="40"/>
      <c r="Y375" s="40"/>
      <c r="Z375" s="41"/>
      <c r="AA375" s="41"/>
      <c r="AB375" s="41"/>
      <c r="AC375" s="41"/>
      <c r="AD375" s="41"/>
      <c r="AE375" s="40"/>
      <c r="AF375" s="45"/>
      <c r="AG375" s="5"/>
      <c r="AH375" s="6"/>
      <c r="AI375" s="45"/>
      <c r="AJ375" s="45"/>
      <c r="AK375" s="40"/>
      <c r="AL375" s="40"/>
      <c r="AM375" s="40"/>
      <c r="AN375" s="45"/>
      <c r="AO375" s="40"/>
    </row>
    <row r="376" spans="2:41" ht="12.75" customHeight="1" x14ac:dyDescent="0.25">
      <c r="B376" s="40"/>
      <c r="C376" s="40"/>
      <c r="D376" s="40"/>
      <c r="E376" s="40"/>
      <c r="F376" s="40"/>
      <c r="G376" s="40"/>
      <c r="H376" s="5"/>
      <c r="Q376" s="40"/>
      <c r="R376" s="40"/>
      <c r="S376" s="40"/>
      <c r="T376" s="40"/>
      <c r="U376" s="40"/>
      <c r="W376" s="40"/>
      <c r="X376" s="40"/>
      <c r="Y376" s="40"/>
      <c r="Z376" s="41"/>
      <c r="AA376" s="41"/>
      <c r="AB376" s="41"/>
      <c r="AC376" s="41"/>
      <c r="AD376" s="41"/>
      <c r="AE376" s="40"/>
      <c r="AF376" s="45"/>
      <c r="AG376" s="5"/>
      <c r="AH376" s="6"/>
      <c r="AI376" s="45"/>
      <c r="AJ376" s="45"/>
      <c r="AK376" s="40"/>
      <c r="AL376" s="40"/>
      <c r="AM376" s="40"/>
      <c r="AN376" s="45"/>
      <c r="AO376" s="40"/>
    </row>
    <row r="377" spans="2:41" ht="12.75" customHeight="1" x14ac:dyDescent="0.25">
      <c r="B377" s="40"/>
      <c r="C377" s="40"/>
      <c r="D377" s="40"/>
      <c r="E377" s="40"/>
      <c r="F377" s="40"/>
      <c r="G377" s="40"/>
      <c r="H377" s="5"/>
      <c r="Q377" s="40"/>
      <c r="R377" s="40"/>
      <c r="S377" s="40"/>
      <c r="T377" s="40"/>
      <c r="U377" s="40"/>
      <c r="W377" s="40"/>
      <c r="X377" s="40"/>
      <c r="Y377" s="40"/>
      <c r="Z377" s="41"/>
      <c r="AA377" s="41"/>
      <c r="AB377" s="41"/>
      <c r="AC377" s="41"/>
      <c r="AD377" s="41"/>
      <c r="AE377" s="40"/>
      <c r="AF377" s="45"/>
      <c r="AG377" s="5"/>
      <c r="AH377" s="6"/>
      <c r="AI377" s="45"/>
      <c r="AJ377" s="45"/>
      <c r="AK377" s="40"/>
      <c r="AL377" s="40"/>
      <c r="AM377" s="40"/>
      <c r="AN377" s="45"/>
      <c r="AO377" s="40"/>
    </row>
    <row r="378" spans="2:41" ht="12.75" customHeight="1" x14ac:dyDescent="0.25">
      <c r="B378" s="40"/>
      <c r="C378" s="40"/>
      <c r="D378" s="40"/>
      <c r="E378" s="40"/>
      <c r="F378" s="40"/>
      <c r="G378" s="40"/>
      <c r="H378" s="5"/>
      <c r="Q378" s="40"/>
      <c r="R378" s="40"/>
      <c r="S378" s="40"/>
      <c r="T378" s="40"/>
      <c r="U378" s="40"/>
      <c r="W378" s="40"/>
      <c r="X378" s="40"/>
      <c r="Y378" s="40"/>
      <c r="Z378" s="41"/>
      <c r="AA378" s="41"/>
      <c r="AB378" s="41"/>
      <c r="AC378" s="41"/>
      <c r="AD378" s="41"/>
      <c r="AE378" s="40"/>
      <c r="AF378" s="45"/>
      <c r="AG378" s="5"/>
      <c r="AH378" s="6"/>
      <c r="AI378" s="45"/>
      <c r="AJ378" s="45"/>
      <c r="AK378" s="40"/>
      <c r="AL378" s="40"/>
      <c r="AM378" s="40"/>
      <c r="AN378" s="45"/>
      <c r="AO378" s="40"/>
    </row>
    <row r="379" spans="2:41" ht="12.75" customHeight="1" x14ac:dyDescent="0.25">
      <c r="B379" s="40"/>
      <c r="C379" s="40"/>
      <c r="D379" s="40"/>
      <c r="E379" s="40"/>
      <c r="F379" s="40"/>
      <c r="G379" s="40"/>
      <c r="H379" s="5"/>
      <c r="Q379" s="40"/>
      <c r="R379" s="40"/>
      <c r="S379" s="40"/>
      <c r="T379" s="40"/>
      <c r="U379" s="40"/>
      <c r="W379" s="40"/>
      <c r="X379" s="40"/>
      <c r="Y379" s="40"/>
      <c r="Z379" s="41"/>
      <c r="AA379" s="41"/>
      <c r="AB379" s="41"/>
      <c r="AC379" s="41"/>
      <c r="AD379" s="41"/>
      <c r="AE379" s="40"/>
      <c r="AF379" s="45"/>
      <c r="AG379" s="5"/>
      <c r="AH379" s="6"/>
      <c r="AI379" s="45"/>
      <c r="AJ379" s="45"/>
      <c r="AK379" s="40"/>
      <c r="AL379" s="40"/>
      <c r="AM379" s="40"/>
      <c r="AN379" s="45"/>
      <c r="AO379" s="40"/>
    </row>
    <row r="380" spans="2:41" ht="12.75" customHeight="1" x14ac:dyDescent="0.25">
      <c r="B380" s="40"/>
      <c r="C380" s="40"/>
      <c r="D380" s="40"/>
      <c r="E380" s="40"/>
      <c r="F380" s="40"/>
      <c r="G380" s="40"/>
      <c r="H380" s="5"/>
      <c r="Q380" s="40"/>
      <c r="R380" s="40"/>
      <c r="S380" s="40"/>
      <c r="T380" s="40"/>
      <c r="U380" s="40"/>
      <c r="W380" s="40"/>
      <c r="X380" s="40"/>
      <c r="Y380" s="40"/>
      <c r="Z380" s="41"/>
      <c r="AA380" s="41"/>
      <c r="AB380" s="41"/>
      <c r="AC380" s="41"/>
      <c r="AD380" s="41"/>
      <c r="AE380" s="40"/>
      <c r="AF380" s="45"/>
      <c r="AG380" s="5"/>
      <c r="AH380" s="6"/>
      <c r="AI380" s="45"/>
      <c r="AJ380" s="45"/>
      <c r="AK380" s="40"/>
      <c r="AL380" s="40"/>
      <c r="AM380" s="40"/>
      <c r="AN380" s="45"/>
      <c r="AO380" s="40"/>
    </row>
    <row r="381" spans="2:41" ht="12.75" customHeight="1" x14ac:dyDescent="0.25">
      <c r="B381" s="40"/>
      <c r="C381" s="40"/>
      <c r="D381" s="40"/>
      <c r="E381" s="40"/>
      <c r="F381" s="40"/>
      <c r="G381" s="40"/>
      <c r="H381" s="5"/>
      <c r="Q381" s="40"/>
      <c r="R381" s="40"/>
      <c r="S381" s="40"/>
      <c r="T381" s="40"/>
      <c r="U381" s="40"/>
      <c r="W381" s="40"/>
      <c r="X381" s="40"/>
      <c r="Y381" s="40"/>
      <c r="Z381" s="41"/>
      <c r="AA381" s="41"/>
      <c r="AB381" s="41"/>
      <c r="AC381" s="41"/>
      <c r="AD381" s="41"/>
      <c r="AE381" s="40"/>
      <c r="AF381" s="45"/>
      <c r="AG381" s="5"/>
      <c r="AH381" s="6"/>
      <c r="AI381" s="45"/>
      <c r="AJ381" s="45"/>
      <c r="AK381" s="40"/>
      <c r="AL381" s="40"/>
      <c r="AM381" s="40"/>
      <c r="AN381" s="45"/>
      <c r="AO381" s="40"/>
    </row>
    <row r="382" spans="2:41" ht="12.75" customHeight="1" x14ac:dyDescent="0.25">
      <c r="B382" s="40"/>
      <c r="C382" s="40"/>
      <c r="D382" s="40"/>
      <c r="E382" s="40"/>
      <c r="F382" s="40"/>
      <c r="G382" s="40"/>
      <c r="H382" s="5"/>
      <c r="Q382" s="40"/>
      <c r="R382" s="40"/>
      <c r="S382" s="40"/>
      <c r="T382" s="40"/>
      <c r="U382" s="40"/>
      <c r="W382" s="40"/>
      <c r="X382" s="40"/>
      <c r="Y382" s="40"/>
      <c r="Z382" s="41"/>
      <c r="AA382" s="41"/>
      <c r="AB382" s="41"/>
      <c r="AC382" s="41"/>
      <c r="AD382" s="41"/>
      <c r="AE382" s="40"/>
      <c r="AF382" s="45"/>
      <c r="AG382" s="5"/>
      <c r="AH382" s="6"/>
      <c r="AI382" s="45"/>
      <c r="AJ382" s="45"/>
      <c r="AK382" s="40"/>
      <c r="AL382" s="40"/>
      <c r="AM382" s="40"/>
      <c r="AN382" s="45"/>
      <c r="AO382" s="40"/>
    </row>
    <row r="383" spans="2:41" ht="12.75" customHeight="1" x14ac:dyDescent="0.25">
      <c r="B383" s="40"/>
      <c r="C383" s="40"/>
      <c r="D383" s="40"/>
      <c r="E383" s="40"/>
      <c r="F383" s="40"/>
      <c r="G383" s="40"/>
      <c r="H383" s="5"/>
      <c r="Q383" s="40"/>
      <c r="R383" s="40"/>
      <c r="S383" s="40"/>
      <c r="T383" s="40"/>
      <c r="U383" s="40"/>
      <c r="W383" s="40"/>
      <c r="X383" s="40"/>
      <c r="Y383" s="40"/>
      <c r="Z383" s="41"/>
      <c r="AA383" s="41"/>
      <c r="AB383" s="41"/>
      <c r="AC383" s="41"/>
      <c r="AD383" s="41"/>
      <c r="AE383" s="40"/>
      <c r="AF383" s="45"/>
      <c r="AG383" s="5"/>
      <c r="AH383" s="6"/>
      <c r="AI383" s="45"/>
      <c r="AJ383" s="45"/>
      <c r="AK383" s="40"/>
      <c r="AL383" s="40"/>
      <c r="AM383" s="40"/>
      <c r="AN383" s="45"/>
      <c r="AO383" s="40"/>
    </row>
    <row r="384" spans="2:41" ht="12.75" customHeight="1" x14ac:dyDescent="0.25">
      <c r="B384" s="40"/>
      <c r="C384" s="40"/>
      <c r="D384" s="40"/>
      <c r="E384" s="40"/>
      <c r="F384" s="40"/>
      <c r="G384" s="40"/>
      <c r="H384" s="5"/>
      <c r="Q384" s="40"/>
      <c r="R384" s="40"/>
      <c r="S384" s="40"/>
      <c r="T384" s="40"/>
      <c r="U384" s="40"/>
      <c r="W384" s="40"/>
      <c r="X384" s="40"/>
      <c r="Y384" s="40"/>
      <c r="Z384" s="41"/>
      <c r="AA384" s="41"/>
      <c r="AB384" s="41"/>
      <c r="AC384" s="41"/>
      <c r="AD384" s="41"/>
      <c r="AE384" s="40"/>
      <c r="AF384" s="45"/>
      <c r="AG384" s="5"/>
      <c r="AH384" s="6"/>
      <c r="AI384" s="45"/>
      <c r="AJ384" s="45"/>
      <c r="AK384" s="40"/>
      <c r="AL384" s="40"/>
      <c r="AM384" s="40"/>
      <c r="AN384" s="45"/>
      <c r="AO384" s="40"/>
    </row>
    <row r="385" spans="2:41" ht="12.75" customHeight="1" x14ac:dyDescent="0.25">
      <c r="B385" s="40"/>
      <c r="C385" s="40"/>
      <c r="D385" s="40"/>
      <c r="E385" s="40"/>
      <c r="F385" s="40"/>
      <c r="G385" s="40"/>
      <c r="H385" s="5"/>
      <c r="Q385" s="40"/>
      <c r="R385" s="40"/>
      <c r="S385" s="40"/>
      <c r="T385" s="40"/>
      <c r="U385" s="40"/>
      <c r="W385" s="40"/>
      <c r="X385" s="40"/>
      <c r="Y385" s="40"/>
      <c r="Z385" s="41"/>
      <c r="AA385" s="41"/>
      <c r="AB385" s="41"/>
      <c r="AC385" s="41"/>
      <c r="AD385" s="41"/>
      <c r="AE385" s="40"/>
      <c r="AF385" s="45"/>
      <c r="AG385" s="5"/>
      <c r="AH385" s="6"/>
      <c r="AI385" s="45"/>
      <c r="AJ385" s="45"/>
      <c r="AK385" s="40"/>
      <c r="AL385" s="40"/>
      <c r="AM385" s="40"/>
      <c r="AN385" s="45"/>
      <c r="AO385" s="40"/>
    </row>
    <row r="386" spans="2:41" ht="12.75" customHeight="1" x14ac:dyDescent="0.25">
      <c r="B386" s="40"/>
      <c r="C386" s="40"/>
      <c r="D386" s="40"/>
      <c r="E386" s="40"/>
      <c r="F386" s="40"/>
      <c r="G386" s="40"/>
      <c r="H386" s="5"/>
      <c r="Q386" s="40"/>
      <c r="R386" s="40"/>
      <c r="S386" s="40"/>
      <c r="T386" s="40"/>
      <c r="U386" s="40"/>
      <c r="W386" s="40"/>
      <c r="X386" s="40"/>
      <c r="Y386" s="40"/>
      <c r="Z386" s="41"/>
      <c r="AA386" s="41"/>
      <c r="AB386" s="41"/>
      <c r="AC386" s="41"/>
      <c r="AD386" s="41"/>
      <c r="AE386" s="40"/>
      <c r="AF386" s="45"/>
      <c r="AG386" s="5"/>
      <c r="AH386" s="6"/>
      <c r="AI386" s="45"/>
      <c r="AJ386" s="45"/>
      <c r="AK386" s="40"/>
      <c r="AL386" s="40"/>
      <c r="AM386" s="40"/>
      <c r="AN386" s="45"/>
      <c r="AO386" s="40"/>
    </row>
    <row r="387" spans="2:41" ht="12.75" customHeight="1" x14ac:dyDescent="0.25">
      <c r="B387" s="40"/>
      <c r="C387" s="40"/>
      <c r="D387" s="40"/>
      <c r="E387" s="40"/>
      <c r="F387" s="40"/>
      <c r="G387" s="40"/>
      <c r="H387" s="5"/>
      <c r="Q387" s="40"/>
      <c r="R387" s="40"/>
      <c r="S387" s="40"/>
      <c r="T387" s="40"/>
      <c r="U387" s="40"/>
      <c r="W387" s="40"/>
      <c r="X387" s="40"/>
      <c r="Y387" s="40"/>
      <c r="Z387" s="41"/>
      <c r="AA387" s="41"/>
      <c r="AB387" s="41"/>
      <c r="AC387" s="41"/>
      <c r="AD387" s="41"/>
      <c r="AE387" s="40"/>
      <c r="AF387" s="45"/>
      <c r="AG387" s="5"/>
      <c r="AH387" s="6"/>
      <c r="AI387" s="45"/>
      <c r="AJ387" s="45"/>
      <c r="AK387" s="40"/>
      <c r="AL387" s="40"/>
      <c r="AM387" s="40"/>
      <c r="AN387" s="45"/>
      <c r="AO387" s="40"/>
    </row>
    <row r="388" spans="2:41" ht="12.75" customHeight="1" x14ac:dyDescent="0.25">
      <c r="B388" s="40"/>
      <c r="C388" s="40"/>
      <c r="D388" s="40"/>
      <c r="E388" s="40"/>
      <c r="F388" s="40"/>
      <c r="G388" s="40"/>
      <c r="H388" s="5"/>
      <c r="Q388" s="40"/>
      <c r="R388" s="40"/>
      <c r="S388" s="40"/>
      <c r="T388" s="40"/>
      <c r="U388" s="40"/>
      <c r="W388" s="40"/>
      <c r="X388" s="40"/>
      <c r="Y388" s="40"/>
      <c r="Z388" s="41"/>
      <c r="AA388" s="41"/>
      <c r="AB388" s="41"/>
      <c r="AC388" s="41"/>
      <c r="AD388" s="41"/>
      <c r="AE388" s="40"/>
      <c r="AF388" s="45"/>
      <c r="AG388" s="5"/>
      <c r="AH388" s="6"/>
      <c r="AI388" s="45"/>
      <c r="AJ388" s="45"/>
      <c r="AK388" s="40"/>
      <c r="AL388" s="40"/>
      <c r="AM388" s="40"/>
      <c r="AN388" s="45"/>
      <c r="AO388" s="40"/>
    </row>
    <row r="389" spans="2:41" ht="12.75" customHeight="1" x14ac:dyDescent="0.25">
      <c r="B389" s="40"/>
      <c r="C389" s="40"/>
      <c r="D389" s="40"/>
      <c r="E389" s="40"/>
      <c r="F389" s="40"/>
      <c r="G389" s="40"/>
      <c r="H389" s="5"/>
      <c r="Q389" s="40"/>
      <c r="R389" s="40"/>
      <c r="S389" s="40"/>
      <c r="T389" s="40"/>
      <c r="U389" s="40"/>
      <c r="W389" s="40"/>
      <c r="X389" s="40"/>
      <c r="Y389" s="40"/>
      <c r="Z389" s="41"/>
      <c r="AA389" s="41"/>
      <c r="AB389" s="41"/>
      <c r="AC389" s="41"/>
      <c r="AD389" s="41"/>
      <c r="AE389" s="40"/>
      <c r="AF389" s="45"/>
      <c r="AG389" s="5"/>
      <c r="AH389" s="6"/>
      <c r="AI389" s="45"/>
      <c r="AJ389" s="45"/>
      <c r="AK389" s="40"/>
      <c r="AL389" s="40"/>
      <c r="AM389" s="40"/>
      <c r="AN389" s="45"/>
      <c r="AO389" s="40"/>
    </row>
    <row r="390" spans="2:41" ht="12.75" customHeight="1" x14ac:dyDescent="0.25">
      <c r="B390" s="40"/>
      <c r="C390" s="40"/>
      <c r="D390" s="40"/>
      <c r="E390" s="40"/>
      <c r="F390" s="40"/>
      <c r="G390" s="40"/>
      <c r="H390" s="5"/>
      <c r="Q390" s="40"/>
      <c r="R390" s="40"/>
      <c r="S390" s="40"/>
      <c r="T390" s="40"/>
      <c r="U390" s="40"/>
      <c r="W390" s="40"/>
      <c r="X390" s="40"/>
      <c r="Y390" s="40"/>
      <c r="Z390" s="41"/>
      <c r="AA390" s="41"/>
      <c r="AB390" s="41"/>
      <c r="AC390" s="41"/>
      <c r="AD390" s="41"/>
      <c r="AE390" s="40"/>
      <c r="AF390" s="45"/>
      <c r="AG390" s="5"/>
      <c r="AH390" s="6"/>
      <c r="AI390" s="45"/>
      <c r="AJ390" s="45"/>
      <c r="AK390" s="40"/>
      <c r="AL390" s="40"/>
      <c r="AM390" s="40"/>
      <c r="AN390" s="45"/>
      <c r="AO390" s="40"/>
    </row>
    <row r="391" spans="2:41" ht="12.75" customHeight="1" x14ac:dyDescent="0.25">
      <c r="B391" s="40"/>
      <c r="C391" s="40"/>
      <c r="D391" s="40"/>
      <c r="E391" s="40"/>
      <c r="F391" s="40"/>
      <c r="G391" s="40"/>
      <c r="H391" s="5"/>
      <c r="Q391" s="40"/>
      <c r="R391" s="40"/>
      <c r="S391" s="40"/>
      <c r="T391" s="40"/>
      <c r="U391" s="40"/>
      <c r="W391" s="40"/>
      <c r="X391" s="40"/>
      <c r="Y391" s="40"/>
      <c r="Z391" s="41"/>
      <c r="AA391" s="41"/>
      <c r="AB391" s="41"/>
      <c r="AC391" s="41"/>
      <c r="AD391" s="41"/>
      <c r="AE391" s="40"/>
      <c r="AF391" s="45"/>
      <c r="AG391" s="5"/>
      <c r="AH391" s="6"/>
      <c r="AI391" s="45"/>
      <c r="AJ391" s="45"/>
      <c r="AK391" s="40"/>
      <c r="AL391" s="40"/>
      <c r="AM391" s="40"/>
      <c r="AN391" s="45"/>
      <c r="AO391" s="40"/>
    </row>
    <row r="392" spans="2:41" ht="12.75" customHeight="1" x14ac:dyDescent="0.25">
      <c r="B392" s="40"/>
      <c r="C392" s="40"/>
      <c r="D392" s="40"/>
      <c r="E392" s="40"/>
      <c r="F392" s="40"/>
      <c r="G392" s="40"/>
      <c r="H392" s="5"/>
      <c r="Q392" s="40"/>
      <c r="R392" s="40"/>
      <c r="S392" s="40"/>
      <c r="T392" s="40"/>
      <c r="U392" s="40"/>
      <c r="W392" s="40"/>
      <c r="X392" s="40"/>
      <c r="Y392" s="40"/>
      <c r="Z392" s="41"/>
      <c r="AA392" s="41"/>
      <c r="AB392" s="41"/>
      <c r="AC392" s="41"/>
      <c r="AD392" s="41"/>
      <c r="AE392" s="40"/>
      <c r="AF392" s="45"/>
      <c r="AG392" s="5"/>
      <c r="AH392" s="6"/>
      <c r="AI392" s="45"/>
      <c r="AJ392" s="45"/>
      <c r="AK392" s="40"/>
      <c r="AL392" s="40"/>
      <c r="AM392" s="40"/>
      <c r="AN392" s="45"/>
      <c r="AO392" s="40"/>
    </row>
    <row r="393" spans="2:41" ht="12.75" customHeight="1" x14ac:dyDescent="0.25">
      <c r="B393" s="40"/>
      <c r="C393" s="40"/>
      <c r="D393" s="40"/>
      <c r="E393" s="40"/>
      <c r="F393" s="40"/>
      <c r="G393" s="40"/>
      <c r="H393" s="5"/>
      <c r="Q393" s="40"/>
      <c r="R393" s="40"/>
      <c r="S393" s="40"/>
      <c r="T393" s="40"/>
      <c r="U393" s="40"/>
      <c r="W393" s="40"/>
      <c r="X393" s="40"/>
      <c r="Y393" s="40"/>
      <c r="Z393" s="41"/>
      <c r="AA393" s="41"/>
      <c r="AB393" s="41"/>
      <c r="AC393" s="41"/>
      <c r="AD393" s="41"/>
      <c r="AE393" s="40"/>
      <c r="AF393" s="45"/>
      <c r="AG393" s="5"/>
      <c r="AH393" s="6"/>
      <c r="AI393" s="45"/>
      <c r="AJ393" s="45"/>
      <c r="AK393" s="40"/>
      <c r="AL393" s="40"/>
      <c r="AM393" s="40"/>
      <c r="AN393" s="45"/>
      <c r="AO393" s="40"/>
    </row>
    <row r="394" spans="2:41" ht="12.75" customHeight="1" x14ac:dyDescent="0.25">
      <c r="B394" s="40"/>
      <c r="C394" s="40"/>
      <c r="D394" s="40"/>
      <c r="E394" s="40"/>
      <c r="F394" s="40"/>
      <c r="G394" s="40"/>
      <c r="H394" s="5"/>
      <c r="Q394" s="40"/>
      <c r="R394" s="40"/>
      <c r="S394" s="40"/>
      <c r="T394" s="40"/>
      <c r="U394" s="40"/>
      <c r="W394" s="40"/>
      <c r="X394" s="40"/>
      <c r="Y394" s="40"/>
      <c r="Z394" s="41"/>
      <c r="AA394" s="41"/>
      <c r="AB394" s="41"/>
      <c r="AC394" s="41"/>
      <c r="AD394" s="41"/>
      <c r="AE394" s="40"/>
      <c r="AF394" s="45"/>
      <c r="AG394" s="5"/>
      <c r="AH394" s="6"/>
      <c r="AI394" s="45"/>
      <c r="AJ394" s="45"/>
      <c r="AK394" s="40"/>
      <c r="AL394" s="40"/>
      <c r="AM394" s="40"/>
      <c r="AN394" s="45"/>
      <c r="AO394" s="40"/>
    </row>
    <row r="395" spans="2:41" ht="12.75" customHeight="1" x14ac:dyDescent="0.25">
      <c r="B395" s="40"/>
      <c r="C395" s="40"/>
      <c r="D395" s="40"/>
      <c r="E395" s="40"/>
      <c r="F395" s="40"/>
      <c r="G395" s="40"/>
      <c r="H395" s="5"/>
      <c r="Q395" s="40"/>
      <c r="R395" s="40"/>
      <c r="S395" s="40"/>
      <c r="T395" s="40"/>
      <c r="U395" s="40"/>
      <c r="W395" s="40"/>
      <c r="X395" s="40"/>
      <c r="Y395" s="40"/>
      <c r="Z395" s="41"/>
      <c r="AA395" s="41"/>
      <c r="AB395" s="41"/>
      <c r="AC395" s="41"/>
      <c r="AD395" s="41"/>
      <c r="AE395" s="40"/>
      <c r="AF395" s="45"/>
      <c r="AG395" s="5"/>
      <c r="AH395" s="6"/>
      <c r="AI395" s="45"/>
      <c r="AJ395" s="45"/>
      <c r="AK395" s="40"/>
      <c r="AL395" s="40"/>
      <c r="AM395" s="40"/>
      <c r="AN395" s="45"/>
      <c r="AO395" s="40"/>
    </row>
    <row r="396" spans="2:41" ht="12.75" customHeight="1" x14ac:dyDescent="0.25">
      <c r="B396" s="40"/>
      <c r="C396" s="40"/>
      <c r="D396" s="40"/>
      <c r="E396" s="40"/>
      <c r="F396" s="40"/>
      <c r="G396" s="40"/>
      <c r="H396" s="5"/>
      <c r="Q396" s="40"/>
      <c r="R396" s="40"/>
      <c r="S396" s="40"/>
      <c r="T396" s="40"/>
      <c r="U396" s="40"/>
      <c r="W396" s="40"/>
      <c r="X396" s="40"/>
      <c r="Y396" s="40"/>
      <c r="Z396" s="41"/>
      <c r="AA396" s="41"/>
      <c r="AB396" s="41"/>
      <c r="AC396" s="41"/>
      <c r="AD396" s="41"/>
      <c r="AE396" s="40"/>
      <c r="AF396" s="45"/>
      <c r="AG396" s="5"/>
      <c r="AH396" s="6"/>
      <c r="AI396" s="45"/>
      <c r="AJ396" s="45"/>
      <c r="AK396" s="40"/>
      <c r="AL396" s="40"/>
      <c r="AM396" s="40"/>
      <c r="AN396" s="45"/>
      <c r="AO396" s="40"/>
    </row>
    <row r="397" spans="2:41" ht="12.75" customHeight="1" x14ac:dyDescent="0.25">
      <c r="B397" s="40"/>
      <c r="C397" s="40"/>
      <c r="D397" s="40"/>
      <c r="E397" s="40"/>
      <c r="F397" s="40"/>
      <c r="G397" s="40"/>
      <c r="H397" s="5"/>
      <c r="Q397" s="40"/>
      <c r="R397" s="40"/>
      <c r="S397" s="40"/>
      <c r="T397" s="40"/>
      <c r="U397" s="40"/>
      <c r="W397" s="40"/>
      <c r="X397" s="40"/>
      <c r="Y397" s="40"/>
      <c r="Z397" s="41"/>
      <c r="AA397" s="41"/>
      <c r="AB397" s="41"/>
      <c r="AC397" s="41"/>
      <c r="AD397" s="41"/>
      <c r="AE397" s="40"/>
      <c r="AF397" s="45"/>
      <c r="AG397" s="5"/>
      <c r="AH397" s="6"/>
      <c r="AI397" s="45"/>
      <c r="AJ397" s="45"/>
      <c r="AK397" s="40"/>
      <c r="AL397" s="40"/>
      <c r="AM397" s="40"/>
      <c r="AN397" s="45"/>
      <c r="AO397" s="40"/>
    </row>
    <row r="398" spans="2:41" ht="12.75" customHeight="1" x14ac:dyDescent="0.25">
      <c r="B398" s="40"/>
      <c r="C398" s="40"/>
      <c r="D398" s="40"/>
      <c r="E398" s="40"/>
      <c r="F398" s="40"/>
      <c r="G398" s="40"/>
      <c r="H398" s="5"/>
      <c r="Q398" s="40"/>
      <c r="R398" s="40"/>
      <c r="S398" s="40"/>
      <c r="T398" s="40"/>
      <c r="U398" s="40"/>
      <c r="W398" s="40"/>
      <c r="X398" s="40"/>
      <c r="Y398" s="40"/>
      <c r="Z398" s="41"/>
      <c r="AA398" s="41"/>
      <c r="AB398" s="41"/>
      <c r="AC398" s="41"/>
      <c r="AD398" s="41"/>
      <c r="AE398" s="40"/>
      <c r="AF398" s="45"/>
      <c r="AG398" s="5"/>
      <c r="AH398" s="6"/>
      <c r="AI398" s="45"/>
      <c r="AJ398" s="45"/>
      <c r="AK398" s="40"/>
      <c r="AL398" s="40"/>
      <c r="AM398" s="40"/>
      <c r="AN398" s="45"/>
      <c r="AO398" s="40"/>
    </row>
    <row r="399" spans="2:41" ht="12.75" customHeight="1" x14ac:dyDescent="0.25">
      <c r="B399" s="40"/>
      <c r="C399" s="40"/>
      <c r="D399" s="40"/>
      <c r="E399" s="40"/>
      <c r="F399" s="40"/>
      <c r="G399" s="40"/>
      <c r="H399" s="5"/>
      <c r="Q399" s="40"/>
      <c r="R399" s="40"/>
      <c r="S399" s="40"/>
      <c r="T399" s="40"/>
      <c r="U399" s="40"/>
      <c r="W399" s="40"/>
      <c r="X399" s="40"/>
      <c r="Y399" s="40"/>
      <c r="Z399" s="41"/>
      <c r="AA399" s="41"/>
      <c r="AB399" s="41"/>
      <c r="AC399" s="41"/>
      <c r="AD399" s="41"/>
      <c r="AE399" s="40"/>
      <c r="AF399" s="45"/>
      <c r="AG399" s="5"/>
      <c r="AH399" s="6"/>
      <c r="AI399" s="45"/>
      <c r="AJ399" s="45"/>
      <c r="AK399" s="40"/>
      <c r="AL399" s="40"/>
      <c r="AM399" s="40"/>
      <c r="AN399" s="45"/>
      <c r="AO399" s="40"/>
    </row>
    <row r="400" spans="2:41" ht="12.75" customHeight="1" x14ac:dyDescent="0.25">
      <c r="B400" s="40"/>
      <c r="C400" s="40"/>
      <c r="D400" s="40"/>
      <c r="E400" s="40"/>
      <c r="F400" s="40"/>
      <c r="G400" s="40"/>
      <c r="H400" s="5"/>
      <c r="Q400" s="40"/>
      <c r="R400" s="40"/>
      <c r="S400" s="40"/>
      <c r="T400" s="40"/>
      <c r="U400" s="40"/>
      <c r="W400" s="40"/>
      <c r="X400" s="40"/>
      <c r="Y400" s="40"/>
      <c r="Z400" s="41"/>
      <c r="AA400" s="41"/>
      <c r="AB400" s="41"/>
      <c r="AC400" s="41"/>
      <c r="AD400" s="41"/>
      <c r="AE400" s="40"/>
      <c r="AF400" s="45"/>
      <c r="AG400" s="5"/>
      <c r="AH400" s="6"/>
      <c r="AI400" s="45"/>
      <c r="AJ400" s="45"/>
      <c r="AK400" s="40"/>
      <c r="AL400" s="40"/>
      <c r="AM400" s="40"/>
      <c r="AN400" s="45"/>
      <c r="AO400" s="40"/>
    </row>
    <row r="401" spans="2:41" ht="12.75" customHeight="1" x14ac:dyDescent="0.25">
      <c r="B401" s="40"/>
      <c r="C401" s="40"/>
      <c r="D401" s="40"/>
      <c r="E401" s="40"/>
      <c r="F401" s="40"/>
      <c r="G401" s="40"/>
      <c r="H401" s="5"/>
      <c r="Q401" s="40"/>
      <c r="R401" s="40"/>
      <c r="S401" s="40"/>
      <c r="T401" s="40"/>
      <c r="U401" s="40"/>
      <c r="W401" s="40"/>
      <c r="X401" s="40"/>
      <c r="Y401" s="40"/>
      <c r="Z401" s="41"/>
      <c r="AA401" s="41"/>
      <c r="AB401" s="41"/>
      <c r="AC401" s="41"/>
      <c r="AD401" s="41"/>
      <c r="AE401" s="40"/>
      <c r="AF401" s="45"/>
      <c r="AG401" s="5"/>
      <c r="AH401" s="6"/>
      <c r="AI401" s="45"/>
      <c r="AJ401" s="45"/>
      <c r="AK401" s="40"/>
      <c r="AL401" s="40"/>
      <c r="AM401" s="40"/>
      <c r="AN401" s="45"/>
      <c r="AO401" s="40"/>
    </row>
    <row r="402" spans="2:41" ht="12.75" customHeight="1" x14ac:dyDescent="0.25">
      <c r="B402" s="40"/>
      <c r="C402" s="40"/>
      <c r="D402" s="40"/>
      <c r="E402" s="40"/>
      <c r="F402" s="40"/>
      <c r="G402" s="40"/>
      <c r="H402" s="5"/>
      <c r="Q402" s="40"/>
      <c r="R402" s="40"/>
      <c r="S402" s="40"/>
      <c r="T402" s="40"/>
      <c r="U402" s="40"/>
      <c r="W402" s="40"/>
      <c r="X402" s="40"/>
      <c r="Y402" s="40"/>
      <c r="Z402" s="41"/>
      <c r="AA402" s="41"/>
      <c r="AB402" s="41"/>
      <c r="AC402" s="41"/>
      <c r="AD402" s="41"/>
      <c r="AE402" s="40"/>
      <c r="AF402" s="45"/>
      <c r="AG402" s="5"/>
      <c r="AH402" s="6"/>
      <c r="AI402" s="45"/>
      <c r="AJ402" s="45"/>
      <c r="AK402" s="40"/>
      <c r="AL402" s="40"/>
      <c r="AM402" s="40"/>
      <c r="AN402" s="45"/>
      <c r="AO402" s="40"/>
    </row>
    <row r="403" spans="2:41" ht="12.75" customHeight="1" x14ac:dyDescent="0.25">
      <c r="B403" s="40"/>
      <c r="C403" s="40"/>
      <c r="D403" s="40"/>
      <c r="E403" s="40"/>
      <c r="F403" s="40"/>
      <c r="G403" s="40"/>
      <c r="H403" s="5"/>
      <c r="Q403" s="40"/>
      <c r="R403" s="40"/>
      <c r="S403" s="40"/>
      <c r="T403" s="40"/>
      <c r="U403" s="40"/>
      <c r="W403" s="40"/>
      <c r="X403" s="40"/>
      <c r="Y403" s="40"/>
      <c r="Z403" s="41"/>
      <c r="AA403" s="41"/>
      <c r="AB403" s="41"/>
      <c r="AC403" s="41"/>
      <c r="AD403" s="41"/>
      <c r="AE403" s="40"/>
      <c r="AF403" s="45"/>
      <c r="AG403" s="5"/>
      <c r="AH403" s="6"/>
      <c r="AI403" s="45"/>
      <c r="AJ403" s="45"/>
      <c r="AK403" s="40"/>
      <c r="AL403" s="40"/>
      <c r="AM403" s="40"/>
      <c r="AN403" s="45"/>
      <c r="AO403" s="40"/>
    </row>
    <row r="404" spans="2:41" ht="12.75" customHeight="1" x14ac:dyDescent="0.25">
      <c r="B404" s="40"/>
      <c r="C404" s="40"/>
      <c r="D404" s="40"/>
      <c r="E404" s="40"/>
      <c r="F404" s="40"/>
      <c r="G404" s="40"/>
      <c r="H404" s="5"/>
      <c r="Q404" s="40"/>
      <c r="R404" s="40"/>
      <c r="S404" s="40"/>
      <c r="T404" s="40"/>
      <c r="U404" s="40"/>
      <c r="W404" s="40"/>
      <c r="X404" s="40"/>
      <c r="Y404" s="40"/>
      <c r="Z404" s="41"/>
      <c r="AA404" s="41"/>
      <c r="AB404" s="41"/>
      <c r="AC404" s="41"/>
      <c r="AD404" s="41"/>
      <c r="AE404" s="40"/>
      <c r="AF404" s="45"/>
      <c r="AG404" s="5"/>
      <c r="AH404" s="6"/>
      <c r="AI404" s="45"/>
      <c r="AJ404" s="45"/>
      <c r="AK404" s="40"/>
      <c r="AL404" s="40"/>
      <c r="AM404" s="40"/>
      <c r="AN404" s="45"/>
      <c r="AO404" s="40"/>
    </row>
    <row r="405" spans="2:41" ht="12.75" customHeight="1" x14ac:dyDescent="0.25">
      <c r="B405" s="40"/>
      <c r="C405" s="40"/>
      <c r="D405" s="40"/>
      <c r="E405" s="40"/>
      <c r="F405" s="40"/>
      <c r="G405" s="40"/>
      <c r="H405" s="5"/>
      <c r="Q405" s="40"/>
      <c r="R405" s="40"/>
      <c r="S405" s="40"/>
      <c r="T405" s="40"/>
      <c r="U405" s="40"/>
      <c r="W405" s="40"/>
      <c r="X405" s="40"/>
      <c r="Y405" s="40"/>
      <c r="Z405" s="41"/>
      <c r="AA405" s="41"/>
      <c r="AB405" s="41"/>
      <c r="AC405" s="41"/>
      <c r="AD405" s="41"/>
      <c r="AE405" s="40"/>
      <c r="AF405" s="45"/>
      <c r="AG405" s="5"/>
      <c r="AH405" s="6"/>
      <c r="AI405" s="45"/>
      <c r="AJ405" s="45"/>
      <c r="AK405" s="40"/>
      <c r="AL405" s="40"/>
      <c r="AM405" s="40"/>
      <c r="AN405" s="45"/>
      <c r="AO405" s="40"/>
    </row>
    <row r="406" spans="2:41" ht="12.75" customHeight="1" x14ac:dyDescent="0.25">
      <c r="B406" s="40"/>
      <c r="C406" s="40"/>
      <c r="D406" s="40"/>
      <c r="E406" s="40"/>
      <c r="F406" s="40"/>
      <c r="G406" s="40"/>
      <c r="H406" s="5"/>
      <c r="Q406" s="40"/>
      <c r="R406" s="40"/>
      <c r="S406" s="40"/>
      <c r="T406" s="40"/>
      <c r="U406" s="40"/>
      <c r="W406" s="40"/>
      <c r="X406" s="40"/>
      <c r="Y406" s="40"/>
      <c r="Z406" s="41"/>
      <c r="AA406" s="41"/>
      <c r="AB406" s="41"/>
      <c r="AC406" s="41"/>
      <c r="AD406" s="41"/>
      <c r="AE406" s="40"/>
      <c r="AF406" s="45"/>
      <c r="AG406" s="5"/>
      <c r="AH406" s="6"/>
      <c r="AI406" s="45"/>
      <c r="AJ406" s="45"/>
      <c r="AK406" s="40"/>
      <c r="AL406" s="40"/>
      <c r="AM406" s="40"/>
      <c r="AN406" s="45"/>
      <c r="AO406" s="40"/>
    </row>
    <row r="407" spans="2:41" ht="12.75" customHeight="1" x14ac:dyDescent="0.25">
      <c r="B407" s="40"/>
      <c r="C407" s="40"/>
      <c r="D407" s="40"/>
      <c r="E407" s="40"/>
      <c r="F407" s="40"/>
      <c r="G407" s="40"/>
      <c r="H407" s="5"/>
      <c r="Q407" s="40"/>
      <c r="R407" s="40"/>
      <c r="S407" s="40"/>
      <c r="T407" s="40"/>
      <c r="U407" s="40"/>
      <c r="W407" s="40"/>
      <c r="X407" s="40"/>
      <c r="Y407" s="40"/>
      <c r="Z407" s="41"/>
      <c r="AA407" s="41"/>
      <c r="AB407" s="41"/>
      <c r="AC407" s="41"/>
      <c r="AD407" s="41"/>
      <c r="AE407" s="40"/>
      <c r="AF407" s="45"/>
      <c r="AG407" s="5"/>
      <c r="AH407" s="6"/>
      <c r="AI407" s="45"/>
      <c r="AJ407" s="45"/>
      <c r="AK407" s="40"/>
      <c r="AL407" s="40"/>
      <c r="AM407" s="40"/>
      <c r="AN407" s="45"/>
      <c r="AO407" s="40"/>
    </row>
    <row r="408" spans="2:41" ht="12.75" customHeight="1" x14ac:dyDescent="0.25">
      <c r="B408" s="40"/>
      <c r="C408" s="40"/>
      <c r="D408" s="40"/>
      <c r="E408" s="40"/>
      <c r="F408" s="40"/>
      <c r="G408" s="40"/>
      <c r="H408" s="5"/>
      <c r="Q408" s="40"/>
      <c r="R408" s="40"/>
      <c r="S408" s="40"/>
      <c r="T408" s="40"/>
      <c r="U408" s="40"/>
      <c r="W408" s="40"/>
      <c r="X408" s="40"/>
      <c r="Y408" s="40"/>
      <c r="Z408" s="41"/>
      <c r="AA408" s="41"/>
      <c r="AB408" s="41"/>
      <c r="AC408" s="41"/>
      <c r="AD408" s="41"/>
      <c r="AE408" s="40"/>
      <c r="AF408" s="45"/>
      <c r="AG408" s="5"/>
      <c r="AH408" s="6"/>
      <c r="AI408" s="45"/>
      <c r="AJ408" s="45"/>
      <c r="AK408" s="40"/>
      <c r="AL408" s="40"/>
      <c r="AM408" s="40"/>
      <c r="AN408" s="45"/>
      <c r="AO408" s="40"/>
    </row>
    <row r="409" spans="2:41" ht="12.75" customHeight="1" x14ac:dyDescent="0.25">
      <c r="B409" s="40"/>
      <c r="C409" s="40"/>
      <c r="D409" s="40"/>
      <c r="E409" s="40"/>
      <c r="F409" s="40"/>
      <c r="G409" s="40"/>
      <c r="H409" s="5"/>
      <c r="Q409" s="40"/>
      <c r="R409" s="40"/>
      <c r="S409" s="40"/>
      <c r="T409" s="40"/>
      <c r="U409" s="40"/>
      <c r="W409" s="40"/>
      <c r="X409" s="40"/>
      <c r="Y409" s="40"/>
      <c r="Z409" s="41"/>
      <c r="AA409" s="41"/>
      <c r="AB409" s="41"/>
      <c r="AC409" s="41"/>
      <c r="AD409" s="41"/>
      <c r="AE409" s="40"/>
      <c r="AF409" s="45"/>
      <c r="AG409" s="5"/>
      <c r="AH409" s="6"/>
      <c r="AI409" s="45"/>
      <c r="AJ409" s="45"/>
      <c r="AK409" s="40"/>
      <c r="AL409" s="40"/>
      <c r="AM409" s="40"/>
      <c r="AN409" s="45"/>
      <c r="AO409" s="40"/>
    </row>
    <row r="410" spans="2:41" ht="12.75" customHeight="1" x14ac:dyDescent="0.25">
      <c r="B410" s="40"/>
      <c r="C410" s="40"/>
      <c r="D410" s="40"/>
      <c r="E410" s="40"/>
      <c r="F410" s="40"/>
      <c r="G410" s="40"/>
      <c r="H410" s="5"/>
      <c r="Q410" s="40"/>
      <c r="R410" s="40"/>
      <c r="S410" s="40"/>
      <c r="T410" s="40"/>
      <c r="U410" s="40"/>
      <c r="W410" s="40"/>
      <c r="X410" s="40"/>
      <c r="Y410" s="40"/>
      <c r="Z410" s="41"/>
      <c r="AA410" s="41"/>
      <c r="AB410" s="41"/>
      <c r="AC410" s="41"/>
      <c r="AD410" s="41"/>
      <c r="AE410" s="40"/>
      <c r="AF410" s="45"/>
      <c r="AG410" s="5"/>
      <c r="AH410" s="6"/>
      <c r="AI410" s="45"/>
      <c r="AJ410" s="45"/>
      <c r="AK410" s="40"/>
      <c r="AL410" s="40"/>
      <c r="AM410" s="40"/>
      <c r="AN410" s="45"/>
      <c r="AO410" s="40"/>
    </row>
    <row r="411" spans="2:41" ht="12.75" customHeight="1" x14ac:dyDescent="0.25">
      <c r="B411" s="40"/>
      <c r="C411" s="40"/>
      <c r="D411" s="40"/>
      <c r="E411" s="40"/>
      <c r="F411" s="40"/>
      <c r="G411" s="40"/>
      <c r="H411" s="5"/>
      <c r="Q411" s="40"/>
      <c r="R411" s="40"/>
      <c r="S411" s="40"/>
      <c r="T411" s="40"/>
      <c r="U411" s="40"/>
      <c r="W411" s="40"/>
      <c r="X411" s="40"/>
      <c r="Y411" s="40"/>
      <c r="Z411" s="41"/>
      <c r="AA411" s="41"/>
      <c r="AB411" s="41"/>
      <c r="AC411" s="41"/>
      <c r="AD411" s="41"/>
      <c r="AE411" s="40"/>
      <c r="AF411" s="45"/>
      <c r="AG411" s="5"/>
      <c r="AH411" s="6"/>
      <c r="AI411" s="45"/>
      <c r="AJ411" s="45"/>
      <c r="AK411" s="40"/>
      <c r="AL411" s="40"/>
      <c r="AM411" s="40"/>
      <c r="AN411" s="45"/>
      <c r="AO411" s="40"/>
    </row>
    <row r="412" spans="2:41" ht="12.75" customHeight="1" x14ac:dyDescent="0.25">
      <c r="B412" s="40"/>
      <c r="C412" s="40"/>
      <c r="D412" s="40"/>
      <c r="E412" s="40"/>
      <c r="F412" s="40"/>
      <c r="G412" s="40"/>
      <c r="H412" s="5"/>
      <c r="Q412" s="40"/>
      <c r="R412" s="40"/>
      <c r="S412" s="40"/>
      <c r="T412" s="40"/>
      <c r="U412" s="40"/>
      <c r="W412" s="40"/>
      <c r="X412" s="40"/>
      <c r="Y412" s="40"/>
      <c r="Z412" s="41"/>
      <c r="AA412" s="41"/>
      <c r="AB412" s="41"/>
      <c r="AC412" s="41"/>
      <c r="AD412" s="41"/>
      <c r="AE412" s="40"/>
      <c r="AF412" s="45"/>
      <c r="AG412" s="5"/>
      <c r="AH412" s="6"/>
      <c r="AI412" s="45"/>
      <c r="AJ412" s="45"/>
      <c r="AK412" s="40"/>
      <c r="AL412" s="40"/>
      <c r="AM412" s="40"/>
      <c r="AN412" s="45"/>
      <c r="AO412" s="40"/>
    </row>
    <row r="413" spans="2:41" ht="12.75" customHeight="1" x14ac:dyDescent="0.25">
      <c r="B413" s="40"/>
      <c r="C413" s="40"/>
      <c r="D413" s="40"/>
      <c r="E413" s="40"/>
      <c r="F413" s="40"/>
      <c r="G413" s="40"/>
      <c r="H413" s="5"/>
      <c r="Q413" s="40"/>
      <c r="R413" s="40"/>
      <c r="S413" s="40"/>
      <c r="T413" s="40"/>
      <c r="U413" s="40"/>
      <c r="W413" s="40"/>
      <c r="X413" s="40"/>
      <c r="Y413" s="40"/>
      <c r="Z413" s="41"/>
      <c r="AA413" s="41"/>
      <c r="AB413" s="41"/>
      <c r="AC413" s="41"/>
      <c r="AD413" s="41"/>
      <c r="AE413" s="40"/>
      <c r="AF413" s="45"/>
      <c r="AG413" s="5"/>
      <c r="AH413" s="6"/>
      <c r="AI413" s="45"/>
      <c r="AJ413" s="45"/>
      <c r="AK413" s="40"/>
      <c r="AL413" s="40"/>
      <c r="AM413" s="40"/>
      <c r="AN413" s="45"/>
      <c r="AO413" s="40"/>
    </row>
    <row r="414" spans="2:41" ht="12.75" customHeight="1" x14ac:dyDescent="0.25">
      <c r="B414" s="40"/>
      <c r="C414" s="40"/>
      <c r="D414" s="40"/>
      <c r="E414" s="40"/>
      <c r="F414" s="40"/>
      <c r="G414" s="40"/>
      <c r="H414" s="5"/>
      <c r="Q414" s="40"/>
      <c r="R414" s="40"/>
      <c r="S414" s="40"/>
      <c r="T414" s="40"/>
      <c r="U414" s="40"/>
      <c r="W414" s="40"/>
      <c r="X414" s="40"/>
      <c r="Y414" s="40"/>
      <c r="Z414" s="41"/>
      <c r="AA414" s="41"/>
      <c r="AB414" s="41"/>
      <c r="AC414" s="41"/>
      <c r="AD414" s="41"/>
      <c r="AE414" s="40"/>
      <c r="AF414" s="45"/>
      <c r="AG414" s="5"/>
      <c r="AH414" s="6"/>
      <c r="AI414" s="45"/>
      <c r="AJ414" s="45"/>
      <c r="AK414" s="40"/>
      <c r="AL414" s="40"/>
      <c r="AM414" s="40"/>
      <c r="AN414" s="45"/>
      <c r="AO414" s="40"/>
    </row>
    <row r="415" spans="2:41" ht="12.75" customHeight="1" x14ac:dyDescent="0.25">
      <c r="B415" s="40"/>
      <c r="C415" s="40"/>
      <c r="D415" s="40"/>
      <c r="E415" s="40"/>
      <c r="F415" s="40"/>
      <c r="G415" s="40"/>
      <c r="H415" s="5"/>
      <c r="Q415" s="40"/>
      <c r="R415" s="40"/>
      <c r="S415" s="40"/>
      <c r="T415" s="40"/>
      <c r="U415" s="40"/>
      <c r="W415" s="40"/>
      <c r="X415" s="40"/>
      <c r="Y415" s="40"/>
      <c r="Z415" s="41"/>
      <c r="AA415" s="41"/>
      <c r="AB415" s="41"/>
      <c r="AC415" s="41"/>
      <c r="AD415" s="41"/>
      <c r="AE415" s="40"/>
      <c r="AF415" s="45"/>
      <c r="AG415" s="5"/>
      <c r="AH415" s="6"/>
      <c r="AI415" s="45"/>
      <c r="AJ415" s="45"/>
      <c r="AK415" s="40"/>
      <c r="AL415" s="40"/>
      <c r="AM415" s="40"/>
      <c r="AN415" s="45"/>
      <c r="AO415" s="40"/>
    </row>
    <row r="416" spans="2:41" ht="12.75" customHeight="1" x14ac:dyDescent="0.25">
      <c r="B416" s="40"/>
      <c r="C416" s="40"/>
      <c r="D416" s="40"/>
      <c r="E416" s="40"/>
      <c r="F416" s="40"/>
      <c r="G416" s="40"/>
      <c r="H416" s="5"/>
      <c r="Q416" s="40"/>
      <c r="R416" s="40"/>
      <c r="S416" s="40"/>
      <c r="T416" s="40"/>
      <c r="U416" s="40"/>
      <c r="W416" s="40"/>
      <c r="X416" s="40"/>
      <c r="Y416" s="40"/>
      <c r="Z416" s="41"/>
      <c r="AA416" s="41"/>
      <c r="AB416" s="41"/>
      <c r="AC416" s="41"/>
      <c r="AD416" s="41"/>
      <c r="AE416" s="40"/>
      <c r="AF416" s="45"/>
      <c r="AG416" s="5"/>
      <c r="AH416" s="6"/>
      <c r="AI416" s="45"/>
      <c r="AJ416" s="45"/>
      <c r="AK416" s="40"/>
      <c r="AL416" s="40"/>
      <c r="AM416" s="40"/>
      <c r="AN416" s="45"/>
      <c r="AO416" s="40"/>
    </row>
    <row r="417" spans="2:41" ht="12.75" customHeight="1" x14ac:dyDescent="0.25">
      <c r="B417" s="40"/>
      <c r="C417" s="40"/>
      <c r="D417" s="40"/>
      <c r="E417" s="40"/>
      <c r="F417" s="40"/>
      <c r="G417" s="40"/>
      <c r="H417" s="5"/>
      <c r="Q417" s="40"/>
      <c r="R417" s="40"/>
      <c r="S417" s="40"/>
      <c r="T417" s="40"/>
      <c r="U417" s="40"/>
      <c r="W417" s="40"/>
      <c r="X417" s="40"/>
      <c r="Y417" s="40"/>
      <c r="Z417" s="41"/>
      <c r="AA417" s="41"/>
      <c r="AB417" s="41"/>
      <c r="AC417" s="41"/>
      <c r="AD417" s="41"/>
      <c r="AE417" s="40"/>
      <c r="AF417" s="45"/>
      <c r="AG417" s="5"/>
      <c r="AH417" s="6"/>
      <c r="AI417" s="45"/>
      <c r="AJ417" s="45"/>
      <c r="AK417" s="40"/>
      <c r="AL417" s="40"/>
      <c r="AM417" s="40"/>
      <c r="AN417" s="45"/>
      <c r="AO417" s="40"/>
    </row>
    <row r="418" spans="2:41" ht="12.75" customHeight="1" x14ac:dyDescent="0.25">
      <c r="B418" s="40"/>
      <c r="C418" s="40"/>
      <c r="D418" s="40"/>
      <c r="E418" s="40"/>
      <c r="F418" s="40"/>
      <c r="G418" s="40"/>
      <c r="H418" s="5"/>
      <c r="Q418" s="40"/>
      <c r="R418" s="40"/>
      <c r="S418" s="40"/>
      <c r="T418" s="40"/>
      <c r="U418" s="40"/>
      <c r="W418" s="40"/>
      <c r="X418" s="40"/>
      <c r="Y418" s="40"/>
      <c r="Z418" s="41"/>
      <c r="AA418" s="41"/>
      <c r="AB418" s="41"/>
      <c r="AC418" s="41"/>
      <c r="AD418" s="41"/>
      <c r="AE418" s="40"/>
      <c r="AF418" s="45"/>
      <c r="AG418" s="5"/>
      <c r="AH418" s="6"/>
      <c r="AI418" s="45"/>
      <c r="AJ418" s="45"/>
      <c r="AK418" s="40"/>
      <c r="AL418" s="40"/>
      <c r="AM418" s="40"/>
      <c r="AN418" s="45"/>
      <c r="AO418" s="40"/>
    </row>
    <row r="419" spans="2:41" ht="12.75" customHeight="1" x14ac:dyDescent="0.25">
      <c r="B419" s="40"/>
      <c r="C419" s="40"/>
      <c r="D419" s="40"/>
      <c r="E419" s="40"/>
      <c r="F419" s="40"/>
      <c r="G419" s="40"/>
      <c r="H419" s="5"/>
      <c r="Q419" s="40"/>
      <c r="R419" s="40"/>
      <c r="S419" s="40"/>
      <c r="T419" s="40"/>
      <c r="U419" s="40"/>
      <c r="W419" s="40"/>
      <c r="X419" s="40"/>
      <c r="Y419" s="40"/>
      <c r="Z419" s="41"/>
      <c r="AA419" s="41"/>
      <c r="AB419" s="41"/>
      <c r="AC419" s="41"/>
      <c r="AD419" s="41"/>
      <c r="AE419" s="40"/>
      <c r="AF419" s="45"/>
      <c r="AG419" s="5"/>
      <c r="AH419" s="6"/>
      <c r="AI419" s="45"/>
      <c r="AJ419" s="45"/>
      <c r="AK419" s="40"/>
      <c r="AL419" s="40"/>
      <c r="AM419" s="40"/>
      <c r="AN419" s="45"/>
      <c r="AO419" s="40"/>
    </row>
    <row r="420" spans="2:41" ht="12.75" customHeight="1" x14ac:dyDescent="0.25">
      <c r="B420" s="40"/>
      <c r="C420" s="40"/>
      <c r="D420" s="40"/>
      <c r="E420" s="40"/>
      <c r="F420" s="40"/>
      <c r="G420" s="40"/>
      <c r="H420" s="5"/>
      <c r="Q420" s="40"/>
      <c r="R420" s="40"/>
      <c r="S420" s="40"/>
      <c r="T420" s="40"/>
      <c r="U420" s="40"/>
      <c r="W420" s="40"/>
      <c r="X420" s="40"/>
      <c r="Y420" s="40"/>
      <c r="Z420" s="41"/>
      <c r="AA420" s="41"/>
      <c r="AB420" s="41"/>
      <c r="AC420" s="41"/>
      <c r="AD420" s="41"/>
      <c r="AE420" s="40"/>
      <c r="AF420" s="45"/>
      <c r="AG420" s="5"/>
      <c r="AH420" s="6"/>
      <c r="AI420" s="45"/>
      <c r="AJ420" s="45"/>
      <c r="AK420" s="40"/>
      <c r="AL420" s="40"/>
      <c r="AM420" s="40"/>
      <c r="AN420" s="45"/>
      <c r="AO420" s="40"/>
    </row>
    <row r="421" spans="2:41" ht="12.75" customHeight="1" x14ac:dyDescent="0.25">
      <c r="B421" s="40"/>
      <c r="C421" s="40"/>
      <c r="D421" s="40"/>
      <c r="E421" s="40"/>
      <c r="F421" s="40"/>
      <c r="G421" s="40"/>
      <c r="H421" s="5"/>
      <c r="Q421" s="40"/>
      <c r="R421" s="40"/>
      <c r="S421" s="40"/>
      <c r="T421" s="40"/>
      <c r="U421" s="40"/>
      <c r="W421" s="40"/>
      <c r="X421" s="40"/>
      <c r="Y421" s="40"/>
      <c r="Z421" s="41"/>
      <c r="AA421" s="41"/>
      <c r="AB421" s="41"/>
      <c r="AC421" s="41"/>
      <c r="AD421" s="41"/>
      <c r="AE421" s="40"/>
      <c r="AF421" s="45"/>
      <c r="AG421" s="5"/>
      <c r="AH421" s="6"/>
      <c r="AI421" s="45"/>
      <c r="AJ421" s="45"/>
      <c r="AK421" s="40"/>
      <c r="AL421" s="40"/>
      <c r="AM421" s="40"/>
      <c r="AN421" s="45"/>
      <c r="AO421" s="40"/>
    </row>
    <row r="422" spans="2:41" ht="12.75" customHeight="1" x14ac:dyDescent="0.25">
      <c r="B422" s="40"/>
      <c r="C422" s="40"/>
      <c r="D422" s="40"/>
      <c r="E422" s="40"/>
      <c r="F422" s="40"/>
      <c r="G422" s="40"/>
      <c r="H422" s="5"/>
      <c r="Q422" s="40"/>
      <c r="R422" s="40"/>
      <c r="S422" s="40"/>
      <c r="T422" s="40"/>
      <c r="U422" s="40"/>
      <c r="W422" s="40"/>
      <c r="X422" s="40"/>
      <c r="Y422" s="40"/>
      <c r="Z422" s="41"/>
      <c r="AA422" s="41"/>
      <c r="AB422" s="41"/>
      <c r="AC422" s="41"/>
      <c r="AD422" s="41"/>
      <c r="AE422" s="40"/>
      <c r="AF422" s="45"/>
      <c r="AG422" s="5"/>
      <c r="AH422" s="6"/>
      <c r="AI422" s="45"/>
      <c r="AJ422" s="45"/>
      <c r="AK422" s="40"/>
      <c r="AL422" s="40"/>
      <c r="AM422" s="40"/>
      <c r="AN422" s="45"/>
      <c r="AO422" s="40"/>
    </row>
    <row r="423" spans="2:41" ht="12.75" customHeight="1" x14ac:dyDescent="0.25">
      <c r="B423" s="40"/>
      <c r="C423" s="40"/>
      <c r="D423" s="40"/>
      <c r="E423" s="40"/>
      <c r="F423" s="40"/>
      <c r="G423" s="40"/>
      <c r="H423" s="5"/>
      <c r="Q423" s="40"/>
      <c r="R423" s="40"/>
      <c r="S423" s="40"/>
      <c r="T423" s="40"/>
      <c r="U423" s="40"/>
      <c r="W423" s="40"/>
      <c r="X423" s="40"/>
      <c r="Y423" s="40"/>
      <c r="Z423" s="41"/>
      <c r="AA423" s="41"/>
      <c r="AB423" s="41"/>
      <c r="AC423" s="41"/>
      <c r="AD423" s="41"/>
      <c r="AE423" s="40"/>
      <c r="AF423" s="45"/>
      <c r="AG423" s="5"/>
      <c r="AH423" s="6"/>
      <c r="AI423" s="45"/>
      <c r="AJ423" s="45"/>
      <c r="AK423" s="40"/>
      <c r="AL423" s="40"/>
      <c r="AM423" s="40"/>
      <c r="AN423" s="45"/>
      <c r="AO423" s="40"/>
    </row>
    <row r="424" spans="2:41" ht="12.75" customHeight="1" x14ac:dyDescent="0.25">
      <c r="B424" s="40"/>
      <c r="C424" s="40"/>
      <c r="D424" s="40"/>
      <c r="E424" s="40"/>
      <c r="F424" s="40"/>
      <c r="G424" s="40"/>
      <c r="H424" s="5"/>
      <c r="Q424" s="40"/>
      <c r="R424" s="40"/>
      <c r="S424" s="40"/>
      <c r="T424" s="40"/>
      <c r="U424" s="40"/>
      <c r="W424" s="40"/>
      <c r="X424" s="40"/>
      <c r="Y424" s="40"/>
      <c r="Z424" s="41"/>
      <c r="AA424" s="41"/>
      <c r="AB424" s="41"/>
      <c r="AC424" s="41"/>
      <c r="AD424" s="41"/>
      <c r="AE424" s="40"/>
      <c r="AF424" s="45"/>
      <c r="AG424" s="5"/>
      <c r="AH424" s="6"/>
      <c r="AI424" s="45"/>
      <c r="AJ424" s="45"/>
      <c r="AK424" s="40"/>
      <c r="AL424" s="40"/>
      <c r="AM424" s="40"/>
      <c r="AN424" s="45"/>
      <c r="AO424" s="40"/>
    </row>
    <row r="425" spans="2:41" ht="12.75" customHeight="1" x14ac:dyDescent="0.25">
      <c r="B425" s="40"/>
      <c r="C425" s="40"/>
      <c r="D425" s="40"/>
      <c r="E425" s="40"/>
      <c r="F425" s="40"/>
      <c r="G425" s="40"/>
      <c r="H425" s="5"/>
      <c r="Q425" s="40"/>
      <c r="R425" s="40"/>
      <c r="S425" s="40"/>
      <c r="T425" s="40"/>
      <c r="U425" s="40"/>
      <c r="W425" s="40"/>
      <c r="X425" s="40"/>
      <c r="Y425" s="40"/>
      <c r="Z425" s="41"/>
      <c r="AA425" s="41"/>
      <c r="AB425" s="41"/>
      <c r="AC425" s="41"/>
      <c r="AD425" s="41"/>
      <c r="AE425" s="40"/>
      <c r="AF425" s="45"/>
      <c r="AG425" s="5"/>
      <c r="AH425" s="6"/>
      <c r="AI425" s="45"/>
      <c r="AJ425" s="45"/>
      <c r="AK425" s="40"/>
      <c r="AL425" s="40"/>
      <c r="AM425" s="40"/>
      <c r="AN425" s="45"/>
      <c r="AO425" s="40"/>
    </row>
    <row r="426" spans="2:41" ht="12.75" customHeight="1" x14ac:dyDescent="0.25">
      <c r="B426" s="40"/>
      <c r="C426" s="40"/>
      <c r="D426" s="40"/>
      <c r="E426" s="40"/>
      <c r="F426" s="40"/>
      <c r="G426" s="40"/>
      <c r="H426" s="5"/>
      <c r="Q426" s="40"/>
      <c r="R426" s="40"/>
      <c r="S426" s="40"/>
      <c r="T426" s="40"/>
      <c r="U426" s="40"/>
      <c r="W426" s="40"/>
      <c r="X426" s="40"/>
      <c r="Y426" s="40"/>
      <c r="Z426" s="41"/>
      <c r="AA426" s="41"/>
      <c r="AB426" s="41"/>
      <c r="AC426" s="41"/>
      <c r="AD426" s="41"/>
      <c r="AE426" s="40"/>
      <c r="AF426" s="45"/>
      <c r="AG426" s="5"/>
      <c r="AH426" s="6"/>
      <c r="AI426" s="45"/>
      <c r="AJ426" s="45"/>
      <c r="AK426" s="40"/>
      <c r="AL426" s="40"/>
      <c r="AM426" s="40"/>
      <c r="AN426" s="45"/>
      <c r="AO426" s="40"/>
    </row>
    <row r="427" spans="2:41" ht="12.75" customHeight="1" x14ac:dyDescent="0.25">
      <c r="B427" s="40"/>
      <c r="C427" s="40"/>
      <c r="D427" s="40"/>
      <c r="E427" s="40"/>
      <c r="F427" s="40"/>
      <c r="G427" s="40"/>
      <c r="H427" s="5"/>
      <c r="Q427" s="40"/>
      <c r="R427" s="40"/>
      <c r="S427" s="40"/>
      <c r="T427" s="40"/>
      <c r="U427" s="40"/>
      <c r="W427" s="40"/>
      <c r="X427" s="40"/>
      <c r="Y427" s="40"/>
      <c r="Z427" s="41"/>
      <c r="AA427" s="41"/>
      <c r="AB427" s="41"/>
      <c r="AC427" s="41"/>
      <c r="AD427" s="41"/>
      <c r="AE427" s="40"/>
      <c r="AF427" s="45"/>
      <c r="AG427" s="5"/>
      <c r="AH427" s="6"/>
      <c r="AI427" s="45"/>
      <c r="AJ427" s="45"/>
      <c r="AK427" s="40"/>
      <c r="AL427" s="40"/>
      <c r="AM427" s="40"/>
      <c r="AN427" s="45"/>
      <c r="AO427" s="40"/>
    </row>
    <row r="428" spans="2:41" ht="12.75" customHeight="1" x14ac:dyDescent="0.25">
      <c r="B428" s="40"/>
      <c r="C428" s="40"/>
      <c r="D428" s="40"/>
      <c r="E428" s="40"/>
      <c r="F428" s="40"/>
      <c r="G428" s="40"/>
      <c r="H428" s="5"/>
      <c r="Q428" s="40"/>
      <c r="R428" s="40"/>
      <c r="S428" s="40"/>
      <c r="T428" s="40"/>
      <c r="U428" s="40"/>
      <c r="W428" s="40"/>
      <c r="X428" s="40"/>
      <c r="Y428" s="40"/>
      <c r="Z428" s="41"/>
      <c r="AA428" s="41"/>
      <c r="AB428" s="41"/>
      <c r="AC428" s="41"/>
      <c r="AD428" s="41"/>
      <c r="AE428" s="40"/>
      <c r="AF428" s="45"/>
      <c r="AG428" s="5"/>
      <c r="AH428" s="6"/>
      <c r="AI428" s="45"/>
      <c r="AJ428" s="45"/>
      <c r="AK428" s="40"/>
      <c r="AL428" s="40"/>
      <c r="AM428" s="40"/>
      <c r="AN428" s="45"/>
      <c r="AO428" s="40"/>
    </row>
    <row r="429" spans="2:41" ht="12.75" customHeight="1" x14ac:dyDescent="0.25">
      <c r="B429" s="40"/>
      <c r="C429" s="40"/>
      <c r="D429" s="40"/>
      <c r="E429" s="40"/>
      <c r="F429" s="40"/>
      <c r="G429" s="40"/>
      <c r="H429" s="5"/>
      <c r="Q429" s="40"/>
      <c r="R429" s="40"/>
      <c r="S429" s="40"/>
      <c r="T429" s="40"/>
      <c r="U429" s="40"/>
      <c r="W429" s="40"/>
      <c r="X429" s="40"/>
      <c r="Y429" s="40"/>
      <c r="Z429" s="41"/>
      <c r="AA429" s="41"/>
      <c r="AB429" s="41"/>
      <c r="AC429" s="41"/>
      <c r="AD429" s="41"/>
      <c r="AE429" s="40"/>
      <c r="AF429" s="45"/>
      <c r="AG429" s="5"/>
      <c r="AH429" s="6"/>
      <c r="AI429" s="45"/>
      <c r="AJ429" s="45"/>
      <c r="AK429" s="40"/>
      <c r="AL429" s="40"/>
      <c r="AM429" s="40"/>
      <c r="AN429" s="45"/>
      <c r="AO429" s="40"/>
    </row>
    <row r="430" spans="2:41" ht="12.75" customHeight="1" x14ac:dyDescent="0.25">
      <c r="B430" s="40"/>
      <c r="C430" s="40"/>
      <c r="D430" s="40"/>
      <c r="E430" s="40"/>
      <c r="F430" s="40"/>
      <c r="G430" s="40"/>
      <c r="H430" s="5"/>
      <c r="Q430" s="40"/>
      <c r="R430" s="40"/>
      <c r="S430" s="40"/>
      <c r="T430" s="40"/>
      <c r="U430" s="40"/>
      <c r="W430" s="40"/>
      <c r="X430" s="40"/>
      <c r="Y430" s="40"/>
      <c r="Z430" s="41"/>
      <c r="AA430" s="41"/>
      <c r="AB430" s="41"/>
      <c r="AC430" s="41"/>
      <c r="AD430" s="41"/>
      <c r="AE430" s="40"/>
      <c r="AF430" s="45"/>
      <c r="AG430" s="5"/>
      <c r="AH430" s="6"/>
      <c r="AI430" s="45"/>
      <c r="AJ430" s="45"/>
      <c r="AK430" s="40"/>
      <c r="AL430" s="40"/>
      <c r="AM430" s="40"/>
      <c r="AN430" s="45"/>
      <c r="AO430" s="40"/>
    </row>
    <row r="431" spans="2:41" ht="12.75" customHeight="1" x14ac:dyDescent="0.25">
      <c r="B431" s="40"/>
      <c r="C431" s="40"/>
      <c r="D431" s="40"/>
      <c r="E431" s="40"/>
      <c r="F431" s="40"/>
      <c r="G431" s="40"/>
      <c r="H431" s="5"/>
      <c r="Q431" s="40"/>
      <c r="R431" s="40"/>
      <c r="S431" s="40"/>
      <c r="T431" s="40"/>
      <c r="U431" s="40"/>
      <c r="W431" s="40"/>
      <c r="X431" s="40"/>
      <c r="Y431" s="40"/>
      <c r="Z431" s="41"/>
      <c r="AA431" s="41"/>
      <c r="AB431" s="41"/>
      <c r="AC431" s="41"/>
      <c r="AD431" s="41"/>
      <c r="AE431" s="40"/>
      <c r="AF431" s="45"/>
      <c r="AG431" s="5"/>
      <c r="AH431" s="6"/>
      <c r="AI431" s="45"/>
      <c r="AJ431" s="45"/>
      <c r="AK431" s="40"/>
      <c r="AL431" s="40"/>
      <c r="AM431" s="40"/>
      <c r="AN431" s="45"/>
      <c r="AO431" s="40"/>
    </row>
    <row r="432" spans="2:41" ht="12.75" customHeight="1" x14ac:dyDescent="0.25">
      <c r="B432" s="40"/>
      <c r="C432" s="40"/>
      <c r="D432" s="40"/>
      <c r="E432" s="40"/>
      <c r="F432" s="40"/>
      <c r="G432" s="40"/>
      <c r="H432" s="5"/>
      <c r="Q432" s="40"/>
      <c r="R432" s="40"/>
      <c r="S432" s="40"/>
      <c r="T432" s="40"/>
      <c r="U432" s="40"/>
      <c r="W432" s="40"/>
      <c r="X432" s="40"/>
      <c r="Y432" s="40"/>
      <c r="Z432" s="41"/>
      <c r="AA432" s="41"/>
      <c r="AB432" s="41"/>
      <c r="AC432" s="41"/>
      <c r="AD432" s="41"/>
      <c r="AE432" s="40"/>
      <c r="AF432" s="45"/>
      <c r="AG432" s="5"/>
      <c r="AH432" s="6"/>
      <c r="AI432" s="45"/>
      <c r="AJ432" s="45"/>
      <c r="AK432" s="40"/>
      <c r="AL432" s="40"/>
      <c r="AM432" s="40"/>
      <c r="AN432" s="45"/>
      <c r="AO432" s="40"/>
    </row>
    <row r="433" spans="2:41" ht="12.75" customHeight="1" x14ac:dyDescent="0.25">
      <c r="B433" s="40"/>
      <c r="C433" s="40"/>
      <c r="D433" s="40"/>
      <c r="E433" s="40"/>
      <c r="F433" s="40"/>
      <c r="G433" s="40"/>
      <c r="H433" s="5"/>
      <c r="Q433" s="40"/>
      <c r="R433" s="40"/>
      <c r="S433" s="40"/>
      <c r="T433" s="40"/>
      <c r="U433" s="40"/>
      <c r="W433" s="40"/>
      <c r="X433" s="40"/>
      <c r="Y433" s="40"/>
      <c r="Z433" s="41"/>
      <c r="AA433" s="41"/>
      <c r="AB433" s="41"/>
      <c r="AC433" s="41"/>
      <c r="AD433" s="41"/>
      <c r="AE433" s="40"/>
      <c r="AF433" s="45"/>
      <c r="AG433" s="5"/>
      <c r="AH433" s="6"/>
      <c r="AI433" s="45"/>
      <c r="AJ433" s="45"/>
      <c r="AK433" s="40"/>
      <c r="AL433" s="40"/>
      <c r="AM433" s="40"/>
      <c r="AN433" s="45"/>
      <c r="AO433" s="40"/>
    </row>
    <row r="434" spans="2:41" ht="12.75" customHeight="1" x14ac:dyDescent="0.25">
      <c r="B434" s="40"/>
      <c r="C434" s="40"/>
      <c r="D434" s="40"/>
      <c r="E434" s="40"/>
      <c r="F434" s="40"/>
      <c r="G434" s="40"/>
      <c r="H434" s="5"/>
      <c r="Q434" s="40"/>
      <c r="R434" s="40"/>
      <c r="S434" s="40"/>
      <c r="T434" s="40"/>
      <c r="U434" s="40"/>
      <c r="W434" s="40"/>
      <c r="X434" s="40"/>
      <c r="Y434" s="40"/>
      <c r="Z434" s="41"/>
      <c r="AA434" s="41"/>
      <c r="AB434" s="41"/>
      <c r="AC434" s="41"/>
      <c r="AD434" s="41"/>
      <c r="AE434" s="40"/>
      <c r="AF434" s="45"/>
      <c r="AG434" s="5"/>
      <c r="AH434" s="6"/>
      <c r="AI434" s="45"/>
      <c r="AJ434" s="45"/>
      <c r="AK434" s="40"/>
      <c r="AL434" s="40"/>
      <c r="AM434" s="40"/>
      <c r="AN434" s="45"/>
      <c r="AO434" s="40"/>
    </row>
    <row r="435" spans="2:41" ht="12.75" customHeight="1" x14ac:dyDescent="0.25">
      <c r="B435" s="40"/>
      <c r="C435" s="40"/>
      <c r="D435" s="40"/>
      <c r="E435" s="40"/>
      <c r="F435" s="40"/>
      <c r="G435" s="40"/>
      <c r="H435" s="5"/>
      <c r="Q435" s="40"/>
      <c r="R435" s="40"/>
      <c r="S435" s="40"/>
      <c r="T435" s="40"/>
      <c r="U435" s="40"/>
      <c r="W435" s="40"/>
      <c r="X435" s="40"/>
      <c r="Y435" s="40"/>
      <c r="Z435" s="41"/>
      <c r="AA435" s="41"/>
      <c r="AB435" s="41"/>
      <c r="AC435" s="41"/>
      <c r="AD435" s="41"/>
      <c r="AE435" s="40"/>
      <c r="AF435" s="45"/>
      <c r="AG435" s="5"/>
      <c r="AH435" s="6"/>
      <c r="AI435" s="45"/>
      <c r="AJ435" s="45"/>
      <c r="AK435" s="40"/>
      <c r="AL435" s="40"/>
      <c r="AM435" s="40"/>
      <c r="AN435" s="45"/>
      <c r="AO435" s="40"/>
    </row>
    <row r="436" spans="2:41" ht="12.75" customHeight="1" x14ac:dyDescent="0.25">
      <c r="B436" s="40"/>
      <c r="C436" s="40"/>
      <c r="D436" s="40"/>
      <c r="E436" s="40"/>
      <c r="F436" s="40"/>
      <c r="G436" s="40"/>
      <c r="H436" s="5"/>
      <c r="Q436" s="40"/>
      <c r="R436" s="40"/>
      <c r="S436" s="40"/>
      <c r="T436" s="40"/>
      <c r="U436" s="40"/>
      <c r="W436" s="40"/>
      <c r="X436" s="40"/>
      <c r="Y436" s="40"/>
      <c r="Z436" s="41"/>
      <c r="AA436" s="41"/>
      <c r="AB436" s="41"/>
      <c r="AC436" s="41"/>
      <c r="AD436" s="41"/>
      <c r="AE436" s="40"/>
      <c r="AF436" s="45"/>
      <c r="AG436" s="5"/>
      <c r="AH436" s="6"/>
      <c r="AI436" s="45"/>
      <c r="AJ436" s="45"/>
      <c r="AK436" s="40"/>
      <c r="AL436" s="40"/>
      <c r="AM436" s="40"/>
      <c r="AN436" s="45"/>
      <c r="AO436" s="40"/>
    </row>
    <row r="437" spans="2:41" ht="12.75" customHeight="1" x14ac:dyDescent="0.25">
      <c r="B437" s="40"/>
      <c r="C437" s="40"/>
      <c r="D437" s="40"/>
      <c r="E437" s="40"/>
      <c r="F437" s="40"/>
      <c r="G437" s="40"/>
      <c r="H437" s="5"/>
      <c r="Q437" s="40"/>
      <c r="R437" s="40"/>
      <c r="S437" s="40"/>
      <c r="T437" s="40"/>
      <c r="U437" s="40"/>
      <c r="W437" s="40"/>
      <c r="X437" s="40"/>
      <c r="Y437" s="40"/>
      <c r="Z437" s="41"/>
      <c r="AA437" s="41"/>
      <c r="AB437" s="41"/>
      <c r="AC437" s="41"/>
      <c r="AD437" s="41"/>
      <c r="AE437" s="40"/>
      <c r="AF437" s="45"/>
      <c r="AG437" s="5"/>
      <c r="AH437" s="6"/>
      <c r="AI437" s="45"/>
      <c r="AJ437" s="45"/>
      <c r="AK437" s="40"/>
      <c r="AL437" s="40"/>
      <c r="AM437" s="40"/>
      <c r="AN437" s="45"/>
      <c r="AO437" s="40"/>
    </row>
    <row r="438" spans="2:41" ht="12.75" customHeight="1" x14ac:dyDescent="0.25">
      <c r="B438" s="40"/>
      <c r="C438" s="40"/>
      <c r="D438" s="40"/>
      <c r="E438" s="40"/>
      <c r="F438" s="40"/>
      <c r="G438" s="40"/>
      <c r="H438" s="5"/>
      <c r="Q438" s="40"/>
      <c r="R438" s="40"/>
      <c r="S438" s="40"/>
      <c r="T438" s="40"/>
      <c r="U438" s="40"/>
      <c r="W438" s="40"/>
      <c r="X438" s="40"/>
      <c r="Y438" s="40"/>
      <c r="Z438" s="41"/>
      <c r="AA438" s="41"/>
      <c r="AB438" s="41"/>
      <c r="AC438" s="41"/>
      <c r="AD438" s="41"/>
      <c r="AE438" s="40"/>
      <c r="AF438" s="45"/>
      <c r="AG438" s="5"/>
      <c r="AH438" s="6"/>
      <c r="AI438" s="45"/>
      <c r="AJ438" s="45"/>
      <c r="AK438" s="40"/>
      <c r="AL438" s="40"/>
      <c r="AM438" s="40"/>
      <c r="AN438" s="45"/>
      <c r="AO438" s="40"/>
    </row>
    <row r="439" spans="2:41" ht="12.75" customHeight="1" x14ac:dyDescent="0.25">
      <c r="B439" s="40"/>
      <c r="C439" s="40"/>
      <c r="D439" s="40"/>
      <c r="E439" s="40"/>
      <c r="F439" s="40"/>
      <c r="G439" s="40"/>
      <c r="H439" s="5"/>
      <c r="Q439" s="40"/>
      <c r="R439" s="40"/>
      <c r="S439" s="40"/>
      <c r="T439" s="40"/>
      <c r="U439" s="40"/>
      <c r="W439" s="40"/>
      <c r="X439" s="40"/>
      <c r="Y439" s="40"/>
      <c r="Z439" s="41"/>
      <c r="AA439" s="41"/>
      <c r="AB439" s="41"/>
      <c r="AC439" s="41"/>
      <c r="AD439" s="41"/>
      <c r="AE439" s="40"/>
      <c r="AF439" s="45"/>
      <c r="AG439" s="5"/>
      <c r="AH439" s="6"/>
      <c r="AI439" s="45"/>
      <c r="AJ439" s="45"/>
      <c r="AK439" s="40"/>
      <c r="AL439" s="40"/>
      <c r="AM439" s="40"/>
      <c r="AN439" s="45"/>
      <c r="AO439" s="40"/>
    </row>
    <row r="440" spans="2:41" ht="12.75" customHeight="1" x14ac:dyDescent="0.25">
      <c r="B440" s="40"/>
      <c r="C440" s="40"/>
      <c r="D440" s="40"/>
      <c r="E440" s="40"/>
      <c r="F440" s="40"/>
      <c r="G440" s="40"/>
      <c r="H440" s="5"/>
      <c r="Q440" s="40"/>
      <c r="R440" s="40"/>
      <c r="S440" s="40"/>
      <c r="T440" s="40"/>
      <c r="U440" s="40"/>
      <c r="W440" s="40"/>
      <c r="X440" s="40"/>
      <c r="Y440" s="40"/>
      <c r="Z440" s="41"/>
      <c r="AA440" s="41"/>
      <c r="AB440" s="41"/>
      <c r="AC440" s="41"/>
      <c r="AD440" s="41"/>
      <c r="AE440" s="40"/>
      <c r="AF440" s="45"/>
      <c r="AG440" s="5"/>
      <c r="AH440" s="6"/>
      <c r="AI440" s="45"/>
      <c r="AJ440" s="45"/>
      <c r="AK440" s="40"/>
      <c r="AL440" s="40"/>
      <c r="AM440" s="40"/>
      <c r="AN440" s="45"/>
      <c r="AO440" s="40"/>
    </row>
    <row r="441" spans="2:41" ht="12.75" customHeight="1" x14ac:dyDescent="0.25">
      <c r="B441" s="40"/>
      <c r="C441" s="40"/>
      <c r="D441" s="40"/>
      <c r="E441" s="40"/>
      <c r="F441" s="40"/>
      <c r="G441" s="40"/>
      <c r="H441" s="5"/>
      <c r="Q441" s="40"/>
      <c r="R441" s="40"/>
      <c r="S441" s="40"/>
      <c r="T441" s="40"/>
      <c r="U441" s="40"/>
      <c r="W441" s="40"/>
      <c r="X441" s="40"/>
      <c r="Y441" s="40"/>
      <c r="Z441" s="41"/>
      <c r="AA441" s="41"/>
      <c r="AB441" s="41"/>
      <c r="AC441" s="41"/>
      <c r="AD441" s="41"/>
      <c r="AE441" s="40"/>
      <c r="AF441" s="45"/>
      <c r="AG441" s="5"/>
      <c r="AH441" s="6"/>
      <c r="AI441" s="45"/>
      <c r="AJ441" s="45"/>
      <c r="AK441" s="40"/>
      <c r="AL441" s="40"/>
      <c r="AM441" s="40"/>
      <c r="AN441" s="45"/>
      <c r="AO441" s="40"/>
    </row>
    <row r="442" spans="2:41" ht="12.75" customHeight="1" x14ac:dyDescent="0.25">
      <c r="B442" s="40"/>
      <c r="C442" s="40"/>
      <c r="D442" s="40"/>
      <c r="E442" s="40"/>
      <c r="F442" s="40"/>
      <c r="G442" s="40"/>
      <c r="H442" s="5"/>
      <c r="Q442" s="40"/>
      <c r="R442" s="40"/>
      <c r="S442" s="40"/>
      <c r="T442" s="40"/>
      <c r="U442" s="40"/>
      <c r="W442" s="40"/>
      <c r="X442" s="40"/>
      <c r="Y442" s="40"/>
      <c r="Z442" s="41"/>
      <c r="AA442" s="41"/>
      <c r="AB442" s="41"/>
      <c r="AC442" s="41"/>
      <c r="AD442" s="41"/>
      <c r="AE442" s="40"/>
      <c r="AF442" s="45"/>
      <c r="AG442" s="5"/>
      <c r="AH442" s="6"/>
      <c r="AI442" s="45"/>
      <c r="AJ442" s="45"/>
      <c r="AK442" s="40"/>
      <c r="AL442" s="40"/>
      <c r="AM442" s="40"/>
      <c r="AN442" s="45"/>
      <c r="AO442" s="40"/>
    </row>
    <row r="443" spans="2:41" ht="12.75" customHeight="1" x14ac:dyDescent="0.25">
      <c r="B443" s="40"/>
      <c r="C443" s="40"/>
      <c r="D443" s="40"/>
      <c r="E443" s="40"/>
      <c r="F443" s="40"/>
      <c r="G443" s="40"/>
      <c r="H443" s="5"/>
      <c r="Q443" s="40"/>
      <c r="R443" s="40"/>
      <c r="S443" s="40"/>
      <c r="T443" s="40"/>
      <c r="U443" s="40"/>
      <c r="W443" s="40"/>
      <c r="X443" s="40"/>
      <c r="Y443" s="40"/>
      <c r="Z443" s="41"/>
      <c r="AA443" s="41"/>
      <c r="AB443" s="41"/>
      <c r="AC443" s="41"/>
      <c r="AD443" s="41"/>
      <c r="AE443" s="40"/>
      <c r="AF443" s="45"/>
      <c r="AG443" s="5"/>
      <c r="AH443" s="6"/>
      <c r="AI443" s="45"/>
      <c r="AJ443" s="45"/>
      <c r="AK443" s="40"/>
      <c r="AL443" s="40"/>
      <c r="AM443" s="40"/>
      <c r="AN443" s="45"/>
      <c r="AO443" s="40"/>
    </row>
    <row r="444" spans="2:41" ht="12.75" customHeight="1" x14ac:dyDescent="0.25">
      <c r="B444" s="40"/>
      <c r="C444" s="40"/>
      <c r="D444" s="40"/>
      <c r="E444" s="40"/>
      <c r="F444" s="40"/>
      <c r="G444" s="40"/>
      <c r="H444" s="5"/>
      <c r="Q444" s="40"/>
      <c r="R444" s="40"/>
      <c r="S444" s="40"/>
      <c r="T444" s="40"/>
      <c r="U444" s="40"/>
      <c r="W444" s="40"/>
      <c r="X444" s="40"/>
      <c r="Y444" s="40"/>
      <c r="Z444" s="41"/>
      <c r="AA444" s="41"/>
      <c r="AB444" s="41"/>
      <c r="AC444" s="41"/>
      <c r="AD444" s="41"/>
      <c r="AE444" s="40"/>
      <c r="AF444" s="45"/>
      <c r="AG444" s="5"/>
      <c r="AH444" s="6"/>
      <c r="AI444" s="45"/>
      <c r="AJ444" s="45"/>
      <c r="AK444" s="40"/>
      <c r="AL444" s="40"/>
      <c r="AM444" s="40"/>
      <c r="AN444" s="45"/>
      <c r="AO444" s="40"/>
    </row>
    <row r="445" spans="2:41" ht="12.75" customHeight="1" x14ac:dyDescent="0.25">
      <c r="B445" s="40"/>
      <c r="C445" s="40"/>
      <c r="D445" s="40"/>
      <c r="E445" s="40"/>
      <c r="F445" s="40"/>
      <c r="G445" s="40"/>
      <c r="H445" s="5"/>
      <c r="Q445" s="40"/>
      <c r="R445" s="40"/>
      <c r="S445" s="40"/>
      <c r="T445" s="40"/>
      <c r="U445" s="40"/>
      <c r="W445" s="40"/>
      <c r="X445" s="40"/>
      <c r="Y445" s="40"/>
      <c r="Z445" s="41"/>
      <c r="AA445" s="41"/>
      <c r="AB445" s="41"/>
      <c r="AC445" s="41"/>
      <c r="AD445" s="41"/>
      <c r="AE445" s="40"/>
      <c r="AF445" s="45"/>
      <c r="AG445" s="5"/>
      <c r="AH445" s="6"/>
      <c r="AI445" s="45"/>
      <c r="AJ445" s="45"/>
      <c r="AK445" s="40"/>
      <c r="AL445" s="40"/>
      <c r="AM445" s="40"/>
      <c r="AN445" s="45"/>
      <c r="AO445" s="40"/>
    </row>
    <row r="446" spans="2:41" ht="12.75" customHeight="1" x14ac:dyDescent="0.25">
      <c r="B446" s="40"/>
      <c r="C446" s="40"/>
      <c r="D446" s="40"/>
      <c r="E446" s="40"/>
      <c r="F446" s="40"/>
      <c r="G446" s="40"/>
      <c r="H446" s="5"/>
      <c r="Q446" s="40"/>
      <c r="R446" s="40"/>
      <c r="S446" s="40"/>
      <c r="T446" s="40"/>
      <c r="U446" s="40"/>
      <c r="W446" s="40"/>
      <c r="X446" s="40"/>
      <c r="Y446" s="40"/>
      <c r="Z446" s="41"/>
      <c r="AA446" s="41"/>
      <c r="AB446" s="41"/>
      <c r="AC446" s="41"/>
      <c r="AD446" s="41"/>
      <c r="AE446" s="40"/>
      <c r="AF446" s="45"/>
      <c r="AG446" s="5"/>
      <c r="AH446" s="6"/>
      <c r="AI446" s="45"/>
      <c r="AJ446" s="45"/>
      <c r="AK446" s="40"/>
      <c r="AL446" s="40"/>
      <c r="AM446" s="40"/>
      <c r="AN446" s="45"/>
      <c r="AO446" s="40"/>
    </row>
    <row r="447" spans="2:41" ht="12.75" customHeight="1" x14ac:dyDescent="0.25">
      <c r="B447" s="40"/>
      <c r="C447" s="40"/>
      <c r="D447" s="40"/>
      <c r="E447" s="40"/>
      <c r="F447" s="40"/>
      <c r="G447" s="40"/>
      <c r="H447" s="5"/>
      <c r="Q447" s="40"/>
      <c r="R447" s="40"/>
      <c r="S447" s="40"/>
      <c r="T447" s="40"/>
      <c r="U447" s="40"/>
      <c r="W447" s="40"/>
      <c r="X447" s="40"/>
      <c r="Y447" s="40"/>
      <c r="Z447" s="41"/>
      <c r="AA447" s="41"/>
      <c r="AB447" s="41"/>
      <c r="AC447" s="41"/>
      <c r="AD447" s="41"/>
      <c r="AE447" s="40"/>
      <c r="AF447" s="45"/>
      <c r="AG447" s="5"/>
      <c r="AH447" s="6"/>
      <c r="AI447" s="45"/>
      <c r="AJ447" s="45"/>
      <c r="AK447" s="40"/>
      <c r="AL447" s="40"/>
      <c r="AM447" s="40"/>
      <c r="AN447" s="45"/>
      <c r="AO447" s="40"/>
    </row>
    <row r="448" spans="2:41" ht="12.75" customHeight="1" x14ac:dyDescent="0.25">
      <c r="B448" s="40"/>
      <c r="C448" s="40"/>
      <c r="D448" s="40"/>
      <c r="E448" s="40"/>
      <c r="F448" s="40"/>
      <c r="G448" s="40"/>
      <c r="H448" s="5"/>
      <c r="Q448" s="40"/>
      <c r="R448" s="40"/>
      <c r="S448" s="40"/>
      <c r="T448" s="40"/>
      <c r="U448" s="40"/>
      <c r="W448" s="40"/>
      <c r="X448" s="40"/>
      <c r="Y448" s="40"/>
      <c r="Z448" s="41"/>
      <c r="AA448" s="41"/>
      <c r="AB448" s="41"/>
      <c r="AC448" s="41"/>
      <c r="AD448" s="41"/>
      <c r="AE448" s="40"/>
      <c r="AF448" s="45"/>
      <c r="AG448" s="5"/>
      <c r="AH448" s="6"/>
      <c r="AI448" s="45"/>
      <c r="AJ448" s="45"/>
      <c r="AK448" s="40"/>
      <c r="AL448" s="40"/>
      <c r="AM448" s="40"/>
      <c r="AN448" s="45"/>
      <c r="AO448" s="40"/>
    </row>
    <row r="449" spans="2:41" ht="12.75" customHeight="1" x14ac:dyDescent="0.25">
      <c r="B449" s="40"/>
      <c r="C449" s="40"/>
      <c r="D449" s="40"/>
      <c r="E449" s="40"/>
      <c r="F449" s="40"/>
      <c r="G449" s="40"/>
      <c r="H449" s="5"/>
      <c r="Q449" s="40"/>
      <c r="R449" s="40"/>
      <c r="S449" s="40"/>
      <c r="T449" s="40"/>
      <c r="U449" s="40"/>
      <c r="W449" s="40"/>
      <c r="X449" s="40"/>
      <c r="Y449" s="40"/>
      <c r="Z449" s="41"/>
      <c r="AA449" s="41"/>
      <c r="AB449" s="41"/>
      <c r="AC449" s="41"/>
      <c r="AD449" s="41"/>
      <c r="AE449" s="40"/>
      <c r="AF449" s="45"/>
      <c r="AG449" s="5"/>
      <c r="AH449" s="6"/>
      <c r="AI449" s="45"/>
      <c r="AJ449" s="45"/>
      <c r="AK449" s="40"/>
      <c r="AL449" s="40"/>
      <c r="AM449" s="40"/>
      <c r="AN449" s="45"/>
      <c r="AO449" s="40"/>
    </row>
    <row r="450" spans="2:41" ht="12.75" customHeight="1" x14ac:dyDescent="0.25">
      <c r="B450" s="40"/>
      <c r="C450" s="40"/>
      <c r="D450" s="40"/>
      <c r="E450" s="40"/>
      <c r="F450" s="40"/>
      <c r="G450" s="40"/>
      <c r="H450" s="5"/>
      <c r="Q450" s="40"/>
      <c r="R450" s="40"/>
      <c r="S450" s="40"/>
      <c r="T450" s="40"/>
      <c r="U450" s="40"/>
      <c r="W450" s="40"/>
      <c r="X450" s="40"/>
      <c r="Y450" s="40"/>
      <c r="Z450" s="41"/>
      <c r="AA450" s="41"/>
      <c r="AB450" s="41"/>
      <c r="AC450" s="41"/>
      <c r="AD450" s="41"/>
      <c r="AE450" s="40"/>
      <c r="AF450" s="45"/>
      <c r="AG450" s="5"/>
      <c r="AH450" s="6"/>
      <c r="AI450" s="45"/>
      <c r="AJ450" s="45"/>
      <c r="AK450" s="40"/>
      <c r="AL450" s="40"/>
      <c r="AM450" s="40"/>
      <c r="AN450" s="45"/>
      <c r="AO450" s="40"/>
    </row>
    <row r="451" spans="2:41" ht="12.75" customHeight="1" x14ac:dyDescent="0.25">
      <c r="B451" s="40"/>
      <c r="C451" s="40"/>
      <c r="D451" s="40"/>
      <c r="E451" s="40"/>
      <c r="F451" s="40"/>
      <c r="G451" s="40"/>
      <c r="H451" s="5"/>
      <c r="Q451" s="40"/>
      <c r="R451" s="40"/>
      <c r="S451" s="40"/>
      <c r="T451" s="40"/>
      <c r="U451" s="40"/>
      <c r="W451" s="40"/>
      <c r="X451" s="40"/>
      <c r="Y451" s="40"/>
      <c r="Z451" s="41"/>
      <c r="AA451" s="41"/>
      <c r="AB451" s="41"/>
      <c r="AC451" s="41"/>
      <c r="AD451" s="41"/>
      <c r="AE451" s="40"/>
      <c r="AF451" s="45"/>
      <c r="AG451" s="5"/>
      <c r="AH451" s="6"/>
      <c r="AI451" s="45"/>
      <c r="AJ451" s="45"/>
      <c r="AK451" s="40"/>
      <c r="AL451" s="40"/>
      <c r="AM451" s="40"/>
      <c r="AN451" s="45"/>
      <c r="AO451" s="40"/>
    </row>
    <row r="452" spans="2:41" ht="12.75" customHeight="1" x14ac:dyDescent="0.25">
      <c r="B452" s="40"/>
      <c r="C452" s="40"/>
      <c r="D452" s="40"/>
      <c r="E452" s="40"/>
      <c r="F452" s="40"/>
      <c r="G452" s="40"/>
      <c r="H452" s="5"/>
      <c r="Q452" s="40"/>
      <c r="R452" s="40"/>
      <c r="S452" s="40"/>
      <c r="T452" s="40"/>
      <c r="U452" s="40"/>
      <c r="W452" s="40"/>
      <c r="X452" s="40"/>
      <c r="Y452" s="40"/>
      <c r="Z452" s="41"/>
      <c r="AA452" s="41"/>
      <c r="AB452" s="41"/>
      <c r="AC452" s="41"/>
      <c r="AD452" s="41"/>
      <c r="AE452" s="40"/>
      <c r="AF452" s="45"/>
      <c r="AG452" s="5"/>
      <c r="AH452" s="6"/>
      <c r="AI452" s="45"/>
      <c r="AJ452" s="45"/>
      <c r="AK452" s="40"/>
      <c r="AL452" s="40"/>
      <c r="AM452" s="40"/>
      <c r="AN452" s="45"/>
      <c r="AO452" s="40"/>
    </row>
    <row r="453" spans="2:41" ht="12.75" customHeight="1" x14ac:dyDescent="0.25">
      <c r="B453" s="40"/>
      <c r="C453" s="40"/>
      <c r="D453" s="40"/>
      <c r="E453" s="40"/>
      <c r="F453" s="40"/>
      <c r="G453" s="40"/>
      <c r="H453" s="5"/>
      <c r="Q453" s="40"/>
      <c r="R453" s="40"/>
      <c r="S453" s="40"/>
      <c r="T453" s="40"/>
      <c r="U453" s="40"/>
      <c r="W453" s="40"/>
      <c r="X453" s="40"/>
      <c r="Y453" s="40"/>
      <c r="Z453" s="41"/>
      <c r="AA453" s="41"/>
      <c r="AB453" s="41"/>
      <c r="AC453" s="41"/>
      <c r="AD453" s="41"/>
      <c r="AE453" s="40"/>
      <c r="AF453" s="45"/>
      <c r="AG453" s="5"/>
      <c r="AH453" s="6"/>
      <c r="AI453" s="45"/>
      <c r="AJ453" s="45"/>
      <c r="AK453" s="40"/>
      <c r="AL453" s="40"/>
      <c r="AM453" s="40"/>
      <c r="AN453" s="45"/>
      <c r="AO453" s="40"/>
    </row>
    <row r="454" spans="2:41" ht="12.75" customHeight="1" x14ac:dyDescent="0.25">
      <c r="B454" s="40"/>
      <c r="C454" s="40"/>
      <c r="D454" s="40"/>
      <c r="E454" s="40"/>
      <c r="F454" s="40"/>
      <c r="G454" s="40"/>
      <c r="H454" s="5"/>
      <c r="Q454" s="40"/>
      <c r="R454" s="40"/>
      <c r="S454" s="40"/>
      <c r="T454" s="40"/>
      <c r="U454" s="40"/>
      <c r="W454" s="40"/>
      <c r="X454" s="40"/>
      <c r="Y454" s="40"/>
      <c r="Z454" s="41"/>
      <c r="AA454" s="41"/>
      <c r="AB454" s="41"/>
      <c r="AC454" s="41"/>
      <c r="AD454" s="41"/>
      <c r="AE454" s="40"/>
      <c r="AF454" s="45"/>
      <c r="AG454" s="5"/>
      <c r="AH454" s="6"/>
      <c r="AI454" s="45"/>
      <c r="AJ454" s="45"/>
      <c r="AK454" s="40"/>
      <c r="AL454" s="40"/>
      <c r="AM454" s="40"/>
      <c r="AN454" s="45"/>
      <c r="AO454" s="40"/>
    </row>
    <row r="455" spans="2:41" ht="12.75" customHeight="1" x14ac:dyDescent="0.25">
      <c r="B455" s="40"/>
      <c r="C455" s="40"/>
      <c r="D455" s="40"/>
      <c r="E455" s="40"/>
      <c r="F455" s="40"/>
      <c r="G455" s="40"/>
      <c r="H455" s="5"/>
      <c r="Q455" s="40"/>
      <c r="R455" s="40"/>
      <c r="S455" s="40"/>
      <c r="T455" s="40"/>
      <c r="U455" s="40"/>
      <c r="W455" s="40"/>
      <c r="X455" s="40"/>
      <c r="Y455" s="40"/>
      <c r="Z455" s="41"/>
      <c r="AA455" s="41"/>
      <c r="AB455" s="41"/>
      <c r="AC455" s="41"/>
      <c r="AD455" s="41"/>
      <c r="AE455" s="40"/>
      <c r="AF455" s="45"/>
      <c r="AG455" s="5"/>
      <c r="AH455" s="6"/>
      <c r="AI455" s="45"/>
      <c r="AJ455" s="45"/>
      <c r="AK455" s="40"/>
      <c r="AL455" s="40"/>
      <c r="AM455" s="40"/>
      <c r="AN455" s="45"/>
      <c r="AO455" s="40"/>
    </row>
    <row r="456" spans="2:41" ht="12.75" customHeight="1" x14ac:dyDescent="0.25">
      <c r="B456" s="40"/>
      <c r="C456" s="40"/>
      <c r="D456" s="40"/>
      <c r="E456" s="40"/>
      <c r="F456" s="40"/>
      <c r="G456" s="40"/>
      <c r="H456" s="5"/>
      <c r="Q456" s="40"/>
      <c r="R456" s="40"/>
      <c r="S456" s="40"/>
      <c r="T456" s="40"/>
      <c r="U456" s="40"/>
      <c r="W456" s="40"/>
      <c r="X456" s="40"/>
      <c r="Y456" s="40"/>
      <c r="Z456" s="41"/>
      <c r="AA456" s="41"/>
      <c r="AB456" s="41"/>
      <c r="AC456" s="41"/>
      <c r="AD456" s="41"/>
      <c r="AE456" s="40"/>
      <c r="AF456" s="45"/>
      <c r="AG456" s="5"/>
      <c r="AH456" s="6"/>
      <c r="AI456" s="45"/>
      <c r="AJ456" s="45"/>
      <c r="AK456" s="40"/>
      <c r="AL456" s="40"/>
      <c r="AM456" s="40"/>
      <c r="AN456" s="45"/>
      <c r="AO456" s="40"/>
    </row>
    <row r="457" spans="2:41" ht="12.75" customHeight="1" x14ac:dyDescent="0.25">
      <c r="B457" s="40"/>
      <c r="C457" s="40"/>
      <c r="D457" s="40"/>
      <c r="E457" s="40"/>
      <c r="F457" s="40"/>
      <c r="G457" s="40"/>
      <c r="H457" s="5"/>
      <c r="Q457" s="40"/>
      <c r="R457" s="40"/>
      <c r="S457" s="40"/>
      <c r="T457" s="40"/>
      <c r="U457" s="40"/>
      <c r="W457" s="40"/>
      <c r="X457" s="40"/>
      <c r="Y457" s="40"/>
      <c r="Z457" s="41"/>
      <c r="AA457" s="41"/>
      <c r="AB457" s="41"/>
      <c r="AC457" s="41"/>
      <c r="AD457" s="41"/>
      <c r="AE457" s="40"/>
      <c r="AF457" s="45"/>
      <c r="AG457" s="5"/>
      <c r="AH457" s="6"/>
      <c r="AI457" s="45"/>
      <c r="AJ457" s="45"/>
      <c r="AK457" s="40"/>
      <c r="AL457" s="40"/>
      <c r="AM457" s="40"/>
      <c r="AN457" s="45"/>
      <c r="AO457" s="40"/>
    </row>
    <row r="458" spans="2:41" ht="12.75" customHeight="1" x14ac:dyDescent="0.25">
      <c r="B458" s="40"/>
      <c r="C458" s="40"/>
      <c r="D458" s="40"/>
      <c r="E458" s="40"/>
      <c r="F458" s="40"/>
      <c r="G458" s="40"/>
      <c r="H458" s="5"/>
      <c r="Q458" s="40"/>
      <c r="R458" s="40"/>
      <c r="S458" s="40"/>
      <c r="T458" s="40"/>
      <c r="U458" s="40"/>
      <c r="W458" s="40"/>
      <c r="X458" s="40"/>
      <c r="Y458" s="40"/>
      <c r="Z458" s="41"/>
      <c r="AA458" s="41"/>
      <c r="AB458" s="41"/>
      <c r="AC458" s="41"/>
      <c r="AD458" s="41"/>
      <c r="AE458" s="40"/>
      <c r="AF458" s="45"/>
      <c r="AG458" s="5"/>
      <c r="AH458" s="6"/>
      <c r="AI458" s="45"/>
      <c r="AJ458" s="45"/>
      <c r="AK458" s="40"/>
      <c r="AL458" s="40"/>
      <c r="AM458" s="40"/>
      <c r="AN458" s="45"/>
      <c r="AO458" s="40"/>
    </row>
    <row r="459" spans="2:41" ht="12.75" customHeight="1" x14ac:dyDescent="0.25">
      <c r="B459" s="40"/>
      <c r="C459" s="40"/>
      <c r="D459" s="40"/>
      <c r="E459" s="40"/>
      <c r="F459" s="40"/>
      <c r="G459" s="40"/>
      <c r="H459" s="5"/>
      <c r="Q459" s="40"/>
      <c r="R459" s="40"/>
      <c r="S459" s="40"/>
      <c r="T459" s="40"/>
      <c r="U459" s="40"/>
      <c r="W459" s="40"/>
      <c r="X459" s="40"/>
      <c r="Y459" s="40"/>
      <c r="Z459" s="41"/>
      <c r="AA459" s="41"/>
      <c r="AB459" s="41"/>
      <c r="AC459" s="41"/>
      <c r="AD459" s="41"/>
      <c r="AE459" s="40"/>
      <c r="AF459" s="45"/>
      <c r="AG459" s="5"/>
      <c r="AH459" s="6"/>
      <c r="AI459" s="45"/>
      <c r="AJ459" s="45"/>
      <c r="AK459" s="40"/>
      <c r="AL459" s="40"/>
      <c r="AM459" s="40"/>
      <c r="AN459" s="45"/>
      <c r="AO459" s="40"/>
    </row>
    <row r="460" spans="2:41" ht="12.75" customHeight="1" x14ac:dyDescent="0.25">
      <c r="B460" s="40"/>
      <c r="C460" s="40"/>
      <c r="D460" s="40"/>
      <c r="E460" s="40"/>
      <c r="F460" s="40"/>
      <c r="G460" s="40"/>
      <c r="H460" s="5"/>
      <c r="Q460" s="40"/>
      <c r="R460" s="40"/>
      <c r="S460" s="40"/>
      <c r="T460" s="40"/>
      <c r="U460" s="40"/>
      <c r="W460" s="40"/>
      <c r="X460" s="40"/>
      <c r="Y460" s="40"/>
      <c r="Z460" s="41"/>
      <c r="AA460" s="41"/>
      <c r="AB460" s="41"/>
      <c r="AC460" s="41"/>
      <c r="AD460" s="41"/>
      <c r="AE460" s="40"/>
      <c r="AF460" s="45"/>
      <c r="AG460" s="5"/>
      <c r="AH460" s="6"/>
      <c r="AI460" s="45"/>
      <c r="AJ460" s="45"/>
      <c r="AK460" s="40"/>
      <c r="AL460" s="40"/>
      <c r="AM460" s="40"/>
      <c r="AN460" s="45"/>
      <c r="AO460" s="40"/>
    </row>
    <row r="461" spans="2:41" ht="12.75" customHeight="1" x14ac:dyDescent="0.25">
      <c r="B461" s="40"/>
      <c r="C461" s="40"/>
      <c r="D461" s="40"/>
      <c r="E461" s="40"/>
      <c r="F461" s="40"/>
      <c r="G461" s="40"/>
      <c r="H461" s="5"/>
      <c r="Q461" s="40"/>
      <c r="R461" s="40"/>
      <c r="S461" s="40"/>
      <c r="T461" s="40"/>
      <c r="U461" s="40"/>
      <c r="W461" s="40"/>
      <c r="X461" s="40"/>
      <c r="Y461" s="40"/>
      <c r="Z461" s="41"/>
      <c r="AA461" s="41"/>
      <c r="AB461" s="41"/>
      <c r="AC461" s="41"/>
      <c r="AD461" s="41"/>
      <c r="AE461" s="40"/>
      <c r="AF461" s="45"/>
      <c r="AG461" s="5"/>
      <c r="AH461" s="6"/>
      <c r="AI461" s="45"/>
      <c r="AJ461" s="45"/>
      <c r="AK461" s="40"/>
      <c r="AL461" s="40"/>
      <c r="AM461" s="40"/>
      <c r="AN461" s="45"/>
      <c r="AO461" s="40"/>
    </row>
    <row r="462" spans="2:41" ht="12.75" customHeight="1" x14ac:dyDescent="0.25">
      <c r="B462" s="40"/>
      <c r="C462" s="40"/>
      <c r="D462" s="40"/>
      <c r="E462" s="40"/>
      <c r="F462" s="40"/>
      <c r="G462" s="40"/>
      <c r="H462" s="5"/>
      <c r="Q462" s="40"/>
      <c r="R462" s="40"/>
      <c r="S462" s="40"/>
      <c r="T462" s="40"/>
      <c r="U462" s="40"/>
      <c r="W462" s="40"/>
      <c r="X462" s="40"/>
      <c r="Y462" s="40"/>
      <c r="Z462" s="41"/>
      <c r="AA462" s="41"/>
      <c r="AB462" s="41"/>
      <c r="AC462" s="41"/>
      <c r="AD462" s="41"/>
      <c r="AE462" s="40"/>
      <c r="AF462" s="45"/>
      <c r="AG462" s="5"/>
      <c r="AH462" s="6"/>
      <c r="AI462" s="45"/>
      <c r="AJ462" s="45"/>
      <c r="AK462" s="40"/>
      <c r="AL462" s="40"/>
      <c r="AM462" s="40"/>
      <c r="AN462" s="45"/>
      <c r="AO462" s="40"/>
    </row>
    <row r="463" spans="2:41" ht="12.75" customHeight="1" x14ac:dyDescent="0.25">
      <c r="B463" s="40"/>
      <c r="C463" s="40"/>
      <c r="D463" s="40"/>
      <c r="E463" s="40"/>
      <c r="F463" s="40"/>
      <c r="G463" s="40"/>
      <c r="H463" s="5"/>
      <c r="Q463" s="40"/>
      <c r="R463" s="40"/>
      <c r="S463" s="40"/>
      <c r="T463" s="40"/>
      <c r="U463" s="40"/>
      <c r="W463" s="40"/>
      <c r="X463" s="40"/>
      <c r="Y463" s="40"/>
      <c r="Z463" s="41"/>
      <c r="AA463" s="41"/>
      <c r="AB463" s="41"/>
      <c r="AC463" s="41"/>
      <c r="AD463" s="41"/>
      <c r="AE463" s="40"/>
      <c r="AF463" s="45"/>
      <c r="AG463" s="5"/>
      <c r="AH463" s="6"/>
      <c r="AI463" s="45"/>
      <c r="AJ463" s="45"/>
      <c r="AK463" s="40"/>
      <c r="AL463" s="40"/>
      <c r="AM463" s="40"/>
      <c r="AN463" s="45"/>
      <c r="AO463" s="40"/>
    </row>
    <row r="464" spans="2:41" ht="12.75" customHeight="1" x14ac:dyDescent="0.25">
      <c r="B464" s="40"/>
      <c r="C464" s="40"/>
      <c r="D464" s="40"/>
      <c r="E464" s="40"/>
      <c r="F464" s="40"/>
      <c r="G464" s="40"/>
      <c r="H464" s="5"/>
      <c r="Q464" s="40"/>
      <c r="R464" s="40"/>
      <c r="S464" s="40"/>
      <c r="T464" s="40"/>
      <c r="U464" s="40"/>
      <c r="W464" s="40"/>
      <c r="X464" s="40"/>
      <c r="Y464" s="40"/>
      <c r="Z464" s="41"/>
      <c r="AA464" s="41"/>
      <c r="AB464" s="41"/>
      <c r="AC464" s="41"/>
      <c r="AD464" s="41"/>
      <c r="AE464" s="40"/>
      <c r="AF464" s="45"/>
      <c r="AG464" s="5"/>
      <c r="AH464" s="6"/>
      <c r="AI464" s="45"/>
      <c r="AJ464" s="45"/>
      <c r="AK464" s="40"/>
      <c r="AL464" s="40"/>
      <c r="AM464" s="40"/>
      <c r="AN464" s="45"/>
      <c r="AO464" s="40"/>
    </row>
    <row r="465" spans="2:41" ht="12.75" customHeight="1" x14ac:dyDescent="0.25">
      <c r="B465" s="40"/>
      <c r="C465" s="40"/>
      <c r="D465" s="40"/>
      <c r="E465" s="40"/>
      <c r="F465" s="40"/>
      <c r="G465" s="40"/>
      <c r="H465" s="5"/>
      <c r="Q465" s="40"/>
      <c r="R465" s="40"/>
      <c r="S465" s="40"/>
      <c r="T465" s="40"/>
      <c r="U465" s="40"/>
      <c r="W465" s="40"/>
      <c r="X465" s="40"/>
      <c r="Y465" s="40"/>
      <c r="Z465" s="41"/>
      <c r="AA465" s="41"/>
      <c r="AB465" s="41"/>
      <c r="AC465" s="41"/>
      <c r="AD465" s="41"/>
      <c r="AE465" s="40"/>
      <c r="AF465" s="45"/>
      <c r="AG465" s="5"/>
      <c r="AH465" s="6"/>
      <c r="AI465" s="45"/>
      <c r="AJ465" s="45"/>
      <c r="AK465" s="40"/>
      <c r="AL465" s="40"/>
      <c r="AM465" s="40"/>
      <c r="AN465" s="45"/>
      <c r="AO465" s="40"/>
    </row>
    <row r="466" spans="2:41" ht="12.75" customHeight="1" x14ac:dyDescent="0.25">
      <c r="B466" s="40"/>
      <c r="C466" s="40"/>
      <c r="D466" s="40"/>
      <c r="E466" s="40"/>
      <c r="F466" s="40"/>
      <c r="G466" s="40"/>
      <c r="H466" s="5"/>
      <c r="Q466" s="40"/>
      <c r="R466" s="40"/>
      <c r="S466" s="40"/>
      <c r="T466" s="40"/>
      <c r="U466" s="40"/>
      <c r="W466" s="40"/>
      <c r="X466" s="40"/>
      <c r="Y466" s="40"/>
      <c r="Z466" s="41"/>
      <c r="AA466" s="41"/>
      <c r="AB466" s="41"/>
      <c r="AC466" s="41"/>
      <c r="AD466" s="41"/>
      <c r="AE466" s="40"/>
      <c r="AF466" s="45"/>
      <c r="AG466" s="5"/>
      <c r="AH466" s="6"/>
      <c r="AI466" s="45"/>
      <c r="AJ466" s="45"/>
      <c r="AK466" s="40"/>
      <c r="AL466" s="40"/>
      <c r="AM466" s="40"/>
      <c r="AN466" s="45"/>
      <c r="AO466" s="40"/>
    </row>
    <row r="467" spans="2:41" ht="12.75" customHeight="1" x14ac:dyDescent="0.25">
      <c r="B467" s="40"/>
      <c r="C467" s="40"/>
      <c r="D467" s="40"/>
      <c r="E467" s="40"/>
      <c r="F467" s="40"/>
      <c r="G467" s="40"/>
      <c r="H467" s="5"/>
      <c r="Q467" s="40"/>
      <c r="R467" s="40"/>
      <c r="S467" s="40"/>
      <c r="T467" s="40"/>
      <c r="U467" s="40"/>
      <c r="W467" s="40"/>
      <c r="X467" s="40"/>
      <c r="Y467" s="40"/>
      <c r="Z467" s="41"/>
      <c r="AA467" s="41"/>
      <c r="AB467" s="41"/>
      <c r="AC467" s="41"/>
      <c r="AD467" s="41"/>
      <c r="AE467" s="40"/>
      <c r="AF467" s="45"/>
      <c r="AG467" s="5"/>
      <c r="AH467" s="6"/>
      <c r="AI467" s="45"/>
      <c r="AJ467" s="45"/>
      <c r="AK467" s="40"/>
      <c r="AL467" s="40"/>
      <c r="AM467" s="40"/>
      <c r="AN467" s="45"/>
      <c r="AO467" s="40"/>
    </row>
    <row r="468" spans="2:41" ht="12.75" customHeight="1" x14ac:dyDescent="0.25">
      <c r="B468" s="40"/>
      <c r="C468" s="40"/>
      <c r="D468" s="40"/>
      <c r="E468" s="40"/>
      <c r="F468" s="40"/>
      <c r="G468" s="40"/>
      <c r="H468" s="5"/>
      <c r="Q468" s="40"/>
      <c r="R468" s="40"/>
      <c r="S468" s="40"/>
      <c r="T468" s="40"/>
      <c r="U468" s="40"/>
      <c r="W468" s="40"/>
      <c r="X468" s="40"/>
      <c r="Y468" s="40"/>
      <c r="Z468" s="41"/>
      <c r="AA468" s="41"/>
      <c r="AB468" s="41"/>
      <c r="AC468" s="41"/>
      <c r="AD468" s="41"/>
      <c r="AE468" s="40"/>
      <c r="AF468" s="45"/>
      <c r="AG468" s="5"/>
      <c r="AH468" s="6"/>
      <c r="AI468" s="45"/>
      <c r="AJ468" s="45"/>
      <c r="AK468" s="40"/>
      <c r="AL468" s="40"/>
      <c r="AM468" s="40"/>
      <c r="AN468" s="45"/>
      <c r="AO468" s="40"/>
    </row>
    <row r="469" spans="2:41" ht="12.75" customHeight="1" x14ac:dyDescent="0.25">
      <c r="B469" s="40"/>
      <c r="C469" s="40"/>
      <c r="D469" s="40"/>
      <c r="E469" s="40"/>
      <c r="F469" s="40"/>
      <c r="G469" s="40"/>
      <c r="H469" s="5"/>
      <c r="Q469" s="40"/>
      <c r="R469" s="40"/>
      <c r="S469" s="40"/>
      <c r="T469" s="40"/>
      <c r="U469" s="40"/>
      <c r="W469" s="40"/>
      <c r="X469" s="40"/>
      <c r="Y469" s="40"/>
      <c r="Z469" s="41"/>
      <c r="AA469" s="41"/>
      <c r="AB469" s="41"/>
      <c r="AC469" s="41"/>
      <c r="AD469" s="41"/>
      <c r="AE469" s="40"/>
      <c r="AF469" s="45"/>
      <c r="AG469" s="5"/>
      <c r="AH469" s="6"/>
      <c r="AI469" s="45"/>
      <c r="AJ469" s="45"/>
      <c r="AK469" s="40"/>
      <c r="AL469" s="40"/>
      <c r="AM469" s="40"/>
      <c r="AN469" s="45"/>
      <c r="AO469" s="40"/>
    </row>
    <row r="470" spans="2:41" ht="12.75" customHeight="1" x14ac:dyDescent="0.25">
      <c r="B470" s="40"/>
      <c r="C470" s="40"/>
      <c r="D470" s="40"/>
      <c r="E470" s="40"/>
      <c r="F470" s="40"/>
      <c r="G470" s="40"/>
      <c r="H470" s="5"/>
      <c r="Q470" s="40"/>
      <c r="R470" s="40"/>
      <c r="S470" s="40"/>
      <c r="T470" s="40"/>
      <c r="U470" s="40"/>
      <c r="W470" s="40"/>
      <c r="X470" s="40"/>
      <c r="Y470" s="40"/>
      <c r="Z470" s="41"/>
      <c r="AA470" s="41"/>
      <c r="AB470" s="41"/>
      <c r="AC470" s="41"/>
      <c r="AD470" s="41"/>
      <c r="AE470" s="40"/>
      <c r="AF470" s="45"/>
      <c r="AG470" s="5"/>
      <c r="AH470" s="6"/>
      <c r="AI470" s="45"/>
      <c r="AJ470" s="45"/>
      <c r="AK470" s="40"/>
      <c r="AL470" s="40"/>
      <c r="AM470" s="40"/>
      <c r="AN470" s="45"/>
      <c r="AO470" s="40"/>
    </row>
    <row r="471" spans="2:41" ht="12.75" customHeight="1" x14ac:dyDescent="0.25">
      <c r="B471" s="40"/>
      <c r="C471" s="40"/>
      <c r="D471" s="40"/>
      <c r="E471" s="40"/>
      <c r="F471" s="40"/>
      <c r="G471" s="40"/>
      <c r="H471" s="5"/>
      <c r="Q471" s="40"/>
      <c r="R471" s="40"/>
      <c r="S471" s="40"/>
      <c r="T471" s="40"/>
      <c r="U471" s="40"/>
      <c r="W471" s="40"/>
      <c r="X471" s="40"/>
      <c r="Y471" s="40"/>
      <c r="Z471" s="41"/>
      <c r="AA471" s="41"/>
      <c r="AB471" s="41"/>
      <c r="AC471" s="41"/>
      <c r="AD471" s="41"/>
      <c r="AE471" s="40"/>
      <c r="AF471" s="45"/>
      <c r="AG471" s="5"/>
      <c r="AH471" s="6"/>
      <c r="AI471" s="45"/>
      <c r="AJ471" s="45"/>
      <c r="AK471" s="40"/>
      <c r="AL471" s="40"/>
      <c r="AM471" s="40"/>
      <c r="AN471" s="45"/>
      <c r="AO471" s="40"/>
    </row>
    <row r="472" spans="2:41" ht="12.75" customHeight="1" x14ac:dyDescent="0.25">
      <c r="B472" s="40"/>
      <c r="C472" s="40"/>
      <c r="D472" s="40"/>
      <c r="E472" s="40"/>
      <c r="F472" s="40"/>
      <c r="G472" s="40"/>
      <c r="H472" s="5"/>
      <c r="Q472" s="40"/>
      <c r="R472" s="40"/>
      <c r="S472" s="40"/>
      <c r="T472" s="40"/>
      <c r="U472" s="40"/>
      <c r="W472" s="40"/>
      <c r="X472" s="40"/>
      <c r="Y472" s="40"/>
      <c r="Z472" s="41"/>
      <c r="AA472" s="41"/>
      <c r="AB472" s="41"/>
      <c r="AC472" s="41"/>
      <c r="AD472" s="41"/>
      <c r="AE472" s="40"/>
      <c r="AF472" s="45"/>
      <c r="AG472" s="5"/>
      <c r="AH472" s="6"/>
      <c r="AI472" s="45"/>
      <c r="AJ472" s="45"/>
      <c r="AK472" s="40"/>
      <c r="AL472" s="40"/>
      <c r="AM472" s="40"/>
      <c r="AN472" s="45"/>
      <c r="AO472" s="40"/>
    </row>
    <row r="473" spans="2:41" ht="12.75" customHeight="1" x14ac:dyDescent="0.25">
      <c r="B473" s="40"/>
      <c r="C473" s="40"/>
      <c r="D473" s="40"/>
      <c r="E473" s="40"/>
      <c r="F473" s="40"/>
      <c r="G473" s="40"/>
      <c r="H473" s="5"/>
      <c r="Q473" s="40"/>
      <c r="R473" s="40"/>
      <c r="S473" s="40"/>
      <c r="T473" s="40"/>
      <c r="U473" s="40"/>
      <c r="W473" s="40"/>
      <c r="X473" s="40"/>
      <c r="Y473" s="40"/>
      <c r="Z473" s="41"/>
      <c r="AA473" s="41"/>
      <c r="AB473" s="41"/>
      <c r="AC473" s="41"/>
      <c r="AD473" s="41"/>
      <c r="AE473" s="40"/>
      <c r="AF473" s="45"/>
      <c r="AG473" s="5"/>
      <c r="AH473" s="6"/>
      <c r="AI473" s="45"/>
      <c r="AJ473" s="45"/>
      <c r="AK473" s="40"/>
      <c r="AL473" s="40"/>
      <c r="AM473" s="40"/>
      <c r="AN473" s="45"/>
      <c r="AO473" s="40"/>
    </row>
    <row r="474" spans="2:41" ht="12.75" customHeight="1" x14ac:dyDescent="0.25">
      <c r="B474" s="40"/>
      <c r="C474" s="40"/>
      <c r="D474" s="40"/>
      <c r="E474" s="40"/>
      <c r="F474" s="40"/>
      <c r="G474" s="40"/>
      <c r="H474" s="5"/>
      <c r="Q474" s="40"/>
      <c r="R474" s="40"/>
      <c r="S474" s="40"/>
      <c r="T474" s="40"/>
      <c r="U474" s="40"/>
      <c r="W474" s="40"/>
      <c r="X474" s="40"/>
      <c r="Y474" s="40"/>
      <c r="Z474" s="41"/>
      <c r="AA474" s="41"/>
      <c r="AB474" s="41"/>
      <c r="AC474" s="41"/>
      <c r="AD474" s="41"/>
      <c r="AE474" s="40"/>
      <c r="AF474" s="45"/>
      <c r="AG474" s="5"/>
      <c r="AH474" s="6"/>
      <c r="AI474" s="45"/>
      <c r="AJ474" s="45"/>
      <c r="AK474" s="40"/>
      <c r="AL474" s="40"/>
      <c r="AM474" s="40"/>
      <c r="AN474" s="45"/>
      <c r="AO474" s="40"/>
    </row>
    <row r="475" spans="2:41" ht="12.75" customHeight="1" x14ac:dyDescent="0.25">
      <c r="B475" s="40"/>
      <c r="C475" s="40"/>
      <c r="D475" s="40"/>
      <c r="E475" s="40"/>
      <c r="F475" s="40"/>
      <c r="G475" s="40"/>
      <c r="H475" s="5"/>
      <c r="Q475" s="40"/>
      <c r="R475" s="40"/>
      <c r="S475" s="40"/>
      <c r="T475" s="40"/>
      <c r="U475" s="40"/>
      <c r="W475" s="40"/>
      <c r="X475" s="40"/>
      <c r="Y475" s="40"/>
      <c r="Z475" s="41"/>
      <c r="AA475" s="41"/>
      <c r="AB475" s="41"/>
      <c r="AC475" s="41"/>
      <c r="AD475" s="41"/>
      <c r="AE475" s="40"/>
      <c r="AF475" s="45"/>
      <c r="AG475" s="5"/>
      <c r="AH475" s="6"/>
      <c r="AI475" s="45"/>
      <c r="AJ475" s="45"/>
      <c r="AK475" s="40"/>
      <c r="AL475" s="40"/>
      <c r="AM475" s="40"/>
      <c r="AN475" s="45"/>
      <c r="AO475" s="40"/>
    </row>
    <row r="476" spans="2:41" ht="12.75" customHeight="1" x14ac:dyDescent="0.25">
      <c r="B476" s="40"/>
      <c r="C476" s="40"/>
      <c r="D476" s="40"/>
      <c r="E476" s="40"/>
      <c r="F476" s="40"/>
      <c r="G476" s="40"/>
      <c r="H476" s="5"/>
      <c r="Q476" s="40"/>
      <c r="R476" s="40"/>
      <c r="S476" s="40"/>
      <c r="T476" s="40"/>
      <c r="U476" s="40"/>
      <c r="W476" s="40"/>
      <c r="X476" s="40"/>
      <c r="Y476" s="40"/>
      <c r="Z476" s="41"/>
      <c r="AA476" s="41"/>
      <c r="AB476" s="41"/>
      <c r="AC476" s="41"/>
      <c r="AD476" s="41"/>
      <c r="AE476" s="40"/>
      <c r="AF476" s="45"/>
      <c r="AG476" s="5"/>
      <c r="AH476" s="6"/>
      <c r="AI476" s="45"/>
      <c r="AJ476" s="45"/>
      <c r="AK476" s="40"/>
      <c r="AL476" s="40"/>
      <c r="AM476" s="40"/>
      <c r="AN476" s="45"/>
      <c r="AO476" s="40"/>
    </row>
    <row r="477" spans="2:41" ht="12.75" customHeight="1" x14ac:dyDescent="0.25">
      <c r="B477" s="40"/>
      <c r="C477" s="40"/>
      <c r="D477" s="40"/>
      <c r="E477" s="40"/>
      <c r="F477" s="40"/>
      <c r="G477" s="40"/>
      <c r="H477" s="5"/>
      <c r="Q477" s="40"/>
      <c r="R477" s="40"/>
      <c r="S477" s="40"/>
      <c r="T477" s="40"/>
      <c r="U477" s="40"/>
      <c r="W477" s="40"/>
      <c r="X477" s="40"/>
      <c r="Y477" s="40"/>
      <c r="Z477" s="41"/>
      <c r="AA477" s="41"/>
      <c r="AB477" s="41"/>
      <c r="AC477" s="41"/>
      <c r="AD477" s="41"/>
      <c r="AE477" s="40"/>
      <c r="AF477" s="45"/>
      <c r="AG477" s="5"/>
      <c r="AH477" s="6"/>
      <c r="AI477" s="45"/>
      <c r="AJ477" s="45"/>
      <c r="AK477" s="40"/>
      <c r="AL477" s="40"/>
      <c r="AM477" s="40"/>
      <c r="AN477" s="45"/>
      <c r="AO477" s="40"/>
    </row>
    <row r="478" spans="2:41" ht="12.75" customHeight="1" x14ac:dyDescent="0.25">
      <c r="B478" s="40"/>
      <c r="C478" s="40"/>
      <c r="D478" s="40"/>
      <c r="E478" s="40"/>
      <c r="F478" s="40"/>
      <c r="G478" s="40"/>
      <c r="H478" s="5"/>
      <c r="Q478" s="40"/>
      <c r="R478" s="40"/>
      <c r="S478" s="40"/>
      <c r="T478" s="40"/>
      <c r="U478" s="40"/>
      <c r="W478" s="40"/>
      <c r="X478" s="40"/>
      <c r="Y478" s="40"/>
      <c r="Z478" s="41"/>
      <c r="AA478" s="41"/>
      <c r="AB478" s="41"/>
      <c r="AC478" s="41"/>
      <c r="AD478" s="41"/>
      <c r="AE478" s="40"/>
      <c r="AF478" s="45"/>
      <c r="AG478" s="5"/>
      <c r="AH478" s="6"/>
      <c r="AI478" s="45"/>
      <c r="AJ478" s="45"/>
      <c r="AK478" s="40"/>
      <c r="AL478" s="40"/>
      <c r="AM478" s="40"/>
      <c r="AN478" s="45"/>
      <c r="AO478" s="40"/>
    </row>
    <row r="479" spans="2:41" ht="12.75" customHeight="1" x14ac:dyDescent="0.25">
      <c r="B479" s="40"/>
      <c r="C479" s="40"/>
      <c r="D479" s="40"/>
      <c r="E479" s="40"/>
      <c r="F479" s="40"/>
      <c r="G479" s="40"/>
      <c r="H479" s="5"/>
      <c r="Q479" s="40"/>
      <c r="R479" s="40"/>
      <c r="S479" s="40"/>
      <c r="T479" s="40"/>
      <c r="U479" s="40"/>
      <c r="W479" s="40"/>
      <c r="X479" s="40"/>
      <c r="Y479" s="40"/>
      <c r="Z479" s="41"/>
      <c r="AA479" s="41"/>
      <c r="AB479" s="41"/>
      <c r="AC479" s="41"/>
      <c r="AD479" s="41"/>
      <c r="AE479" s="40"/>
      <c r="AF479" s="45"/>
      <c r="AG479" s="5"/>
      <c r="AH479" s="6"/>
      <c r="AI479" s="45"/>
      <c r="AJ479" s="45"/>
      <c r="AK479" s="40"/>
      <c r="AL479" s="40"/>
      <c r="AM479" s="40"/>
      <c r="AN479" s="45"/>
      <c r="AO479" s="40"/>
    </row>
    <row r="480" spans="2:41" ht="12.75" customHeight="1" x14ac:dyDescent="0.25">
      <c r="B480" s="40"/>
      <c r="C480" s="40"/>
      <c r="D480" s="40"/>
      <c r="E480" s="40"/>
      <c r="F480" s="40"/>
      <c r="G480" s="40"/>
      <c r="H480" s="5"/>
      <c r="Q480" s="40"/>
      <c r="R480" s="40"/>
      <c r="S480" s="40"/>
      <c r="T480" s="40"/>
      <c r="U480" s="40"/>
      <c r="W480" s="40"/>
      <c r="X480" s="40"/>
      <c r="Y480" s="40"/>
      <c r="Z480" s="41"/>
      <c r="AA480" s="41"/>
      <c r="AB480" s="41"/>
      <c r="AC480" s="41"/>
      <c r="AD480" s="41"/>
      <c r="AE480" s="40"/>
      <c r="AF480" s="45"/>
      <c r="AG480" s="5"/>
      <c r="AH480" s="6"/>
      <c r="AI480" s="45"/>
      <c r="AJ480" s="45"/>
      <c r="AK480" s="40"/>
      <c r="AL480" s="40"/>
      <c r="AM480" s="40"/>
      <c r="AN480" s="45"/>
      <c r="AO480" s="40"/>
    </row>
    <row r="481" spans="2:41" ht="12.75" customHeight="1" x14ac:dyDescent="0.25">
      <c r="B481" s="40"/>
      <c r="C481" s="40"/>
      <c r="D481" s="40"/>
      <c r="E481" s="40"/>
      <c r="F481" s="40"/>
      <c r="G481" s="40"/>
      <c r="H481" s="5"/>
      <c r="Q481" s="40"/>
      <c r="R481" s="40"/>
      <c r="S481" s="40"/>
      <c r="T481" s="40"/>
      <c r="U481" s="40"/>
      <c r="W481" s="40"/>
      <c r="X481" s="40"/>
      <c r="Y481" s="40"/>
      <c r="Z481" s="41"/>
      <c r="AA481" s="41"/>
      <c r="AB481" s="41"/>
      <c r="AC481" s="41"/>
      <c r="AD481" s="41"/>
      <c r="AE481" s="40"/>
      <c r="AF481" s="45"/>
      <c r="AG481" s="5"/>
      <c r="AH481" s="6"/>
      <c r="AI481" s="45"/>
      <c r="AJ481" s="45"/>
      <c r="AK481" s="40"/>
      <c r="AL481" s="40"/>
      <c r="AM481" s="40"/>
      <c r="AN481" s="45"/>
      <c r="AO481" s="40"/>
    </row>
    <row r="482" spans="2:41" ht="12.75" customHeight="1" x14ac:dyDescent="0.25">
      <c r="B482" s="40"/>
      <c r="C482" s="40"/>
      <c r="D482" s="40"/>
      <c r="E482" s="40"/>
      <c r="F482" s="40"/>
      <c r="G482" s="40"/>
      <c r="H482" s="5"/>
      <c r="Q482" s="40"/>
      <c r="R482" s="40"/>
      <c r="S482" s="40"/>
      <c r="T482" s="40"/>
      <c r="U482" s="40"/>
      <c r="W482" s="40"/>
      <c r="X482" s="40"/>
      <c r="Y482" s="40"/>
      <c r="Z482" s="41"/>
      <c r="AA482" s="41"/>
      <c r="AB482" s="41"/>
      <c r="AC482" s="41"/>
      <c r="AD482" s="41"/>
      <c r="AE482" s="40"/>
      <c r="AF482" s="45"/>
      <c r="AG482" s="5"/>
      <c r="AH482" s="6"/>
      <c r="AI482" s="45"/>
      <c r="AJ482" s="45"/>
      <c r="AK482" s="40"/>
      <c r="AL482" s="40"/>
      <c r="AM482" s="40"/>
      <c r="AN482" s="45"/>
      <c r="AO482" s="40"/>
    </row>
    <row r="483" spans="2:41" ht="12.75" customHeight="1" x14ac:dyDescent="0.25">
      <c r="B483" s="40"/>
      <c r="C483" s="40"/>
      <c r="D483" s="40"/>
      <c r="E483" s="40"/>
      <c r="F483" s="40"/>
      <c r="G483" s="40"/>
      <c r="H483" s="5"/>
      <c r="Q483" s="40"/>
      <c r="R483" s="40"/>
      <c r="S483" s="40"/>
      <c r="T483" s="40"/>
      <c r="U483" s="40"/>
      <c r="W483" s="40"/>
      <c r="X483" s="40"/>
      <c r="Y483" s="40"/>
      <c r="Z483" s="41"/>
      <c r="AA483" s="41"/>
      <c r="AB483" s="41"/>
      <c r="AC483" s="41"/>
      <c r="AD483" s="41"/>
      <c r="AE483" s="40"/>
      <c r="AF483" s="45"/>
      <c r="AG483" s="5"/>
      <c r="AH483" s="6"/>
      <c r="AI483" s="45"/>
      <c r="AJ483" s="45"/>
      <c r="AK483" s="40"/>
      <c r="AL483" s="40"/>
      <c r="AM483" s="40"/>
      <c r="AN483" s="45"/>
      <c r="AO483" s="40"/>
    </row>
    <row r="484" spans="2:41" ht="12.75" customHeight="1" x14ac:dyDescent="0.25">
      <c r="B484" s="40"/>
      <c r="C484" s="40"/>
      <c r="D484" s="40"/>
      <c r="E484" s="40"/>
      <c r="F484" s="40"/>
      <c r="G484" s="40"/>
      <c r="H484" s="5"/>
      <c r="Q484" s="40"/>
      <c r="R484" s="40"/>
      <c r="S484" s="40"/>
      <c r="T484" s="40"/>
      <c r="U484" s="40"/>
      <c r="W484" s="40"/>
      <c r="X484" s="40"/>
      <c r="Y484" s="40"/>
      <c r="Z484" s="41"/>
      <c r="AA484" s="41"/>
      <c r="AB484" s="41"/>
      <c r="AC484" s="41"/>
      <c r="AD484" s="41"/>
      <c r="AE484" s="40"/>
      <c r="AF484" s="45"/>
      <c r="AG484" s="5"/>
      <c r="AH484" s="6"/>
      <c r="AI484" s="45"/>
      <c r="AJ484" s="45"/>
      <c r="AK484" s="40"/>
      <c r="AL484" s="40"/>
      <c r="AM484" s="40"/>
      <c r="AN484" s="45"/>
      <c r="AO484" s="40"/>
    </row>
    <row r="485" spans="2:41" ht="12.75" customHeight="1" x14ac:dyDescent="0.25">
      <c r="B485" s="40"/>
      <c r="C485" s="40"/>
      <c r="D485" s="40"/>
      <c r="E485" s="40"/>
      <c r="F485" s="40"/>
      <c r="G485" s="40"/>
      <c r="H485" s="5"/>
      <c r="Q485" s="40"/>
      <c r="R485" s="40"/>
      <c r="S485" s="40"/>
      <c r="T485" s="40"/>
      <c r="U485" s="40"/>
      <c r="W485" s="40"/>
      <c r="X485" s="40"/>
      <c r="Y485" s="40"/>
      <c r="Z485" s="41"/>
      <c r="AA485" s="41"/>
      <c r="AB485" s="41"/>
      <c r="AC485" s="41"/>
      <c r="AD485" s="41"/>
      <c r="AE485" s="40"/>
      <c r="AF485" s="45"/>
      <c r="AG485" s="5"/>
      <c r="AH485" s="6"/>
      <c r="AI485" s="45"/>
      <c r="AJ485" s="45"/>
      <c r="AK485" s="40"/>
      <c r="AL485" s="40"/>
      <c r="AM485" s="40"/>
      <c r="AN485" s="45"/>
      <c r="AO485" s="40"/>
    </row>
    <row r="486" spans="2:41" ht="12.75" customHeight="1" x14ac:dyDescent="0.25">
      <c r="B486" s="40"/>
      <c r="C486" s="40"/>
      <c r="D486" s="40"/>
      <c r="E486" s="40"/>
      <c r="F486" s="40"/>
      <c r="G486" s="40"/>
      <c r="H486" s="5"/>
      <c r="Q486" s="40"/>
      <c r="R486" s="40"/>
      <c r="S486" s="40"/>
      <c r="T486" s="40"/>
      <c r="U486" s="40"/>
      <c r="W486" s="40"/>
      <c r="X486" s="40"/>
      <c r="Y486" s="40"/>
      <c r="Z486" s="41"/>
      <c r="AA486" s="41"/>
      <c r="AB486" s="41"/>
      <c r="AC486" s="41"/>
      <c r="AD486" s="41"/>
      <c r="AE486" s="40"/>
      <c r="AF486" s="45"/>
      <c r="AG486" s="5"/>
      <c r="AH486" s="6"/>
      <c r="AI486" s="45"/>
      <c r="AJ486" s="45"/>
      <c r="AK486" s="40"/>
      <c r="AL486" s="40"/>
      <c r="AM486" s="40"/>
      <c r="AN486" s="45"/>
      <c r="AO486" s="40"/>
    </row>
    <row r="487" spans="2:41" ht="12.75" customHeight="1" x14ac:dyDescent="0.25">
      <c r="B487" s="40"/>
      <c r="C487" s="40"/>
      <c r="D487" s="40"/>
      <c r="E487" s="40"/>
      <c r="F487" s="40"/>
      <c r="G487" s="40"/>
      <c r="H487" s="5"/>
      <c r="Q487" s="40"/>
      <c r="R487" s="40"/>
      <c r="S487" s="40"/>
      <c r="T487" s="40"/>
      <c r="U487" s="40"/>
      <c r="W487" s="40"/>
      <c r="X487" s="40"/>
      <c r="Y487" s="40"/>
      <c r="Z487" s="41"/>
      <c r="AA487" s="41"/>
      <c r="AB487" s="41"/>
      <c r="AC487" s="41"/>
      <c r="AD487" s="41"/>
      <c r="AE487" s="40"/>
      <c r="AF487" s="45"/>
      <c r="AG487" s="5"/>
      <c r="AH487" s="6"/>
      <c r="AI487" s="45"/>
      <c r="AJ487" s="45"/>
      <c r="AK487" s="40"/>
      <c r="AL487" s="40"/>
      <c r="AM487" s="40"/>
      <c r="AN487" s="45"/>
      <c r="AO487" s="40"/>
    </row>
    <row r="488" spans="2:41" ht="12.75" customHeight="1" x14ac:dyDescent="0.25">
      <c r="B488" s="40"/>
      <c r="C488" s="40"/>
      <c r="D488" s="40"/>
      <c r="E488" s="40"/>
      <c r="F488" s="40"/>
      <c r="G488" s="40"/>
      <c r="H488" s="5"/>
      <c r="Q488" s="40"/>
      <c r="R488" s="40"/>
      <c r="S488" s="40"/>
      <c r="T488" s="40"/>
      <c r="U488" s="40"/>
      <c r="W488" s="40"/>
      <c r="X488" s="40"/>
      <c r="Y488" s="40"/>
      <c r="Z488" s="41"/>
      <c r="AA488" s="41"/>
      <c r="AB488" s="41"/>
      <c r="AC488" s="41"/>
      <c r="AD488" s="41"/>
      <c r="AE488" s="40"/>
      <c r="AF488" s="45"/>
      <c r="AG488" s="5"/>
      <c r="AH488" s="6"/>
      <c r="AI488" s="45"/>
      <c r="AJ488" s="45"/>
      <c r="AK488" s="40"/>
      <c r="AL488" s="40"/>
      <c r="AM488" s="40"/>
      <c r="AN488" s="45"/>
      <c r="AO488" s="40"/>
    </row>
    <row r="489" spans="2:41" ht="12.75" customHeight="1" x14ac:dyDescent="0.25">
      <c r="B489" s="40"/>
      <c r="C489" s="40"/>
      <c r="D489" s="40"/>
      <c r="E489" s="40"/>
      <c r="F489" s="40"/>
      <c r="G489" s="40"/>
      <c r="H489" s="5"/>
      <c r="Q489" s="40"/>
      <c r="R489" s="40"/>
      <c r="S489" s="40"/>
      <c r="T489" s="40"/>
      <c r="U489" s="40"/>
      <c r="W489" s="40"/>
      <c r="X489" s="40"/>
      <c r="Y489" s="40"/>
      <c r="Z489" s="41"/>
      <c r="AA489" s="41"/>
      <c r="AB489" s="41"/>
      <c r="AC489" s="41"/>
      <c r="AD489" s="41"/>
      <c r="AE489" s="40"/>
      <c r="AF489" s="45"/>
      <c r="AG489" s="5"/>
      <c r="AH489" s="6"/>
      <c r="AI489" s="45"/>
      <c r="AJ489" s="45"/>
      <c r="AK489" s="40"/>
      <c r="AL489" s="40"/>
      <c r="AM489" s="40"/>
      <c r="AN489" s="45"/>
      <c r="AO489" s="40"/>
    </row>
    <row r="490" spans="2:41" ht="12.75" customHeight="1" x14ac:dyDescent="0.25">
      <c r="B490" s="40"/>
      <c r="C490" s="40"/>
      <c r="D490" s="40"/>
      <c r="E490" s="40"/>
      <c r="F490" s="40"/>
      <c r="G490" s="40"/>
      <c r="H490" s="5"/>
      <c r="Q490" s="40"/>
      <c r="R490" s="40"/>
      <c r="S490" s="40"/>
      <c r="T490" s="40"/>
      <c r="U490" s="40"/>
      <c r="W490" s="40"/>
      <c r="X490" s="40"/>
      <c r="Y490" s="40"/>
      <c r="Z490" s="41"/>
      <c r="AA490" s="41"/>
      <c r="AB490" s="41"/>
      <c r="AC490" s="41"/>
      <c r="AD490" s="41"/>
      <c r="AE490" s="40"/>
      <c r="AF490" s="45"/>
      <c r="AG490" s="5"/>
      <c r="AH490" s="6"/>
      <c r="AI490" s="45"/>
      <c r="AJ490" s="45"/>
      <c r="AK490" s="40"/>
      <c r="AL490" s="40"/>
      <c r="AM490" s="40"/>
      <c r="AN490" s="45"/>
      <c r="AO490" s="40"/>
    </row>
    <row r="491" spans="2:41" ht="12.75" customHeight="1" x14ac:dyDescent="0.25">
      <c r="B491" s="40"/>
      <c r="C491" s="40"/>
      <c r="D491" s="40"/>
      <c r="E491" s="40"/>
      <c r="F491" s="40"/>
      <c r="G491" s="40"/>
      <c r="H491" s="5"/>
      <c r="Q491" s="40"/>
      <c r="R491" s="40"/>
      <c r="S491" s="40"/>
      <c r="T491" s="40"/>
      <c r="U491" s="40"/>
      <c r="W491" s="40"/>
      <c r="X491" s="40"/>
      <c r="Y491" s="40"/>
      <c r="Z491" s="41"/>
      <c r="AA491" s="41"/>
      <c r="AB491" s="41"/>
      <c r="AC491" s="41"/>
      <c r="AD491" s="41"/>
      <c r="AE491" s="40"/>
      <c r="AF491" s="45"/>
      <c r="AG491" s="5"/>
      <c r="AH491" s="6"/>
      <c r="AI491" s="45"/>
      <c r="AJ491" s="45"/>
      <c r="AK491" s="40"/>
      <c r="AL491" s="40"/>
      <c r="AM491" s="40"/>
      <c r="AN491" s="45"/>
      <c r="AO491" s="40"/>
    </row>
    <row r="492" spans="2:41" ht="12.75" customHeight="1" x14ac:dyDescent="0.25">
      <c r="B492" s="40"/>
      <c r="C492" s="40"/>
      <c r="D492" s="40"/>
      <c r="E492" s="40"/>
      <c r="F492" s="40"/>
      <c r="G492" s="40"/>
      <c r="H492" s="5"/>
      <c r="Q492" s="40"/>
      <c r="R492" s="40"/>
      <c r="S492" s="40"/>
      <c r="T492" s="40"/>
      <c r="U492" s="40"/>
      <c r="W492" s="40"/>
      <c r="X492" s="40"/>
      <c r="Y492" s="40"/>
      <c r="Z492" s="41"/>
      <c r="AA492" s="41"/>
      <c r="AB492" s="41"/>
      <c r="AC492" s="41"/>
      <c r="AD492" s="41"/>
      <c r="AE492" s="40"/>
      <c r="AF492" s="45"/>
      <c r="AG492" s="5"/>
      <c r="AH492" s="6"/>
      <c r="AI492" s="45"/>
      <c r="AJ492" s="45"/>
      <c r="AK492" s="40"/>
      <c r="AL492" s="40"/>
      <c r="AM492" s="40"/>
      <c r="AN492" s="45"/>
      <c r="AO492" s="40"/>
    </row>
    <row r="493" spans="2:41" ht="12.75" customHeight="1" x14ac:dyDescent="0.25">
      <c r="B493" s="40"/>
      <c r="C493" s="40"/>
      <c r="D493" s="40"/>
      <c r="E493" s="40"/>
      <c r="F493" s="40"/>
      <c r="G493" s="40"/>
      <c r="H493" s="5"/>
      <c r="Q493" s="40"/>
      <c r="R493" s="40"/>
      <c r="S493" s="40"/>
      <c r="T493" s="40"/>
      <c r="U493" s="40"/>
      <c r="W493" s="40"/>
      <c r="X493" s="40"/>
      <c r="Y493" s="40"/>
      <c r="Z493" s="41"/>
      <c r="AA493" s="41"/>
      <c r="AB493" s="41"/>
      <c r="AC493" s="41"/>
      <c r="AD493" s="41"/>
      <c r="AE493" s="40"/>
      <c r="AF493" s="45"/>
      <c r="AG493" s="5"/>
      <c r="AH493" s="6"/>
      <c r="AI493" s="45"/>
      <c r="AJ493" s="45"/>
      <c r="AK493" s="40"/>
      <c r="AL493" s="40"/>
      <c r="AM493" s="40"/>
      <c r="AN493" s="45"/>
      <c r="AO493" s="40"/>
    </row>
    <row r="494" spans="2:41" ht="12.75" customHeight="1" x14ac:dyDescent="0.25">
      <c r="B494" s="40"/>
      <c r="C494" s="40"/>
      <c r="D494" s="40"/>
      <c r="E494" s="40"/>
      <c r="F494" s="40"/>
      <c r="G494" s="40"/>
      <c r="H494" s="5"/>
      <c r="Q494" s="40"/>
      <c r="R494" s="40"/>
      <c r="S494" s="40"/>
      <c r="T494" s="40"/>
      <c r="U494" s="40"/>
      <c r="W494" s="40"/>
      <c r="X494" s="40"/>
      <c r="Y494" s="40"/>
      <c r="Z494" s="41"/>
      <c r="AA494" s="41"/>
      <c r="AB494" s="41"/>
      <c r="AC494" s="41"/>
      <c r="AD494" s="41"/>
      <c r="AE494" s="40"/>
      <c r="AF494" s="45"/>
      <c r="AG494" s="5"/>
      <c r="AH494" s="6"/>
      <c r="AI494" s="45"/>
      <c r="AJ494" s="45"/>
      <c r="AK494" s="40"/>
      <c r="AL494" s="40"/>
      <c r="AM494" s="40"/>
      <c r="AN494" s="45"/>
      <c r="AO494" s="40"/>
    </row>
    <row r="495" spans="2:41" ht="12.75" customHeight="1" x14ac:dyDescent="0.25">
      <c r="B495" s="40"/>
      <c r="C495" s="40"/>
      <c r="D495" s="40"/>
      <c r="E495" s="40"/>
      <c r="F495" s="40"/>
      <c r="G495" s="40"/>
      <c r="H495" s="5"/>
      <c r="Q495" s="40"/>
      <c r="R495" s="40"/>
      <c r="S495" s="40"/>
      <c r="T495" s="40"/>
      <c r="U495" s="40"/>
      <c r="W495" s="40"/>
      <c r="X495" s="40"/>
      <c r="Y495" s="40"/>
      <c r="Z495" s="41"/>
      <c r="AA495" s="41"/>
      <c r="AB495" s="41"/>
      <c r="AC495" s="41"/>
      <c r="AD495" s="41"/>
      <c r="AE495" s="40"/>
      <c r="AF495" s="45"/>
      <c r="AG495" s="5"/>
      <c r="AH495" s="6"/>
      <c r="AI495" s="45"/>
      <c r="AJ495" s="45"/>
      <c r="AK495" s="40"/>
      <c r="AL495" s="40"/>
      <c r="AM495" s="40"/>
      <c r="AN495" s="45"/>
      <c r="AO495" s="40"/>
    </row>
    <row r="496" spans="2:41" ht="12.75" customHeight="1" x14ac:dyDescent="0.25">
      <c r="B496" s="40"/>
      <c r="C496" s="40"/>
      <c r="D496" s="40"/>
      <c r="E496" s="40"/>
      <c r="F496" s="40"/>
      <c r="G496" s="40"/>
      <c r="H496" s="5"/>
      <c r="Q496" s="40"/>
      <c r="R496" s="40"/>
      <c r="S496" s="40"/>
      <c r="T496" s="40"/>
      <c r="U496" s="40"/>
      <c r="W496" s="40"/>
      <c r="X496" s="40"/>
      <c r="Y496" s="40"/>
      <c r="Z496" s="41"/>
      <c r="AA496" s="41"/>
      <c r="AB496" s="41"/>
      <c r="AC496" s="41"/>
      <c r="AD496" s="41"/>
      <c r="AE496" s="40"/>
      <c r="AF496" s="45"/>
      <c r="AG496" s="5"/>
      <c r="AH496" s="6"/>
      <c r="AI496" s="45"/>
      <c r="AJ496" s="45"/>
      <c r="AK496" s="40"/>
      <c r="AL496" s="40"/>
      <c r="AM496" s="40"/>
      <c r="AN496" s="45"/>
      <c r="AO496" s="40"/>
    </row>
    <row r="497" spans="2:41" ht="12.75" customHeight="1" x14ac:dyDescent="0.25">
      <c r="B497" s="40"/>
      <c r="C497" s="40"/>
      <c r="D497" s="40"/>
      <c r="E497" s="40"/>
      <c r="F497" s="40"/>
      <c r="G497" s="40"/>
      <c r="H497" s="5"/>
      <c r="Q497" s="40"/>
      <c r="R497" s="40"/>
      <c r="S497" s="40"/>
      <c r="T497" s="40"/>
      <c r="U497" s="40"/>
      <c r="W497" s="40"/>
      <c r="X497" s="40"/>
      <c r="Y497" s="40"/>
      <c r="Z497" s="41"/>
      <c r="AA497" s="41"/>
      <c r="AB497" s="41"/>
      <c r="AC497" s="41"/>
      <c r="AD497" s="41"/>
      <c r="AE497" s="40"/>
      <c r="AF497" s="45"/>
      <c r="AG497" s="5"/>
      <c r="AH497" s="6"/>
      <c r="AI497" s="45"/>
      <c r="AJ497" s="45"/>
      <c r="AK497" s="40"/>
      <c r="AL497" s="40"/>
      <c r="AM497" s="40"/>
      <c r="AN497" s="45"/>
      <c r="AO497" s="40"/>
    </row>
    <row r="498" spans="2:41" ht="12.75" customHeight="1" x14ac:dyDescent="0.25">
      <c r="B498" s="40"/>
      <c r="C498" s="40"/>
      <c r="D498" s="40"/>
      <c r="E498" s="40"/>
      <c r="F498" s="40"/>
      <c r="G498" s="40"/>
      <c r="H498" s="5"/>
      <c r="Q498" s="40"/>
      <c r="R498" s="40"/>
      <c r="S498" s="40"/>
      <c r="T498" s="40"/>
      <c r="U498" s="40"/>
      <c r="W498" s="40"/>
      <c r="X498" s="40"/>
      <c r="Y498" s="40"/>
      <c r="Z498" s="41"/>
      <c r="AA498" s="41"/>
      <c r="AB498" s="41"/>
      <c r="AC498" s="41"/>
      <c r="AD498" s="41"/>
      <c r="AE498" s="40"/>
      <c r="AF498" s="45"/>
      <c r="AG498" s="5"/>
      <c r="AH498" s="6"/>
      <c r="AI498" s="45"/>
      <c r="AJ498" s="45"/>
      <c r="AK498" s="40"/>
      <c r="AL498" s="40"/>
      <c r="AM498" s="40"/>
      <c r="AN498" s="45"/>
      <c r="AO498" s="40"/>
    </row>
    <row r="499" spans="2:41" ht="12.75" customHeight="1" x14ac:dyDescent="0.25">
      <c r="B499" s="40"/>
      <c r="C499" s="40"/>
      <c r="D499" s="40"/>
      <c r="E499" s="40"/>
      <c r="F499" s="40"/>
      <c r="G499" s="40"/>
      <c r="H499" s="5"/>
      <c r="Q499" s="40"/>
      <c r="R499" s="40"/>
      <c r="S499" s="40"/>
      <c r="T499" s="40"/>
      <c r="U499" s="40"/>
      <c r="W499" s="40"/>
      <c r="X499" s="40"/>
      <c r="Y499" s="40"/>
      <c r="Z499" s="41"/>
      <c r="AA499" s="41"/>
      <c r="AB499" s="41"/>
      <c r="AC499" s="41"/>
      <c r="AD499" s="41"/>
      <c r="AE499" s="40"/>
      <c r="AF499" s="45"/>
      <c r="AG499" s="5"/>
      <c r="AH499" s="6"/>
      <c r="AI499" s="45"/>
      <c r="AJ499" s="45"/>
      <c r="AK499" s="40"/>
      <c r="AL499" s="40"/>
      <c r="AM499" s="40"/>
      <c r="AN499" s="45"/>
      <c r="AO499" s="40"/>
    </row>
    <row r="500" spans="2:41" ht="12.75" customHeight="1" x14ac:dyDescent="0.25">
      <c r="B500" s="40"/>
      <c r="C500" s="40"/>
      <c r="D500" s="40"/>
      <c r="E500" s="40"/>
      <c r="F500" s="40"/>
      <c r="G500" s="40"/>
      <c r="H500" s="5"/>
      <c r="Q500" s="40"/>
      <c r="R500" s="40"/>
      <c r="S500" s="40"/>
      <c r="T500" s="40"/>
      <c r="U500" s="40"/>
      <c r="W500" s="40"/>
      <c r="X500" s="40"/>
      <c r="Y500" s="40"/>
      <c r="Z500" s="41"/>
      <c r="AA500" s="41"/>
      <c r="AB500" s="41"/>
      <c r="AC500" s="41"/>
      <c r="AD500" s="41"/>
      <c r="AE500" s="40"/>
      <c r="AF500" s="45"/>
      <c r="AG500" s="5"/>
      <c r="AH500" s="6"/>
      <c r="AI500" s="45"/>
      <c r="AJ500" s="45"/>
      <c r="AK500" s="40"/>
      <c r="AL500" s="40"/>
      <c r="AM500" s="40"/>
      <c r="AN500" s="45"/>
      <c r="AO500" s="40"/>
    </row>
    <row r="501" spans="2:41" ht="12.75" customHeight="1" x14ac:dyDescent="0.25">
      <c r="B501" s="40"/>
      <c r="C501" s="40"/>
      <c r="D501" s="40"/>
      <c r="E501" s="40"/>
      <c r="F501" s="40"/>
      <c r="G501" s="40"/>
      <c r="H501" s="5"/>
      <c r="Q501" s="40"/>
      <c r="R501" s="40"/>
      <c r="S501" s="40"/>
      <c r="T501" s="40"/>
      <c r="U501" s="40"/>
      <c r="W501" s="40"/>
      <c r="X501" s="40"/>
      <c r="Y501" s="40"/>
      <c r="Z501" s="41"/>
      <c r="AA501" s="41"/>
      <c r="AB501" s="41"/>
      <c r="AC501" s="41"/>
      <c r="AD501" s="41"/>
      <c r="AE501" s="40"/>
      <c r="AF501" s="45"/>
      <c r="AG501" s="5"/>
      <c r="AH501" s="6"/>
      <c r="AI501" s="45"/>
      <c r="AJ501" s="45"/>
      <c r="AK501" s="40"/>
      <c r="AL501" s="40"/>
      <c r="AM501" s="40"/>
      <c r="AN501" s="45"/>
      <c r="AO501" s="40"/>
    </row>
    <row r="502" spans="2:41" ht="12.75" customHeight="1" x14ac:dyDescent="0.25">
      <c r="B502" s="40"/>
      <c r="C502" s="40"/>
      <c r="D502" s="40"/>
      <c r="E502" s="40"/>
      <c r="F502" s="40"/>
      <c r="G502" s="40"/>
      <c r="H502" s="5"/>
      <c r="Q502" s="40"/>
      <c r="R502" s="40"/>
      <c r="S502" s="40"/>
      <c r="T502" s="40"/>
      <c r="U502" s="40"/>
      <c r="W502" s="40"/>
      <c r="X502" s="40"/>
      <c r="Y502" s="40"/>
      <c r="Z502" s="41"/>
      <c r="AA502" s="41"/>
      <c r="AB502" s="41"/>
      <c r="AC502" s="41"/>
      <c r="AD502" s="41"/>
      <c r="AE502" s="40"/>
      <c r="AF502" s="45"/>
      <c r="AG502" s="5"/>
      <c r="AH502" s="6"/>
      <c r="AI502" s="45"/>
      <c r="AJ502" s="45"/>
      <c r="AK502" s="40"/>
      <c r="AL502" s="40"/>
      <c r="AM502" s="40"/>
      <c r="AN502" s="45"/>
      <c r="AO502" s="40"/>
    </row>
    <row r="503" spans="2:41" ht="12.75" customHeight="1" x14ac:dyDescent="0.25">
      <c r="B503" s="40"/>
      <c r="C503" s="40"/>
      <c r="D503" s="40"/>
      <c r="E503" s="40"/>
      <c r="F503" s="40"/>
      <c r="G503" s="40"/>
      <c r="H503" s="5"/>
      <c r="Q503" s="40"/>
      <c r="R503" s="40"/>
      <c r="S503" s="40"/>
      <c r="T503" s="40"/>
      <c r="U503" s="40"/>
      <c r="W503" s="40"/>
      <c r="X503" s="40"/>
      <c r="Y503" s="40"/>
      <c r="Z503" s="41"/>
      <c r="AA503" s="41"/>
      <c r="AB503" s="41"/>
      <c r="AC503" s="41"/>
      <c r="AD503" s="41"/>
      <c r="AE503" s="40"/>
      <c r="AF503" s="45"/>
      <c r="AG503" s="5"/>
      <c r="AH503" s="6"/>
      <c r="AI503" s="45"/>
      <c r="AJ503" s="45"/>
      <c r="AK503" s="40"/>
      <c r="AL503" s="40"/>
      <c r="AM503" s="40"/>
      <c r="AN503" s="45"/>
      <c r="AO503" s="40"/>
    </row>
    <row r="504" spans="2:41" ht="12.75" customHeight="1" x14ac:dyDescent="0.25">
      <c r="B504" s="40"/>
      <c r="C504" s="40"/>
      <c r="D504" s="40"/>
      <c r="E504" s="40"/>
      <c r="F504" s="40"/>
      <c r="G504" s="40"/>
      <c r="H504" s="5"/>
      <c r="Q504" s="40"/>
      <c r="R504" s="40"/>
      <c r="S504" s="40"/>
      <c r="T504" s="40"/>
      <c r="U504" s="40"/>
      <c r="W504" s="40"/>
      <c r="X504" s="40"/>
      <c r="Y504" s="40"/>
      <c r="Z504" s="41"/>
      <c r="AA504" s="41"/>
      <c r="AB504" s="41"/>
      <c r="AC504" s="41"/>
      <c r="AD504" s="41"/>
      <c r="AE504" s="40"/>
      <c r="AF504" s="45"/>
      <c r="AG504" s="5"/>
      <c r="AH504" s="6"/>
      <c r="AI504" s="45"/>
      <c r="AJ504" s="45"/>
      <c r="AK504" s="40"/>
      <c r="AL504" s="40"/>
      <c r="AM504" s="40"/>
      <c r="AN504" s="45"/>
      <c r="AO504" s="40"/>
    </row>
    <row r="505" spans="2:41" ht="12.75" customHeight="1" x14ac:dyDescent="0.25">
      <c r="B505" s="40"/>
      <c r="C505" s="40"/>
      <c r="D505" s="40"/>
      <c r="E505" s="40"/>
      <c r="F505" s="40"/>
      <c r="G505" s="40"/>
      <c r="H505" s="5"/>
      <c r="Q505" s="40"/>
      <c r="R505" s="40"/>
      <c r="S505" s="40"/>
      <c r="T505" s="40"/>
      <c r="U505" s="40"/>
      <c r="W505" s="40"/>
      <c r="X505" s="40"/>
      <c r="Y505" s="40"/>
      <c r="Z505" s="41"/>
      <c r="AA505" s="41"/>
      <c r="AB505" s="41"/>
      <c r="AC505" s="41"/>
      <c r="AD505" s="41"/>
      <c r="AE505" s="40"/>
      <c r="AF505" s="45"/>
      <c r="AG505" s="5"/>
      <c r="AH505" s="6"/>
      <c r="AI505" s="45"/>
      <c r="AJ505" s="45"/>
      <c r="AK505" s="40"/>
      <c r="AL505" s="40"/>
      <c r="AM505" s="40"/>
      <c r="AN505" s="45"/>
      <c r="AO505" s="40"/>
    </row>
    <row r="506" spans="2:41" ht="12.75" customHeight="1" x14ac:dyDescent="0.25">
      <c r="B506" s="40"/>
      <c r="C506" s="40"/>
      <c r="D506" s="40"/>
      <c r="E506" s="40"/>
      <c r="F506" s="40"/>
      <c r="G506" s="40"/>
      <c r="H506" s="5"/>
      <c r="Q506" s="40"/>
      <c r="R506" s="40"/>
      <c r="S506" s="40"/>
      <c r="T506" s="40"/>
      <c r="U506" s="40"/>
      <c r="W506" s="40"/>
      <c r="X506" s="40"/>
      <c r="Y506" s="40"/>
      <c r="Z506" s="41"/>
      <c r="AA506" s="41"/>
      <c r="AB506" s="41"/>
      <c r="AC506" s="41"/>
      <c r="AD506" s="41"/>
      <c r="AE506" s="40"/>
      <c r="AF506" s="45"/>
      <c r="AG506" s="5"/>
      <c r="AH506" s="6"/>
      <c r="AI506" s="45"/>
      <c r="AJ506" s="45"/>
      <c r="AK506" s="40"/>
      <c r="AL506" s="40"/>
      <c r="AM506" s="40"/>
      <c r="AN506" s="45"/>
      <c r="AO506" s="40"/>
    </row>
    <row r="507" spans="2:41" ht="12.75" customHeight="1" x14ac:dyDescent="0.25">
      <c r="B507" s="40"/>
      <c r="C507" s="40"/>
      <c r="D507" s="40"/>
      <c r="E507" s="40"/>
      <c r="F507" s="40"/>
      <c r="G507" s="40"/>
      <c r="H507" s="5"/>
      <c r="Q507" s="40"/>
      <c r="R507" s="40"/>
      <c r="S507" s="40"/>
      <c r="T507" s="40"/>
      <c r="U507" s="40"/>
      <c r="W507" s="40"/>
      <c r="X507" s="40"/>
      <c r="Y507" s="40"/>
      <c r="Z507" s="41"/>
      <c r="AA507" s="41"/>
      <c r="AB507" s="41"/>
      <c r="AC507" s="41"/>
      <c r="AD507" s="41"/>
      <c r="AE507" s="40"/>
      <c r="AF507" s="45"/>
      <c r="AG507" s="5"/>
      <c r="AH507" s="6"/>
      <c r="AI507" s="45"/>
      <c r="AJ507" s="45"/>
      <c r="AK507" s="40"/>
      <c r="AL507" s="40"/>
      <c r="AM507" s="40"/>
      <c r="AN507" s="45"/>
      <c r="AO507" s="40"/>
    </row>
    <row r="508" spans="2:41" ht="12.75" customHeight="1" x14ac:dyDescent="0.25">
      <c r="B508" s="40"/>
      <c r="C508" s="40"/>
      <c r="D508" s="40"/>
      <c r="E508" s="40"/>
      <c r="F508" s="40"/>
      <c r="G508" s="40"/>
      <c r="H508" s="5"/>
      <c r="Q508" s="40"/>
      <c r="R508" s="40"/>
      <c r="S508" s="40"/>
      <c r="T508" s="40"/>
      <c r="U508" s="40"/>
      <c r="W508" s="40"/>
      <c r="X508" s="40"/>
      <c r="Y508" s="40"/>
      <c r="Z508" s="41"/>
      <c r="AA508" s="41"/>
      <c r="AB508" s="41"/>
      <c r="AC508" s="41"/>
      <c r="AD508" s="41"/>
      <c r="AE508" s="40"/>
      <c r="AF508" s="45"/>
      <c r="AG508" s="5"/>
      <c r="AH508" s="6"/>
      <c r="AI508" s="45"/>
      <c r="AJ508" s="45"/>
      <c r="AK508" s="40"/>
      <c r="AL508" s="40"/>
      <c r="AM508" s="40"/>
      <c r="AN508" s="45"/>
      <c r="AO508" s="40"/>
    </row>
    <row r="509" spans="2:41" ht="12.75" customHeight="1" x14ac:dyDescent="0.25">
      <c r="B509" s="40"/>
      <c r="C509" s="40"/>
      <c r="D509" s="40"/>
      <c r="E509" s="40"/>
      <c r="F509" s="40"/>
      <c r="G509" s="40"/>
      <c r="H509" s="5"/>
      <c r="Q509" s="40"/>
      <c r="R509" s="40"/>
      <c r="S509" s="40"/>
      <c r="T509" s="40"/>
      <c r="U509" s="40"/>
      <c r="W509" s="40"/>
      <c r="X509" s="40"/>
      <c r="Y509" s="40"/>
      <c r="Z509" s="41"/>
      <c r="AA509" s="41"/>
      <c r="AB509" s="41"/>
      <c r="AC509" s="41"/>
      <c r="AD509" s="41"/>
      <c r="AE509" s="40"/>
      <c r="AF509" s="45"/>
      <c r="AG509" s="5"/>
      <c r="AH509" s="6"/>
      <c r="AI509" s="45"/>
      <c r="AJ509" s="45"/>
      <c r="AK509" s="40"/>
      <c r="AL509" s="40"/>
      <c r="AM509" s="40"/>
      <c r="AN509" s="45"/>
      <c r="AO509" s="40"/>
    </row>
    <row r="510" spans="2:41" ht="12.75" customHeight="1" x14ac:dyDescent="0.25">
      <c r="B510" s="40"/>
      <c r="C510" s="40"/>
      <c r="D510" s="40"/>
      <c r="E510" s="40"/>
      <c r="F510" s="40"/>
      <c r="G510" s="40"/>
      <c r="H510" s="5"/>
      <c r="Q510" s="40"/>
      <c r="R510" s="40"/>
      <c r="S510" s="40"/>
      <c r="T510" s="40"/>
      <c r="U510" s="40"/>
      <c r="W510" s="40"/>
      <c r="X510" s="40"/>
      <c r="Y510" s="40"/>
      <c r="Z510" s="41"/>
      <c r="AA510" s="41"/>
      <c r="AB510" s="41"/>
      <c r="AC510" s="41"/>
      <c r="AD510" s="41"/>
      <c r="AE510" s="40"/>
      <c r="AF510" s="45"/>
      <c r="AG510" s="5"/>
      <c r="AH510" s="6"/>
      <c r="AI510" s="45"/>
      <c r="AJ510" s="45"/>
      <c r="AK510" s="40"/>
      <c r="AL510" s="40"/>
      <c r="AM510" s="40"/>
      <c r="AN510" s="45"/>
      <c r="AO510" s="40"/>
    </row>
    <row r="511" spans="2:41" ht="12.75" customHeight="1" x14ac:dyDescent="0.25">
      <c r="B511" s="40"/>
      <c r="C511" s="40"/>
      <c r="D511" s="40"/>
      <c r="E511" s="40"/>
      <c r="F511" s="40"/>
      <c r="G511" s="40"/>
      <c r="H511" s="5"/>
      <c r="Q511" s="40"/>
      <c r="R511" s="40"/>
      <c r="S511" s="40"/>
      <c r="T511" s="40"/>
      <c r="U511" s="40"/>
      <c r="W511" s="40"/>
      <c r="X511" s="40"/>
      <c r="Y511" s="40"/>
      <c r="Z511" s="41"/>
      <c r="AA511" s="41"/>
      <c r="AB511" s="41"/>
      <c r="AC511" s="41"/>
      <c r="AD511" s="41"/>
      <c r="AE511" s="40"/>
      <c r="AF511" s="45"/>
      <c r="AG511" s="5"/>
      <c r="AH511" s="6"/>
      <c r="AI511" s="45"/>
      <c r="AJ511" s="45"/>
      <c r="AK511" s="40"/>
      <c r="AL511" s="40"/>
      <c r="AM511" s="40"/>
      <c r="AN511" s="45"/>
      <c r="AO511" s="40"/>
    </row>
    <row r="512" spans="2:41" ht="12.75" customHeight="1" x14ac:dyDescent="0.25">
      <c r="B512" s="40"/>
      <c r="C512" s="40"/>
      <c r="D512" s="40"/>
      <c r="E512" s="40"/>
      <c r="F512" s="40"/>
      <c r="G512" s="40"/>
      <c r="H512" s="5"/>
      <c r="Q512" s="40"/>
      <c r="R512" s="40"/>
      <c r="S512" s="40"/>
      <c r="T512" s="40"/>
      <c r="U512" s="40"/>
      <c r="W512" s="40"/>
      <c r="X512" s="40"/>
      <c r="Y512" s="40"/>
      <c r="Z512" s="41"/>
      <c r="AA512" s="41"/>
      <c r="AB512" s="41"/>
      <c r="AC512" s="41"/>
      <c r="AD512" s="41"/>
      <c r="AE512" s="40"/>
      <c r="AF512" s="45"/>
      <c r="AG512" s="5"/>
      <c r="AH512" s="6"/>
      <c r="AI512" s="45"/>
      <c r="AJ512" s="45"/>
      <c r="AK512" s="40"/>
      <c r="AL512" s="40"/>
      <c r="AM512" s="40"/>
      <c r="AN512" s="45"/>
      <c r="AO512" s="40"/>
    </row>
    <row r="513" spans="2:41" ht="12.75" customHeight="1" x14ac:dyDescent="0.25">
      <c r="B513" s="40"/>
      <c r="C513" s="40"/>
      <c r="D513" s="40"/>
      <c r="E513" s="40"/>
      <c r="F513" s="40"/>
      <c r="G513" s="40"/>
      <c r="H513" s="5"/>
      <c r="Q513" s="40"/>
      <c r="R513" s="40"/>
      <c r="S513" s="40"/>
      <c r="T513" s="40"/>
      <c r="U513" s="40"/>
      <c r="W513" s="40"/>
      <c r="X513" s="40"/>
      <c r="Y513" s="40"/>
      <c r="Z513" s="41"/>
      <c r="AA513" s="41"/>
      <c r="AB513" s="41"/>
      <c r="AC513" s="41"/>
      <c r="AD513" s="41"/>
      <c r="AE513" s="40"/>
      <c r="AF513" s="45"/>
      <c r="AG513" s="5"/>
      <c r="AH513" s="6"/>
      <c r="AI513" s="45"/>
      <c r="AJ513" s="45"/>
      <c r="AK513" s="40"/>
      <c r="AL513" s="40"/>
      <c r="AM513" s="40"/>
      <c r="AN513" s="45"/>
      <c r="AO513" s="40"/>
    </row>
    <row r="514" spans="2:41" ht="12.75" customHeight="1" x14ac:dyDescent="0.25">
      <c r="B514" s="40"/>
      <c r="C514" s="40"/>
      <c r="D514" s="40"/>
      <c r="E514" s="40"/>
      <c r="F514" s="40"/>
      <c r="G514" s="40"/>
      <c r="H514" s="5"/>
      <c r="Q514" s="40"/>
      <c r="R514" s="40"/>
      <c r="S514" s="40"/>
      <c r="T514" s="40"/>
      <c r="U514" s="40"/>
      <c r="W514" s="40"/>
      <c r="X514" s="40"/>
      <c r="Y514" s="40"/>
      <c r="Z514" s="41"/>
      <c r="AA514" s="41"/>
      <c r="AB514" s="41"/>
      <c r="AC514" s="41"/>
      <c r="AD514" s="41"/>
      <c r="AE514" s="40"/>
      <c r="AF514" s="45"/>
      <c r="AG514" s="5"/>
      <c r="AH514" s="6"/>
      <c r="AI514" s="45"/>
      <c r="AJ514" s="45"/>
      <c r="AK514" s="40"/>
      <c r="AL514" s="40"/>
      <c r="AM514" s="40"/>
      <c r="AN514" s="45"/>
      <c r="AO514" s="40"/>
    </row>
    <row r="515" spans="2:41" ht="12.75" customHeight="1" x14ac:dyDescent="0.25">
      <c r="B515" s="40"/>
      <c r="C515" s="40"/>
      <c r="D515" s="40"/>
      <c r="E515" s="40"/>
      <c r="F515" s="40"/>
      <c r="G515" s="40"/>
      <c r="H515" s="5"/>
      <c r="Q515" s="40"/>
      <c r="R515" s="40"/>
      <c r="S515" s="40"/>
      <c r="T515" s="40"/>
      <c r="U515" s="40"/>
      <c r="W515" s="40"/>
      <c r="X515" s="40"/>
      <c r="Y515" s="40"/>
      <c r="Z515" s="41"/>
      <c r="AA515" s="41"/>
      <c r="AB515" s="41"/>
      <c r="AC515" s="41"/>
      <c r="AD515" s="41"/>
      <c r="AE515" s="40"/>
      <c r="AF515" s="45"/>
      <c r="AG515" s="5"/>
      <c r="AH515" s="6"/>
      <c r="AI515" s="45"/>
      <c r="AJ515" s="45"/>
      <c r="AK515" s="40"/>
      <c r="AL515" s="40"/>
      <c r="AM515" s="40"/>
      <c r="AN515" s="45"/>
      <c r="AO515" s="40"/>
    </row>
    <row r="516" spans="2:41" ht="12.75" customHeight="1" x14ac:dyDescent="0.25">
      <c r="B516" s="40"/>
      <c r="C516" s="40"/>
      <c r="D516" s="40"/>
      <c r="E516" s="40"/>
      <c r="F516" s="40"/>
      <c r="G516" s="40"/>
      <c r="H516" s="5"/>
      <c r="Q516" s="40"/>
      <c r="R516" s="40"/>
      <c r="S516" s="40"/>
      <c r="T516" s="40"/>
      <c r="U516" s="40"/>
      <c r="W516" s="40"/>
      <c r="X516" s="40"/>
      <c r="Y516" s="40"/>
      <c r="Z516" s="41"/>
      <c r="AA516" s="41"/>
      <c r="AB516" s="41"/>
      <c r="AC516" s="41"/>
      <c r="AD516" s="41"/>
      <c r="AE516" s="40"/>
      <c r="AF516" s="45"/>
      <c r="AG516" s="5"/>
      <c r="AH516" s="6"/>
      <c r="AI516" s="45"/>
      <c r="AJ516" s="45"/>
      <c r="AK516" s="40"/>
      <c r="AL516" s="40"/>
      <c r="AM516" s="40"/>
      <c r="AN516" s="45"/>
      <c r="AO516" s="40"/>
    </row>
    <row r="517" spans="2:41" ht="12.75" customHeight="1" x14ac:dyDescent="0.25">
      <c r="B517" s="40"/>
      <c r="C517" s="40"/>
      <c r="D517" s="40"/>
      <c r="E517" s="40"/>
      <c r="F517" s="40"/>
      <c r="G517" s="40"/>
      <c r="H517" s="5"/>
      <c r="Q517" s="40"/>
      <c r="R517" s="40"/>
      <c r="S517" s="40"/>
      <c r="T517" s="40"/>
      <c r="U517" s="40"/>
      <c r="W517" s="40"/>
      <c r="X517" s="40"/>
      <c r="Y517" s="40"/>
      <c r="Z517" s="41"/>
      <c r="AA517" s="41"/>
      <c r="AB517" s="41"/>
      <c r="AC517" s="41"/>
      <c r="AD517" s="41"/>
      <c r="AE517" s="40"/>
      <c r="AF517" s="45"/>
      <c r="AG517" s="5"/>
      <c r="AH517" s="6"/>
      <c r="AI517" s="45"/>
      <c r="AJ517" s="45"/>
      <c r="AK517" s="40"/>
      <c r="AL517" s="40"/>
      <c r="AM517" s="40"/>
      <c r="AN517" s="45"/>
      <c r="AO517" s="40"/>
    </row>
    <row r="518" spans="2:41" ht="12.75" customHeight="1" x14ac:dyDescent="0.25">
      <c r="B518" s="40"/>
      <c r="C518" s="40"/>
      <c r="D518" s="40"/>
      <c r="E518" s="40"/>
      <c r="F518" s="40"/>
      <c r="G518" s="40"/>
      <c r="H518" s="5"/>
      <c r="Q518" s="40"/>
      <c r="R518" s="40"/>
      <c r="S518" s="40"/>
      <c r="T518" s="40"/>
      <c r="U518" s="40"/>
      <c r="W518" s="40"/>
      <c r="X518" s="40"/>
      <c r="Y518" s="40"/>
      <c r="Z518" s="41"/>
      <c r="AA518" s="41"/>
      <c r="AB518" s="41"/>
      <c r="AC518" s="41"/>
      <c r="AD518" s="41"/>
      <c r="AE518" s="40"/>
      <c r="AF518" s="45"/>
      <c r="AG518" s="5"/>
      <c r="AH518" s="6"/>
      <c r="AI518" s="45"/>
      <c r="AJ518" s="45"/>
      <c r="AK518" s="40"/>
      <c r="AL518" s="40"/>
      <c r="AM518" s="40"/>
      <c r="AN518" s="45"/>
      <c r="AO518" s="40"/>
    </row>
    <row r="519" spans="2:41" ht="12.75" customHeight="1" x14ac:dyDescent="0.25">
      <c r="B519" s="40"/>
      <c r="C519" s="40"/>
      <c r="D519" s="40"/>
      <c r="E519" s="40"/>
      <c r="F519" s="40"/>
      <c r="G519" s="40"/>
      <c r="H519" s="5"/>
      <c r="Q519" s="40"/>
      <c r="R519" s="40"/>
      <c r="S519" s="40"/>
      <c r="T519" s="40"/>
      <c r="U519" s="40"/>
      <c r="W519" s="40"/>
      <c r="X519" s="40"/>
      <c r="Y519" s="40"/>
      <c r="Z519" s="41"/>
      <c r="AA519" s="41"/>
      <c r="AB519" s="41"/>
      <c r="AC519" s="41"/>
      <c r="AD519" s="41"/>
      <c r="AE519" s="40"/>
      <c r="AF519" s="45"/>
      <c r="AG519" s="5"/>
      <c r="AH519" s="6"/>
      <c r="AI519" s="45"/>
      <c r="AJ519" s="45"/>
      <c r="AK519" s="40"/>
      <c r="AL519" s="40"/>
      <c r="AM519" s="40"/>
      <c r="AN519" s="45"/>
      <c r="AO519" s="40"/>
    </row>
    <row r="520" spans="2:41" ht="12.75" customHeight="1" x14ac:dyDescent="0.25">
      <c r="B520" s="40"/>
      <c r="C520" s="40"/>
      <c r="D520" s="40"/>
      <c r="E520" s="40"/>
      <c r="F520" s="40"/>
      <c r="G520" s="40"/>
      <c r="H520" s="5"/>
      <c r="Q520" s="40"/>
      <c r="R520" s="40"/>
      <c r="S520" s="40"/>
      <c r="T520" s="40"/>
      <c r="U520" s="40"/>
      <c r="W520" s="40"/>
      <c r="X520" s="40"/>
      <c r="Y520" s="40"/>
      <c r="Z520" s="41"/>
      <c r="AA520" s="41"/>
      <c r="AB520" s="41"/>
      <c r="AC520" s="41"/>
      <c r="AD520" s="41"/>
      <c r="AE520" s="40"/>
      <c r="AF520" s="45"/>
      <c r="AG520" s="5"/>
      <c r="AH520" s="6"/>
      <c r="AI520" s="45"/>
      <c r="AJ520" s="45"/>
      <c r="AK520" s="40"/>
      <c r="AL520" s="40"/>
      <c r="AM520" s="40"/>
      <c r="AN520" s="45"/>
      <c r="AO520" s="40"/>
    </row>
    <row r="521" spans="2:41" ht="12.75" customHeight="1" x14ac:dyDescent="0.25">
      <c r="B521" s="40"/>
      <c r="C521" s="40"/>
      <c r="D521" s="40"/>
      <c r="E521" s="40"/>
      <c r="F521" s="40"/>
      <c r="G521" s="40"/>
      <c r="H521" s="5"/>
      <c r="Q521" s="40"/>
      <c r="R521" s="40"/>
      <c r="S521" s="40"/>
      <c r="T521" s="40"/>
      <c r="U521" s="40"/>
      <c r="W521" s="40"/>
      <c r="X521" s="40"/>
      <c r="Y521" s="40"/>
      <c r="Z521" s="41"/>
      <c r="AA521" s="41"/>
      <c r="AB521" s="41"/>
      <c r="AC521" s="41"/>
      <c r="AD521" s="41"/>
      <c r="AE521" s="40"/>
      <c r="AF521" s="45"/>
      <c r="AG521" s="5"/>
      <c r="AH521" s="6"/>
      <c r="AI521" s="45"/>
      <c r="AJ521" s="45"/>
      <c r="AK521" s="40"/>
      <c r="AL521" s="40"/>
      <c r="AM521" s="40"/>
      <c r="AN521" s="45"/>
      <c r="AO521" s="40"/>
    </row>
    <row r="522" spans="2:41" ht="12.75" customHeight="1" x14ac:dyDescent="0.25">
      <c r="B522" s="40"/>
      <c r="C522" s="40"/>
      <c r="D522" s="40"/>
      <c r="E522" s="40"/>
      <c r="F522" s="40"/>
      <c r="G522" s="40"/>
      <c r="H522" s="5"/>
      <c r="Q522" s="40"/>
      <c r="R522" s="40"/>
      <c r="S522" s="40"/>
      <c r="T522" s="40"/>
      <c r="U522" s="40"/>
      <c r="W522" s="40"/>
      <c r="X522" s="40"/>
      <c r="Y522" s="40"/>
      <c r="Z522" s="41"/>
      <c r="AA522" s="41"/>
      <c r="AB522" s="41"/>
      <c r="AC522" s="41"/>
      <c r="AD522" s="41"/>
      <c r="AE522" s="40"/>
      <c r="AF522" s="45"/>
      <c r="AG522" s="5"/>
      <c r="AH522" s="6"/>
      <c r="AI522" s="45"/>
      <c r="AJ522" s="45"/>
      <c r="AK522" s="40"/>
      <c r="AL522" s="40"/>
      <c r="AM522" s="40"/>
      <c r="AN522" s="45"/>
      <c r="AO522" s="40"/>
    </row>
    <row r="523" spans="2:41" ht="12.75" customHeight="1" x14ac:dyDescent="0.25">
      <c r="B523" s="40"/>
      <c r="C523" s="40"/>
      <c r="D523" s="40"/>
      <c r="E523" s="40"/>
      <c r="F523" s="40"/>
      <c r="G523" s="40"/>
      <c r="H523" s="5"/>
      <c r="Q523" s="40"/>
      <c r="R523" s="40"/>
      <c r="S523" s="40"/>
      <c r="T523" s="40"/>
      <c r="U523" s="40"/>
      <c r="W523" s="40"/>
      <c r="X523" s="40"/>
      <c r="Y523" s="40"/>
      <c r="Z523" s="41"/>
      <c r="AA523" s="41"/>
      <c r="AB523" s="41"/>
      <c r="AC523" s="41"/>
      <c r="AD523" s="41"/>
      <c r="AE523" s="40"/>
      <c r="AF523" s="45"/>
      <c r="AG523" s="5"/>
      <c r="AH523" s="6"/>
      <c r="AI523" s="45"/>
      <c r="AJ523" s="45"/>
      <c r="AK523" s="40"/>
      <c r="AL523" s="40"/>
      <c r="AM523" s="40"/>
      <c r="AN523" s="45"/>
      <c r="AO523" s="40"/>
    </row>
    <row r="524" spans="2:41" ht="12.75" customHeight="1" x14ac:dyDescent="0.25">
      <c r="B524" s="40"/>
      <c r="C524" s="40"/>
      <c r="D524" s="40"/>
      <c r="E524" s="40"/>
      <c r="F524" s="40"/>
      <c r="G524" s="40"/>
      <c r="H524" s="5"/>
      <c r="Q524" s="40"/>
      <c r="R524" s="40"/>
      <c r="S524" s="40"/>
      <c r="T524" s="40"/>
      <c r="U524" s="40"/>
      <c r="W524" s="40"/>
      <c r="X524" s="40"/>
      <c r="Y524" s="40"/>
      <c r="Z524" s="41"/>
      <c r="AA524" s="41"/>
      <c r="AB524" s="41"/>
      <c r="AC524" s="41"/>
      <c r="AD524" s="41"/>
      <c r="AE524" s="40"/>
      <c r="AF524" s="45"/>
      <c r="AG524" s="5"/>
      <c r="AH524" s="6"/>
      <c r="AI524" s="45"/>
      <c r="AJ524" s="45"/>
      <c r="AK524" s="40"/>
      <c r="AL524" s="40"/>
      <c r="AM524" s="40"/>
      <c r="AN524" s="45"/>
      <c r="AO524" s="40"/>
    </row>
    <row r="525" spans="2:41" ht="12.75" customHeight="1" x14ac:dyDescent="0.25">
      <c r="B525" s="40"/>
      <c r="C525" s="40"/>
      <c r="D525" s="40"/>
      <c r="E525" s="40"/>
      <c r="F525" s="40"/>
      <c r="G525" s="40"/>
      <c r="H525" s="5"/>
      <c r="Q525" s="40"/>
      <c r="R525" s="40"/>
      <c r="S525" s="40"/>
      <c r="T525" s="40"/>
      <c r="U525" s="40"/>
      <c r="W525" s="40"/>
      <c r="X525" s="40"/>
      <c r="Y525" s="40"/>
      <c r="Z525" s="41"/>
      <c r="AA525" s="41"/>
      <c r="AB525" s="41"/>
      <c r="AC525" s="41"/>
      <c r="AD525" s="41"/>
      <c r="AE525" s="40"/>
      <c r="AF525" s="45"/>
      <c r="AG525" s="5"/>
      <c r="AH525" s="6"/>
      <c r="AI525" s="45"/>
      <c r="AJ525" s="45"/>
      <c r="AK525" s="40"/>
      <c r="AL525" s="40"/>
      <c r="AM525" s="40"/>
      <c r="AN525" s="45"/>
      <c r="AO525" s="40"/>
    </row>
    <row r="526" spans="2:41" ht="12.75" customHeight="1" x14ac:dyDescent="0.25">
      <c r="B526" s="40"/>
      <c r="C526" s="40"/>
      <c r="D526" s="40"/>
      <c r="E526" s="40"/>
      <c r="F526" s="40"/>
      <c r="G526" s="40"/>
      <c r="H526" s="5"/>
      <c r="Q526" s="40"/>
      <c r="R526" s="40"/>
      <c r="S526" s="40"/>
      <c r="T526" s="40"/>
      <c r="U526" s="40"/>
      <c r="W526" s="40"/>
      <c r="X526" s="40"/>
      <c r="Y526" s="40"/>
      <c r="Z526" s="41"/>
      <c r="AA526" s="41"/>
      <c r="AB526" s="41"/>
      <c r="AC526" s="41"/>
      <c r="AD526" s="41"/>
      <c r="AE526" s="40"/>
      <c r="AF526" s="45"/>
      <c r="AG526" s="5"/>
      <c r="AH526" s="6"/>
      <c r="AI526" s="45"/>
      <c r="AJ526" s="45"/>
      <c r="AK526" s="40"/>
      <c r="AL526" s="40"/>
      <c r="AM526" s="40"/>
      <c r="AN526" s="45"/>
      <c r="AO526" s="40"/>
    </row>
    <row r="527" spans="2:41" ht="12.75" customHeight="1" x14ac:dyDescent="0.25">
      <c r="B527" s="40"/>
      <c r="C527" s="40"/>
      <c r="D527" s="40"/>
      <c r="E527" s="40"/>
      <c r="F527" s="40"/>
      <c r="G527" s="40"/>
      <c r="H527" s="5"/>
      <c r="Q527" s="40"/>
      <c r="R527" s="40"/>
      <c r="S527" s="40"/>
      <c r="T527" s="40"/>
      <c r="U527" s="40"/>
      <c r="W527" s="40"/>
      <c r="X527" s="40"/>
      <c r="Y527" s="40"/>
      <c r="Z527" s="41"/>
      <c r="AA527" s="41"/>
      <c r="AB527" s="41"/>
      <c r="AC527" s="41"/>
      <c r="AD527" s="41"/>
      <c r="AE527" s="40"/>
      <c r="AF527" s="45"/>
      <c r="AG527" s="5"/>
      <c r="AH527" s="6"/>
      <c r="AI527" s="45"/>
      <c r="AJ527" s="45"/>
      <c r="AK527" s="40"/>
      <c r="AL527" s="40"/>
      <c r="AM527" s="40"/>
      <c r="AN527" s="45"/>
      <c r="AO527" s="40"/>
    </row>
    <row r="528" spans="2:41" ht="12.75" customHeight="1" x14ac:dyDescent="0.25">
      <c r="B528" s="40"/>
      <c r="C528" s="40"/>
      <c r="D528" s="40"/>
      <c r="E528" s="40"/>
      <c r="F528" s="40"/>
      <c r="G528" s="40"/>
      <c r="H528" s="5"/>
      <c r="Q528" s="40"/>
      <c r="R528" s="40"/>
      <c r="S528" s="40"/>
      <c r="T528" s="40"/>
      <c r="U528" s="40"/>
      <c r="W528" s="40"/>
      <c r="X528" s="40"/>
      <c r="Y528" s="40"/>
      <c r="Z528" s="41"/>
      <c r="AA528" s="41"/>
      <c r="AB528" s="41"/>
      <c r="AC528" s="41"/>
      <c r="AD528" s="41"/>
      <c r="AE528" s="40"/>
      <c r="AF528" s="45"/>
      <c r="AG528" s="5"/>
      <c r="AH528" s="6"/>
      <c r="AI528" s="45"/>
      <c r="AJ528" s="45"/>
      <c r="AK528" s="40"/>
      <c r="AL528" s="40"/>
      <c r="AM528" s="40"/>
      <c r="AN528" s="45"/>
      <c r="AO528" s="40"/>
    </row>
    <row r="529" spans="2:41" ht="12.75" customHeight="1" x14ac:dyDescent="0.25">
      <c r="B529" s="40"/>
      <c r="C529" s="40"/>
      <c r="D529" s="40"/>
      <c r="E529" s="40"/>
      <c r="F529" s="40"/>
      <c r="G529" s="40"/>
      <c r="H529" s="5"/>
      <c r="Q529" s="40"/>
      <c r="R529" s="40"/>
      <c r="S529" s="40"/>
      <c r="T529" s="40"/>
      <c r="U529" s="40"/>
      <c r="W529" s="40"/>
      <c r="X529" s="40"/>
      <c r="Y529" s="40"/>
      <c r="Z529" s="41"/>
      <c r="AA529" s="41"/>
      <c r="AB529" s="41"/>
      <c r="AC529" s="41"/>
      <c r="AD529" s="41"/>
      <c r="AE529" s="40"/>
      <c r="AF529" s="45"/>
      <c r="AG529" s="5"/>
      <c r="AH529" s="6"/>
      <c r="AI529" s="45"/>
      <c r="AJ529" s="45"/>
      <c r="AK529" s="40"/>
      <c r="AL529" s="40"/>
      <c r="AM529" s="40"/>
      <c r="AN529" s="45"/>
      <c r="AO529" s="40"/>
    </row>
    <row r="530" spans="2:41" ht="12.75" customHeight="1" x14ac:dyDescent="0.25">
      <c r="B530" s="40"/>
      <c r="C530" s="40"/>
      <c r="D530" s="40"/>
      <c r="E530" s="40"/>
      <c r="F530" s="40"/>
      <c r="G530" s="40"/>
      <c r="H530" s="5"/>
      <c r="Q530" s="40"/>
      <c r="R530" s="40"/>
      <c r="S530" s="40"/>
      <c r="T530" s="40"/>
      <c r="U530" s="40"/>
      <c r="W530" s="40"/>
      <c r="X530" s="40"/>
      <c r="Y530" s="40"/>
      <c r="Z530" s="41"/>
      <c r="AA530" s="41"/>
      <c r="AB530" s="41"/>
      <c r="AC530" s="41"/>
      <c r="AD530" s="41"/>
      <c r="AE530" s="40"/>
      <c r="AF530" s="45"/>
      <c r="AG530" s="5"/>
      <c r="AH530" s="6"/>
      <c r="AI530" s="45"/>
      <c r="AJ530" s="45"/>
      <c r="AK530" s="40"/>
      <c r="AL530" s="40"/>
      <c r="AM530" s="40"/>
      <c r="AN530" s="45"/>
      <c r="AO530" s="40"/>
    </row>
    <row r="531" spans="2:41" ht="12.75" customHeight="1" x14ac:dyDescent="0.25">
      <c r="B531" s="40"/>
      <c r="C531" s="40"/>
      <c r="D531" s="40"/>
      <c r="E531" s="40"/>
      <c r="F531" s="40"/>
      <c r="G531" s="40"/>
      <c r="H531" s="5"/>
      <c r="Q531" s="40"/>
      <c r="R531" s="40"/>
      <c r="S531" s="40"/>
      <c r="T531" s="40"/>
      <c r="U531" s="40"/>
      <c r="W531" s="40"/>
      <c r="X531" s="40"/>
      <c r="Y531" s="40"/>
      <c r="Z531" s="41"/>
      <c r="AA531" s="41"/>
      <c r="AB531" s="41"/>
      <c r="AC531" s="41"/>
      <c r="AD531" s="41"/>
      <c r="AE531" s="40"/>
      <c r="AF531" s="45"/>
      <c r="AG531" s="5"/>
      <c r="AH531" s="6"/>
      <c r="AI531" s="45"/>
      <c r="AJ531" s="45"/>
      <c r="AK531" s="40"/>
      <c r="AL531" s="40"/>
      <c r="AM531" s="40"/>
      <c r="AN531" s="45"/>
      <c r="AO531" s="40"/>
    </row>
    <row r="532" spans="2:41" ht="12.75" customHeight="1" x14ac:dyDescent="0.25">
      <c r="B532" s="40"/>
      <c r="C532" s="40"/>
      <c r="D532" s="40"/>
      <c r="E532" s="40"/>
      <c r="F532" s="40"/>
      <c r="G532" s="40"/>
      <c r="H532" s="5"/>
      <c r="Q532" s="40"/>
      <c r="R532" s="40"/>
      <c r="S532" s="40"/>
      <c r="T532" s="40"/>
      <c r="U532" s="40"/>
      <c r="W532" s="40"/>
      <c r="X532" s="40"/>
      <c r="Y532" s="40"/>
      <c r="Z532" s="41"/>
      <c r="AA532" s="41"/>
      <c r="AB532" s="41"/>
      <c r="AC532" s="41"/>
      <c r="AD532" s="41"/>
      <c r="AE532" s="40"/>
      <c r="AF532" s="45"/>
      <c r="AG532" s="5"/>
      <c r="AH532" s="6"/>
      <c r="AI532" s="45"/>
      <c r="AJ532" s="45"/>
      <c r="AK532" s="40"/>
      <c r="AL532" s="40"/>
      <c r="AM532" s="40"/>
      <c r="AN532" s="45"/>
      <c r="AO532" s="40"/>
    </row>
    <row r="533" spans="2:41" ht="12.75" customHeight="1" x14ac:dyDescent="0.25">
      <c r="B533" s="40"/>
      <c r="C533" s="40"/>
      <c r="D533" s="40"/>
      <c r="E533" s="40"/>
      <c r="F533" s="40"/>
      <c r="G533" s="40"/>
      <c r="H533" s="5"/>
      <c r="Q533" s="40"/>
      <c r="R533" s="40"/>
      <c r="S533" s="40"/>
      <c r="T533" s="40"/>
      <c r="U533" s="40"/>
      <c r="W533" s="40"/>
      <c r="X533" s="40"/>
      <c r="Y533" s="40"/>
      <c r="Z533" s="41"/>
      <c r="AA533" s="41"/>
      <c r="AB533" s="41"/>
      <c r="AC533" s="41"/>
      <c r="AD533" s="41"/>
      <c r="AE533" s="40"/>
      <c r="AF533" s="45"/>
      <c r="AG533" s="5"/>
      <c r="AH533" s="6"/>
      <c r="AI533" s="45"/>
      <c r="AJ533" s="45"/>
      <c r="AK533" s="40"/>
      <c r="AL533" s="40"/>
      <c r="AM533" s="40"/>
      <c r="AN533" s="45"/>
      <c r="AO533" s="40"/>
    </row>
    <row r="534" spans="2:41" ht="12.75" customHeight="1" x14ac:dyDescent="0.25">
      <c r="B534" s="40"/>
      <c r="C534" s="40"/>
      <c r="D534" s="40"/>
      <c r="E534" s="40"/>
      <c r="F534" s="40"/>
      <c r="G534" s="40"/>
      <c r="H534" s="5"/>
      <c r="Q534" s="40"/>
      <c r="R534" s="40"/>
      <c r="S534" s="40"/>
      <c r="T534" s="40"/>
      <c r="U534" s="40"/>
      <c r="W534" s="40"/>
      <c r="X534" s="40"/>
      <c r="Y534" s="40"/>
      <c r="Z534" s="41"/>
      <c r="AA534" s="41"/>
      <c r="AB534" s="41"/>
      <c r="AC534" s="41"/>
      <c r="AD534" s="41"/>
      <c r="AE534" s="40"/>
      <c r="AF534" s="45"/>
      <c r="AG534" s="5"/>
      <c r="AH534" s="6"/>
      <c r="AI534" s="45"/>
      <c r="AJ534" s="45"/>
      <c r="AK534" s="40"/>
      <c r="AL534" s="40"/>
      <c r="AM534" s="40"/>
      <c r="AN534" s="45"/>
      <c r="AO534" s="40"/>
    </row>
    <row r="535" spans="2:41" ht="12.75" customHeight="1" x14ac:dyDescent="0.25">
      <c r="B535" s="40"/>
      <c r="C535" s="40"/>
      <c r="D535" s="40"/>
      <c r="E535" s="40"/>
      <c r="F535" s="40"/>
      <c r="G535" s="40"/>
      <c r="H535" s="5"/>
      <c r="Q535" s="40"/>
      <c r="R535" s="40"/>
      <c r="S535" s="40"/>
      <c r="T535" s="40"/>
      <c r="U535" s="40"/>
      <c r="W535" s="40"/>
      <c r="X535" s="40"/>
      <c r="Y535" s="40"/>
      <c r="Z535" s="41"/>
      <c r="AA535" s="41"/>
      <c r="AB535" s="41"/>
      <c r="AC535" s="41"/>
      <c r="AD535" s="41"/>
      <c r="AE535" s="40"/>
      <c r="AF535" s="45"/>
      <c r="AG535" s="5"/>
      <c r="AH535" s="6"/>
      <c r="AI535" s="45"/>
      <c r="AJ535" s="45"/>
      <c r="AK535" s="40"/>
      <c r="AL535" s="40"/>
      <c r="AM535" s="40"/>
      <c r="AN535" s="45"/>
      <c r="AO535" s="40"/>
    </row>
    <row r="536" spans="2:41" ht="12.75" customHeight="1" x14ac:dyDescent="0.25">
      <c r="B536" s="40"/>
      <c r="C536" s="40"/>
      <c r="D536" s="40"/>
      <c r="E536" s="40"/>
      <c r="F536" s="40"/>
      <c r="G536" s="40"/>
      <c r="H536" s="5"/>
      <c r="Q536" s="40"/>
      <c r="R536" s="40"/>
      <c r="S536" s="40"/>
      <c r="T536" s="40"/>
      <c r="U536" s="40"/>
      <c r="W536" s="40"/>
      <c r="X536" s="40"/>
      <c r="Y536" s="40"/>
      <c r="Z536" s="41"/>
      <c r="AA536" s="41"/>
      <c r="AB536" s="41"/>
      <c r="AC536" s="41"/>
      <c r="AD536" s="41"/>
      <c r="AE536" s="40"/>
      <c r="AF536" s="45"/>
      <c r="AG536" s="5"/>
      <c r="AH536" s="6"/>
      <c r="AI536" s="45"/>
      <c r="AJ536" s="45"/>
      <c r="AK536" s="40"/>
      <c r="AL536" s="40"/>
      <c r="AM536" s="40"/>
      <c r="AN536" s="45"/>
      <c r="AO536" s="40"/>
    </row>
    <row r="537" spans="2:41" ht="12.75" customHeight="1" x14ac:dyDescent="0.25">
      <c r="B537" s="40"/>
      <c r="C537" s="40"/>
      <c r="D537" s="40"/>
      <c r="E537" s="40"/>
      <c r="F537" s="40"/>
      <c r="G537" s="40"/>
      <c r="H537" s="5"/>
      <c r="Q537" s="40"/>
      <c r="R537" s="40"/>
      <c r="S537" s="40"/>
      <c r="T537" s="40"/>
      <c r="U537" s="40"/>
      <c r="W537" s="40"/>
      <c r="X537" s="40"/>
      <c r="Y537" s="40"/>
      <c r="Z537" s="41"/>
      <c r="AA537" s="41"/>
      <c r="AB537" s="41"/>
      <c r="AC537" s="41"/>
      <c r="AD537" s="41"/>
      <c r="AE537" s="40"/>
      <c r="AF537" s="45"/>
      <c r="AG537" s="5"/>
      <c r="AH537" s="6"/>
      <c r="AI537" s="45"/>
      <c r="AJ537" s="45"/>
      <c r="AK537" s="40"/>
      <c r="AL537" s="40"/>
      <c r="AM537" s="40"/>
      <c r="AN537" s="45"/>
      <c r="AO537" s="40"/>
    </row>
    <row r="538" spans="2:41" ht="12.75" customHeight="1" x14ac:dyDescent="0.25">
      <c r="B538" s="40"/>
      <c r="C538" s="40"/>
      <c r="D538" s="40"/>
      <c r="E538" s="40"/>
      <c r="F538" s="40"/>
      <c r="G538" s="40"/>
      <c r="H538" s="5"/>
      <c r="Q538" s="40"/>
      <c r="R538" s="40"/>
      <c r="S538" s="40"/>
      <c r="T538" s="40"/>
      <c r="U538" s="40"/>
      <c r="W538" s="40"/>
      <c r="X538" s="40"/>
      <c r="Y538" s="40"/>
      <c r="Z538" s="41"/>
      <c r="AA538" s="41"/>
      <c r="AB538" s="41"/>
      <c r="AC538" s="41"/>
      <c r="AD538" s="41"/>
      <c r="AE538" s="40"/>
      <c r="AF538" s="45"/>
      <c r="AG538" s="5"/>
      <c r="AH538" s="6"/>
      <c r="AI538" s="45"/>
      <c r="AJ538" s="45"/>
      <c r="AK538" s="40"/>
      <c r="AL538" s="40"/>
      <c r="AM538" s="40"/>
      <c r="AN538" s="45"/>
      <c r="AO538" s="40"/>
    </row>
    <row r="539" spans="2:41" ht="12.75" customHeight="1" x14ac:dyDescent="0.25">
      <c r="B539" s="40"/>
      <c r="C539" s="40"/>
      <c r="D539" s="40"/>
      <c r="E539" s="40"/>
      <c r="F539" s="40"/>
      <c r="G539" s="40"/>
      <c r="H539" s="5"/>
      <c r="Q539" s="40"/>
      <c r="R539" s="40"/>
      <c r="S539" s="40"/>
      <c r="T539" s="40"/>
      <c r="U539" s="40"/>
      <c r="W539" s="40"/>
      <c r="X539" s="40"/>
      <c r="Y539" s="40"/>
      <c r="Z539" s="41"/>
      <c r="AA539" s="41"/>
      <c r="AB539" s="41"/>
      <c r="AC539" s="41"/>
      <c r="AD539" s="41"/>
      <c r="AE539" s="40"/>
      <c r="AF539" s="45"/>
      <c r="AG539" s="5"/>
      <c r="AH539" s="6"/>
      <c r="AI539" s="45"/>
      <c r="AJ539" s="45"/>
      <c r="AK539" s="40"/>
      <c r="AL539" s="40"/>
      <c r="AM539" s="40"/>
      <c r="AN539" s="45"/>
      <c r="AO539" s="40"/>
    </row>
    <row r="540" spans="2:41" ht="12.75" customHeight="1" x14ac:dyDescent="0.25">
      <c r="B540" s="40"/>
      <c r="C540" s="40"/>
      <c r="D540" s="40"/>
      <c r="E540" s="40"/>
      <c r="F540" s="40"/>
      <c r="G540" s="40"/>
      <c r="H540" s="5"/>
      <c r="Q540" s="40"/>
      <c r="R540" s="40"/>
      <c r="S540" s="40"/>
      <c r="T540" s="40"/>
      <c r="U540" s="40"/>
      <c r="W540" s="40"/>
      <c r="X540" s="40"/>
      <c r="Y540" s="40"/>
      <c r="Z540" s="41"/>
      <c r="AA540" s="41"/>
      <c r="AB540" s="41"/>
      <c r="AC540" s="41"/>
      <c r="AD540" s="41"/>
      <c r="AE540" s="40"/>
      <c r="AF540" s="45"/>
      <c r="AG540" s="5"/>
      <c r="AH540" s="6"/>
      <c r="AI540" s="45"/>
      <c r="AJ540" s="45"/>
      <c r="AK540" s="40"/>
      <c r="AL540" s="40"/>
      <c r="AM540" s="40"/>
      <c r="AN540" s="45"/>
      <c r="AO540" s="40"/>
    </row>
    <row r="541" spans="2:41" ht="12.75" customHeight="1" x14ac:dyDescent="0.25">
      <c r="B541" s="40"/>
      <c r="C541" s="40"/>
      <c r="D541" s="40"/>
      <c r="E541" s="40"/>
      <c r="F541" s="40"/>
      <c r="G541" s="40"/>
      <c r="H541" s="5"/>
      <c r="Q541" s="40"/>
      <c r="R541" s="40"/>
      <c r="S541" s="40"/>
      <c r="T541" s="40"/>
      <c r="U541" s="40"/>
      <c r="W541" s="40"/>
      <c r="X541" s="40"/>
      <c r="Y541" s="40"/>
      <c r="Z541" s="41"/>
      <c r="AA541" s="41"/>
      <c r="AB541" s="41"/>
      <c r="AC541" s="41"/>
      <c r="AD541" s="41"/>
      <c r="AE541" s="40"/>
      <c r="AF541" s="45"/>
      <c r="AG541" s="5"/>
      <c r="AH541" s="6"/>
      <c r="AI541" s="45"/>
      <c r="AJ541" s="45"/>
      <c r="AK541" s="40"/>
      <c r="AL541" s="40"/>
      <c r="AM541" s="40"/>
      <c r="AN541" s="45"/>
      <c r="AO541" s="40"/>
    </row>
    <row r="542" spans="2:41" ht="12.75" customHeight="1" x14ac:dyDescent="0.25">
      <c r="B542" s="40"/>
      <c r="C542" s="40"/>
      <c r="D542" s="40"/>
      <c r="E542" s="40"/>
      <c r="F542" s="40"/>
      <c r="G542" s="40"/>
      <c r="H542" s="5"/>
      <c r="Q542" s="40"/>
      <c r="R542" s="40"/>
      <c r="S542" s="40"/>
      <c r="T542" s="40"/>
      <c r="U542" s="40"/>
      <c r="W542" s="40"/>
      <c r="X542" s="40"/>
      <c r="Y542" s="40"/>
      <c r="Z542" s="41"/>
      <c r="AA542" s="41"/>
      <c r="AB542" s="41"/>
      <c r="AC542" s="41"/>
      <c r="AD542" s="41"/>
      <c r="AE542" s="40"/>
      <c r="AF542" s="45"/>
      <c r="AG542" s="5"/>
      <c r="AH542" s="6"/>
      <c r="AI542" s="45"/>
      <c r="AJ542" s="45"/>
      <c r="AK542" s="40"/>
      <c r="AL542" s="40"/>
      <c r="AM542" s="40"/>
      <c r="AN542" s="45"/>
      <c r="AO542" s="40"/>
    </row>
    <row r="543" spans="2:41" ht="12.75" customHeight="1" x14ac:dyDescent="0.25">
      <c r="B543" s="40"/>
      <c r="C543" s="40"/>
      <c r="D543" s="40"/>
      <c r="E543" s="40"/>
      <c r="F543" s="40"/>
      <c r="G543" s="40"/>
      <c r="H543" s="5"/>
      <c r="Q543" s="40"/>
      <c r="R543" s="40"/>
      <c r="S543" s="40"/>
      <c r="T543" s="40"/>
      <c r="U543" s="40"/>
      <c r="W543" s="40"/>
      <c r="X543" s="40"/>
      <c r="Y543" s="40"/>
      <c r="Z543" s="41"/>
      <c r="AA543" s="41"/>
      <c r="AB543" s="41"/>
      <c r="AC543" s="41"/>
      <c r="AD543" s="41"/>
      <c r="AE543" s="40"/>
      <c r="AF543" s="45"/>
      <c r="AG543" s="5"/>
      <c r="AH543" s="6"/>
      <c r="AI543" s="45"/>
      <c r="AJ543" s="45"/>
      <c r="AK543" s="40"/>
      <c r="AL543" s="40"/>
      <c r="AM543" s="40"/>
      <c r="AN543" s="45"/>
      <c r="AO543" s="40"/>
    </row>
    <row r="544" spans="2:41" ht="12.75" customHeight="1" x14ac:dyDescent="0.25">
      <c r="B544" s="40"/>
      <c r="C544" s="40"/>
      <c r="D544" s="40"/>
      <c r="E544" s="40"/>
      <c r="F544" s="40"/>
      <c r="G544" s="40"/>
      <c r="H544" s="5"/>
      <c r="Q544" s="40"/>
      <c r="R544" s="40"/>
      <c r="S544" s="40"/>
      <c r="T544" s="40"/>
      <c r="U544" s="40"/>
      <c r="W544" s="40"/>
      <c r="X544" s="40"/>
      <c r="Y544" s="40"/>
      <c r="Z544" s="41"/>
      <c r="AA544" s="41"/>
      <c r="AB544" s="41"/>
      <c r="AC544" s="41"/>
      <c r="AD544" s="41"/>
      <c r="AE544" s="40"/>
      <c r="AF544" s="45"/>
      <c r="AG544" s="5"/>
      <c r="AH544" s="6"/>
      <c r="AI544" s="45"/>
      <c r="AJ544" s="45"/>
      <c r="AK544" s="40"/>
      <c r="AL544" s="40"/>
      <c r="AM544" s="40"/>
      <c r="AN544" s="45"/>
      <c r="AO544" s="40"/>
    </row>
    <row r="545" spans="2:41" ht="12.75" customHeight="1" x14ac:dyDescent="0.25">
      <c r="B545" s="40"/>
      <c r="C545" s="40"/>
      <c r="D545" s="40"/>
      <c r="E545" s="40"/>
      <c r="F545" s="40"/>
      <c r="G545" s="40"/>
      <c r="H545" s="5"/>
      <c r="Q545" s="40"/>
      <c r="R545" s="40"/>
      <c r="S545" s="40"/>
      <c r="T545" s="40"/>
      <c r="U545" s="40"/>
      <c r="W545" s="40"/>
      <c r="X545" s="40"/>
      <c r="Y545" s="40"/>
      <c r="Z545" s="41"/>
      <c r="AA545" s="41"/>
      <c r="AB545" s="41"/>
      <c r="AC545" s="41"/>
      <c r="AD545" s="41"/>
      <c r="AE545" s="40"/>
      <c r="AF545" s="45"/>
      <c r="AG545" s="5"/>
      <c r="AH545" s="6"/>
      <c r="AI545" s="45"/>
      <c r="AJ545" s="45"/>
      <c r="AK545" s="40"/>
      <c r="AL545" s="40"/>
      <c r="AM545" s="40"/>
      <c r="AN545" s="45"/>
      <c r="AO545" s="40"/>
    </row>
    <row r="546" spans="2:41" ht="12.75" customHeight="1" x14ac:dyDescent="0.25">
      <c r="B546" s="40"/>
      <c r="C546" s="40"/>
      <c r="D546" s="40"/>
      <c r="E546" s="40"/>
      <c r="F546" s="40"/>
      <c r="G546" s="40"/>
      <c r="H546" s="5"/>
      <c r="Q546" s="40"/>
      <c r="R546" s="40"/>
      <c r="S546" s="40"/>
      <c r="T546" s="40"/>
      <c r="U546" s="40"/>
      <c r="W546" s="40"/>
      <c r="X546" s="40"/>
      <c r="Y546" s="40"/>
      <c r="Z546" s="41"/>
      <c r="AA546" s="41"/>
      <c r="AB546" s="41"/>
      <c r="AC546" s="41"/>
      <c r="AD546" s="41"/>
      <c r="AE546" s="40"/>
      <c r="AF546" s="45"/>
      <c r="AG546" s="5"/>
      <c r="AH546" s="6"/>
      <c r="AI546" s="45"/>
      <c r="AJ546" s="45"/>
      <c r="AK546" s="40"/>
      <c r="AL546" s="40"/>
      <c r="AM546" s="40"/>
      <c r="AN546" s="45"/>
      <c r="AO546" s="40"/>
    </row>
    <row r="547" spans="2:41" ht="12.75" customHeight="1" x14ac:dyDescent="0.25">
      <c r="B547" s="40"/>
      <c r="C547" s="40"/>
      <c r="D547" s="40"/>
      <c r="E547" s="40"/>
      <c r="F547" s="40"/>
      <c r="G547" s="40"/>
      <c r="H547" s="5"/>
      <c r="Q547" s="40"/>
      <c r="R547" s="40"/>
      <c r="S547" s="40"/>
      <c r="T547" s="40"/>
      <c r="U547" s="40"/>
      <c r="W547" s="40"/>
      <c r="X547" s="40"/>
      <c r="Y547" s="40"/>
      <c r="Z547" s="41"/>
      <c r="AA547" s="41"/>
      <c r="AB547" s="41"/>
      <c r="AC547" s="41"/>
      <c r="AD547" s="41"/>
      <c r="AE547" s="40"/>
      <c r="AF547" s="45"/>
      <c r="AG547" s="5"/>
      <c r="AH547" s="6"/>
      <c r="AI547" s="45"/>
      <c r="AJ547" s="45"/>
      <c r="AK547" s="40"/>
      <c r="AL547" s="40"/>
      <c r="AM547" s="40"/>
      <c r="AN547" s="45"/>
      <c r="AO547" s="40"/>
    </row>
    <row r="548" spans="2:41" ht="12.75" customHeight="1" x14ac:dyDescent="0.25">
      <c r="B548" s="40"/>
      <c r="C548" s="40"/>
      <c r="D548" s="40"/>
      <c r="E548" s="40"/>
      <c r="F548" s="40"/>
      <c r="G548" s="40"/>
      <c r="H548" s="5"/>
      <c r="Q548" s="40"/>
      <c r="R548" s="40"/>
      <c r="S548" s="40"/>
      <c r="T548" s="40"/>
      <c r="U548" s="40"/>
      <c r="W548" s="40"/>
      <c r="X548" s="40"/>
      <c r="Y548" s="40"/>
      <c r="Z548" s="41"/>
      <c r="AA548" s="41"/>
      <c r="AB548" s="41"/>
      <c r="AC548" s="41"/>
      <c r="AD548" s="41"/>
      <c r="AE548" s="40"/>
      <c r="AF548" s="45"/>
      <c r="AG548" s="5"/>
      <c r="AH548" s="6"/>
      <c r="AI548" s="45"/>
      <c r="AJ548" s="45"/>
      <c r="AK548" s="40"/>
      <c r="AL548" s="40"/>
      <c r="AM548" s="40"/>
      <c r="AN548" s="45"/>
      <c r="AO548" s="40"/>
    </row>
    <row r="549" spans="2:41" ht="12.75" customHeight="1" x14ac:dyDescent="0.25">
      <c r="B549" s="40"/>
      <c r="C549" s="40"/>
      <c r="D549" s="40"/>
      <c r="E549" s="40"/>
      <c r="F549" s="40"/>
      <c r="G549" s="40"/>
      <c r="H549" s="5"/>
      <c r="Q549" s="40"/>
      <c r="R549" s="40"/>
      <c r="S549" s="40"/>
      <c r="T549" s="40"/>
      <c r="U549" s="40"/>
      <c r="W549" s="40"/>
      <c r="X549" s="40"/>
      <c r="Y549" s="40"/>
      <c r="Z549" s="41"/>
      <c r="AA549" s="41"/>
      <c r="AB549" s="41"/>
      <c r="AC549" s="41"/>
      <c r="AD549" s="41"/>
      <c r="AE549" s="40"/>
      <c r="AF549" s="45"/>
      <c r="AG549" s="5"/>
      <c r="AH549" s="6"/>
      <c r="AI549" s="45"/>
      <c r="AJ549" s="45"/>
      <c r="AK549" s="40"/>
      <c r="AL549" s="40"/>
      <c r="AM549" s="40"/>
      <c r="AN549" s="45"/>
      <c r="AO549" s="40"/>
    </row>
    <row r="550" spans="2:41" ht="12.75" customHeight="1" x14ac:dyDescent="0.25">
      <c r="B550" s="40"/>
      <c r="C550" s="40"/>
      <c r="D550" s="40"/>
      <c r="E550" s="40"/>
      <c r="F550" s="40"/>
      <c r="G550" s="40"/>
      <c r="H550" s="5"/>
      <c r="Q550" s="40"/>
      <c r="R550" s="40"/>
      <c r="S550" s="40"/>
      <c r="T550" s="40"/>
      <c r="U550" s="40"/>
      <c r="W550" s="40"/>
      <c r="X550" s="40"/>
      <c r="Y550" s="40"/>
      <c r="Z550" s="41"/>
      <c r="AA550" s="41"/>
      <c r="AB550" s="41"/>
      <c r="AC550" s="41"/>
      <c r="AD550" s="41"/>
      <c r="AE550" s="40"/>
      <c r="AF550" s="45"/>
      <c r="AG550" s="5"/>
      <c r="AH550" s="6"/>
      <c r="AI550" s="45"/>
      <c r="AJ550" s="45"/>
      <c r="AK550" s="40"/>
      <c r="AL550" s="40"/>
      <c r="AM550" s="40"/>
      <c r="AN550" s="45"/>
      <c r="AO550" s="40"/>
    </row>
    <row r="551" spans="2:41" ht="12.75" customHeight="1" x14ac:dyDescent="0.25">
      <c r="B551" s="40"/>
      <c r="C551" s="40"/>
      <c r="D551" s="40"/>
      <c r="E551" s="40"/>
      <c r="F551" s="40"/>
      <c r="G551" s="40"/>
      <c r="H551" s="5"/>
      <c r="Q551" s="40"/>
      <c r="R551" s="40"/>
      <c r="S551" s="40"/>
      <c r="T551" s="40"/>
      <c r="U551" s="40"/>
      <c r="W551" s="40"/>
      <c r="X551" s="40"/>
      <c r="Y551" s="40"/>
      <c r="Z551" s="41"/>
      <c r="AA551" s="41"/>
      <c r="AB551" s="41"/>
      <c r="AC551" s="41"/>
      <c r="AD551" s="41"/>
      <c r="AE551" s="40"/>
      <c r="AF551" s="45"/>
      <c r="AG551" s="5"/>
      <c r="AH551" s="6"/>
      <c r="AI551" s="45"/>
      <c r="AJ551" s="45"/>
      <c r="AK551" s="40"/>
      <c r="AL551" s="40"/>
      <c r="AM551" s="40"/>
      <c r="AN551" s="45"/>
      <c r="AO551" s="40"/>
    </row>
    <row r="552" spans="2:41" ht="12.75" customHeight="1" x14ac:dyDescent="0.25">
      <c r="B552" s="40"/>
      <c r="C552" s="40"/>
      <c r="D552" s="40"/>
      <c r="E552" s="40"/>
      <c r="F552" s="40"/>
      <c r="G552" s="40"/>
      <c r="H552" s="5"/>
      <c r="Q552" s="40"/>
      <c r="R552" s="40"/>
      <c r="S552" s="40"/>
      <c r="T552" s="40"/>
      <c r="U552" s="40"/>
      <c r="W552" s="40"/>
      <c r="X552" s="40"/>
      <c r="Y552" s="40"/>
      <c r="Z552" s="41"/>
      <c r="AA552" s="41"/>
      <c r="AB552" s="41"/>
      <c r="AC552" s="41"/>
      <c r="AD552" s="41"/>
      <c r="AE552" s="40"/>
      <c r="AF552" s="45"/>
      <c r="AG552" s="5"/>
      <c r="AH552" s="6"/>
      <c r="AI552" s="45"/>
      <c r="AJ552" s="45"/>
      <c r="AK552" s="40"/>
      <c r="AL552" s="40"/>
      <c r="AM552" s="40"/>
      <c r="AN552" s="45"/>
      <c r="AO552" s="40"/>
    </row>
    <row r="553" spans="2:41" ht="12.75" customHeight="1" x14ac:dyDescent="0.25">
      <c r="B553" s="40"/>
      <c r="C553" s="40"/>
      <c r="D553" s="40"/>
      <c r="E553" s="40"/>
      <c r="F553" s="40"/>
      <c r="G553" s="40"/>
      <c r="H553" s="5"/>
      <c r="Q553" s="40"/>
      <c r="R553" s="40"/>
      <c r="S553" s="40"/>
      <c r="T553" s="40"/>
      <c r="U553" s="40"/>
      <c r="W553" s="40"/>
      <c r="X553" s="40"/>
      <c r="Y553" s="40"/>
      <c r="Z553" s="41"/>
      <c r="AA553" s="41"/>
      <c r="AB553" s="41"/>
      <c r="AC553" s="41"/>
      <c r="AD553" s="41"/>
      <c r="AE553" s="40"/>
      <c r="AF553" s="45"/>
      <c r="AG553" s="5"/>
      <c r="AH553" s="6"/>
      <c r="AI553" s="45"/>
      <c r="AJ553" s="45"/>
      <c r="AK553" s="40"/>
      <c r="AL553" s="40"/>
      <c r="AM553" s="40"/>
      <c r="AN553" s="45"/>
      <c r="AO553" s="40"/>
    </row>
    <row r="554" spans="2:41" ht="12.75" customHeight="1" x14ac:dyDescent="0.25">
      <c r="B554" s="40"/>
      <c r="C554" s="40"/>
      <c r="D554" s="40"/>
      <c r="E554" s="40"/>
      <c r="F554" s="40"/>
      <c r="G554" s="40"/>
      <c r="H554" s="5"/>
      <c r="Q554" s="40"/>
      <c r="R554" s="40"/>
      <c r="S554" s="40"/>
      <c r="T554" s="40"/>
      <c r="U554" s="40"/>
      <c r="W554" s="40"/>
      <c r="X554" s="40"/>
      <c r="Y554" s="40"/>
      <c r="Z554" s="41"/>
      <c r="AA554" s="41"/>
      <c r="AB554" s="41"/>
      <c r="AC554" s="41"/>
      <c r="AD554" s="41"/>
      <c r="AE554" s="40"/>
      <c r="AF554" s="45"/>
      <c r="AG554" s="5"/>
      <c r="AH554" s="6"/>
      <c r="AI554" s="45"/>
      <c r="AJ554" s="45"/>
      <c r="AK554" s="40"/>
      <c r="AL554" s="40"/>
      <c r="AM554" s="40"/>
      <c r="AN554" s="45"/>
      <c r="AO554" s="40"/>
    </row>
    <row r="555" spans="2:41" ht="12.75" customHeight="1" x14ac:dyDescent="0.25">
      <c r="B555" s="40"/>
      <c r="C555" s="40"/>
      <c r="D555" s="40"/>
      <c r="E555" s="40"/>
      <c r="F555" s="40"/>
      <c r="G555" s="40"/>
      <c r="H555" s="5"/>
      <c r="Q555" s="40"/>
      <c r="R555" s="40"/>
      <c r="S555" s="40"/>
      <c r="T555" s="40"/>
      <c r="U555" s="40"/>
      <c r="W555" s="40"/>
      <c r="X555" s="40"/>
      <c r="Y555" s="40"/>
      <c r="Z555" s="41"/>
      <c r="AA555" s="41"/>
      <c r="AB555" s="41"/>
      <c r="AC555" s="41"/>
      <c r="AD555" s="41"/>
      <c r="AE555" s="40"/>
      <c r="AF555" s="45"/>
      <c r="AG555" s="5"/>
      <c r="AH555" s="6"/>
      <c r="AI555" s="45"/>
      <c r="AJ555" s="45"/>
      <c r="AK555" s="40"/>
      <c r="AL555" s="40"/>
      <c r="AM555" s="40"/>
      <c r="AN555" s="45"/>
      <c r="AO555" s="40"/>
    </row>
    <row r="556" spans="2:41" ht="12.75" customHeight="1" x14ac:dyDescent="0.25">
      <c r="B556" s="40"/>
      <c r="C556" s="40"/>
      <c r="D556" s="40"/>
      <c r="E556" s="40"/>
      <c r="F556" s="40"/>
      <c r="G556" s="40"/>
      <c r="H556" s="5"/>
      <c r="Q556" s="40"/>
      <c r="R556" s="40"/>
      <c r="S556" s="40"/>
      <c r="T556" s="40"/>
      <c r="U556" s="40"/>
      <c r="W556" s="40"/>
      <c r="X556" s="40"/>
      <c r="Y556" s="40"/>
      <c r="Z556" s="41"/>
      <c r="AA556" s="41"/>
      <c r="AB556" s="41"/>
      <c r="AC556" s="41"/>
      <c r="AD556" s="41"/>
      <c r="AE556" s="40"/>
      <c r="AF556" s="45"/>
      <c r="AG556" s="5"/>
      <c r="AH556" s="6"/>
      <c r="AI556" s="45"/>
      <c r="AJ556" s="45"/>
      <c r="AK556" s="40"/>
      <c r="AL556" s="40"/>
      <c r="AM556" s="40"/>
      <c r="AN556" s="45"/>
      <c r="AO556" s="40"/>
    </row>
    <row r="557" spans="2:41" ht="12.75" customHeight="1" x14ac:dyDescent="0.25">
      <c r="B557" s="40"/>
      <c r="C557" s="40"/>
      <c r="D557" s="40"/>
      <c r="E557" s="40"/>
      <c r="F557" s="40"/>
      <c r="G557" s="40"/>
      <c r="H557" s="5"/>
      <c r="Q557" s="40"/>
      <c r="R557" s="40"/>
      <c r="S557" s="40"/>
      <c r="T557" s="40"/>
      <c r="U557" s="40"/>
      <c r="W557" s="40"/>
      <c r="X557" s="40"/>
      <c r="Y557" s="40"/>
      <c r="Z557" s="41"/>
      <c r="AA557" s="41"/>
      <c r="AB557" s="41"/>
      <c r="AC557" s="41"/>
      <c r="AD557" s="41"/>
      <c r="AE557" s="40"/>
      <c r="AF557" s="45"/>
      <c r="AG557" s="5"/>
      <c r="AH557" s="6"/>
      <c r="AI557" s="45"/>
      <c r="AJ557" s="45"/>
      <c r="AK557" s="40"/>
      <c r="AL557" s="40"/>
      <c r="AM557" s="40"/>
      <c r="AN557" s="45"/>
      <c r="AO557" s="40"/>
    </row>
    <row r="558" spans="2:41" ht="12.75" customHeight="1" x14ac:dyDescent="0.25">
      <c r="B558" s="40"/>
      <c r="C558" s="40"/>
      <c r="D558" s="40"/>
      <c r="E558" s="40"/>
      <c r="F558" s="40"/>
      <c r="G558" s="40"/>
      <c r="H558" s="5"/>
      <c r="Q558" s="40"/>
      <c r="R558" s="40"/>
      <c r="S558" s="40"/>
      <c r="T558" s="40"/>
      <c r="U558" s="40"/>
      <c r="W558" s="40"/>
      <c r="X558" s="40"/>
      <c r="Y558" s="40"/>
      <c r="Z558" s="41"/>
      <c r="AA558" s="41"/>
      <c r="AB558" s="41"/>
      <c r="AC558" s="41"/>
      <c r="AD558" s="41"/>
      <c r="AE558" s="40"/>
      <c r="AF558" s="45"/>
      <c r="AG558" s="5"/>
      <c r="AH558" s="6"/>
      <c r="AI558" s="45"/>
      <c r="AJ558" s="45"/>
      <c r="AK558" s="40"/>
      <c r="AL558" s="40"/>
      <c r="AM558" s="40"/>
      <c r="AN558" s="45"/>
      <c r="AO558" s="40"/>
    </row>
    <row r="559" spans="2:41" ht="12.75" customHeight="1" x14ac:dyDescent="0.25">
      <c r="B559" s="40"/>
      <c r="C559" s="40"/>
      <c r="D559" s="40"/>
      <c r="E559" s="40"/>
      <c r="F559" s="40"/>
      <c r="G559" s="40"/>
      <c r="H559" s="5"/>
      <c r="Q559" s="40"/>
      <c r="R559" s="40"/>
      <c r="S559" s="40"/>
      <c r="T559" s="40"/>
      <c r="U559" s="40"/>
      <c r="W559" s="40"/>
      <c r="X559" s="40"/>
      <c r="Y559" s="40"/>
      <c r="Z559" s="41"/>
      <c r="AA559" s="41"/>
      <c r="AB559" s="41"/>
      <c r="AC559" s="41"/>
      <c r="AD559" s="41"/>
      <c r="AE559" s="40"/>
      <c r="AF559" s="45"/>
      <c r="AG559" s="5"/>
      <c r="AH559" s="6"/>
      <c r="AI559" s="45"/>
      <c r="AJ559" s="45"/>
      <c r="AK559" s="40"/>
      <c r="AL559" s="40"/>
      <c r="AM559" s="40"/>
      <c r="AN559" s="45"/>
      <c r="AO559" s="40"/>
    </row>
    <row r="560" spans="2:41" ht="12.75" customHeight="1" x14ac:dyDescent="0.25">
      <c r="B560" s="40"/>
      <c r="C560" s="40"/>
      <c r="D560" s="40"/>
      <c r="E560" s="40"/>
      <c r="F560" s="40"/>
      <c r="G560" s="40"/>
      <c r="H560" s="5"/>
      <c r="Q560" s="40"/>
      <c r="R560" s="40"/>
      <c r="S560" s="40"/>
      <c r="T560" s="40"/>
      <c r="U560" s="40"/>
      <c r="W560" s="40"/>
      <c r="X560" s="40"/>
      <c r="Y560" s="40"/>
      <c r="Z560" s="41"/>
      <c r="AA560" s="41"/>
      <c r="AB560" s="41"/>
      <c r="AC560" s="41"/>
      <c r="AD560" s="41"/>
      <c r="AE560" s="40"/>
      <c r="AF560" s="45"/>
      <c r="AG560" s="5"/>
      <c r="AH560" s="6"/>
      <c r="AI560" s="45"/>
      <c r="AJ560" s="45"/>
      <c r="AK560" s="40"/>
      <c r="AL560" s="40"/>
      <c r="AM560" s="40"/>
      <c r="AN560" s="45"/>
      <c r="AO560" s="40"/>
    </row>
    <row r="561" spans="2:41" ht="12.75" customHeight="1" x14ac:dyDescent="0.25">
      <c r="B561" s="40"/>
      <c r="C561" s="40"/>
      <c r="D561" s="40"/>
      <c r="E561" s="40"/>
      <c r="F561" s="40"/>
      <c r="G561" s="40"/>
      <c r="H561" s="5"/>
      <c r="Q561" s="40"/>
      <c r="R561" s="40"/>
      <c r="S561" s="40"/>
      <c r="T561" s="40"/>
      <c r="U561" s="40"/>
      <c r="W561" s="40"/>
      <c r="X561" s="40"/>
      <c r="Y561" s="40"/>
      <c r="Z561" s="41"/>
      <c r="AA561" s="41"/>
      <c r="AB561" s="41"/>
      <c r="AC561" s="41"/>
      <c r="AD561" s="41"/>
      <c r="AE561" s="40"/>
      <c r="AF561" s="45"/>
      <c r="AG561" s="5"/>
      <c r="AH561" s="6"/>
      <c r="AI561" s="45"/>
      <c r="AJ561" s="45"/>
      <c r="AK561" s="40"/>
      <c r="AL561" s="40"/>
      <c r="AM561" s="40"/>
      <c r="AN561" s="45"/>
      <c r="AO561" s="40"/>
    </row>
    <row r="562" spans="2:41" ht="12.75" customHeight="1" x14ac:dyDescent="0.25">
      <c r="B562" s="40"/>
      <c r="C562" s="40"/>
      <c r="D562" s="40"/>
      <c r="E562" s="40"/>
      <c r="F562" s="40"/>
      <c r="G562" s="40"/>
      <c r="H562" s="5"/>
      <c r="Q562" s="40"/>
      <c r="R562" s="40"/>
      <c r="S562" s="40"/>
      <c r="T562" s="40"/>
      <c r="U562" s="40"/>
      <c r="W562" s="40"/>
      <c r="X562" s="40"/>
      <c r="Y562" s="40"/>
      <c r="Z562" s="41"/>
      <c r="AA562" s="41"/>
      <c r="AB562" s="41"/>
      <c r="AC562" s="41"/>
      <c r="AD562" s="41"/>
      <c r="AE562" s="40"/>
      <c r="AF562" s="45"/>
      <c r="AG562" s="5"/>
      <c r="AH562" s="6"/>
      <c r="AI562" s="45"/>
      <c r="AJ562" s="45"/>
      <c r="AK562" s="40"/>
      <c r="AL562" s="40"/>
      <c r="AM562" s="40"/>
      <c r="AN562" s="45"/>
      <c r="AO562" s="40"/>
    </row>
    <row r="563" spans="2:41" ht="12.75" customHeight="1" x14ac:dyDescent="0.25">
      <c r="B563" s="40"/>
      <c r="C563" s="40"/>
      <c r="D563" s="40"/>
      <c r="E563" s="40"/>
      <c r="F563" s="40"/>
      <c r="G563" s="40"/>
      <c r="H563" s="5"/>
      <c r="Q563" s="40"/>
      <c r="R563" s="40"/>
      <c r="S563" s="40"/>
      <c r="T563" s="40"/>
      <c r="U563" s="40"/>
      <c r="W563" s="40"/>
      <c r="X563" s="40"/>
      <c r="Y563" s="40"/>
      <c r="Z563" s="41"/>
      <c r="AA563" s="41"/>
      <c r="AB563" s="41"/>
      <c r="AC563" s="41"/>
      <c r="AD563" s="41"/>
      <c r="AE563" s="40"/>
      <c r="AF563" s="45"/>
      <c r="AG563" s="5"/>
      <c r="AH563" s="6"/>
      <c r="AI563" s="45"/>
      <c r="AJ563" s="45"/>
      <c r="AK563" s="40"/>
      <c r="AL563" s="40"/>
      <c r="AM563" s="40"/>
      <c r="AN563" s="45"/>
      <c r="AO563" s="40"/>
    </row>
    <row r="564" spans="2:41" ht="12.75" customHeight="1" x14ac:dyDescent="0.25">
      <c r="B564" s="40"/>
      <c r="C564" s="40"/>
      <c r="D564" s="40"/>
      <c r="E564" s="40"/>
      <c r="F564" s="40"/>
      <c r="G564" s="40"/>
      <c r="H564" s="5"/>
      <c r="Q564" s="40"/>
      <c r="R564" s="40"/>
      <c r="S564" s="40"/>
      <c r="T564" s="40"/>
      <c r="U564" s="40"/>
      <c r="W564" s="40"/>
      <c r="X564" s="40"/>
      <c r="Y564" s="40"/>
      <c r="Z564" s="41"/>
      <c r="AA564" s="41"/>
      <c r="AB564" s="41"/>
      <c r="AC564" s="41"/>
      <c r="AD564" s="41"/>
      <c r="AE564" s="40"/>
      <c r="AF564" s="45"/>
      <c r="AG564" s="5"/>
      <c r="AH564" s="6"/>
      <c r="AI564" s="45"/>
      <c r="AJ564" s="45"/>
      <c r="AK564" s="40"/>
      <c r="AL564" s="40"/>
      <c r="AM564" s="40"/>
      <c r="AN564" s="45"/>
      <c r="AO564" s="40"/>
    </row>
    <row r="565" spans="2:41" ht="12.75" customHeight="1" x14ac:dyDescent="0.25">
      <c r="B565" s="40"/>
      <c r="C565" s="40"/>
      <c r="D565" s="40"/>
      <c r="E565" s="40"/>
      <c r="F565" s="40"/>
      <c r="G565" s="40"/>
      <c r="H565" s="5"/>
      <c r="Q565" s="40"/>
      <c r="R565" s="40"/>
      <c r="S565" s="40"/>
      <c r="T565" s="40"/>
      <c r="U565" s="40"/>
      <c r="W565" s="40"/>
      <c r="X565" s="40"/>
      <c r="Y565" s="40"/>
      <c r="Z565" s="41"/>
      <c r="AA565" s="41"/>
      <c r="AB565" s="41"/>
      <c r="AC565" s="41"/>
      <c r="AD565" s="41"/>
      <c r="AE565" s="40"/>
      <c r="AF565" s="45"/>
      <c r="AG565" s="5"/>
      <c r="AH565" s="6"/>
      <c r="AI565" s="45"/>
      <c r="AJ565" s="45"/>
      <c r="AK565" s="40"/>
      <c r="AL565" s="40"/>
      <c r="AM565" s="40"/>
      <c r="AN565" s="45"/>
      <c r="AO565" s="40"/>
    </row>
    <row r="566" spans="2:41" ht="12.75" customHeight="1" x14ac:dyDescent="0.25">
      <c r="B566" s="40"/>
      <c r="C566" s="40"/>
      <c r="D566" s="40"/>
      <c r="E566" s="40"/>
      <c r="F566" s="40"/>
      <c r="G566" s="40"/>
      <c r="H566" s="5"/>
      <c r="Q566" s="40"/>
      <c r="R566" s="40"/>
      <c r="S566" s="40"/>
      <c r="T566" s="40"/>
      <c r="U566" s="40"/>
      <c r="W566" s="40"/>
      <c r="X566" s="40"/>
      <c r="Y566" s="40"/>
      <c r="Z566" s="41"/>
      <c r="AA566" s="41"/>
      <c r="AB566" s="41"/>
      <c r="AC566" s="41"/>
      <c r="AD566" s="41"/>
      <c r="AE566" s="40"/>
      <c r="AF566" s="45"/>
      <c r="AG566" s="5"/>
      <c r="AH566" s="6"/>
      <c r="AI566" s="45"/>
      <c r="AJ566" s="45"/>
      <c r="AK566" s="40"/>
      <c r="AL566" s="40"/>
      <c r="AM566" s="40"/>
      <c r="AN566" s="45"/>
      <c r="AO566" s="40"/>
    </row>
    <row r="567" spans="2:41" ht="12.75" customHeight="1" x14ac:dyDescent="0.25">
      <c r="B567" s="40"/>
      <c r="C567" s="40"/>
      <c r="D567" s="40"/>
      <c r="E567" s="40"/>
      <c r="F567" s="40"/>
      <c r="G567" s="40"/>
      <c r="H567" s="5"/>
      <c r="Q567" s="40"/>
      <c r="R567" s="40"/>
      <c r="S567" s="40"/>
      <c r="T567" s="40"/>
      <c r="U567" s="40"/>
      <c r="W567" s="40"/>
      <c r="X567" s="40"/>
      <c r="Y567" s="40"/>
      <c r="Z567" s="41"/>
      <c r="AA567" s="41"/>
      <c r="AB567" s="41"/>
      <c r="AC567" s="41"/>
      <c r="AD567" s="41"/>
      <c r="AE567" s="40"/>
      <c r="AF567" s="45"/>
      <c r="AG567" s="5"/>
      <c r="AH567" s="6"/>
      <c r="AI567" s="45"/>
      <c r="AJ567" s="45"/>
      <c r="AK567" s="40"/>
      <c r="AL567" s="40"/>
      <c r="AM567" s="40"/>
      <c r="AN567" s="45"/>
      <c r="AO567" s="40"/>
    </row>
    <row r="568" spans="2:41" ht="12.75" customHeight="1" x14ac:dyDescent="0.25">
      <c r="B568" s="40"/>
      <c r="C568" s="40"/>
      <c r="D568" s="40"/>
      <c r="E568" s="40"/>
      <c r="F568" s="40"/>
      <c r="G568" s="40"/>
      <c r="H568" s="5"/>
      <c r="Q568" s="40"/>
      <c r="R568" s="40"/>
      <c r="S568" s="40"/>
      <c r="T568" s="40"/>
      <c r="U568" s="40"/>
      <c r="W568" s="40"/>
      <c r="X568" s="40"/>
      <c r="Y568" s="40"/>
      <c r="Z568" s="41"/>
      <c r="AA568" s="41"/>
      <c r="AB568" s="41"/>
      <c r="AC568" s="41"/>
      <c r="AD568" s="41"/>
      <c r="AE568" s="40"/>
      <c r="AF568" s="45"/>
      <c r="AG568" s="5"/>
      <c r="AH568" s="6"/>
      <c r="AI568" s="45"/>
      <c r="AJ568" s="45"/>
      <c r="AK568" s="40"/>
      <c r="AL568" s="40"/>
      <c r="AM568" s="40"/>
      <c r="AN568" s="45"/>
      <c r="AO568" s="40"/>
    </row>
    <row r="569" spans="2:41" ht="12.75" customHeight="1" x14ac:dyDescent="0.25">
      <c r="B569" s="40"/>
      <c r="C569" s="40"/>
      <c r="D569" s="40"/>
      <c r="E569" s="40"/>
      <c r="F569" s="40"/>
      <c r="G569" s="40"/>
      <c r="H569" s="5"/>
      <c r="Q569" s="40"/>
      <c r="R569" s="40"/>
      <c r="S569" s="40"/>
      <c r="T569" s="40"/>
      <c r="U569" s="40"/>
      <c r="W569" s="40"/>
      <c r="X569" s="40"/>
      <c r="Y569" s="40"/>
      <c r="Z569" s="41"/>
      <c r="AA569" s="41"/>
      <c r="AB569" s="41"/>
      <c r="AC569" s="41"/>
      <c r="AD569" s="41"/>
      <c r="AE569" s="40"/>
      <c r="AF569" s="45"/>
      <c r="AG569" s="5"/>
      <c r="AH569" s="6"/>
      <c r="AI569" s="45"/>
      <c r="AJ569" s="45"/>
      <c r="AK569" s="40"/>
      <c r="AL569" s="40"/>
      <c r="AM569" s="40"/>
      <c r="AN569" s="45"/>
      <c r="AO569" s="40"/>
    </row>
    <row r="570" spans="2:41" ht="12.75" customHeight="1" x14ac:dyDescent="0.25">
      <c r="B570" s="40"/>
      <c r="C570" s="40"/>
      <c r="D570" s="40"/>
      <c r="E570" s="40"/>
      <c r="F570" s="40"/>
      <c r="G570" s="40"/>
      <c r="H570" s="5"/>
      <c r="Q570" s="40"/>
      <c r="R570" s="40"/>
      <c r="S570" s="40"/>
      <c r="T570" s="40"/>
      <c r="U570" s="40"/>
      <c r="W570" s="40"/>
      <c r="X570" s="40"/>
      <c r="Y570" s="40"/>
      <c r="Z570" s="41"/>
      <c r="AA570" s="41"/>
      <c r="AB570" s="41"/>
      <c r="AC570" s="41"/>
      <c r="AD570" s="41"/>
      <c r="AE570" s="40"/>
      <c r="AF570" s="45"/>
      <c r="AG570" s="5"/>
      <c r="AH570" s="6"/>
      <c r="AI570" s="45"/>
      <c r="AJ570" s="45"/>
      <c r="AK570" s="40"/>
      <c r="AL570" s="40"/>
      <c r="AM570" s="40"/>
      <c r="AN570" s="45"/>
      <c r="AO570" s="40"/>
    </row>
    <row r="571" spans="2:41" ht="12.75" customHeight="1" x14ac:dyDescent="0.25">
      <c r="B571" s="40"/>
      <c r="C571" s="40"/>
      <c r="D571" s="40"/>
      <c r="E571" s="40"/>
      <c r="F571" s="40"/>
      <c r="G571" s="40"/>
      <c r="H571" s="5"/>
      <c r="Q571" s="40"/>
      <c r="R571" s="40"/>
      <c r="S571" s="40"/>
      <c r="T571" s="40"/>
      <c r="U571" s="40"/>
      <c r="W571" s="40"/>
      <c r="X571" s="40"/>
      <c r="Y571" s="40"/>
      <c r="Z571" s="41"/>
      <c r="AA571" s="41"/>
      <c r="AB571" s="41"/>
      <c r="AC571" s="41"/>
      <c r="AD571" s="41"/>
      <c r="AE571" s="40"/>
      <c r="AF571" s="45"/>
      <c r="AG571" s="5"/>
      <c r="AH571" s="6"/>
      <c r="AI571" s="45"/>
      <c r="AJ571" s="45"/>
      <c r="AK571" s="40"/>
      <c r="AL571" s="40"/>
      <c r="AM571" s="40"/>
      <c r="AN571" s="45"/>
      <c r="AO571" s="40"/>
    </row>
    <row r="572" spans="2:41" ht="12.75" customHeight="1" x14ac:dyDescent="0.25">
      <c r="B572" s="40"/>
      <c r="C572" s="40"/>
      <c r="D572" s="40"/>
      <c r="E572" s="40"/>
      <c r="F572" s="40"/>
      <c r="G572" s="40"/>
      <c r="H572" s="5"/>
      <c r="Q572" s="40"/>
      <c r="R572" s="40"/>
      <c r="S572" s="40"/>
      <c r="T572" s="40"/>
      <c r="U572" s="40"/>
      <c r="W572" s="40"/>
      <c r="X572" s="40"/>
      <c r="Y572" s="40"/>
      <c r="Z572" s="41"/>
      <c r="AA572" s="41"/>
      <c r="AB572" s="41"/>
      <c r="AC572" s="41"/>
      <c r="AD572" s="41"/>
      <c r="AE572" s="40"/>
      <c r="AF572" s="45"/>
      <c r="AG572" s="5"/>
      <c r="AH572" s="6"/>
      <c r="AI572" s="45"/>
      <c r="AJ572" s="45"/>
      <c r="AK572" s="40"/>
      <c r="AL572" s="40"/>
      <c r="AM572" s="40"/>
      <c r="AN572" s="45"/>
      <c r="AO572" s="40"/>
    </row>
    <row r="573" spans="2:41" ht="12.75" customHeight="1" x14ac:dyDescent="0.25">
      <c r="B573" s="40"/>
      <c r="C573" s="40"/>
      <c r="D573" s="40"/>
      <c r="E573" s="40"/>
      <c r="F573" s="40"/>
      <c r="G573" s="40"/>
      <c r="H573" s="5"/>
      <c r="Q573" s="40"/>
      <c r="R573" s="40"/>
      <c r="S573" s="40"/>
      <c r="T573" s="40"/>
      <c r="U573" s="40"/>
      <c r="W573" s="40"/>
      <c r="X573" s="40"/>
      <c r="Y573" s="40"/>
      <c r="Z573" s="41"/>
      <c r="AA573" s="41"/>
      <c r="AB573" s="41"/>
      <c r="AC573" s="41"/>
      <c r="AD573" s="41"/>
      <c r="AE573" s="40"/>
      <c r="AF573" s="45"/>
      <c r="AG573" s="5"/>
      <c r="AH573" s="6"/>
      <c r="AI573" s="45"/>
      <c r="AJ573" s="45"/>
      <c r="AK573" s="40"/>
      <c r="AL573" s="40"/>
      <c r="AM573" s="40"/>
      <c r="AN573" s="45"/>
      <c r="AO573" s="40"/>
    </row>
    <row r="574" spans="2:41" ht="12.75" customHeight="1" x14ac:dyDescent="0.25">
      <c r="B574" s="40"/>
      <c r="C574" s="40"/>
      <c r="D574" s="40"/>
      <c r="E574" s="40"/>
      <c r="F574" s="40"/>
      <c r="G574" s="40"/>
      <c r="H574" s="5"/>
      <c r="Q574" s="40"/>
      <c r="R574" s="40"/>
      <c r="S574" s="40"/>
      <c r="T574" s="40"/>
      <c r="U574" s="40"/>
      <c r="W574" s="40"/>
      <c r="X574" s="40"/>
      <c r="Y574" s="40"/>
      <c r="Z574" s="41"/>
      <c r="AA574" s="41"/>
      <c r="AB574" s="41"/>
      <c r="AC574" s="41"/>
      <c r="AD574" s="41"/>
      <c r="AE574" s="40"/>
      <c r="AF574" s="45"/>
      <c r="AG574" s="5"/>
      <c r="AH574" s="6"/>
      <c r="AI574" s="45"/>
      <c r="AJ574" s="45"/>
      <c r="AK574" s="40"/>
      <c r="AL574" s="40"/>
      <c r="AM574" s="40"/>
      <c r="AN574" s="45"/>
      <c r="AO574" s="40"/>
    </row>
    <row r="575" spans="2:41" ht="12.75" customHeight="1" x14ac:dyDescent="0.25">
      <c r="B575" s="40"/>
      <c r="C575" s="40"/>
      <c r="D575" s="40"/>
      <c r="E575" s="40"/>
      <c r="F575" s="40"/>
      <c r="G575" s="40"/>
      <c r="H575" s="5"/>
      <c r="Q575" s="40"/>
      <c r="R575" s="40"/>
      <c r="S575" s="40"/>
      <c r="T575" s="40"/>
      <c r="U575" s="40"/>
      <c r="W575" s="40"/>
      <c r="X575" s="40"/>
      <c r="Y575" s="40"/>
      <c r="Z575" s="41"/>
      <c r="AA575" s="41"/>
      <c r="AB575" s="41"/>
      <c r="AC575" s="41"/>
      <c r="AD575" s="41"/>
      <c r="AE575" s="40"/>
      <c r="AF575" s="45"/>
      <c r="AG575" s="5"/>
      <c r="AH575" s="6"/>
      <c r="AI575" s="45"/>
      <c r="AJ575" s="45"/>
      <c r="AK575" s="40"/>
      <c r="AL575" s="40"/>
      <c r="AM575" s="40"/>
      <c r="AN575" s="45"/>
      <c r="AO575" s="40"/>
    </row>
    <row r="576" spans="2:41" ht="12.75" customHeight="1" x14ac:dyDescent="0.25">
      <c r="B576" s="40"/>
      <c r="C576" s="40"/>
      <c r="D576" s="40"/>
      <c r="E576" s="40"/>
      <c r="F576" s="40"/>
      <c r="G576" s="40"/>
      <c r="H576" s="5"/>
      <c r="Q576" s="40"/>
      <c r="R576" s="40"/>
      <c r="S576" s="40"/>
      <c r="T576" s="40"/>
      <c r="U576" s="40"/>
      <c r="W576" s="40"/>
      <c r="X576" s="40"/>
      <c r="Y576" s="40"/>
      <c r="Z576" s="41"/>
      <c r="AA576" s="41"/>
      <c r="AB576" s="41"/>
      <c r="AC576" s="41"/>
      <c r="AD576" s="41"/>
      <c r="AE576" s="40"/>
      <c r="AF576" s="45"/>
      <c r="AG576" s="5"/>
      <c r="AH576" s="6"/>
      <c r="AI576" s="45"/>
      <c r="AJ576" s="45"/>
      <c r="AK576" s="40"/>
      <c r="AL576" s="40"/>
      <c r="AM576" s="40"/>
      <c r="AN576" s="45"/>
      <c r="AO576" s="40"/>
    </row>
    <row r="577" spans="2:41" ht="12.75" customHeight="1" x14ac:dyDescent="0.25">
      <c r="B577" s="40"/>
      <c r="C577" s="40"/>
      <c r="D577" s="40"/>
      <c r="E577" s="40"/>
      <c r="F577" s="40"/>
      <c r="G577" s="40"/>
      <c r="H577" s="5"/>
      <c r="Q577" s="40"/>
      <c r="R577" s="40"/>
      <c r="S577" s="40"/>
      <c r="T577" s="40"/>
      <c r="U577" s="40"/>
      <c r="W577" s="40"/>
      <c r="X577" s="40"/>
      <c r="Y577" s="40"/>
      <c r="Z577" s="41"/>
      <c r="AA577" s="41"/>
      <c r="AB577" s="41"/>
      <c r="AC577" s="41"/>
      <c r="AD577" s="41"/>
      <c r="AE577" s="40"/>
      <c r="AF577" s="45"/>
      <c r="AG577" s="5"/>
      <c r="AH577" s="6"/>
      <c r="AI577" s="45"/>
      <c r="AJ577" s="45"/>
      <c r="AK577" s="40"/>
      <c r="AL577" s="40"/>
      <c r="AM577" s="40"/>
      <c r="AN577" s="45"/>
      <c r="AO577" s="40"/>
    </row>
    <row r="578" spans="2:41" ht="12.75" customHeight="1" x14ac:dyDescent="0.25">
      <c r="B578" s="40"/>
      <c r="C578" s="40"/>
      <c r="D578" s="40"/>
      <c r="E578" s="40"/>
      <c r="F578" s="40"/>
      <c r="G578" s="40"/>
      <c r="H578" s="5"/>
      <c r="Q578" s="40"/>
      <c r="R578" s="40"/>
      <c r="S578" s="40"/>
      <c r="T578" s="40"/>
      <c r="U578" s="40"/>
      <c r="W578" s="40"/>
      <c r="X578" s="40"/>
      <c r="Y578" s="40"/>
      <c r="Z578" s="41"/>
      <c r="AA578" s="41"/>
      <c r="AB578" s="41"/>
      <c r="AC578" s="41"/>
      <c r="AD578" s="41"/>
      <c r="AE578" s="40"/>
      <c r="AF578" s="45"/>
      <c r="AG578" s="5"/>
      <c r="AH578" s="6"/>
      <c r="AI578" s="45"/>
      <c r="AJ578" s="45"/>
      <c r="AK578" s="40"/>
      <c r="AL578" s="40"/>
      <c r="AM578" s="40"/>
      <c r="AN578" s="45"/>
      <c r="AO578" s="40"/>
    </row>
    <row r="579" spans="2:41" ht="12.75" customHeight="1" x14ac:dyDescent="0.25">
      <c r="B579" s="40"/>
      <c r="C579" s="40"/>
      <c r="D579" s="40"/>
      <c r="E579" s="40"/>
      <c r="F579" s="40"/>
      <c r="G579" s="40"/>
      <c r="H579" s="5"/>
      <c r="Q579" s="40"/>
      <c r="R579" s="40"/>
      <c r="S579" s="40"/>
      <c r="T579" s="40"/>
      <c r="U579" s="40"/>
      <c r="W579" s="40"/>
      <c r="X579" s="40"/>
      <c r="Y579" s="40"/>
      <c r="Z579" s="41"/>
      <c r="AA579" s="41"/>
      <c r="AB579" s="41"/>
      <c r="AC579" s="41"/>
      <c r="AD579" s="41"/>
      <c r="AE579" s="40"/>
      <c r="AF579" s="45"/>
      <c r="AG579" s="5"/>
      <c r="AH579" s="6"/>
      <c r="AI579" s="45"/>
      <c r="AJ579" s="45"/>
      <c r="AK579" s="40"/>
      <c r="AL579" s="40"/>
      <c r="AM579" s="40"/>
      <c r="AN579" s="45"/>
      <c r="AO579" s="40"/>
    </row>
    <row r="580" spans="2:41" ht="12.75" customHeight="1" x14ac:dyDescent="0.25">
      <c r="B580" s="40"/>
      <c r="C580" s="40"/>
      <c r="D580" s="40"/>
      <c r="E580" s="40"/>
      <c r="F580" s="40"/>
      <c r="G580" s="40"/>
      <c r="H580" s="5"/>
      <c r="Q580" s="40"/>
      <c r="R580" s="40"/>
      <c r="S580" s="40"/>
      <c r="T580" s="40"/>
      <c r="U580" s="40"/>
      <c r="W580" s="40"/>
      <c r="X580" s="40"/>
      <c r="Y580" s="40"/>
      <c r="Z580" s="41"/>
      <c r="AA580" s="41"/>
      <c r="AB580" s="41"/>
      <c r="AC580" s="41"/>
      <c r="AD580" s="41"/>
      <c r="AE580" s="40"/>
      <c r="AF580" s="45"/>
      <c r="AG580" s="5"/>
      <c r="AH580" s="6"/>
      <c r="AI580" s="45"/>
      <c r="AJ580" s="45"/>
      <c r="AK580" s="40"/>
      <c r="AL580" s="40"/>
      <c r="AM580" s="40"/>
      <c r="AN580" s="45"/>
      <c r="AO580" s="40"/>
    </row>
    <row r="581" spans="2:41" ht="12.75" customHeight="1" x14ac:dyDescent="0.25">
      <c r="B581" s="40"/>
      <c r="C581" s="40"/>
      <c r="D581" s="40"/>
      <c r="E581" s="40"/>
      <c r="F581" s="40"/>
      <c r="G581" s="40"/>
      <c r="H581" s="5"/>
      <c r="Q581" s="40"/>
      <c r="R581" s="40"/>
      <c r="S581" s="40"/>
      <c r="T581" s="40"/>
      <c r="U581" s="40"/>
      <c r="W581" s="40"/>
      <c r="X581" s="40"/>
      <c r="Y581" s="40"/>
      <c r="Z581" s="41"/>
      <c r="AA581" s="41"/>
      <c r="AB581" s="41"/>
      <c r="AC581" s="41"/>
      <c r="AD581" s="41"/>
      <c r="AE581" s="40"/>
      <c r="AF581" s="45"/>
      <c r="AG581" s="5"/>
      <c r="AH581" s="6"/>
      <c r="AI581" s="45"/>
      <c r="AJ581" s="45"/>
      <c r="AK581" s="40"/>
      <c r="AL581" s="40"/>
      <c r="AM581" s="40"/>
      <c r="AN581" s="45"/>
      <c r="AO581" s="40"/>
    </row>
    <row r="582" spans="2:41" ht="12.75" customHeight="1" x14ac:dyDescent="0.25">
      <c r="B582" s="40"/>
      <c r="C582" s="40"/>
      <c r="D582" s="40"/>
      <c r="E582" s="40"/>
      <c r="F582" s="40"/>
      <c r="G582" s="40"/>
      <c r="H582" s="5"/>
      <c r="Q582" s="40"/>
      <c r="R582" s="40"/>
      <c r="S582" s="40"/>
      <c r="T582" s="40"/>
      <c r="U582" s="40"/>
      <c r="W582" s="40"/>
      <c r="X582" s="40"/>
      <c r="Y582" s="40"/>
      <c r="Z582" s="41"/>
      <c r="AA582" s="41"/>
      <c r="AB582" s="41"/>
      <c r="AC582" s="41"/>
      <c r="AD582" s="41"/>
      <c r="AE582" s="40"/>
      <c r="AF582" s="45"/>
      <c r="AG582" s="5"/>
      <c r="AH582" s="6"/>
      <c r="AI582" s="45"/>
      <c r="AJ582" s="45"/>
      <c r="AK582" s="40"/>
      <c r="AL582" s="40"/>
      <c r="AM582" s="40"/>
      <c r="AN582" s="45"/>
      <c r="AO582" s="40"/>
    </row>
    <row r="583" spans="2:41" ht="12.75" customHeight="1" x14ac:dyDescent="0.25">
      <c r="B583" s="40"/>
      <c r="C583" s="40"/>
      <c r="D583" s="40"/>
      <c r="E583" s="40"/>
      <c r="F583" s="40"/>
      <c r="G583" s="40"/>
      <c r="H583" s="5"/>
      <c r="Q583" s="40"/>
      <c r="R583" s="40"/>
      <c r="S583" s="40"/>
      <c r="T583" s="40"/>
      <c r="U583" s="40"/>
      <c r="W583" s="40"/>
      <c r="X583" s="40"/>
      <c r="Y583" s="40"/>
      <c r="Z583" s="41"/>
      <c r="AA583" s="41"/>
      <c r="AB583" s="41"/>
      <c r="AC583" s="41"/>
      <c r="AD583" s="41"/>
      <c r="AE583" s="40"/>
      <c r="AF583" s="45"/>
      <c r="AG583" s="5"/>
      <c r="AH583" s="6"/>
      <c r="AI583" s="45"/>
      <c r="AJ583" s="45"/>
      <c r="AK583" s="40"/>
      <c r="AL583" s="40"/>
      <c r="AM583" s="40"/>
      <c r="AN583" s="45"/>
      <c r="AO583" s="40"/>
    </row>
    <row r="584" spans="2:41" ht="12.75" customHeight="1" x14ac:dyDescent="0.25">
      <c r="B584" s="40"/>
      <c r="C584" s="40"/>
      <c r="D584" s="40"/>
      <c r="E584" s="40"/>
      <c r="F584" s="40"/>
      <c r="G584" s="40"/>
      <c r="H584" s="5"/>
      <c r="Q584" s="40"/>
      <c r="R584" s="40"/>
      <c r="S584" s="40"/>
      <c r="T584" s="40"/>
      <c r="U584" s="40"/>
      <c r="W584" s="40"/>
      <c r="X584" s="40"/>
      <c r="Y584" s="40"/>
      <c r="Z584" s="41"/>
      <c r="AA584" s="41"/>
      <c r="AB584" s="41"/>
      <c r="AC584" s="41"/>
      <c r="AD584" s="41"/>
      <c r="AE584" s="40"/>
      <c r="AF584" s="45"/>
      <c r="AG584" s="5"/>
      <c r="AH584" s="6"/>
      <c r="AI584" s="45"/>
      <c r="AJ584" s="45"/>
      <c r="AK584" s="40"/>
      <c r="AL584" s="40"/>
      <c r="AM584" s="40"/>
      <c r="AN584" s="45"/>
      <c r="AO584" s="40"/>
    </row>
    <row r="585" spans="2:41" ht="12.75" customHeight="1" x14ac:dyDescent="0.25">
      <c r="B585" s="40"/>
      <c r="C585" s="40"/>
      <c r="D585" s="40"/>
      <c r="E585" s="40"/>
      <c r="F585" s="40"/>
      <c r="G585" s="40"/>
      <c r="H585" s="5"/>
      <c r="Q585" s="40"/>
      <c r="R585" s="40"/>
      <c r="S585" s="40"/>
      <c r="T585" s="40"/>
      <c r="U585" s="40"/>
      <c r="W585" s="40"/>
      <c r="X585" s="40"/>
      <c r="Y585" s="40"/>
      <c r="Z585" s="41"/>
      <c r="AA585" s="41"/>
      <c r="AB585" s="41"/>
      <c r="AC585" s="41"/>
      <c r="AD585" s="41"/>
      <c r="AE585" s="40"/>
      <c r="AF585" s="45"/>
      <c r="AG585" s="5"/>
      <c r="AH585" s="6"/>
      <c r="AI585" s="45"/>
      <c r="AJ585" s="45"/>
      <c r="AK585" s="40"/>
      <c r="AL585" s="40"/>
      <c r="AM585" s="40"/>
      <c r="AN585" s="45"/>
      <c r="AO585" s="40"/>
    </row>
    <row r="586" spans="2:41" ht="12.75" customHeight="1" x14ac:dyDescent="0.25">
      <c r="B586" s="40"/>
      <c r="C586" s="40"/>
      <c r="D586" s="40"/>
      <c r="E586" s="40"/>
      <c r="F586" s="40"/>
      <c r="G586" s="40"/>
      <c r="H586" s="5"/>
      <c r="Q586" s="40"/>
      <c r="R586" s="40"/>
      <c r="S586" s="40"/>
      <c r="T586" s="40"/>
      <c r="U586" s="40"/>
      <c r="W586" s="40"/>
      <c r="X586" s="40"/>
      <c r="Y586" s="40"/>
      <c r="Z586" s="41"/>
      <c r="AA586" s="41"/>
      <c r="AB586" s="41"/>
      <c r="AC586" s="41"/>
      <c r="AD586" s="41"/>
      <c r="AE586" s="40"/>
      <c r="AF586" s="45"/>
      <c r="AG586" s="5"/>
      <c r="AH586" s="6"/>
      <c r="AI586" s="45"/>
      <c r="AJ586" s="45"/>
      <c r="AK586" s="40"/>
      <c r="AL586" s="40"/>
      <c r="AM586" s="40"/>
      <c r="AN586" s="45"/>
      <c r="AO586" s="40"/>
    </row>
    <row r="587" spans="2:41" ht="12.75" customHeight="1" x14ac:dyDescent="0.25">
      <c r="B587" s="40"/>
      <c r="C587" s="40"/>
      <c r="D587" s="40"/>
      <c r="E587" s="40"/>
      <c r="F587" s="40"/>
      <c r="G587" s="40"/>
      <c r="H587" s="5"/>
      <c r="Q587" s="40"/>
      <c r="R587" s="40"/>
      <c r="S587" s="40"/>
      <c r="T587" s="40"/>
      <c r="U587" s="40"/>
      <c r="W587" s="40"/>
      <c r="X587" s="40"/>
      <c r="Y587" s="40"/>
      <c r="Z587" s="41"/>
      <c r="AA587" s="41"/>
      <c r="AB587" s="41"/>
      <c r="AC587" s="41"/>
      <c r="AD587" s="41"/>
      <c r="AE587" s="40"/>
      <c r="AF587" s="45"/>
      <c r="AG587" s="5"/>
      <c r="AH587" s="6"/>
      <c r="AI587" s="45"/>
      <c r="AJ587" s="45"/>
      <c r="AK587" s="40"/>
      <c r="AL587" s="40"/>
      <c r="AM587" s="40"/>
      <c r="AN587" s="45"/>
      <c r="AO587" s="40"/>
    </row>
    <row r="588" spans="2:41" ht="12.75" customHeight="1" x14ac:dyDescent="0.25">
      <c r="B588" s="40"/>
      <c r="C588" s="40"/>
      <c r="D588" s="40"/>
      <c r="E588" s="40"/>
      <c r="F588" s="40"/>
      <c r="G588" s="40"/>
      <c r="H588" s="5"/>
      <c r="Q588" s="40"/>
      <c r="R588" s="40"/>
      <c r="S588" s="40"/>
      <c r="T588" s="40"/>
      <c r="U588" s="40"/>
      <c r="W588" s="40"/>
      <c r="X588" s="40"/>
      <c r="Y588" s="40"/>
      <c r="Z588" s="41"/>
      <c r="AA588" s="41"/>
      <c r="AB588" s="41"/>
      <c r="AC588" s="41"/>
      <c r="AD588" s="41"/>
      <c r="AE588" s="40"/>
      <c r="AF588" s="45"/>
      <c r="AG588" s="5"/>
      <c r="AH588" s="6"/>
      <c r="AI588" s="45"/>
      <c r="AJ588" s="45"/>
      <c r="AK588" s="40"/>
      <c r="AL588" s="40"/>
      <c r="AM588" s="40"/>
      <c r="AN588" s="45"/>
      <c r="AO588" s="40"/>
    </row>
    <row r="589" spans="2:41" ht="12.75" customHeight="1" x14ac:dyDescent="0.25">
      <c r="B589" s="40"/>
      <c r="C589" s="40"/>
      <c r="D589" s="40"/>
      <c r="E589" s="40"/>
      <c r="F589" s="40"/>
      <c r="G589" s="40"/>
      <c r="H589" s="5"/>
      <c r="Q589" s="40"/>
      <c r="R589" s="40"/>
      <c r="S589" s="40"/>
      <c r="T589" s="40"/>
      <c r="U589" s="40"/>
      <c r="W589" s="40"/>
      <c r="X589" s="40"/>
      <c r="Y589" s="40"/>
      <c r="Z589" s="41"/>
      <c r="AA589" s="41"/>
      <c r="AB589" s="41"/>
      <c r="AC589" s="41"/>
      <c r="AD589" s="41"/>
      <c r="AE589" s="40"/>
      <c r="AF589" s="45"/>
      <c r="AG589" s="5"/>
      <c r="AH589" s="6"/>
      <c r="AI589" s="45"/>
      <c r="AJ589" s="45"/>
      <c r="AK589" s="40"/>
      <c r="AL589" s="40"/>
      <c r="AM589" s="40"/>
      <c r="AN589" s="45"/>
      <c r="AO589" s="40"/>
    </row>
    <row r="590" spans="2:41" ht="12.75" customHeight="1" x14ac:dyDescent="0.25">
      <c r="B590" s="40"/>
      <c r="C590" s="40"/>
      <c r="D590" s="40"/>
      <c r="E590" s="40"/>
      <c r="F590" s="40"/>
      <c r="G590" s="40"/>
      <c r="H590" s="5"/>
      <c r="Q590" s="40"/>
      <c r="R590" s="40"/>
      <c r="S590" s="40"/>
      <c r="T590" s="40"/>
      <c r="U590" s="40"/>
      <c r="W590" s="40"/>
      <c r="X590" s="40"/>
      <c r="Y590" s="40"/>
      <c r="Z590" s="41"/>
      <c r="AA590" s="41"/>
      <c r="AB590" s="41"/>
      <c r="AC590" s="41"/>
      <c r="AD590" s="41"/>
      <c r="AE590" s="40"/>
      <c r="AF590" s="45"/>
      <c r="AG590" s="5"/>
      <c r="AH590" s="6"/>
      <c r="AI590" s="45"/>
      <c r="AJ590" s="45"/>
      <c r="AK590" s="40"/>
      <c r="AL590" s="40"/>
      <c r="AM590" s="40"/>
      <c r="AN590" s="45"/>
      <c r="AO590" s="40"/>
    </row>
    <row r="591" spans="2:41" ht="12.75" customHeight="1" x14ac:dyDescent="0.25">
      <c r="B591" s="40"/>
      <c r="C591" s="40"/>
      <c r="D591" s="40"/>
      <c r="E591" s="40"/>
      <c r="F591" s="40"/>
      <c r="G591" s="40"/>
      <c r="H591" s="5"/>
      <c r="Q591" s="40"/>
      <c r="R591" s="40"/>
      <c r="S591" s="40"/>
      <c r="T591" s="40"/>
      <c r="U591" s="40"/>
      <c r="W591" s="40"/>
      <c r="X591" s="40"/>
      <c r="Y591" s="40"/>
      <c r="Z591" s="41"/>
      <c r="AA591" s="41"/>
      <c r="AB591" s="41"/>
      <c r="AC591" s="41"/>
      <c r="AD591" s="41"/>
      <c r="AE591" s="40"/>
      <c r="AF591" s="45"/>
      <c r="AG591" s="5"/>
      <c r="AH591" s="6"/>
      <c r="AI591" s="45"/>
      <c r="AJ591" s="45"/>
      <c r="AK591" s="40"/>
      <c r="AL591" s="40"/>
      <c r="AM591" s="40"/>
      <c r="AN591" s="45"/>
      <c r="AO591" s="40"/>
    </row>
    <row r="592" spans="2:41" ht="12.75" customHeight="1" x14ac:dyDescent="0.25">
      <c r="B592" s="40"/>
      <c r="C592" s="40"/>
      <c r="D592" s="40"/>
      <c r="E592" s="40"/>
      <c r="F592" s="40"/>
      <c r="G592" s="40"/>
      <c r="H592" s="5"/>
      <c r="Q592" s="40"/>
      <c r="R592" s="40"/>
      <c r="S592" s="40"/>
      <c r="T592" s="40"/>
      <c r="U592" s="40"/>
      <c r="W592" s="40"/>
      <c r="X592" s="40"/>
      <c r="Y592" s="40"/>
      <c r="Z592" s="41"/>
      <c r="AA592" s="41"/>
      <c r="AB592" s="41"/>
      <c r="AC592" s="41"/>
      <c r="AD592" s="41"/>
      <c r="AE592" s="40"/>
      <c r="AF592" s="45"/>
      <c r="AG592" s="5"/>
      <c r="AH592" s="6"/>
      <c r="AI592" s="45"/>
      <c r="AJ592" s="45"/>
      <c r="AK592" s="40"/>
      <c r="AL592" s="40"/>
      <c r="AM592" s="40"/>
      <c r="AN592" s="45"/>
      <c r="AO592" s="40"/>
    </row>
    <row r="593" spans="2:41" ht="12.75" customHeight="1" x14ac:dyDescent="0.25">
      <c r="B593" s="40"/>
      <c r="C593" s="40"/>
      <c r="D593" s="40"/>
      <c r="E593" s="40"/>
      <c r="F593" s="40"/>
      <c r="G593" s="40"/>
      <c r="H593" s="5"/>
      <c r="Q593" s="40"/>
      <c r="R593" s="40"/>
      <c r="S593" s="40"/>
      <c r="T593" s="40"/>
      <c r="U593" s="40"/>
      <c r="W593" s="40"/>
      <c r="X593" s="40"/>
      <c r="Y593" s="40"/>
      <c r="Z593" s="41"/>
      <c r="AA593" s="41"/>
      <c r="AB593" s="41"/>
      <c r="AC593" s="41"/>
      <c r="AD593" s="41"/>
      <c r="AE593" s="40"/>
      <c r="AF593" s="45"/>
      <c r="AG593" s="5"/>
      <c r="AH593" s="6"/>
      <c r="AI593" s="45"/>
      <c r="AJ593" s="45"/>
      <c r="AK593" s="40"/>
      <c r="AL593" s="40"/>
      <c r="AM593" s="40"/>
      <c r="AN593" s="45"/>
      <c r="AO593" s="40"/>
    </row>
    <row r="594" spans="2:41" ht="12.75" customHeight="1" x14ac:dyDescent="0.25">
      <c r="B594" s="40"/>
      <c r="C594" s="40"/>
      <c r="D594" s="40"/>
      <c r="E594" s="40"/>
      <c r="F594" s="40"/>
      <c r="G594" s="40"/>
      <c r="H594" s="5"/>
      <c r="Q594" s="40"/>
      <c r="R594" s="40"/>
      <c r="S594" s="40"/>
      <c r="T594" s="40"/>
      <c r="U594" s="40"/>
      <c r="W594" s="40"/>
      <c r="X594" s="40"/>
      <c r="Y594" s="40"/>
      <c r="Z594" s="41"/>
      <c r="AA594" s="41"/>
      <c r="AB594" s="41"/>
      <c r="AC594" s="41"/>
      <c r="AD594" s="41"/>
      <c r="AE594" s="40"/>
      <c r="AF594" s="45"/>
      <c r="AG594" s="5"/>
      <c r="AH594" s="6"/>
      <c r="AI594" s="45"/>
      <c r="AJ594" s="45"/>
      <c r="AK594" s="40"/>
      <c r="AL594" s="40"/>
      <c r="AM594" s="40"/>
      <c r="AN594" s="45"/>
      <c r="AO594" s="40"/>
    </row>
    <row r="595" spans="2:41" ht="12.75" customHeight="1" x14ac:dyDescent="0.25">
      <c r="B595" s="40"/>
      <c r="C595" s="40"/>
      <c r="D595" s="40"/>
      <c r="E595" s="40"/>
      <c r="F595" s="40"/>
      <c r="G595" s="40"/>
      <c r="H595" s="5"/>
      <c r="Q595" s="40"/>
      <c r="R595" s="40"/>
      <c r="S595" s="40"/>
      <c r="T595" s="40"/>
      <c r="U595" s="40"/>
      <c r="W595" s="40"/>
      <c r="X595" s="40"/>
      <c r="Y595" s="40"/>
      <c r="Z595" s="41"/>
      <c r="AA595" s="41"/>
      <c r="AB595" s="41"/>
      <c r="AC595" s="41"/>
      <c r="AD595" s="41"/>
      <c r="AE595" s="40"/>
      <c r="AF595" s="45"/>
      <c r="AG595" s="5"/>
      <c r="AH595" s="6"/>
      <c r="AI595" s="45"/>
      <c r="AJ595" s="45"/>
      <c r="AK595" s="40"/>
      <c r="AL595" s="40"/>
      <c r="AM595" s="40"/>
      <c r="AN595" s="45"/>
      <c r="AO595" s="40"/>
    </row>
    <row r="596" spans="2:41" ht="12.75" customHeight="1" x14ac:dyDescent="0.25">
      <c r="B596" s="40"/>
      <c r="C596" s="40"/>
      <c r="D596" s="40"/>
      <c r="E596" s="40"/>
      <c r="F596" s="40"/>
      <c r="G596" s="40"/>
      <c r="H596" s="5"/>
      <c r="Q596" s="40"/>
      <c r="R596" s="40"/>
      <c r="S596" s="40"/>
      <c r="T596" s="40"/>
      <c r="U596" s="40"/>
      <c r="W596" s="40"/>
      <c r="X596" s="40"/>
      <c r="Y596" s="40"/>
      <c r="Z596" s="41"/>
      <c r="AA596" s="41"/>
      <c r="AB596" s="41"/>
      <c r="AC596" s="41"/>
      <c r="AD596" s="41"/>
      <c r="AE596" s="40"/>
      <c r="AF596" s="45"/>
      <c r="AG596" s="5"/>
      <c r="AH596" s="6"/>
      <c r="AI596" s="45"/>
      <c r="AJ596" s="45"/>
      <c r="AK596" s="40"/>
      <c r="AL596" s="40"/>
      <c r="AM596" s="40"/>
      <c r="AN596" s="45"/>
      <c r="AO596" s="40"/>
    </row>
    <row r="597" spans="2:41" ht="12.75" customHeight="1" x14ac:dyDescent="0.25">
      <c r="B597" s="40"/>
      <c r="C597" s="40"/>
      <c r="D597" s="40"/>
      <c r="E597" s="40"/>
      <c r="F597" s="40"/>
      <c r="G597" s="40"/>
      <c r="H597" s="5"/>
      <c r="Q597" s="40"/>
      <c r="R597" s="40"/>
      <c r="S597" s="40"/>
      <c r="T597" s="40"/>
      <c r="U597" s="40"/>
      <c r="W597" s="40"/>
      <c r="X597" s="40"/>
      <c r="Y597" s="40"/>
      <c r="Z597" s="41"/>
      <c r="AA597" s="41"/>
      <c r="AB597" s="41"/>
      <c r="AC597" s="41"/>
      <c r="AD597" s="41"/>
      <c r="AE597" s="40"/>
      <c r="AF597" s="45"/>
      <c r="AG597" s="5"/>
      <c r="AH597" s="6"/>
      <c r="AI597" s="45"/>
      <c r="AJ597" s="45"/>
      <c r="AK597" s="40"/>
      <c r="AL597" s="40"/>
      <c r="AM597" s="40"/>
      <c r="AN597" s="45"/>
      <c r="AO597" s="40"/>
    </row>
    <row r="598" spans="2:41" ht="12.75" customHeight="1" x14ac:dyDescent="0.25">
      <c r="B598" s="40"/>
      <c r="C598" s="40"/>
      <c r="D598" s="40"/>
      <c r="E598" s="40"/>
      <c r="F598" s="40"/>
      <c r="G598" s="40"/>
      <c r="H598" s="5"/>
      <c r="Q598" s="40"/>
      <c r="R598" s="40"/>
      <c r="S598" s="40"/>
      <c r="T598" s="40"/>
      <c r="U598" s="40"/>
      <c r="W598" s="40"/>
      <c r="X598" s="40"/>
      <c r="Y598" s="40"/>
      <c r="Z598" s="41"/>
      <c r="AA598" s="41"/>
      <c r="AB598" s="41"/>
      <c r="AC598" s="41"/>
      <c r="AD598" s="41"/>
      <c r="AE598" s="40"/>
      <c r="AF598" s="45"/>
      <c r="AG598" s="5"/>
      <c r="AH598" s="6"/>
      <c r="AI598" s="45"/>
      <c r="AJ598" s="45"/>
      <c r="AK598" s="40"/>
      <c r="AL598" s="40"/>
      <c r="AM598" s="40"/>
      <c r="AN598" s="45"/>
      <c r="AO598" s="40"/>
    </row>
    <row r="599" spans="2:41" ht="12.75" customHeight="1" x14ac:dyDescent="0.25">
      <c r="B599" s="40"/>
      <c r="C599" s="40"/>
      <c r="D599" s="40"/>
      <c r="E599" s="40"/>
      <c r="F599" s="40"/>
      <c r="G599" s="40"/>
      <c r="H599" s="5"/>
      <c r="Q599" s="40"/>
      <c r="R599" s="40"/>
      <c r="S599" s="40"/>
      <c r="T599" s="40"/>
      <c r="U599" s="40"/>
      <c r="W599" s="40"/>
      <c r="X599" s="40"/>
      <c r="Y599" s="40"/>
      <c r="Z599" s="41"/>
      <c r="AA599" s="41"/>
      <c r="AB599" s="41"/>
      <c r="AC599" s="41"/>
      <c r="AD599" s="41"/>
      <c r="AE599" s="40"/>
      <c r="AF599" s="45"/>
      <c r="AG599" s="5"/>
      <c r="AH599" s="6"/>
      <c r="AI599" s="45"/>
      <c r="AJ599" s="45"/>
      <c r="AK599" s="40"/>
      <c r="AL599" s="40"/>
      <c r="AM599" s="40"/>
      <c r="AN599" s="45"/>
      <c r="AO599" s="40"/>
    </row>
    <row r="600" spans="2:41" ht="12.75" customHeight="1" x14ac:dyDescent="0.25">
      <c r="B600" s="40"/>
      <c r="C600" s="40"/>
      <c r="D600" s="40"/>
      <c r="E600" s="40"/>
      <c r="F600" s="40"/>
      <c r="G600" s="40"/>
      <c r="H600" s="5"/>
      <c r="Q600" s="40"/>
      <c r="R600" s="40"/>
      <c r="S600" s="40"/>
      <c r="T600" s="40"/>
      <c r="U600" s="40"/>
      <c r="W600" s="40"/>
      <c r="X600" s="40"/>
      <c r="Y600" s="40"/>
      <c r="Z600" s="41"/>
      <c r="AA600" s="41"/>
      <c r="AB600" s="41"/>
      <c r="AC600" s="41"/>
      <c r="AD600" s="41"/>
      <c r="AE600" s="40"/>
      <c r="AF600" s="45"/>
      <c r="AG600" s="5"/>
      <c r="AH600" s="6"/>
      <c r="AI600" s="45"/>
      <c r="AJ600" s="45"/>
      <c r="AK600" s="40"/>
      <c r="AL600" s="40"/>
      <c r="AM600" s="40"/>
      <c r="AN600" s="45"/>
      <c r="AO600" s="40"/>
    </row>
    <row r="601" spans="2:41" ht="12.75" customHeight="1" x14ac:dyDescent="0.25">
      <c r="B601" s="40"/>
      <c r="C601" s="40"/>
      <c r="D601" s="40"/>
      <c r="E601" s="40"/>
      <c r="F601" s="40"/>
      <c r="G601" s="40"/>
      <c r="H601" s="5"/>
      <c r="Q601" s="40"/>
      <c r="R601" s="40"/>
      <c r="S601" s="40"/>
      <c r="T601" s="40"/>
      <c r="U601" s="40"/>
      <c r="W601" s="40"/>
      <c r="X601" s="40"/>
      <c r="Y601" s="40"/>
      <c r="Z601" s="41"/>
      <c r="AA601" s="41"/>
      <c r="AB601" s="41"/>
      <c r="AC601" s="41"/>
      <c r="AD601" s="41"/>
      <c r="AE601" s="40"/>
      <c r="AF601" s="45"/>
      <c r="AG601" s="5"/>
      <c r="AH601" s="6"/>
      <c r="AI601" s="45"/>
      <c r="AJ601" s="45"/>
      <c r="AK601" s="40"/>
      <c r="AL601" s="40"/>
      <c r="AM601" s="40"/>
      <c r="AN601" s="45"/>
      <c r="AO601" s="40"/>
    </row>
    <row r="602" spans="2:41" ht="12.75" customHeight="1" x14ac:dyDescent="0.25">
      <c r="B602" s="40"/>
      <c r="C602" s="40"/>
      <c r="D602" s="40"/>
      <c r="E602" s="40"/>
      <c r="F602" s="40"/>
      <c r="G602" s="40"/>
      <c r="H602" s="5"/>
      <c r="Q602" s="40"/>
      <c r="R602" s="40"/>
      <c r="S602" s="40"/>
      <c r="T602" s="40"/>
      <c r="U602" s="40"/>
      <c r="W602" s="40"/>
      <c r="X602" s="40"/>
      <c r="Y602" s="40"/>
      <c r="Z602" s="41"/>
      <c r="AA602" s="41"/>
      <c r="AB602" s="41"/>
      <c r="AC602" s="41"/>
      <c r="AD602" s="41"/>
      <c r="AE602" s="40"/>
      <c r="AF602" s="45"/>
      <c r="AG602" s="5"/>
      <c r="AH602" s="6"/>
      <c r="AI602" s="45"/>
      <c r="AJ602" s="45"/>
      <c r="AK602" s="40"/>
      <c r="AL602" s="40"/>
      <c r="AM602" s="40"/>
      <c r="AN602" s="45"/>
      <c r="AO602" s="40"/>
    </row>
    <row r="603" spans="2:41" ht="12.75" customHeight="1" x14ac:dyDescent="0.25">
      <c r="B603" s="40"/>
      <c r="C603" s="40"/>
      <c r="D603" s="40"/>
      <c r="E603" s="40"/>
      <c r="F603" s="40"/>
      <c r="G603" s="40"/>
      <c r="H603" s="5"/>
      <c r="Q603" s="40"/>
      <c r="R603" s="40"/>
      <c r="S603" s="40"/>
      <c r="T603" s="40"/>
      <c r="U603" s="40"/>
      <c r="W603" s="40"/>
      <c r="X603" s="40"/>
      <c r="Y603" s="40"/>
      <c r="Z603" s="41"/>
      <c r="AA603" s="41"/>
      <c r="AB603" s="41"/>
      <c r="AC603" s="41"/>
      <c r="AD603" s="41"/>
      <c r="AE603" s="40"/>
      <c r="AF603" s="45"/>
      <c r="AG603" s="5"/>
      <c r="AH603" s="6"/>
      <c r="AI603" s="45"/>
      <c r="AJ603" s="45"/>
      <c r="AK603" s="40"/>
      <c r="AL603" s="40"/>
      <c r="AM603" s="40"/>
      <c r="AN603" s="45"/>
      <c r="AO603" s="40"/>
    </row>
    <row r="604" spans="2:41" ht="12.75" customHeight="1" x14ac:dyDescent="0.25">
      <c r="B604" s="40"/>
      <c r="C604" s="40"/>
      <c r="D604" s="40"/>
      <c r="E604" s="40"/>
      <c r="F604" s="40"/>
      <c r="G604" s="40"/>
      <c r="H604" s="5"/>
      <c r="Q604" s="40"/>
      <c r="R604" s="40"/>
      <c r="S604" s="40"/>
      <c r="T604" s="40"/>
      <c r="U604" s="40"/>
      <c r="W604" s="40"/>
      <c r="X604" s="40"/>
      <c r="Y604" s="40"/>
      <c r="Z604" s="41"/>
      <c r="AA604" s="41"/>
      <c r="AB604" s="41"/>
      <c r="AC604" s="41"/>
      <c r="AD604" s="41"/>
      <c r="AE604" s="40"/>
      <c r="AF604" s="45"/>
      <c r="AG604" s="5"/>
      <c r="AH604" s="6"/>
      <c r="AI604" s="45"/>
      <c r="AJ604" s="45"/>
      <c r="AK604" s="40"/>
      <c r="AL604" s="40"/>
      <c r="AM604" s="40"/>
      <c r="AN604" s="45"/>
      <c r="AO604" s="40"/>
    </row>
    <row r="605" spans="2:41" ht="12.75" customHeight="1" x14ac:dyDescent="0.25">
      <c r="B605" s="40"/>
      <c r="C605" s="40"/>
      <c r="D605" s="40"/>
      <c r="E605" s="40"/>
      <c r="F605" s="40"/>
      <c r="G605" s="40"/>
      <c r="H605" s="5"/>
      <c r="Q605" s="40"/>
      <c r="R605" s="40"/>
      <c r="S605" s="40"/>
      <c r="T605" s="40"/>
      <c r="U605" s="40"/>
      <c r="W605" s="40"/>
      <c r="X605" s="40"/>
      <c r="Y605" s="40"/>
      <c r="Z605" s="41"/>
      <c r="AA605" s="41"/>
      <c r="AB605" s="41"/>
      <c r="AC605" s="41"/>
      <c r="AD605" s="41"/>
      <c r="AE605" s="40"/>
      <c r="AF605" s="45"/>
      <c r="AG605" s="5"/>
      <c r="AH605" s="6"/>
      <c r="AI605" s="45"/>
      <c r="AJ605" s="45"/>
      <c r="AK605" s="40"/>
      <c r="AL605" s="40"/>
      <c r="AM605" s="40"/>
      <c r="AN605" s="45"/>
      <c r="AO605" s="40"/>
    </row>
    <row r="606" spans="2:41" ht="12.75" customHeight="1" x14ac:dyDescent="0.25">
      <c r="B606" s="40"/>
      <c r="C606" s="40"/>
      <c r="D606" s="40"/>
      <c r="E606" s="40"/>
      <c r="F606" s="40"/>
      <c r="G606" s="40"/>
      <c r="H606" s="5"/>
      <c r="Q606" s="40"/>
      <c r="R606" s="40"/>
      <c r="S606" s="40"/>
      <c r="T606" s="40"/>
      <c r="U606" s="40"/>
      <c r="W606" s="40"/>
      <c r="X606" s="40"/>
      <c r="Y606" s="40"/>
      <c r="Z606" s="41"/>
      <c r="AA606" s="41"/>
      <c r="AB606" s="41"/>
      <c r="AC606" s="41"/>
      <c r="AD606" s="41"/>
      <c r="AE606" s="40"/>
      <c r="AF606" s="45"/>
      <c r="AG606" s="5"/>
      <c r="AH606" s="6"/>
      <c r="AI606" s="45"/>
      <c r="AJ606" s="45"/>
      <c r="AK606" s="40"/>
      <c r="AL606" s="40"/>
      <c r="AM606" s="40"/>
      <c r="AN606" s="45"/>
      <c r="AO606" s="40"/>
    </row>
    <row r="607" spans="2:41" ht="12.75" customHeight="1" x14ac:dyDescent="0.25">
      <c r="B607" s="40"/>
      <c r="C607" s="40"/>
      <c r="D607" s="40"/>
      <c r="E607" s="40"/>
      <c r="F607" s="40"/>
      <c r="G607" s="40"/>
      <c r="H607" s="5"/>
      <c r="Q607" s="40"/>
      <c r="R607" s="40"/>
      <c r="S607" s="40"/>
      <c r="T607" s="40"/>
      <c r="U607" s="40"/>
      <c r="W607" s="40"/>
      <c r="X607" s="40"/>
      <c r="Y607" s="40"/>
      <c r="Z607" s="41"/>
      <c r="AA607" s="41"/>
      <c r="AB607" s="41"/>
      <c r="AC607" s="41"/>
      <c r="AD607" s="41"/>
      <c r="AE607" s="40"/>
      <c r="AF607" s="45"/>
      <c r="AG607" s="5"/>
      <c r="AH607" s="6"/>
      <c r="AI607" s="45"/>
      <c r="AJ607" s="45"/>
      <c r="AK607" s="40"/>
      <c r="AL607" s="40"/>
      <c r="AM607" s="40"/>
      <c r="AN607" s="45"/>
      <c r="AO607" s="40"/>
    </row>
    <row r="608" spans="2:41" ht="12.75" customHeight="1" x14ac:dyDescent="0.25">
      <c r="B608" s="40"/>
      <c r="C608" s="40"/>
      <c r="D608" s="40"/>
      <c r="E608" s="40"/>
      <c r="F608" s="40"/>
      <c r="G608" s="40"/>
      <c r="H608" s="5"/>
      <c r="Q608" s="40"/>
      <c r="R608" s="40"/>
      <c r="S608" s="40"/>
      <c r="T608" s="40"/>
      <c r="U608" s="40"/>
      <c r="W608" s="40"/>
      <c r="X608" s="40"/>
      <c r="Y608" s="40"/>
      <c r="Z608" s="41"/>
      <c r="AA608" s="41"/>
      <c r="AB608" s="41"/>
      <c r="AC608" s="41"/>
      <c r="AD608" s="41"/>
      <c r="AE608" s="40"/>
      <c r="AF608" s="45"/>
      <c r="AG608" s="5"/>
      <c r="AH608" s="6"/>
      <c r="AI608" s="45"/>
      <c r="AJ608" s="45"/>
      <c r="AK608" s="40"/>
      <c r="AL608" s="40"/>
      <c r="AM608" s="40"/>
      <c r="AN608" s="45"/>
      <c r="AO608" s="40"/>
    </row>
    <row r="609" spans="2:41" ht="12.75" customHeight="1" x14ac:dyDescent="0.25">
      <c r="B609" s="40"/>
      <c r="C609" s="40"/>
      <c r="D609" s="40"/>
      <c r="E609" s="40"/>
      <c r="F609" s="40"/>
      <c r="G609" s="40"/>
      <c r="H609" s="5"/>
      <c r="Q609" s="40"/>
      <c r="R609" s="40"/>
      <c r="S609" s="40"/>
      <c r="T609" s="40"/>
      <c r="U609" s="40"/>
      <c r="W609" s="40"/>
      <c r="X609" s="40"/>
      <c r="Y609" s="40"/>
      <c r="Z609" s="41"/>
      <c r="AA609" s="41"/>
      <c r="AB609" s="41"/>
      <c r="AC609" s="41"/>
      <c r="AD609" s="41"/>
      <c r="AE609" s="40"/>
      <c r="AF609" s="45"/>
      <c r="AG609" s="5"/>
      <c r="AH609" s="6"/>
      <c r="AI609" s="45"/>
      <c r="AJ609" s="45"/>
      <c r="AK609" s="40"/>
      <c r="AL609" s="40"/>
      <c r="AM609" s="40"/>
      <c r="AN609" s="45"/>
      <c r="AO609" s="40"/>
    </row>
    <row r="610" spans="2:41" ht="12.75" customHeight="1" x14ac:dyDescent="0.25">
      <c r="B610" s="40"/>
      <c r="C610" s="40"/>
      <c r="D610" s="40"/>
      <c r="E610" s="40"/>
      <c r="F610" s="40"/>
      <c r="G610" s="40"/>
      <c r="H610" s="5"/>
      <c r="Q610" s="40"/>
      <c r="R610" s="40"/>
      <c r="S610" s="40"/>
      <c r="T610" s="40"/>
      <c r="U610" s="40"/>
      <c r="W610" s="40"/>
      <c r="X610" s="40"/>
      <c r="Y610" s="40"/>
      <c r="Z610" s="41"/>
      <c r="AA610" s="41"/>
      <c r="AB610" s="41"/>
      <c r="AC610" s="41"/>
      <c r="AD610" s="41"/>
      <c r="AE610" s="40"/>
      <c r="AF610" s="45"/>
      <c r="AG610" s="5"/>
      <c r="AH610" s="6"/>
      <c r="AI610" s="45"/>
      <c r="AJ610" s="45"/>
      <c r="AK610" s="40"/>
      <c r="AL610" s="40"/>
      <c r="AM610" s="40"/>
      <c r="AN610" s="45"/>
      <c r="AO610" s="40"/>
    </row>
    <row r="611" spans="2:41" ht="12.75" customHeight="1" x14ac:dyDescent="0.25">
      <c r="B611" s="40"/>
      <c r="C611" s="40"/>
      <c r="D611" s="40"/>
      <c r="E611" s="40"/>
      <c r="F611" s="40"/>
      <c r="G611" s="40"/>
      <c r="H611" s="5"/>
      <c r="Q611" s="40"/>
      <c r="R611" s="40"/>
      <c r="S611" s="40"/>
      <c r="T611" s="40"/>
      <c r="U611" s="40"/>
      <c r="W611" s="40"/>
      <c r="X611" s="40"/>
      <c r="Y611" s="40"/>
      <c r="Z611" s="41"/>
      <c r="AA611" s="41"/>
      <c r="AB611" s="41"/>
      <c r="AC611" s="41"/>
      <c r="AD611" s="41"/>
      <c r="AE611" s="40"/>
      <c r="AF611" s="45"/>
      <c r="AG611" s="5"/>
      <c r="AH611" s="6"/>
      <c r="AI611" s="45"/>
      <c r="AJ611" s="45"/>
      <c r="AK611" s="40"/>
      <c r="AL611" s="40"/>
      <c r="AM611" s="40"/>
      <c r="AN611" s="45"/>
      <c r="AO611" s="40"/>
    </row>
    <row r="612" spans="2:41" ht="12.75" customHeight="1" x14ac:dyDescent="0.25">
      <c r="B612" s="40"/>
      <c r="C612" s="40"/>
      <c r="D612" s="40"/>
      <c r="E612" s="40"/>
      <c r="F612" s="40"/>
      <c r="G612" s="40"/>
      <c r="H612" s="5"/>
      <c r="Q612" s="40"/>
      <c r="R612" s="40"/>
      <c r="S612" s="40"/>
      <c r="T612" s="40"/>
      <c r="U612" s="40"/>
      <c r="W612" s="40"/>
      <c r="X612" s="40"/>
      <c r="Y612" s="40"/>
      <c r="Z612" s="41"/>
      <c r="AA612" s="41"/>
      <c r="AB612" s="41"/>
      <c r="AC612" s="41"/>
      <c r="AD612" s="41"/>
      <c r="AE612" s="40"/>
      <c r="AF612" s="45"/>
      <c r="AG612" s="5"/>
      <c r="AH612" s="6"/>
      <c r="AI612" s="45"/>
      <c r="AJ612" s="45"/>
      <c r="AK612" s="40"/>
      <c r="AL612" s="40"/>
      <c r="AM612" s="40"/>
      <c r="AN612" s="45"/>
      <c r="AO612" s="40"/>
    </row>
    <row r="613" spans="2:41" ht="12.75" customHeight="1" x14ac:dyDescent="0.25">
      <c r="B613" s="40"/>
      <c r="C613" s="40"/>
      <c r="D613" s="40"/>
      <c r="E613" s="40"/>
      <c r="F613" s="40"/>
      <c r="G613" s="40"/>
      <c r="H613" s="5"/>
      <c r="Q613" s="40"/>
      <c r="R613" s="40"/>
      <c r="S613" s="40"/>
      <c r="T613" s="40"/>
      <c r="U613" s="40"/>
      <c r="W613" s="40"/>
      <c r="X613" s="40"/>
      <c r="Y613" s="40"/>
      <c r="Z613" s="41"/>
      <c r="AA613" s="41"/>
      <c r="AB613" s="41"/>
      <c r="AC613" s="41"/>
      <c r="AD613" s="41"/>
      <c r="AE613" s="40"/>
      <c r="AF613" s="45"/>
      <c r="AG613" s="5"/>
      <c r="AH613" s="6"/>
      <c r="AI613" s="45"/>
      <c r="AJ613" s="45"/>
      <c r="AK613" s="40"/>
      <c r="AL613" s="40"/>
      <c r="AM613" s="40"/>
      <c r="AN613" s="45"/>
      <c r="AO613" s="40"/>
    </row>
    <row r="614" spans="2:41" ht="12.75" customHeight="1" x14ac:dyDescent="0.25">
      <c r="B614" s="40"/>
      <c r="C614" s="40"/>
      <c r="D614" s="40"/>
      <c r="E614" s="40"/>
      <c r="F614" s="40"/>
      <c r="G614" s="40"/>
      <c r="H614" s="5"/>
      <c r="Q614" s="40"/>
      <c r="R614" s="40"/>
      <c r="S614" s="40"/>
      <c r="T614" s="40"/>
      <c r="U614" s="40"/>
      <c r="W614" s="40"/>
      <c r="X614" s="40"/>
      <c r="Y614" s="40"/>
      <c r="Z614" s="41"/>
      <c r="AA614" s="41"/>
      <c r="AB614" s="41"/>
      <c r="AC614" s="41"/>
      <c r="AD614" s="41"/>
      <c r="AE614" s="40"/>
      <c r="AF614" s="45"/>
      <c r="AG614" s="5"/>
      <c r="AH614" s="6"/>
      <c r="AI614" s="45"/>
      <c r="AJ614" s="45"/>
      <c r="AK614" s="40"/>
      <c r="AL614" s="40"/>
      <c r="AM614" s="40"/>
      <c r="AN614" s="45"/>
      <c r="AO614" s="40"/>
    </row>
    <row r="615" spans="2:41" ht="12.75" customHeight="1" x14ac:dyDescent="0.25">
      <c r="B615" s="40"/>
      <c r="C615" s="40"/>
      <c r="D615" s="40"/>
      <c r="E615" s="40"/>
      <c r="F615" s="40"/>
      <c r="G615" s="40"/>
      <c r="H615" s="5"/>
      <c r="Q615" s="40"/>
      <c r="R615" s="40"/>
      <c r="S615" s="40"/>
      <c r="T615" s="40"/>
      <c r="U615" s="40"/>
      <c r="W615" s="40"/>
      <c r="X615" s="40"/>
      <c r="Y615" s="40"/>
      <c r="Z615" s="41"/>
      <c r="AA615" s="41"/>
      <c r="AB615" s="41"/>
      <c r="AC615" s="41"/>
      <c r="AD615" s="41"/>
      <c r="AE615" s="40"/>
      <c r="AF615" s="45"/>
      <c r="AG615" s="5"/>
      <c r="AH615" s="6"/>
      <c r="AI615" s="45"/>
      <c r="AJ615" s="45"/>
      <c r="AK615" s="40"/>
      <c r="AL615" s="40"/>
      <c r="AM615" s="40"/>
      <c r="AN615" s="45"/>
      <c r="AO615" s="40"/>
    </row>
    <row r="616" spans="2:41" ht="12.75" customHeight="1" x14ac:dyDescent="0.25">
      <c r="B616" s="40"/>
      <c r="C616" s="40"/>
      <c r="D616" s="40"/>
      <c r="E616" s="40"/>
      <c r="F616" s="40"/>
      <c r="G616" s="40"/>
      <c r="H616" s="5"/>
      <c r="Q616" s="40"/>
      <c r="R616" s="40"/>
      <c r="S616" s="40"/>
      <c r="T616" s="40"/>
      <c r="U616" s="40"/>
      <c r="W616" s="40"/>
      <c r="X616" s="40"/>
      <c r="Y616" s="40"/>
      <c r="Z616" s="41"/>
      <c r="AA616" s="41"/>
      <c r="AB616" s="41"/>
      <c r="AC616" s="41"/>
      <c r="AD616" s="41"/>
      <c r="AE616" s="40"/>
      <c r="AF616" s="45"/>
      <c r="AG616" s="5"/>
      <c r="AH616" s="6"/>
      <c r="AI616" s="45"/>
      <c r="AJ616" s="45"/>
      <c r="AK616" s="40"/>
      <c r="AL616" s="40"/>
      <c r="AM616" s="40"/>
      <c r="AN616" s="45"/>
      <c r="AO616" s="40"/>
    </row>
    <row r="617" spans="2:41" ht="12.75" customHeight="1" x14ac:dyDescent="0.25">
      <c r="B617" s="40"/>
      <c r="C617" s="40"/>
      <c r="D617" s="40"/>
      <c r="E617" s="40"/>
      <c r="F617" s="40"/>
      <c r="G617" s="40"/>
      <c r="H617" s="5"/>
      <c r="Q617" s="40"/>
      <c r="R617" s="40"/>
      <c r="S617" s="40"/>
      <c r="T617" s="40"/>
      <c r="U617" s="40"/>
      <c r="W617" s="40"/>
      <c r="X617" s="40"/>
      <c r="Y617" s="40"/>
      <c r="Z617" s="41"/>
      <c r="AA617" s="41"/>
      <c r="AB617" s="41"/>
      <c r="AC617" s="41"/>
      <c r="AD617" s="41"/>
      <c r="AE617" s="40"/>
      <c r="AF617" s="45"/>
      <c r="AG617" s="5"/>
      <c r="AH617" s="6"/>
      <c r="AI617" s="45"/>
      <c r="AJ617" s="45"/>
      <c r="AK617" s="40"/>
      <c r="AL617" s="40"/>
      <c r="AM617" s="40"/>
      <c r="AN617" s="45"/>
      <c r="AO617" s="40"/>
    </row>
    <row r="618" spans="2:41" ht="12.75" customHeight="1" x14ac:dyDescent="0.25">
      <c r="B618" s="40"/>
      <c r="C618" s="40"/>
      <c r="D618" s="40"/>
      <c r="E618" s="40"/>
      <c r="F618" s="40"/>
      <c r="G618" s="40"/>
      <c r="H618" s="5"/>
      <c r="Q618" s="40"/>
      <c r="R618" s="40"/>
      <c r="S618" s="40"/>
      <c r="T618" s="40"/>
      <c r="U618" s="40"/>
      <c r="W618" s="40"/>
      <c r="X618" s="40"/>
      <c r="Y618" s="40"/>
      <c r="Z618" s="41"/>
      <c r="AA618" s="41"/>
      <c r="AB618" s="41"/>
      <c r="AC618" s="41"/>
      <c r="AD618" s="41"/>
      <c r="AE618" s="40"/>
      <c r="AF618" s="45"/>
      <c r="AG618" s="5"/>
      <c r="AH618" s="6"/>
      <c r="AI618" s="45"/>
      <c r="AJ618" s="45"/>
      <c r="AK618" s="40"/>
      <c r="AL618" s="40"/>
      <c r="AM618" s="40"/>
      <c r="AN618" s="45"/>
      <c r="AO618" s="40"/>
    </row>
    <row r="619" spans="2:41" ht="12.75" customHeight="1" x14ac:dyDescent="0.25">
      <c r="B619" s="40"/>
      <c r="C619" s="40"/>
      <c r="D619" s="40"/>
      <c r="E619" s="40"/>
      <c r="F619" s="40"/>
      <c r="G619" s="40"/>
      <c r="H619" s="5"/>
      <c r="Q619" s="40"/>
      <c r="R619" s="40"/>
      <c r="S619" s="40"/>
      <c r="T619" s="40"/>
      <c r="U619" s="40"/>
      <c r="W619" s="40"/>
      <c r="X619" s="40"/>
      <c r="Y619" s="40"/>
      <c r="Z619" s="41"/>
      <c r="AA619" s="41"/>
      <c r="AB619" s="41"/>
      <c r="AC619" s="41"/>
      <c r="AD619" s="41"/>
      <c r="AE619" s="40"/>
      <c r="AF619" s="45"/>
      <c r="AG619" s="5"/>
      <c r="AH619" s="6"/>
      <c r="AI619" s="45"/>
      <c r="AJ619" s="45"/>
      <c r="AK619" s="40"/>
      <c r="AL619" s="40"/>
      <c r="AM619" s="40"/>
      <c r="AN619" s="45"/>
      <c r="AO619" s="40"/>
    </row>
    <row r="620" spans="2:41" ht="12.75" customHeight="1" x14ac:dyDescent="0.25">
      <c r="B620" s="40"/>
      <c r="C620" s="40"/>
      <c r="D620" s="40"/>
      <c r="E620" s="40"/>
      <c r="F620" s="40"/>
      <c r="G620" s="40"/>
      <c r="H620" s="5"/>
      <c r="Q620" s="40"/>
      <c r="R620" s="40"/>
      <c r="S620" s="40"/>
      <c r="T620" s="40"/>
      <c r="U620" s="40"/>
      <c r="W620" s="40"/>
      <c r="X620" s="40"/>
      <c r="Y620" s="40"/>
      <c r="Z620" s="41"/>
      <c r="AA620" s="41"/>
      <c r="AB620" s="41"/>
      <c r="AC620" s="41"/>
      <c r="AD620" s="41"/>
      <c r="AE620" s="40"/>
      <c r="AF620" s="45"/>
      <c r="AG620" s="5"/>
      <c r="AH620" s="6"/>
      <c r="AI620" s="45"/>
      <c r="AJ620" s="45"/>
      <c r="AK620" s="40"/>
      <c r="AL620" s="40"/>
      <c r="AM620" s="40"/>
      <c r="AN620" s="45"/>
      <c r="AO620" s="40"/>
    </row>
    <row r="621" spans="2:41" ht="12.75" customHeight="1" x14ac:dyDescent="0.25">
      <c r="B621" s="40"/>
      <c r="C621" s="40"/>
      <c r="D621" s="40"/>
      <c r="E621" s="40"/>
      <c r="F621" s="40"/>
      <c r="G621" s="40"/>
      <c r="H621" s="5"/>
      <c r="Q621" s="40"/>
      <c r="R621" s="40"/>
      <c r="S621" s="40"/>
      <c r="T621" s="40"/>
      <c r="U621" s="40"/>
      <c r="W621" s="40"/>
      <c r="X621" s="40"/>
      <c r="Y621" s="40"/>
      <c r="Z621" s="41"/>
      <c r="AA621" s="41"/>
      <c r="AB621" s="41"/>
      <c r="AC621" s="41"/>
      <c r="AD621" s="41"/>
      <c r="AE621" s="40"/>
      <c r="AF621" s="45"/>
      <c r="AG621" s="5"/>
      <c r="AH621" s="6"/>
      <c r="AI621" s="45"/>
      <c r="AJ621" s="45"/>
      <c r="AK621" s="40"/>
      <c r="AL621" s="40"/>
      <c r="AM621" s="40"/>
      <c r="AN621" s="45"/>
      <c r="AO621" s="40"/>
    </row>
    <row r="622" spans="2:41" ht="12.75" customHeight="1" x14ac:dyDescent="0.25">
      <c r="B622" s="40"/>
      <c r="C622" s="40"/>
      <c r="D622" s="40"/>
      <c r="E622" s="40"/>
      <c r="F622" s="40"/>
      <c r="G622" s="40"/>
      <c r="H622" s="5"/>
      <c r="Q622" s="40"/>
      <c r="R622" s="40"/>
      <c r="S622" s="40"/>
      <c r="T622" s="40"/>
      <c r="U622" s="40"/>
      <c r="W622" s="40"/>
      <c r="X622" s="40"/>
      <c r="Y622" s="40"/>
      <c r="Z622" s="41"/>
      <c r="AA622" s="41"/>
      <c r="AB622" s="41"/>
      <c r="AC622" s="41"/>
      <c r="AD622" s="41"/>
      <c r="AE622" s="40"/>
      <c r="AF622" s="45"/>
      <c r="AG622" s="5"/>
      <c r="AH622" s="6"/>
      <c r="AI622" s="45"/>
      <c r="AJ622" s="45"/>
      <c r="AK622" s="40"/>
      <c r="AL622" s="40"/>
      <c r="AM622" s="40"/>
      <c r="AN622" s="45"/>
      <c r="AO622" s="40"/>
    </row>
    <row r="623" spans="2:41" ht="12.75" customHeight="1" x14ac:dyDescent="0.25">
      <c r="B623" s="40"/>
      <c r="C623" s="40"/>
      <c r="D623" s="40"/>
      <c r="E623" s="40"/>
      <c r="F623" s="40"/>
      <c r="G623" s="40"/>
      <c r="H623" s="5"/>
      <c r="Q623" s="40"/>
      <c r="R623" s="40"/>
      <c r="S623" s="40"/>
      <c r="T623" s="40"/>
      <c r="U623" s="40"/>
      <c r="W623" s="40"/>
      <c r="X623" s="40"/>
      <c r="Y623" s="40"/>
      <c r="Z623" s="41"/>
      <c r="AA623" s="41"/>
      <c r="AB623" s="41"/>
      <c r="AC623" s="41"/>
      <c r="AD623" s="41"/>
      <c r="AE623" s="40"/>
      <c r="AF623" s="45"/>
      <c r="AG623" s="5"/>
      <c r="AH623" s="6"/>
      <c r="AI623" s="45"/>
      <c r="AJ623" s="45"/>
      <c r="AK623" s="40"/>
      <c r="AL623" s="40"/>
      <c r="AM623" s="40"/>
      <c r="AN623" s="45"/>
      <c r="AO623" s="40"/>
    </row>
    <row r="624" spans="2:41" ht="12.75" customHeight="1" x14ac:dyDescent="0.25">
      <c r="B624" s="40"/>
      <c r="C624" s="40"/>
      <c r="D624" s="40"/>
      <c r="E624" s="40"/>
      <c r="F624" s="40"/>
      <c r="G624" s="40"/>
      <c r="H624" s="5"/>
      <c r="Q624" s="40"/>
      <c r="R624" s="40"/>
      <c r="S624" s="40"/>
      <c r="T624" s="40"/>
      <c r="U624" s="40"/>
      <c r="W624" s="40"/>
      <c r="X624" s="40"/>
      <c r="Y624" s="40"/>
      <c r="Z624" s="41"/>
      <c r="AA624" s="41"/>
      <c r="AB624" s="41"/>
      <c r="AC624" s="41"/>
      <c r="AD624" s="41"/>
      <c r="AE624" s="40"/>
      <c r="AF624" s="45"/>
      <c r="AG624" s="5"/>
      <c r="AH624" s="6"/>
      <c r="AI624" s="45"/>
      <c r="AJ624" s="45"/>
      <c r="AK624" s="40"/>
      <c r="AL624" s="40"/>
      <c r="AM624" s="40"/>
      <c r="AN624" s="45"/>
      <c r="AO624" s="40"/>
    </row>
    <row r="625" spans="2:41" ht="12.75" customHeight="1" x14ac:dyDescent="0.25">
      <c r="B625" s="40"/>
      <c r="C625" s="40"/>
      <c r="D625" s="40"/>
      <c r="E625" s="40"/>
      <c r="F625" s="40"/>
      <c r="G625" s="40"/>
      <c r="H625" s="5"/>
      <c r="Q625" s="40"/>
      <c r="R625" s="40"/>
      <c r="S625" s="40"/>
      <c r="T625" s="40"/>
      <c r="U625" s="40"/>
      <c r="W625" s="40"/>
      <c r="X625" s="40"/>
      <c r="Y625" s="40"/>
      <c r="Z625" s="41"/>
      <c r="AA625" s="41"/>
      <c r="AB625" s="41"/>
      <c r="AC625" s="41"/>
      <c r="AD625" s="41"/>
      <c r="AE625" s="40"/>
      <c r="AF625" s="45"/>
      <c r="AG625" s="5"/>
      <c r="AH625" s="6"/>
      <c r="AI625" s="45"/>
      <c r="AJ625" s="45"/>
      <c r="AK625" s="40"/>
      <c r="AL625" s="40"/>
      <c r="AM625" s="40"/>
      <c r="AN625" s="45"/>
      <c r="AO625" s="40"/>
    </row>
    <row r="626" spans="2:41" ht="12.75" customHeight="1" x14ac:dyDescent="0.25">
      <c r="B626" s="40"/>
      <c r="C626" s="40"/>
      <c r="D626" s="40"/>
      <c r="E626" s="40"/>
      <c r="F626" s="40"/>
      <c r="G626" s="40"/>
      <c r="H626" s="5"/>
      <c r="Q626" s="40"/>
      <c r="R626" s="40"/>
      <c r="S626" s="40"/>
      <c r="T626" s="40"/>
      <c r="U626" s="40"/>
      <c r="W626" s="40"/>
      <c r="X626" s="40"/>
      <c r="Y626" s="40"/>
      <c r="Z626" s="41"/>
      <c r="AA626" s="41"/>
      <c r="AB626" s="41"/>
      <c r="AC626" s="41"/>
      <c r="AD626" s="41"/>
      <c r="AE626" s="40"/>
      <c r="AF626" s="45"/>
      <c r="AG626" s="5"/>
      <c r="AH626" s="6"/>
      <c r="AI626" s="45"/>
      <c r="AJ626" s="45"/>
      <c r="AK626" s="40"/>
      <c r="AL626" s="40"/>
      <c r="AM626" s="40"/>
      <c r="AN626" s="45"/>
      <c r="AO626" s="40"/>
    </row>
    <row r="627" spans="2:41" ht="12.75" customHeight="1" x14ac:dyDescent="0.25">
      <c r="B627" s="40"/>
      <c r="C627" s="40"/>
      <c r="D627" s="40"/>
      <c r="E627" s="40"/>
      <c r="F627" s="40"/>
      <c r="G627" s="40"/>
      <c r="H627" s="5"/>
      <c r="Q627" s="40"/>
      <c r="R627" s="40"/>
      <c r="S627" s="40"/>
      <c r="T627" s="40"/>
      <c r="U627" s="40"/>
      <c r="W627" s="40"/>
      <c r="X627" s="40"/>
      <c r="Y627" s="40"/>
      <c r="Z627" s="41"/>
      <c r="AA627" s="41"/>
      <c r="AB627" s="41"/>
      <c r="AC627" s="41"/>
      <c r="AD627" s="41"/>
      <c r="AE627" s="40"/>
      <c r="AF627" s="45"/>
      <c r="AG627" s="5"/>
      <c r="AH627" s="6"/>
      <c r="AI627" s="45"/>
      <c r="AJ627" s="45"/>
      <c r="AK627" s="40"/>
      <c r="AL627" s="40"/>
      <c r="AM627" s="40"/>
      <c r="AN627" s="45"/>
      <c r="AO627" s="40"/>
    </row>
    <row r="628" spans="2:41" ht="12.75" customHeight="1" x14ac:dyDescent="0.25">
      <c r="B628" s="40"/>
      <c r="C628" s="40"/>
      <c r="D628" s="40"/>
      <c r="E628" s="40"/>
      <c r="F628" s="40"/>
      <c r="G628" s="40"/>
      <c r="H628" s="5"/>
      <c r="Q628" s="40"/>
      <c r="R628" s="40"/>
      <c r="S628" s="40"/>
      <c r="T628" s="40"/>
      <c r="U628" s="40"/>
      <c r="W628" s="40"/>
      <c r="X628" s="40"/>
      <c r="Y628" s="40"/>
      <c r="Z628" s="41"/>
      <c r="AA628" s="41"/>
      <c r="AB628" s="41"/>
      <c r="AC628" s="41"/>
      <c r="AD628" s="41"/>
      <c r="AE628" s="40"/>
      <c r="AF628" s="45"/>
      <c r="AG628" s="5"/>
      <c r="AH628" s="6"/>
      <c r="AI628" s="45"/>
      <c r="AJ628" s="45"/>
      <c r="AK628" s="40"/>
      <c r="AL628" s="40"/>
      <c r="AM628" s="40"/>
      <c r="AN628" s="45"/>
      <c r="AO628" s="40"/>
    </row>
    <row r="629" spans="2:41" ht="12.75" customHeight="1" x14ac:dyDescent="0.25">
      <c r="B629" s="40"/>
      <c r="C629" s="40"/>
      <c r="D629" s="40"/>
      <c r="E629" s="40"/>
      <c r="F629" s="40"/>
      <c r="G629" s="40"/>
      <c r="H629" s="5"/>
      <c r="Q629" s="40"/>
      <c r="R629" s="40"/>
      <c r="S629" s="40"/>
      <c r="T629" s="40"/>
      <c r="U629" s="40"/>
      <c r="W629" s="40"/>
      <c r="X629" s="40"/>
      <c r="Y629" s="40"/>
      <c r="Z629" s="41"/>
      <c r="AA629" s="41"/>
      <c r="AB629" s="41"/>
      <c r="AC629" s="41"/>
      <c r="AD629" s="41"/>
      <c r="AE629" s="40"/>
      <c r="AF629" s="45"/>
      <c r="AG629" s="5"/>
      <c r="AH629" s="6"/>
      <c r="AI629" s="45"/>
      <c r="AJ629" s="45"/>
      <c r="AK629" s="40"/>
      <c r="AL629" s="40"/>
      <c r="AM629" s="40"/>
      <c r="AN629" s="45"/>
      <c r="AO629" s="40"/>
    </row>
    <row r="630" spans="2:41" ht="12.75" customHeight="1" x14ac:dyDescent="0.25">
      <c r="B630" s="40"/>
      <c r="C630" s="40"/>
      <c r="D630" s="40"/>
      <c r="E630" s="40"/>
      <c r="F630" s="40"/>
      <c r="G630" s="40"/>
      <c r="H630" s="5"/>
      <c r="Q630" s="40"/>
      <c r="R630" s="40"/>
      <c r="S630" s="40"/>
      <c r="T630" s="40"/>
      <c r="U630" s="40"/>
      <c r="W630" s="40"/>
      <c r="X630" s="40"/>
      <c r="Y630" s="40"/>
      <c r="Z630" s="41"/>
      <c r="AA630" s="41"/>
      <c r="AB630" s="41"/>
      <c r="AC630" s="41"/>
      <c r="AD630" s="41"/>
      <c r="AE630" s="40"/>
      <c r="AF630" s="45"/>
      <c r="AG630" s="5"/>
      <c r="AH630" s="6"/>
      <c r="AI630" s="45"/>
      <c r="AJ630" s="45"/>
      <c r="AK630" s="40"/>
      <c r="AL630" s="40"/>
      <c r="AM630" s="40"/>
      <c r="AN630" s="45"/>
      <c r="AO630" s="40"/>
    </row>
    <row r="631" spans="2:41" ht="12.75" customHeight="1" x14ac:dyDescent="0.25">
      <c r="B631" s="40"/>
      <c r="C631" s="40"/>
      <c r="D631" s="40"/>
      <c r="E631" s="40"/>
      <c r="F631" s="40"/>
      <c r="G631" s="40"/>
      <c r="H631" s="5"/>
      <c r="Q631" s="40"/>
      <c r="R631" s="40"/>
      <c r="S631" s="40"/>
      <c r="T631" s="40"/>
      <c r="U631" s="40"/>
      <c r="W631" s="40"/>
      <c r="X631" s="40"/>
      <c r="Y631" s="40"/>
      <c r="Z631" s="41"/>
      <c r="AA631" s="41"/>
      <c r="AB631" s="41"/>
      <c r="AC631" s="41"/>
      <c r="AD631" s="41"/>
      <c r="AE631" s="40"/>
      <c r="AF631" s="45"/>
      <c r="AG631" s="5"/>
      <c r="AH631" s="6"/>
      <c r="AI631" s="45"/>
      <c r="AJ631" s="45"/>
      <c r="AK631" s="40"/>
      <c r="AL631" s="40"/>
      <c r="AM631" s="40"/>
      <c r="AN631" s="45"/>
      <c r="AO631" s="40"/>
    </row>
    <row r="632" spans="2:41" ht="12.75" customHeight="1" x14ac:dyDescent="0.25">
      <c r="B632" s="40"/>
      <c r="C632" s="40"/>
      <c r="D632" s="40"/>
      <c r="E632" s="40"/>
      <c r="F632" s="40"/>
      <c r="G632" s="40"/>
      <c r="H632" s="5"/>
      <c r="Q632" s="40"/>
      <c r="R632" s="40"/>
      <c r="S632" s="40"/>
      <c r="T632" s="40"/>
      <c r="U632" s="40"/>
      <c r="W632" s="40"/>
      <c r="X632" s="40"/>
      <c r="Y632" s="40"/>
      <c r="Z632" s="41"/>
      <c r="AA632" s="41"/>
      <c r="AB632" s="41"/>
      <c r="AC632" s="41"/>
      <c r="AD632" s="41"/>
      <c r="AE632" s="40"/>
      <c r="AF632" s="45"/>
      <c r="AG632" s="5"/>
      <c r="AH632" s="6"/>
      <c r="AI632" s="45"/>
      <c r="AJ632" s="45"/>
      <c r="AK632" s="40"/>
      <c r="AL632" s="40"/>
      <c r="AM632" s="40"/>
      <c r="AN632" s="45"/>
      <c r="AO632" s="40"/>
    </row>
    <row r="633" spans="2:41" ht="12.75" customHeight="1" x14ac:dyDescent="0.25">
      <c r="B633" s="40"/>
      <c r="C633" s="40"/>
      <c r="D633" s="40"/>
      <c r="E633" s="40"/>
      <c r="F633" s="40"/>
      <c r="G633" s="40"/>
      <c r="H633" s="5"/>
      <c r="Q633" s="40"/>
      <c r="R633" s="40"/>
      <c r="S633" s="40"/>
      <c r="T633" s="40"/>
      <c r="U633" s="40"/>
      <c r="W633" s="40"/>
      <c r="X633" s="40"/>
      <c r="Y633" s="40"/>
      <c r="Z633" s="41"/>
      <c r="AA633" s="41"/>
      <c r="AB633" s="41"/>
      <c r="AC633" s="41"/>
      <c r="AD633" s="41"/>
      <c r="AE633" s="40"/>
      <c r="AF633" s="45"/>
      <c r="AG633" s="5"/>
      <c r="AH633" s="6"/>
      <c r="AI633" s="45"/>
      <c r="AJ633" s="45"/>
      <c r="AK633" s="40"/>
      <c r="AL633" s="40"/>
      <c r="AM633" s="40"/>
      <c r="AN633" s="45"/>
      <c r="AO633" s="40"/>
    </row>
    <row r="634" spans="2:41" ht="12.75" customHeight="1" x14ac:dyDescent="0.25">
      <c r="B634" s="40"/>
      <c r="C634" s="40"/>
      <c r="D634" s="40"/>
      <c r="E634" s="40"/>
      <c r="F634" s="40"/>
      <c r="G634" s="40"/>
      <c r="H634" s="5"/>
      <c r="Q634" s="40"/>
      <c r="R634" s="40"/>
      <c r="S634" s="40"/>
      <c r="T634" s="40"/>
      <c r="U634" s="40"/>
      <c r="W634" s="40"/>
      <c r="X634" s="40"/>
      <c r="Y634" s="40"/>
      <c r="Z634" s="41"/>
      <c r="AA634" s="41"/>
      <c r="AB634" s="41"/>
      <c r="AC634" s="41"/>
      <c r="AD634" s="41"/>
      <c r="AE634" s="40"/>
      <c r="AF634" s="45"/>
      <c r="AG634" s="5"/>
      <c r="AH634" s="6"/>
      <c r="AI634" s="45"/>
      <c r="AJ634" s="45"/>
      <c r="AK634" s="40"/>
      <c r="AL634" s="40"/>
      <c r="AM634" s="40"/>
      <c r="AN634" s="45"/>
      <c r="AO634" s="40"/>
    </row>
    <row r="635" spans="2:41" ht="12.75" customHeight="1" x14ac:dyDescent="0.25">
      <c r="B635" s="40"/>
      <c r="C635" s="40"/>
      <c r="D635" s="40"/>
      <c r="E635" s="40"/>
      <c r="F635" s="40"/>
      <c r="G635" s="40"/>
      <c r="H635" s="5"/>
      <c r="Q635" s="40"/>
      <c r="R635" s="40"/>
      <c r="S635" s="40"/>
      <c r="T635" s="40"/>
      <c r="U635" s="40"/>
      <c r="W635" s="40"/>
      <c r="X635" s="40"/>
      <c r="Y635" s="40"/>
      <c r="Z635" s="41"/>
      <c r="AA635" s="41"/>
      <c r="AB635" s="41"/>
      <c r="AC635" s="41"/>
      <c r="AD635" s="41"/>
      <c r="AE635" s="40"/>
      <c r="AF635" s="45"/>
      <c r="AG635" s="5"/>
      <c r="AH635" s="6"/>
      <c r="AI635" s="45"/>
      <c r="AJ635" s="45"/>
      <c r="AK635" s="40"/>
      <c r="AL635" s="40"/>
      <c r="AM635" s="40"/>
      <c r="AN635" s="45"/>
      <c r="AO635" s="40"/>
    </row>
    <row r="636" spans="2:41" ht="12.75" customHeight="1" x14ac:dyDescent="0.25">
      <c r="B636" s="40"/>
      <c r="C636" s="40"/>
      <c r="D636" s="40"/>
      <c r="E636" s="40"/>
      <c r="F636" s="40"/>
      <c r="G636" s="40"/>
      <c r="H636" s="5"/>
      <c r="Q636" s="40"/>
      <c r="R636" s="40"/>
      <c r="S636" s="40"/>
      <c r="T636" s="40"/>
      <c r="U636" s="40"/>
      <c r="W636" s="40"/>
      <c r="X636" s="40"/>
      <c r="Y636" s="40"/>
      <c r="Z636" s="41"/>
      <c r="AA636" s="41"/>
      <c r="AB636" s="41"/>
      <c r="AC636" s="41"/>
      <c r="AD636" s="41"/>
      <c r="AE636" s="40"/>
      <c r="AF636" s="45"/>
      <c r="AG636" s="5"/>
      <c r="AH636" s="6"/>
      <c r="AI636" s="45"/>
      <c r="AJ636" s="45"/>
      <c r="AK636" s="40"/>
      <c r="AL636" s="40"/>
      <c r="AM636" s="40"/>
      <c r="AN636" s="45"/>
      <c r="AO636" s="40"/>
    </row>
    <row r="637" spans="2:41" ht="12.75" customHeight="1" x14ac:dyDescent="0.25">
      <c r="B637" s="40"/>
      <c r="C637" s="40"/>
      <c r="D637" s="40"/>
      <c r="E637" s="40"/>
      <c r="F637" s="40"/>
      <c r="G637" s="40"/>
      <c r="H637" s="5"/>
      <c r="Q637" s="40"/>
      <c r="R637" s="40"/>
      <c r="S637" s="40"/>
      <c r="T637" s="40"/>
      <c r="U637" s="40"/>
      <c r="W637" s="40"/>
      <c r="X637" s="40"/>
      <c r="Y637" s="40"/>
      <c r="Z637" s="41"/>
      <c r="AA637" s="41"/>
      <c r="AB637" s="41"/>
      <c r="AC637" s="41"/>
      <c r="AD637" s="41"/>
      <c r="AE637" s="40"/>
      <c r="AF637" s="45"/>
      <c r="AG637" s="5"/>
      <c r="AH637" s="6"/>
      <c r="AI637" s="45"/>
      <c r="AJ637" s="45"/>
      <c r="AK637" s="40"/>
      <c r="AL637" s="40"/>
      <c r="AM637" s="40"/>
      <c r="AN637" s="45"/>
      <c r="AO637" s="40"/>
    </row>
    <row r="638" spans="2:41" ht="12.75" customHeight="1" x14ac:dyDescent="0.25">
      <c r="B638" s="40"/>
      <c r="C638" s="40"/>
      <c r="D638" s="40"/>
      <c r="E638" s="40"/>
      <c r="F638" s="40"/>
      <c r="G638" s="40"/>
      <c r="H638" s="5"/>
      <c r="Q638" s="40"/>
      <c r="R638" s="40"/>
      <c r="S638" s="40"/>
      <c r="T638" s="40"/>
      <c r="U638" s="40"/>
      <c r="W638" s="40"/>
      <c r="X638" s="40"/>
      <c r="Y638" s="40"/>
      <c r="Z638" s="41"/>
      <c r="AA638" s="41"/>
      <c r="AB638" s="41"/>
      <c r="AC638" s="41"/>
      <c r="AD638" s="41"/>
      <c r="AE638" s="40"/>
      <c r="AF638" s="45"/>
      <c r="AG638" s="5"/>
      <c r="AH638" s="6"/>
      <c r="AI638" s="45"/>
      <c r="AJ638" s="45"/>
      <c r="AK638" s="40"/>
      <c r="AL638" s="40"/>
      <c r="AM638" s="40"/>
      <c r="AN638" s="45"/>
      <c r="AO638" s="40"/>
    </row>
    <row r="639" spans="2:41" ht="12.75" customHeight="1" x14ac:dyDescent="0.25">
      <c r="B639" s="40"/>
      <c r="C639" s="40"/>
      <c r="D639" s="40"/>
      <c r="E639" s="40"/>
      <c r="F639" s="40"/>
      <c r="G639" s="40"/>
      <c r="H639" s="5"/>
      <c r="Q639" s="40"/>
      <c r="R639" s="40"/>
      <c r="S639" s="40"/>
      <c r="T639" s="40"/>
      <c r="U639" s="40"/>
      <c r="W639" s="40"/>
      <c r="X639" s="40"/>
      <c r="Y639" s="40"/>
      <c r="Z639" s="41"/>
      <c r="AA639" s="41"/>
      <c r="AB639" s="41"/>
      <c r="AC639" s="41"/>
      <c r="AD639" s="41"/>
      <c r="AE639" s="40"/>
      <c r="AF639" s="45"/>
      <c r="AG639" s="5"/>
      <c r="AH639" s="6"/>
      <c r="AI639" s="45"/>
      <c r="AJ639" s="45"/>
      <c r="AK639" s="40"/>
      <c r="AL639" s="40"/>
      <c r="AM639" s="40"/>
      <c r="AN639" s="45"/>
      <c r="AO639" s="40"/>
    </row>
    <row r="640" spans="2:41" ht="12.75" customHeight="1" x14ac:dyDescent="0.25">
      <c r="B640" s="40"/>
      <c r="C640" s="40"/>
      <c r="D640" s="40"/>
      <c r="E640" s="40"/>
      <c r="F640" s="40"/>
      <c r="G640" s="40"/>
      <c r="H640" s="5"/>
      <c r="Q640" s="40"/>
      <c r="R640" s="40"/>
      <c r="S640" s="40"/>
      <c r="T640" s="40"/>
      <c r="U640" s="40"/>
      <c r="W640" s="40"/>
      <c r="X640" s="40"/>
      <c r="Y640" s="40"/>
      <c r="Z640" s="41"/>
      <c r="AA640" s="41"/>
      <c r="AB640" s="41"/>
      <c r="AC640" s="41"/>
      <c r="AD640" s="41"/>
      <c r="AE640" s="40"/>
      <c r="AF640" s="45"/>
      <c r="AG640" s="5"/>
      <c r="AH640" s="6"/>
      <c r="AI640" s="45"/>
      <c r="AJ640" s="45"/>
      <c r="AK640" s="40"/>
      <c r="AL640" s="40"/>
      <c r="AM640" s="40"/>
      <c r="AN640" s="45"/>
      <c r="AO640" s="40"/>
    </row>
    <row r="641" spans="2:41" ht="12.75" customHeight="1" x14ac:dyDescent="0.25">
      <c r="B641" s="40"/>
      <c r="C641" s="40"/>
      <c r="D641" s="40"/>
      <c r="E641" s="40"/>
      <c r="F641" s="40"/>
      <c r="G641" s="40"/>
      <c r="H641" s="5"/>
      <c r="Q641" s="40"/>
      <c r="R641" s="40"/>
      <c r="S641" s="40"/>
      <c r="T641" s="40"/>
      <c r="U641" s="40"/>
      <c r="W641" s="40"/>
      <c r="X641" s="40"/>
      <c r="Y641" s="40"/>
      <c r="Z641" s="41"/>
      <c r="AA641" s="41"/>
      <c r="AB641" s="41"/>
      <c r="AC641" s="41"/>
      <c r="AD641" s="41"/>
      <c r="AE641" s="40"/>
      <c r="AF641" s="45"/>
      <c r="AG641" s="5"/>
      <c r="AH641" s="6"/>
      <c r="AI641" s="45"/>
      <c r="AJ641" s="45"/>
      <c r="AK641" s="40"/>
      <c r="AL641" s="40"/>
      <c r="AM641" s="40"/>
      <c r="AN641" s="45"/>
      <c r="AO641" s="40"/>
    </row>
    <row r="642" spans="2:41" ht="12.75" customHeight="1" x14ac:dyDescent="0.25">
      <c r="B642" s="40"/>
      <c r="C642" s="40"/>
      <c r="D642" s="40"/>
      <c r="E642" s="40"/>
      <c r="F642" s="40"/>
      <c r="G642" s="40"/>
      <c r="H642" s="5"/>
      <c r="Q642" s="40"/>
      <c r="R642" s="40"/>
      <c r="S642" s="40"/>
      <c r="T642" s="40"/>
      <c r="U642" s="40"/>
      <c r="W642" s="40"/>
      <c r="X642" s="40"/>
      <c r="Y642" s="40"/>
      <c r="Z642" s="41"/>
      <c r="AA642" s="41"/>
      <c r="AB642" s="41"/>
      <c r="AC642" s="41"/>
      <c r="AD642" s="41"/>
      <c r="AE642" s="40"/>
      <c r="AF642" s="45"/>
      <c r="AG642" s="5"/>
      <c r="AH642" s="6"/>
      <c r="AI642" s="45"/>
      <c r="AJ642" s="45"/>
      <c r="AK642" s="40"/>
      <c r="AL642" s="40"/>
      <c r="AM642" s="40"/>
      <c r="AN642" s="45"/>
      <c r="AO642" s="40"/>
    </row>
    <row r="643" spans="2:41" ht="12.75" customHeight="1" x14ac:dyDescent="0.25">
      <c r="B643" s="40"/>
      <c r="C643" s="40"/>
      <c r="D643" s="40"/>
      <c r="E643" s="40"/>
      <c r="F643" s="40"/>
      <c r="G643" s="40"/>
      <c r="H643" s="5"/>
      <c r="Q643" s="40"/>
      <c r="R643" s="40"/>
      <c r="S643" s="40"/>
      <c r="T643" s="40"/>
      <c r="U643" s="40"/>
      <c r="W643" s="40"/>
      <c r="X643" s="40"/>
      <c r="Y643" s="40"/>
      <c r="Z643" s="41"/>
      <c r="AA643" s="41"/>
      <c r="AB643" s="41"/>
      <c r="AC643" s="41"/>
      <c r="AD643" s="41"/>
      <c r="AE643" s="40"/>
      <c r="AF643" s="45"/>
      <c r="AG643" s="5"/>
      <c r="AH643" s="6"/>
      <c r="AI643" s="45"/>
      <c r="AJ643" s="45"/>
      <c r="AK643" s="40"/>
      <c r="AL643" s="40"/>
      <c r="AM643" s="40"/>
      <c r="AN643" s="45"/>
      <c r="AO643" s="40"/>
    </row>
    <row r="644" spans="2:41" ht="12.75" customHeight="1" x14ac:dyDescent="0.25">
      <c r="B644" s="40"/>
      <c r="C644" s="40"/>
      <c r="D644" s="40"/>
      <c r="E644" s="40"/>
      <c r="F644" s="40"/>
      <c r="G644" s="40"/>
      <c r="H644" s="5"/>
      <c r="Q644" s="40"/>
      <c r="R644" s="40"/>
      <c r="S644" s="40"/>
      <c r="T644" s="40"/>
      <c r="U644" s="40"/>
      <c r="W644" s="40"/>
      <c r="X644" s="40"/>
      <c r="Y644" s="40"/>
      <c r="Z644" s="41"/>
      <c r="AA644" s="41"/>
      <c r="AB644" s="41"/>
      <c r="AC644" s="41"/>
      <c r="AD644" s="41"/>
      <c r="AE644" s="40"/>
      <c r="AF644" s="45"/>
      <c r="AG644" s="5"/>
      <c r="AH644" s="6"/>
      <c r="AI644" s="45"/>
      <c r="AJ644" s="45"/>
      <c r="AK644" s="40"/>
      <c r="AL644" s="40"/>
      <c r="AM644" s="40"/>
      <c r="AN644" s="45"/>
      <c r="AO644" s="40"/>
    </row>
    <row r="645" spans="2:41" ht="12.75" customHeight="1" x14ac:dyDescent="0.25">
      <c r="B645" s="40"/>
      <c r="C645" s="40"/>
      <c r="D645" s="40"/>
      <c r="E645" s="40"/>
      <c r="F645" s="40"/>
      <c r="G645" s="40"/>
      <c r="H645" s="5"/>
      <c r="Q645" s="40"/>
      <c r="R645" s="40"/>
      <c r="S645" s="40"/>
      <c r="T645" s="40"/>
      <c r="U645" s="40"/>
      <c r="W645" s="40"/>
      <c r="X645" s="40"/>
      <c r="Y645" s="40"/>
      <c r="Z645" s="41"/>
      <c r="AA645" s="41"/>
      <c r="AB645" s="41"/>
      <c r="AC645" s="41"/>
      <c r="AD645" s="41"/>
      <c r="AE645" s="40"/>
      <c r="AF645" s="45"/>
      <c r="AG645" s="5"/>
      <c r="AH645" s="6"/>
      <c r="AI645" s="45"/>
      <c r="AJ645" s="45"/>
      <c r="AK645" s="40"/>
      <c r="AL645" s="40"/>
      <c r="AM645" s="40"/>
      <c r="AN645" s="45"/>
      <c r="AO645" s="40"/>
    </row>
    <row r="646" spans="2:41" ht="12.75" customHeight="1" x14ac:dyDescent="0.25">
      <c r="B646" s="40"/>
      <c r="C646" s="40"/>
      <c r="D646" s="40"/>
      <c r="E646" s="40"/>
      <c r="F646" s="40"/>
      <c r="G646" s="40"/>
      <c r="H646" s="5"/>
      <c r="Q646" s="40"/>
      <c r="R646" s="40"/>
      <c r="S646" s="40"/>
      <c r="T646" s="40"/>
      <c r="U646" s="40"/>
      <c r="W646" s="40"/>
      <c r="X646" s="40"/>
      <c r="Y646" s="40"/>
      <c r="Z646" s="41"/>
      <c r="AA646" s="41"/>
      <c r="AB646" s="41"/>
      <c r="AC646" s="41"/>
      <c r="AD646" s="41"/>
      <c r="AE646" s="40"/>
      <c r="AF646" s="45"/>
      <c r="AG646" s="5"/>
      <c r="AH646" s="6"/>
      <c r="AI646" s="45"/>
      <c r="AJ646" s="45"/>
      <c r="AK646" s="40"/>
      <c r="AL646" s="40"/>
      <c r="AM646" s="40"/>
      <c r="AN646" s="45"/>
      <c r="AO646" s="40"/>
    </row>
    <row r="647" spans="2:41" ht="12.75" customHeight="1" x14ac:dyDescent="0.25">
      <c r="B647" s="40"/>
      <c r="C647" s="40"/>
      <c r="D647" s="40"/>
      <c r="E647" s="40"/>
      <c r="F647" s="40"/>
      <c r="G647" s="40"/>
      <c r="H647" s="5"/>
      <c r="Q647" s="40"/>
      <c r="R647" s="40"/>
      <c r="S647" s="40"/>
      <c r="T647" s="40"/>
      <c r="U647" s="40"/>
      <c r="W647" s="40"/>
      <c r="X647" s="40"/>
      <c r="Y647" s="40"/>
      <c r="Z647" s="41"/>
      <c r="AA647" s="41"/>
      <c r="AB647" s="41"/>
      <c r="AC647" s="41"/>
      <c r="AD647" s="41"/>
      <c r="AE647" s="40"/>
      <c r="AF647" s="45"/>
      <c r="AG647" s="5"/>
      <c r="AH647" s="6"/>
      <c r="AI647" s="45"/>
      <c r="AJ647" s="45"/>
      <c r="AK647" s="40"/>
      <c r="AL647" s="40"/>
      <c r="AM647" s="40"/>
      <c r="AN647" s="45"/>
      <c r="AO647" s="40"/>
    </row>
    <row r="648" spans="2:41" ht="12.75" customHeight="1" x14ac:dyDescent="0.25">
      <c r="B648" s="40"/>
      <c r="C648" s="40"/>
      <c r="D648" s="40"/>
      <c r="E648" s="40"/>
      <c r="F648" s="40"/>
      <c r="G648" s="40"/>
      <c r="H648" s="5"/>
      <c r="Q648" s="40"/>
      <c r="R648" s="40"/>
      <c r="S648" s="40"/>
      <c r="T648" s="40"/>
      <c r="U648" s="40"/>
      <c r="W648" s="40"/>
      <c r="X648" s="40"/>
      <c r="Y648" s="40"/>
      <c r="Z648" s="41"/>
      <c r="AA648" s="41"/>
      <c r="AB648" s="41"/>
      <c r="AC648" s="41"/>
      <c r="AD648" s="41"/>
      <c r="AE648" s="40"/>
      <c r="AF648" s="45"/>
      <c r="AG648" s="5"/>
      <c r="AH648" s="6"/>
      <c r="AI648" s="45"/>
      <c r="AJ648" s="45"/>
      <c r="AK648" s="40"/>
      <c r="AL648" s="40"/>
      <c r="AM648" s="40"/>
      <c r="AN648" s="45"/>
      <c r="AO648" s="40"/>
    </row>
    <row r="649" spans="2:41" ht="12.75" customHeight="1" x14ac:dyDescent="0.25">
      <c r="B649" s="40"/>
      <c r="C649" s="40"/>
      <c r="D649" s="40"/>
      <c r="E649" s="40"/>
      <c r="F649" s="40"/>
      <c r="G649" s="40"/>
      <c r="H649" s="5"/>
      <c r="Q649" s="40"/>
      <c r="R649" s="40"/>
      <c r="S649" s="40"/>
      <c r="T649" s="40"/>
      <c r="U649" s="40"/>
      <c r="W649" s="40"/>
      <c r="X649" s="40"/>
      <c r="Y649" s="40"/>
      <c r="Z649" s="41"/>
      <c r="AA649" s="41"/>
      <c r="AB649" s="41"/>
      <c r="AC649" s="41"/>
      <c r="AD649" s="41"/>
      <c r="AE649" s="40"/>
      <c r="AF649" s="45"/>
      <c r="AG649" s="5"/>
      <c r="AH649" s="6"/>
      <c r="AI649" s="45"/>
      <c r="AJ649" s="45"/>
      <c r="AK649" s="40"/>
      <c r="AL649" s="40"/>
      <c r="AM649" s="40"/>
      <c r="AN649" s="45"/>
      <c r="AO649" s="40"/>
    </row>
    <row r="650" spans="2:41" ht="12.75" customHeight="1" x14ac:dyDescent="0.25">
      <c r="B650" s="40"/>
      <c r="C650" s="40"/>
      <c r="D650" s="40"/>
      <c r="E650" s="40"/>
      <c r="F650" s="40"/>
      <c r="G650" s="40"/>
      <c r="H650" s="5"/>
      <c r="Q650" s="40"/>
      <c r="R650" s="40"/>
      <c r="S650" s="40"/>
      <c r="T650" s="40"/>
      <c r="U650" s="40"/>
      <c r="W650" s="40"/>
      <c r="X650" s="40"/>
      <c r="Y650" s="40"/>
      <c r="Z650" s="41"/>
      <c r="AA650" s="41"/>
      <c r="AB650" s="41"/>
      <c r="AC650" s="41"/>
      <c r="AD650" s="41"/>
      <c r="AE650" s="40"/>
      <c r="AF650" s="45"/>
      <c r="AG650" s="5"/>
      <c r="AH650" s="6"/>
      <c r="AI650" s="45"/>
      <c r="AJ650" s="45"/>
      <c r="AK650" s="40"/>
      <c r="AL650" s="40"/>
      <c r="AM650" s="40"/>
      <c r="AN650" s="45"/>
      <c r="AO650" s="40"/>
    </row>
    <row r="651" spans="2:41" ht="12.75" customHeight="1" x14ac:dyDescent="0.25">
      <c r="B651" s="40"/>
      <c r="C651" s="40"/>
      <c r="D651" s="40"/>
      <c r="E651" s="40"/>
      <c r="F651" s="40"/>
      <c r="G651" s="40"/>
      <c r="H651" s="5"/>
      <c r="Q651" s="40"/>
      <c r="R651" s="40"/>
      <c r="S651" s="40"/>
      <c r="T651" s="40"/>
      <c r="U651" s="40"/>
      <c r="W651" s="40"/>
      <c r="X651" s="40"/>
      <c r="Y651" s="40"/>
      <c r="Z651" s="41"/>
      <c r="AA651" s="41"/>
      <c r="AB651" s="41"/>
      <c r="AC651" s="41"/>
      <c r="AD651" s="41"/>
      <c r="AE651" s="40"/>
      <c r="AF651" s="45"/>
      <c r="AG651" s="5"/>
      <c r="AH651" s="6"/>
      <c r="AI651" s="45"/>
      <c r="AJ651" s="45"/>
      <c r="AK651" s="40"/>
      <c r="AL651" s="40"/>
      <c r="AM651" s="40"/>
      <c r="AN651" s="45"/>
      <c r="AO651" s="40"/>
    </row>
    <row r="652" spans="2:41" ht="12.75" customHeight="1" x14ac:dyDescent="0.25">
      <c r="B652" s="40"/>
      <c r="C652" s="40"/>
      <c r="D652" s="40"/>
      <c r="E652" s="40"/>
      <c r="F652" s="40"/>
      <c r="G652" s="40"/>
      <c r="H652" s="5"/>
      <c r="Q652" s="40"/>
      <c r="R652" s="40"/>
      <c r="S652" s="40"/>
      <c r="T652" s="40"/>
      <c r="U652" s="40"/>
      <c r="W652" s="40"/>
      <c r="X652" s="40"/>
      <c r="Y652" s="40"/>
      <c r="Z652" s="41"/>
      <c r="AA652" s="41"/>
      <c r="AB652" s="41"/>
      <c r="AC652" s="41"/>
      <c r="AD652" s="41"/>
      <c r="AE652" s="40"/>
      <c r="AF652" s="45"/>
      <c r="AG652" s="5"/>
      <c r="AH652" s="6"/>
      <c r="AI652" s="45"/>
      <c r="AJ652" s="45"/>
      <c r="AK652" s="40"/>
      <c r="AL652" s="40"/>
      <c r="AM652" s="40"/>
      <c r="AN652" s="45"/>
      <c r="AO652" s="40"/>
    </row>
    <row r="653" spans="2:41" ht="12.75" customHeight="1" x14ac:dyDescent="0.25">
      <c r="B653" s="40"/>
      <c r="C653" s="40"/>
      <c r="D653" s="40"/>
      <c r="E653" s="40"/>
      <c r="F653" s="40"/>
      <c r="G653" s="40"/>
      <c r="H653" s="5"/>
      <c r="Q653" s="40"/>
      <c r="R653" s="40"/>
      <c r="S653" s="40"/>
      <c r="T653" s="40"/>
      <c r="U653" s="40"/>
      <c r="W653" s="40"/>
      <c r="X653" s="40"/>
      <c r="Y653" s="40"/>
      <c r="Z653" s="41"/>
      <c r="AA653" s="41"/>
      <c r="AB653" s="41"/>
      <c r="AC653" s="41"/>
      <c r="AD653" s="41"/>
      <c r="AE653" s="40"/>
      <c r="AF653" s="45"/>
      <c r="AG653" s="5"/>
      <c r="AH653" s="6"/>
      <c r="AI653" s="45"/>
      <c r="AJ653" s="45"/>
      <c r="AK653" s="40"/>
      <c r="AL653" s="40"/>
      <c r="AM653" s="40"/>
      <c r="AN653" s="45"/>
      <c r="AO653" s="40"/>
    </row>
    <row r="654" spans="2:41" ht="12.75" customHeight="1" x14ac:dyDescent="0.25">
      <c r="B654" s="40"/>
      <c r="C654" s="40"/>
      <c r="D654" s="40"/>
      <c r="E654" s="40"/>
      <c r="F654" s="40"/>
      <c r="G654" s="40"/>
      <c r="H654" s="5"/>
      <c r="Q654" s="40"/>
      <c r="R654" s="40"/>
      <c r="S654" s="40"/>
      <c r="T654" s="40"/>
      <c r="U654" s="40"/>
      <c r="W654" s="40"/>
      <c r="X654" s="40"/>
      <c r="Y654" s="40"/>
      <c r="Z654" s="41"/>
      <c r="AA654" s="41"/>
      <c r="AB654" s="41"/>
      <c r="AC654" s="41"/>
      <c r="AD654" s="41"/>
      <c r="AE654" s="40"/>
      <c r="AF654" s="45"/>
      <c r="AG654" s="5"/>
      <c r="AH654" s="6"/>
      <c r="AI654" s="45"/>
      <c r="AJ654" s="45"/>
      <c r="AK654" s="40"/>
      <c r="AL654" s="40"/>
      <c r="AM654" s="40"/>
      <c r="AN654" s="45"/>
      <c r="AO654" s="40"/>
    </row>
    <row r="655" spans="2:41" ht="12.75" customHeight="1" x14ac:dyDescent="0.25">
      <c r="B655" s="40"/>
      <c r="C655" s="40"/>
      <c r="D655" s="40"/>
      <c r="E655" s="40"/>
      <c r="F655" s="40"/>
      <c r="G655" s="40"/>
      <c r="H655" s="5"/>
      <c r="Q655" s="40"/>
      <c r="R655" s="40"/>
      <c r="S655" s="40"/>
      <c r="T655" s="40"/>
      <c r="U655" s="40"/>
      <c r="W655" s="40"/>
      <c r="X655" s="40"/>
      <c r="Y655" s="40"/>
      <c r="Z655" s="41"/>
      <c r="AA655" s="41"/>
      <c r="AB655" s="41"/>
      <c r="AC655" s="41"/>
      <c r="AD655" s="41"/>
      <c r="AE655" s="40"/>
      <c r="AF655" s="45"/>
      <c r="AG655" s="5"/>
      <c r="AH655" s="6"/>
      <c r="AI655" s="45"/>
      <c r="AJ655" s="45"/>
      <c r="AK655" s="40"/>
      <c r="AL655" s="40"/>
      <c r="AM655" s="40"/>
      <c r="AN655" s="45"/>
      <c r="AO655" s="40"/>
    </row>
    <row r="656" spans="2:41" ht="12.75" customHeight="1" x14ac:dyDescent="0.25">
      <c r="B656" s="40"/>
      <c r="C656" s="40"/>
      <c r="D656" s="40"/>
      <c r="E656" s="40"/>
      <c r="F656" s="40"/>
      <c r="G656" s="40"/>
      <c r="H656" s="5"/>
      <c r="Q656" s="40"/>
      <c r="R656" s="40"/>
      <c r="S656" s="40"/>
      <c r="T656" s="40"/>
      <c r="U656" s="40"/>
      <c r="W656" s="40"/>
      <c r="X656" s="40"/>
      <c r="Y656" s="40"/>
      <c r="Z656" s="41"/>
      <c r="AA656" s="41"/>
      <c r="AB656" s="41"/>
      <c r="AC656" s="41"/>
      <c r="AD656" s="41"/>
      <c r="AE656" s="40"/>
      <c r="AF656" s="45"/>
      <c r="AG656" s="5"/>
      <c r="AH656" s="6"/>
      <c r="AI656" s="45"/>
      <c r="AJ656" s="45"/>
      <c r="AK656" s="40"/>
      <c r="AL656" s="40"/>
      <c r="AM656" s="40"/>
      <c r="AN656" s="45"/>
      <c r="AO656" s="40"/>
    </row>
    <row r="657" spans="2:41" ht="12.75" customHeight="1" x14ac:dyDescent="0.25">
      <c r="B657" s="40"/>
      <c r="C657" s="40"/>
      <c r="D657" s="40"/>
      <c r="E657" s="40"/>
      <c r="F657" s="40"/>
      <c r="G657" s="40"/>
      <c r="H657" s="5"/>
      <c r="Q657" s="40"/>
      <c r="R657" s="40"/>
      <c r="S657" s="40"/>
      <c r="T657" s="40"/>
      <c r="U657" s="40"/>
      <c r="W657" s="40"/>
      <c r="X657" s="40"/>
      <c r="Y657" s="40"/>
      <c r="Z657" s="41"/>
      <c r="AA657" s="41"/>
      <c r="AB657" s="41"/>
      <c r="AC657" s="41"/>
      <c r="AD657" s="41"/>
      <c r="AE657" s="40"/>
      <c r="AF657" s="45"/>
      <c r="AG657" s="5"/>
      <c r="AH657" s="6"/>
      <c r="AI657" s="45"/>
      <c r="AJ657" s="45"/>
      <c r="AK657" s="40"/>
      <c r="AL657" s="40"/>
      <c r="AM657" s="40"/>
      <c r="AN657" s="45"/>
      <c r="AO657" s="40"/>
    </row>
    <row r="658" spans="2:41" ht="12.75" customHeight="1" x14ac:dyDescent="0.25">
      <c r="B658" s="40"/>
      <c r="C658" s="40"/>
      <c r="D658" s="40"/>
      <c r="E658" s="40"/>
      <c r="F658" s="40"/>
      <c r="G658" s="40"/>
      <c r="H658" s="5"/>
      <c r="Q658" s="40"/>
      <c r="R658" s="40"/>
      <c r="S658" s="40"/>
      <c r="T658" s="40"/>
      <c r="U658" s="40"/>
      <c r="W658" s="40"/>
      <c r="X658" s="40"/>
      <c r="Y658" s="40"/>
      <c r="Z658" s="41"/>
      <c r="AA658" s="41"/>
      <c r="AB658" s="41"/>
      <c r="AC658" s="41"/>
      <c r="AD658" s="41"/>
      <c r="AE658" s="40"/>
      <c r="AF658" s="45"/>
      <c r="AG658" s="5"/>
      <c r="AH658" s="6"/>
      <c r="AI658" s="45"/>
      <c r="AJ658" s="45"/>
      <c r="AK658" s="40"/>
      <c r="AL658" s="40"/>
      <c r="AM658" s="40"/>
      <c r="AN658" s="45"/>
      <c r="AO658" s="40"/>
    </row>
    <row r="659" spans="2:41" ht="12.75" customHeight="1" x14ac:dyDescent="0.25">
      <c r="B659" s="40"/>
      <c r="C659" s="40"/>
      <c r="D659" s="40"/>
      <c r="E659" s="40"/>
      <c r="F659" s="40"/>
      <c r="G659" s="40"/>
      <c r="H659" s="5"/>
      <c r="Q659" s="40"/>
      <c r="R659" s="40"/>
      <c r="S659" s="40"/>
      <c r="T659" s="40"/>
      <c r="U659" s="40"/>
      <c r="W659" s="40"/>
      <c r="X659" s="40"/>
      <c r="Y659" s="40"/>
      <c r="Z659" s="41"/>
      <c r="AA659" s="41"/>
      <c r="AB659" s="41"/>
      <c r="AC659" s="41"/>
      <c r="AD659" s="41"/>
      <c r="AE659" s="40"/>
      <c r="AF659" s="45"/>
      <c r="AG659" s="5"/>
      <c r="AH659" s="6"/>
      <c r="AI659" s="45"/>
      <c r="AJ659" s="45"/>
      <c r="AK659" s="40"/>
      <c r="AL659" s="40"/>
      <c r="AM659" s="40"/>
      <c r="AN659" s="45"/>
      <c r="AO659" s="40"/>
    </row>
    <row r="660" spans="2:41" ht="12.75" customHeight="1" x14ac:dyDescent="0.25">
      <c r="B660" s="40"/>
      <c r="C660" s="40"/>
      <c r="D660" s="40"/>
      <c r="E660" s="40"/>
      <c r="F660" s="40"/>
      <c r="G660" s="40"/>
      <c r="H660" s="5"/>
      <c r="Q660" s="40"/>
      <c r="R660" s="40"/>
      <c r="S660" s="40"/>
      <c r="T660" s="40"/>
      <c r="U660" s="40"/>
      <c r="W660" s="40"/>
      <c r="X660" s="40"/>
      <c r="Y660" s="40"/>
      <c r="Z660" s="41"/>
      <c r="AA660" s="41"/>
      <c r="AB660" s="41"/>
      <c r="AC660" s="41"/>
      <c r="AD660" s="41"/>
      <c r="AE660" s="40"/>
      <c r="AF660" s="45"/>
      <c r="AG660" s="5"/>
      <c r="AH660" s="6"/>
      <c r="AI660" s="45"/>
      <c r="AJ660" s="45"/>
      <c r="AK660" s="40"/>
      <c r="AL660" s="40"/>
      <c r="AM660" s="40"/>
      <c r="AN660" s="45"/>
      <c r="AO660" s="40"/>
    </row>
    <row r="661" spans="2:41" ht="12.75" customHeight="1" x14ac:dyDescent="0.25">
      <c r="B661" s="40"/>
      <c r="C661" s="40"/>
      <c r="D661" s="40"/>
      <c r="E661" s="40"/>
      <c r="F661" s="40"/>
      <c r="G661" s="40"/>
      <c r="H661" s="5"/>
      <c r="Q661" s="40"/>
      <c r="R661" s="40"/>
      <c r="S661" s="40"/>
      <c r="T661" s="40"/>
      <c r="U661" s="40"/>
      <c r="W661" s="40"/>
      <c r="X661" s="40"/>
      <c r="Y661" s="40"/>
      <c r="Z661" s="41"/>
      <c r="AA661" s="41"/>
      <c r="AB661" s="41"/>
      <c r="AC661" s="41"/>
      <c r="AD661" s="41"/>
      <c r="AE661" s="40"/>
      <c r="AF661" s="45"/>
      <c r="AG661" s="5"/>
      <c r="AH661" s="6"/>
      <c r="AI661" s="45"/>
      <c r="AJ661" s="45"/>
      <c r="AK661" s="40"/>
      <c r="AL661" s="40"/>
      <c r="AM661" s="40"/>
      <c r="AN661" s="45"/>
      <c r="AO661" s="40"/>
    </row>
    <row r="662" spans="2:41" ht="12.75" customHeight="1" x14ac:dyDescent="0.25">
      <c r="B662" s="40"/>
      <c r="C662" s="40"/>
      <c r="D662" s="40"/>
      <c r="E662" s="40"/>
      <c r="F662" s="40"/>
      <c r="G662" s="40"/>
      <c r="H662" s="5"/>
      <c r="Q662" s="40"/>
      <c r="R662" s="40"/>
      <c r="S662" s="40"/>
      <c r="T662" s="40"/>
      <c r="U662" s="40"/>
      <c r="W662" s="40"/>
      <c r="X662" s="40"/>
      <c r="Y662" s="40"/>
      <c r="Z662" s="41"/>
      <c r="AA662" s="41"/>
      <c r="AB662" s="41"/>
      <c r="AC662" s="41"/>
      <c r="AD662" s="41"/>
      <c r="AE662" s="40"/>
      <c r="AF662" s="45"/>
      <c r="AG662" s="5"/>
      <c r="AH662" s="6"/>
      <c r="AI662" s="45"/>
      <c r="AJ662" s="45"/>
      <c r="AK662" s="40"/>
      <c r="AL662" s="40"/>
      <c r="AM662" s="40"/>
      <c r="AN662" s="45"/>
      <c r="AO662" s="40"/>
    </row>
    <row r="663" spans="2:41" ht="12.75" customHeight="1" x14ac:dyDescent="0.25">
      <c r="B663" s="40"/>
      <c r="C663" s="40"/>
      <c r="D663" s="40"/>
      <c r="E663" s="40"/>
      <c r="F663" s="40"/>
      <c r="G663" s="40"/>
      <c r="H663" s="5"/>
      <c r="Q663" s="40"/>
      <c r="R663" s="40"/>
      <c r="S663" s="40"/>
      <c r="T663" s="40"/>
      <c r="U663" s="40"/>
      <c r="W663" s="40"/>
      <c r="X663" s="40"/>
      <c r="Y663" s="40"/>
      <c r="Z663" s="41"/>
      <c r="AA663" s="41"/>
      <c r="AB663" s="41"/>
      <c r="AC663" s="41"/>
      <c r="AD663" s="41"/>
      <c r="AE663" s="40"/>
      <c r="AF663" s="45"/>
      <c r="AG663" s="5"/>
      <c r="AH663" s="6"/>
      <c r="AI663" s="45"/>
      <c r="AJ663" s="45"/>
      <c r="AK663" s="40"/>
      <c r="AL663" s="40"/>
      <c r="AM663" s="40"/>
      <c r="AN663" s="45"/>
      <c r="AO663" s="40"/>
    </row>
    <row r="664" spans="2:41" ht="12.75" customHeight="1" x14ac:dyDescent="0.25">
      <c r="B664" s="40"/>
      <c r="C664" s="40"/>
      <c r="D664" s="40"/>
      <c r="E664" s="40"/>
      <c r="F664" s="40"/>
      <c r="G664" s="40"/>
      <c r="H664" s="5"/>
      <c r="Q664" s="40"/>
      <c r="R664" s="40"/>
      <c r="S664" s="40"/>
      <c r="T664" s="40"/>
      <c r="U664" s="40"/>
      <c r="W664" s="40"/>
      <c r="X664" s="40"/>
      <c r="Y664" s="40"/>
      <c r="Z664" s="41"/>
      <c r="AA664" s="41"/>
      <c r="AB664" s="41"/>
      <c r="AC664" s="41"/>
      <c r="AD664" s="41"/>
      <c r="AE664" s="40"/>
      <c r="AF664" s="45"/>
      <c r="AG664" s="5"/>
      <c r="AH664" s="6"/>
      <c r="AI664" s="45"/>
      <c r="AJ664" s="45"/>
      <c r="AK664" s="40"/>
      <c r="AL664" s="40"/>
      <c r="AM664" s="40"/>
      <c r="AN664" s="45"/>
      <c r="AO664" s="40"/>
    </row>
    <row r="665" spans="2:41" ht="12.75" customHeight="1" x14ac:dyDescent="0.25">
      <c r="B665" s="40"/>
      <c r="C665" s="40"/>
      <c r="D665" s="40"/>
      <c r="E665" s="40"/>
      <c r="F665" s="40"/>
      <c r="G665" s="40"/>
      <c r="H665" s="5"/>
      <c r="Q665" s="40"/>
      <c r="R665" s="40"/>
      <c r="S665" s="40"/>
      <c r="T665" s="40"/>
      <c r="U665" s="40"/>
      <c r="W665" s="40"/>
      <c r="X665" s="40"/>
      <c r="Y665" s="40"/>
      <c r="Z665" s="41"/>
      <c r="AA665" s="41"/>
      <c r="AB665" s="41"/>
      <c r="AC665" s="41"/>
      <c r="AD665" s="41"/>
      <c r="AE665" s="40"/>
      <c r="AF665" s="45"/>
      <c r="AG665" s="5"/>
      <c r="AH665" s="6"/>
      <c r="AI665" s="45"/>
      <c r="AJ665" s="45"/>
      <c r="AK665" s="40"/>
      <c r="AL665" s="40"/>
      <c r="AM665" s="40"/>
      <c r="AN665" s="45"/>
      <c r="AO665" s="40"/>
    </row>
    <row r="666" spans="2:41" ht="12.75" customHeight="1" x14ac:dyDescent="0.25">
      <c r="B666" s="40"/>
      <c r="C666" s="40"/>
      <c r="D666" s="40"/>
      <c r="E666" s="40"/>
      <c r="F666" s="40"/>
      <c r="G666" s="40"/>
      <c r="H666" s="5"/>
      <c r="Q666" s="40"/>
      <c r="R666" s="40"/>
      <c r="S666" s="40"/>
      <c r="T666" s="40"/>
      <c r="U666" s="40"/>
      <c r="W666" s="40"/>
      <c r="X666" s="40"/>
      <c r="Y666" s="40"/>
      <c r="Z666" s="41"/>
      <c r="AA666" s="41"/>
      <c r="AB666" s="41"/>
      <c r="AC666" s="41"/>
      <c r="AD666" s="41"/>
      <c r="AE666" s="40"/>
      <c r="AF666" s="45"/>
      <c r="AG666" s="5"/>
      <c r="AH666" s="6"/>
      <c r="AI666" s="45"/>
      <c r="AJ666" s="45"/>
      <c r="AK666" s="40"/>
      <c r="AL666" s="40"/>
      <c r="AM666" s="40"/>
      <c r="AN666" s="45"/>
      <c r="AO666" s="40"/>
    </row>
    <row r="667" spans="2:41" ht="12.75" customHeight="1" x14ac:dyDescent="0.25">
      <c r="B667" s="40"/>
      <c r="C667" s="40"/>
      <c r="D667" s="40"/>
      <c r="E667" s="40"/>
      <c r="F667" s="40"/>
      <c r="G667" s="40"/>
      <c r="H667" s="5"/>
      <c r="Q667" s="40"/>
      <c r="R667" s="40"/>
      <c r="S667" s="40"/>
      <c r="T667" s="40"/>
      <c r="U667" s="40"/>
      <c r="W667" s="40"/>
      <c r="X667" s="40"/>
      <c r="Y667" s="40"/>
      <c r="Z667" s="41"/>
      <c r="AA667" s="41"/>
      <c r="AB667" s="41"/>
      <c r="AC667" s="41"/>
      <c r="AD667" s="41"/>
      <c r="AE667" s="40"/>
      <c r="AF667" s="45"/>
      <c r="AG667" s="5"/>
      <c r="AH667" s="6"/>
      <c r="AI667" s="45"/>
      <c r="AJ667" s="45"/>
      <c r="AK667" s="40"/>
      <c r="AL667" s="40"/>
      <c r="AM667" s="40"/>
      <c r="AN667" s="45"/>
      <c r="AO667" s="40"/>
    </row>
    <row r="668" spans="2:41" ht="12.75" customHeight="1" x14ac:dyDescent="0.25">
      <c r="B668" s="40"/>
      <c r="C668" s="40"/>
      <c r="D668" s="40"/>
      <c r="E668" s="40"/>
      <c r="F668" s="40"/>
      <c r="G668" s="40"/>
      <c r="H668" s="5"/>
      <c r="Q668" s="40"/>
      <c r="R668" s="40"/>
      <c r="S668" s="40"/>
      <c r="T668" s="40"/>
      <c r="U668" s="40"/>
      <c r="W668" s="40"/>
      <c r="X668" s="40"/>
      <c r="Y668" s="40"/>
      <c r="Z668" s="41"/>
      <c r="AA668" s="41"/>
      <c r="AB668" s="41"/>
      <c r="AC668" s="41"/>
      <c r="AD668" s="41"/>
      <c r="AE668" s="40"/>
      <c r="AF668" s="45"/>
      <c r="AG668" s="5"/>
      <c r="AH668" s="6"/>
      <c r="AI668" s="45"/>
      <c r="AJ668" s="45"/>
      <c r="AK668" s="40"/>
      <c r="AL668" s="40"/>
      <c r="AM668" s="40"/>
      <c r="AN668" s="45"/>
      <c r="AO668" s="40"/>
    </row>
    <row r="669" spans="2:41" ht="12.75" customHeight="1" x14ac:dyDescent="0.25">
      <c r="B669" s="40"/>
      <c r="C669" s="40"/>
      <c r="D669" s="40"/>
      <c r="E669" s="40"/>
      <c r="F669" s="40"/>
      <c r="G669" s="40"/>
      <c r="H669" s="5"/>
      <c r="Q669" s="40"/>
      <c r="R669" s="40"/>
      <c r="S669" s="40"/>
      <c r="T669" s="40"/>
      <c r="U669" s="40"/>
      <c r="W669" s="40"/>
      <c r="X669" s="40"/>
      <c r="Y669" s="40"/>
      <c r="Z669" s="41"/>
      <c r="AA669" s="41"/>
      <c r="AB669" s="41"/>
      <c r="AC669" s="41"/>
      <c r="AD669" s="41"/>
      <c r="AE669" s="40"/>
      <c r="AF669" s="45"/>
      <c r="AG669" s="5"/>
      <c r="AH669" s="6"/>
      <c r="AI669" s="45"/>
      <c r="AJ669" s="45"/>
      <c r="AK669" s="40"/>
      <c r="AL669" s="40"/>
      <c r="AM669" s="40"/>
      <c r="AN669" s="45"/>
      <c r="AO669" s="40"/>
    </row>
    <row r="670" spans="2:41" ht="12.75" customHeight="1" x14ac:dyDescent="0.25">
      <c r="B670" s="40"/>
      <c r="C670" s="40"/>
      <c r="D670" s="40"/>
      <c r="E670" s="40"/>
      <c r="F670" s="40"/>
      <c r="G670" s="40"/>
      <c r="H670" s="5"/>
      <c r="Q670" s="40"/>
      <c r="R670" s="40"/>
      <c r="S670" s="40"/>
      <c r="T670" s="40"/>
      <c r="U670" s="40"/>
      <c r="W670" s="40"/>
      <c r="X670" s="40"/>
      <c r="Y670" s="40"/>
      <c r="Z670" s="41"/>
      <c r="AA670" s="41"/>
      <c r="AB670" s="41"/>
      <c r="AC670" s="41"/>
      <c r="AD670" s="41"/>
      <c r="AE670" s="40"/>
      <c r="AF670" s="45"/>
      <c r="AG670" s="5"/>
      <c r="AH670" s="6"/>
      <c r="AI670" s="45"/>
      <c r="AJ670" s="45"/>
      <c r="AK670" s="40"/>
      <c r="AL670" s="40"/>
      <c r="AM670" s="40"/>
      <c r="AN670" s="45"/>
      <c r="AO670" s="40"/>
    </row>
    <row r="671" spans="2:41" ht="12.75" customHeight="1" x14ac:dyDescent="0.25">
      <c r="B671" s="40"/>
      <c r="C671" s="40"/>
      <c r="D671" s="40"/>
      <c r="E671" s="40"/>
      <c r="F671" s="40"/>
      <c r="G671" s="40"/>
      <c r="H671" s="5"/>
      <c r="Q671" s="40"/>
      <c r="R671" s="40"/>
      <c r="S671" s="40"/>
      <c r="T671" s="40"/>
      <c r="U671" s="40"/>
      <c r="W671" s="40"/>
      <c r="X671" s="40"/>
      <c r="Y671" s="40"/>
      <c r="Z671" s="41"/>
      <c r="AA671" s="41"/>
      <c r="AB671" s="41"/>
      <c r="AC671" s="41"/>
      <c r="AD671" s="41"/>
      <c r="AE671" s="40"/>
      <c r="AF671" s="45"/>
      <c r="AG671" s="5"/>
      <c r="AH671" s="6"/>
      <c r="AI671" s="45"/>
      <c r="AJ671" s="45"/>
      <c r="AK671" s="40"/>
      <c r="AL671" s="40"/>
      <c r="AM671" s="40"/>
      <c r="AN671" s="45"/>
      <c r="AO671" s="40"/>
    </row>
    <row r="672" spans="2:41" ht="12.75" customHeight="1" x14ac:dyDescent="0.25">
      <c r="B672" s="40"/>
      <c r="C672" s="40"/>
      <c r="D672" s="40"/>
      <c r="E672" s="40"/>
      <c r="F672" s="40"/>
      <c r="G672" s="40"/>
      <c r="H672" s="5"/>
      <c r="Q672" s="40"/>
      <c r="R672" s="40"/>
      <c r="S672" s="40"/>
      <c r="T672" s="40"/>
      <c r="U672" s="40"/>
      <c r="W672" s="40"/>
      <c r="X672" s="40"/>
      <c r="Y672" s="40"/>
      <c r="Z672" s="41"/>
      <c r="AA672" s="41"/>
      <c r="AB672" s="41"/>
      <c r="AC672" s="41"/>
      <c r="AD672" s="41"/>
      <c r="AE672" s="40"/>
      <c r="AF672" s="45"/>
      <c r="AG672" s="5"/>
      <c r="AH672" s="6"/>
      <c r="AI672" s="45"/>
      <c r="AJ672" s="45"/>
      <c r="AK672" s="40"/>
      <c r="AL672" s="40"/>
      <c r="AM672" s="40"/>
      <c r="AN672" s="45"/>
      <c r="AO672" s="40"/>
    </row>
    <row r="673" spans="2:41" ht="12.75" customHeight="1" x14ac:dyDescent="0.25">
      <c r="B673" s="40"/>
      <c r="C673" s="40"/>
      <c r="D673" s="40"/>
      <c r="E673" s="40"/>
      <c r="F673" s="40"/>
      <c r="G673" s="40"/>
      <c r="H673" s="5"/>
      <c r="Q673" s="40"/>
      <c r="R673" s="40"/>
      <c r="S673" s="40"/>
      <c r="T673" s="40"/>
      <c r="U673" s="40"/>
      <c r="W673" s="40"/>
      <c r="X673" s="40"/>
      <c r="Y673" s="40"/>
      <c r="Z673" s="41"/>
      <c r="AA673" s="41"/>
      <c r="AB673" s="41"/>
      <c r="AC673" s="41"/>
      <c r="AD673" s="41"/>
      <c r="AE673" s="40"/>
      <c r="AF673" s="45"/>
      <c r="AG673" s="5"/>
      <c r="AH673" s="6"/>
      <c r="AI673" s="45"/>
      <c r="AJ673" s="45"/>
      <c r="AK673" s="40"/>
      <c r="AL673" s="40"/>
      <c r="AM673" s="40"/>
      <c r="AN673" s="45"/>
      <c r="AO673" s="40"/>
    </row>
    <row r="674" spans="2:41" ht="12.75" customHeight="1" x14ac:dyDescent="0.25">
      <c r="B674" s="40"/>
      <c r="C674" s="40"/>
      <c r="D674" s="40"/>
      <c r="E674" s="40"/>
      <c r="F674" s="40"/>
      <c r="G674" s="40"/>
      <c r="H674" s="5"/>
      <c r="Q674" s="40"/>
      <c r="R674" s="40"/>
      <c r="S674" s="40"/>
      <c r="T674" s="40"/>
      <c r="U674" s="40"/>
      <c r="W674" s="40"/>
      <c r="X674" s="40"/>
      <c r="Y674" s="40"/>
      <c r="Z674" s="41"/>
      <c r="AA674" s="41"/>
      <c r="AB674" s="41"/>
      <c r="AC674" s="41"/>
      <c r="AD674" s="41"/>
      <c r="AE674" s="40"/>
      <c r="AF674" s="45"/>
      <c r="AG674" s="5"/>
      <c r="AH674" s="6"/>
      <c r="AI674" s="45"/>
      <c r="AJ674" s="45"/>
      <c r="AK674" s="40"/>
      <c r="AL674" s="40"/>
      <c r="AM674" s="40"/>
      <c r="AN674" s="45"/>
      <c r="AO674" s="40"/>
    </row>
    <row r="675" spans="2:41" ht="12.75" customHeight="1" x14ac:dyDescent="0.25">
      <c r="B675" s="40"/>
      <c r="C675" s="40"/>
      <c r="D675" s="40"/>
      <c r="E675" s="40"/>
      <c r="F675" s="40"/>
      <c r="G675" s="40"/>
      <c r="H675" s="5"/>
      <c r="Q675" s="40"/>
      <c r="R675" s="40"/>
      <c r="S675" s="40"/>
      <c r="T675" s="40"/>
      <c r="U675" s="40"/>
      <c r="W675" s="40"/>
      <c r="X675" s="40"/>
      <c r="Y675" s="40"/>
      <c r="Z675" s="41"/>
      <c r="AA675" s="41"/>
      <c r="AB675" s="41"/>
      <c r="AC675" s="41"/>
      <c r="AD675" s="41"/>
      <c r="AE675" s="40"/>
      <c r="AF675" s="45"/>
      <c r="AG675" s="5"/>
      <c r="AH675" s="6"/>
      <c r="AI675" s="45"/>
      <c r="AJ675" s="45"/>
      <c r="AK675" s="40"/>
      <c r="AL675" s="40"/>
      <c r="AM675" s="40"/>
      <c r="AN675" s="45"/>
      <c r="AO675" s="40"/>
    </row>
    <row r="676" spans="2:41" ht="12.75" customHeight="1" x14ac:dyDescent="0.25">
      <c r="B676" s="40"/>
      <c r="C676" s="40"/>
      <c r="D676" s="40"/>
      <c r="E676" s="40"/>
      <c r="F676" s="40"/>
      <c r="G676" s="40"/>
      <c r="H676" s="5"/>
      <c r="Q676" s="40"/>
      <c r="R676" s="40"/>
      <c r="S676" s="40"/>
      <c r="T676" s="40"/>
      <c r="U676" s="40"/>
      <c r="W676" s="40"/>
      <c r="X676" s="40"/>
      <c r="Y676" s="40"/>
      <c r="Z676" s="41"/>
      <c r="AA676" s="41"/>
      <c r="AB676" s="41"/>
      <c r="AC676" s="41"/>
      <c r="AD676" s="41"/>
      <c r="AE676" s="40"/>
      <c r="AF676" s="45"/>
      <c r="AG676" s="5"/>
      <c r="AH676" s="6"/>
      <c r="AI676" s="45"/>
      <c r="AJ676" s="45"/>
      <c r="AK676" s="40"/>
      <c r="AL676" s="40"/>
      <c r="AM676" s="40"/>
      <c r="AN676" s="45"/>
      <c r="AO676" s="40"/>
    </row>
    <row r="677" spans="2:41" ht="12.75" customHeight="1" x14ac:dyDescent="0.25">
      <c r="B677" s="40"/>
      <c r="C677" s="40"/>
      <c r="D677" s="40"/>
      <c r="E677" s="40"/>
      <c r="F677" s="40"/>
      <c r="G677" s="40"/>
      <c r="H677" s="5"/>
      <c r="Q677" s="40"/>
      <c r="R677" s="40"/>
      <c r="S677" s="40"/>
      <c r="T677" s="40"/>
      <c r="U677" s="40"/>
      <c r="W677" s="40"/>
      <c r="X677" s="40"/>
      <c r="Y677" s="40"/>
      <c r="Z677" s="41"/>
      <c r="AA677" s="41"/>
      <c r="AB677" s="41"/>
      <c r="AC677" s="41"/>
      <c r="AD677" s="41"/>
      <c r="AE677" s="40"/>
      <c r="AF677" s="45"/>
      <c r="AG677" s="5"/>
      <c r="AH677" s="6"/>
      <c r="AI677" s="45"/>
      <c r="AJ677" s="45"/>
      <c r="AK677" s="40"/>
      <c r="AL677" s="40"/>
      <c r="AM677" s="40"/>
      <c r="AN677" s="45"/>
      <c r="AO677" s="40"/>
    </row>
    <row r="678" spans="2:41" ht="12.75" customHeight="1" x14ac:dyDescent="0.25">
      <c r="B678" s="40"/>
      <c r="C678" s="40"/>
      <c r="D678" s="40"/>
      <c r="E678" s="40"/>
      <c r="F678" s="40"/>
      <c r="G678" s="40"/>
      <c r="H678" s="5"/>
      <c r="Q678" s="40"/>
      <c r="R678" s="40"/>
      <c r="S678" s="40"/>
      <c r="T678" s="40"/>
      <c r="U678" s="40"/>
      <c r="W678" s="40"/>
      <c r="X678" s="40"/>
      <c r="Y678" s="40"/>
      <c r="Z678" s="41"/>
      <c r="AA678" s="41"/>
      <c r="AB678" s="41"/>
      <c r="AC678" s="41"/>
      <c r="AD678" s="41"/>
      <c r="AE678" s="40"/>
      <c r="AF678" s="45"/>
      <c r="AG678" s="5"/>
      <c r="AH678" s="6"/>
      <c r="AI678" s="45"/>
      <c r="AJ678" s="45"/>
      <c r="AK678" s="40"/>
      <c r="AL678" s="40"/>
      <c r="AM678" s="40"/>
      <c r="AN678" s="45"/>
      <c r="AO678" s="40"/>
    </row>
    <row r="679" spans="2:41" ht="12.75" customHeight="1" x14ac:dyDescent="0.25">
      <c r="B679" s="40"/>
      <c r="C679" s="40"/>
      <c r="D679" s="40"/>
      <c r="E679" s="40"/>
      <c r="F679" s="40"/>
      <c r="G679" s="40"/>
      <c r="H679" s="5"/>
      <c r="Q679" s="40"/>
      <c r="R679" s="40"/>
      <c r="S679" s="40"/>
      <c r="T679" s="40"/>
      <c r="U679" s="40"/>
      <c r="W679" s="40"/>
      <c r="X679" s="40"/>
      <c r="Y679" s="40"/>
      <c r="Z679" s="41"/>
      <c r="AA679" s="41"/>
      <c r="AB679" s="41"/>
      <c r="AC679" s="41"/>
      <c r="AD679" s="41"/>
      <c r="AE679" s="40"/>
      <c r="AF679" s="45"/>
      <c r="AG679" s="5"/>
      <c r="AH679" s="6"/>
      <c r="AI679" s="45"/>
      <c r="AJ679" s="45"/>
      <c r="AK679" s="40"/>
      <c r="AL679" s="40"/>
      <c r="AM679" s="40"/>
      <c r="AN679" s="45"/>
      <c r="AO679" s="40"/>
    </row>
    <row r="680" spans="2:41" ht="12.75" customHeight="1" x14ac:dyDescent="0.25">
      <c r="B680" s="40"/>
      <c r="C680" s="40"/>
      <c r="D680" s="40"/>
      <c r="E680" s="40"/>
      <c r="F680" s="40"/>
      <c r="G680" s="40"/>
      <c r="H680" s="5"/>
      <c r="Q680" s="40"/>
      <c r="R680" s="40"/>
      <c r="S680" s="40"/>
      <c r="T680" s="40"/>
      <c r="U680" s="40"/>
      <c r="W680" s="40"/>
      <c r="X680" s="40"/>
      <c r="Y680" s="40"/>
      <c r="Z680" s="41"/>
      <c r="AA680" s="41"/>
      <c r="AB680" s="41"/>
      <c r="AC680" s="41"/>
      <c r="AD680" s="41"/>
      <c r="AE680" s="40"/>
      <c r="AF680" s="45"/>
      <c r="AG680" s="5"/>
      <c r="AH680" s="6"/>
      <c r="AI680" s="45"/>
      <c r="AJ680" s="45"/>
      <c r="AK680" s="40"/>
      <c r="AL680" s="40"/>
      <c r="AM680" s="40"/>
      <c r="AN680" s="45"/>
      <c r="AO680" s="40"/>
    </row>
    <row r="681" spans="2:41" ht="12.75" customHeight="1" x14ac:dyDescent="0.25">
      <c r="B681" s="40"/>
      <c r="C681" s="40"/>
      <c r="D681" s="40"/>
      <c r="E681" s="40"/>
      <c r="F681" s="40"/>
      <c r="G681" s="40"/>
      <c r="H681" s="5"/>
      <c r="Q681" s="40"/>
      <c r="R681" s="40"/>
      <c r="S681" s="40"/>
      <c r="T681" s="40"/>
      <c r="U681" s="40"/>
      <c r="W681" s="40"/>
      <c r="X681" s="40"/>
      <c r="Y681" s="40"/>
      <c r="Z681" s="41"/>
      <c r="AA681" s="41"/>
      <c r="AB681" s="41"/>
      <c r="AC681" s="41"/>
      <c r="AD681" s="41"/>
      <c r="AE681" s="40"/>
      <c r="AF681" s="45"/>
      <c r="AG681" s="5"/>
      <c r="AH681" s="6"/>
      <c r="AI681" s="45"/>
      <c r="AJ681" s="45"/>
      <c r="AK681" s="40"/>
      <c r="AL681" s="40"/>
      <c r="AM681" s="40"/>
      <c r="AN681" s="45"/>
      <c r="AO681" s="40"/>
    </row>
    <row r="682" spans="2:41" ht="12.75" customHeight="1" x14ac:dyDescent="0.25">
      <c r="B682" s="40"/>
      <c r="C682" s="40"/>
      <c r="D682" s="40"/>
      <c r="E682" s="40"/>
      <c r="F682" s="40"/>
      <c r="G682" s="40"/>
      <c r="H682" s="5"/>
      <c r="Q682" s="40"/>
      <c r="R682" s="40"/>
      <c r="S682" s="40"/>
      <c r="T682" s="40"/>
      <c r="U682" s="40"/>
      <c r="W682" s="40"/>
      <c r="X682" s="40"/>
      <c r="Y682" s="40"/>
      <c r="Z682" s="41"/>
      <c r="AA682" s="41"/>
      <c r="AB682" s="41"/>
      <c r="AC682" s="41"/>
      <c r="AD682" s="41"/>
      <c r="AE682" s="40"/>
      <c r="AF682" s="45"/>
      <c r="AG682" s="5"/>
      <c r="AH682" s="6"/>
      <c r="AI682" s="45"/>
      <c r="AJ682" s="45"/>
      <c r="AK682" s="40"/>
      <c r="AL682" s="40"/>
      <c r="AM682" s="40"/>
      <c r="AN682" s="45"/>
      <c r="AO682" s="40"/>
    </row>
    <row r="683" spans="2:41" ht="12.75" customHeight="1" x14ac:dyDescent="0.25">
      <c r="B683" s="40"/>
      <c r="C683" s="40"/>
      <c r="D683" s="40"/>
      <c r="E683" s="40"/>
      <c r="F683" s="40"/>
      <c r="G683" s="40"/>
      <c r="H683" s="5"/>
      <c r="Q683" s="40"/>
      <c r="R683" s="40"/>
      <c r="S683" s="40"/>
      <c r="T683" s="40"/>
      <c r="U683" s="40"/>
      <c r="W683" s="40"/>
      <c r="X683" s="40"/>
      <c r="Y683" s="40"/>
      <c r="Z683" s="41"/>
      <c r="AA683" s="41"/>
      <c r="AB683" s="41"/>
      <c r="AC683" s="41"/>
      <c r="AD683" s="41"/>
      <c r="AE683" s="40"/>
      <c r="AF683" s="45"/>
      <c r="AG683" s="5"/>
      <c r="AH683" s="6"/>
      <c r="AI683" s="45"/>
      <c r="AJ683" s="45"/>
      <c r="AK683" s="40"/>
      <c r="AL683" s="40"/>
      <c r="AM683" s="40"/>
      <c r="AN683" s="45"/>
      <c r="AO683" s="40"/>
    </row>
    <row r="684" spans="2:41" ht="12.75" customHeight="1" x14ac:dyDescent="0.25">
      <c r="B684" s="40"/>
      <c r="C684" s="40"/>
      <c r="D684" s="40"/>
      <c r="E684" s="40"/>
      <c r="F684" s="40"/>
      <c r="G684" s="40"/>
      <c r="H684" s="5"/>
      <c r="Q684" s="40"/>
      <c r="R684" s="40"/>
      <c r="S684" s="40"/>
      <c r="T684" s="40"/>
      <c r="U684" s="40"/>
      <c r="W684" s="40"/>
      <c r="X684" s="40"/>
      <c r="Y684" s="40"/>
      <c r="Z684" s="41"/>
      <c r="AA684" s="41"/>
      <c r="AB684" s="41"/>
      <c r="AC684" s="41"/>
      <c r="AD684" s="41"/>
      <c r="AE684" s="40"/>
      <c r="AF684" s="45"/>
      <c r="AG684" s="5"/>
      <c r="AH684" s="6"/>
      <c r="AI684" s="45"/>
      <c r="AJ684" s="45"/>
      <c r="AK684" s="40"/>
      <c r="AL684" s="40"/>
      <c r="AM684" s="40"/>
      <c r="AN684" s="45"/>
      <c r="AO684" s="40"/>
    </row>
    <row r="685" spans="2:41" ht="12.75" customHeight="1" x14ac:dyDescent="0.25">
      <c r="B685" s="40"/>
      <c r="C685" s="40"/>
      <c r="D685" s="40"/>
      <c r="E685" s="40"/>
      <c r="F685" s="40"/>
      <c r="G685" s="40"/>
      <c r="H685" s="5"/>
      <c r="Q685" s="40"/>
      <c r="R685" s="40"/>
      <c r="S685" s="40"/>
      <c r="T685" s="40"/>
      <c r="U685" s="40"/>
      <c r="W685" s="40"/>
      <c r="X685" s="40"/>
      <c r="Y685" s="40"/>
      <c r="Z685" s="41"/>
      <c r="AA685" s="41"/>
      <c r="AB685" s="41"/>
      <c r="AC685" s="41"/>
      <c r="AD685" s="41"/>
      <c r="AE685" s="40"/>
      <c r="AF685" s="45"/>
      <c r="AG685" s="5"/>
      <c r="AH685" s="6"/>
      <c r="AI685" s="45"/>
      <c r="AJ685" s="45"/>
      <c r="AK685" s="40"/>
      <c r="AL685" s="40"/>
      <c r="AM685" s="40"/>
      <c r="AN685" s="45"/>
      <c r="AO685" s="40"/>
    </row>
    <row r="686" spans="2:41" ht="12.75" customHeight="1" x14ac:dyDescent="0.25">
      <c r="B686" s="40"/>
      <c r="C686" s="40"/>
      <c r="D686" s="40"/>
      <c r="E686" s="40"/>
      <c r="F686" s="40"/>
      <c r="G686" s="40"/>
      <c r="H686" s="5"/>
      <c r="Q686" s="40"/>
      <c r="R686" s="40"/>
      <c r="S686" s="40"/>
      <c r="T686" s="40"/>
      <c r="U686" s="40"/>
      <c r="W686" s="40"/>
      <c r="X686" s="40"/>
      <c r="Y686" s="40"/>
      <c r="Z686" s="41"/>
      <c r="AA686" s="41"/>
      <c r="AB686" s="41"/>
      <c r="AC686" s="41"/>
      <c r="AD686" s="41"/>
      <c r="AE686" s="40"/>
      <c r="AF686" s="45"/>
      <c r="AG686" s="5"/>
      <c r="AH686" s="6"/>
      <c r="AI686" s="45"/>
      <c r="AJ686" s="45"/>
      <c r="AK686" s="40"/>
      <c r="AL686" s="40"/>
      <c r="AM686" s="40"/>
      <c r="AN686" s="45"/>
      <c r="AO686" s="40"/>
    </row>
    <row r="687" spans="2:41" ht="12.75" customHeight="1" x14ac:dyDescent="0.25">
      <c r="B687" s="40"/>
      <c r="C687" s="40"/>
      <c r="D687" s="40"/>
      <c r="E687" s="40"/>
      <c r="F687" s="40"/>
      <c r="G687" s="40"/>
      <c r="H687" s="5"/>
      <c r="Q687" s="40"/>
      <c r="R687" s="40"/>
      <c r="S687" s="40"/>
      <c r="T687" s="40"/>
      <c r="U687" s="40"/>
      <c r="W687" s="40"/>
      <c r="X687" s="40"/>
      <c r="Y687" s="40"/>
      <c r="Z687" s="41"/>
      <c r="AA687" s="41"/>
      <c r="AB687" s="41"/>
      <c r="AC687" s="41"/>
      <c r="AD687" s="41"/>
      <c r="AE687" s="40"/>
      <c r="AF687" s="45"/>
      <c r="AG687" s="5"/>
      <c r="AH687" s="6"/>
      <c r="AI687" s="45"/>
      <c r="AJ687" s="45"/>
      <c r="AK687" s="40"/>
      <c r="AL687" s="40"/>
      <c r="AM687" s="40"/>
      <c r="AN687" s="45"/>
      <c r="AO687" s="40"/>
    </row>
    <row r="688" spans="2:41" ht="12.75" customHeight="1" x14ac:dyDescent="0.25">
      <c r="B688" s="40"/>
      <c r="C688" s="40"/>
      <c r="D688" s="40"/>
      <c r="E688" s="40"/>
      <c r="F688" s="40"/>
      <c r="G688" s="40"/>
      <c r="H688" s="5"/>
      <c r="Q688" s="40"/>
      <c r="R688" s="40"/>
      <c r="S688" s="40"/>
      <c r="T688" s="40"/>
      <c r="U688" s="40"/>
      <c r="W688" s="40"/>
      <c r="X688" s="40"/>
      <c r="Y688" s="40"/>
      <c r="Z688" s="41"/>
      <c r="AA688" s="41"/>
      <c r="AB688" s="41"/>
      <c r="AC688" s="41"/>
      <c r="AD688" s="41"/>
      <c r="AE688" s="40"/>
      <c r="AF688" s="45"/>
      <c r="AG688" s="5"/>
      <c r="AH688" s="6"/>
      <c r="AI688" s="45"/>
      <c r="AJ688" s="45"/>
      <c r="AK688" s="40"/>
      <c r="AL688" s="40"/>
      <c r="AM688" s="40"/>
      <c r="AN688" s="45"/>
      <c r="AO688" s="40"/>
    </row>
    <row r="689" spans="2:41" ht="12.75" customHeight="1" x14ac:dyDescent="0.25">
      <c r="B689" s="40"/>
      <c r="C689" s="40"/>
      <c r="D689" s="40"/>
      <c r="E689" s="40"/>
      <c r="F689" s="40"/>
      <c r="G689" s="40"/>
      <c r="H689" s="5"/>
      <c r="Q689" s="40"/>
      <c r="R689" s="40"/>
      <c r="S689" s="40"/>
      <c r="T689" s="40"/>
      <c r="U689" s="40"/>
      <c r="W689" s="40"/>
      <c r="X689" s="40"/>
      <c r="Y689" s="40"/>
      <c r="Z689" s="41"/>
      <c r="AA689" s="41"/>
      <c r="AB689" s="41"/>
      <c r="AC689" s="41"/>
      <c r="AD689" s="41"/>
      <c r="AE689" s="40"/>
      <c r="AF689" s="45"/>
      <c r="AG689" s="5"/>
      <c r="AH689" s="6"/>
      <c r="AI689" s="45"/>
      <c r="AJ689" s="45"/>
      <c r="AK689" s="40"/>
      <c r="AL689" s="40"/>
      <c r="AM689" s="40"/>
      <c r="AN689" s="45"/>
      <c r="AO689" s="40"/>
    </row>
    <row r="690" spans="2:41" ht="12.75" customHeight="1" x14ac:dyDescent="0.25">
      <c r="B690" s="40"/>
      <c r="C690" s="40"/>
      <c r="D690" s="40"/>
      <c r="E690" s="40"/>
      <c r="F690" s="40"/>
      <c r="G690" s="40"/>
      <c r="H690" s="5"/>
      <c r="Q690" s="40"/>
      <c r="R690" s="40"/>
      <c r="S690" s="40"/>
      <c r="T690" s="40"/>
      <c r="U690" s="40"/>
      <c r="W690" s="40"/>
      <c r="X690" s="40"/>
      <c r="Y690" s="40"/>
      <c r="Z690" s="41"/>
      <c r="AA690" s="41"/>
      <c r="AB690" s="41"/>
      <c r="AC690" s="41"/>
      <c r="AD690" s="41"/>
      <c r="AE690" s="40"/>
      <c r="AF690" s="45"/>
      <c r="AG690" s="5"/>
      <c r="AH690" s="6"/>
      <c r="AI690" s="45"/>
      <c r="AJ690" s="45"/>
      <c r="AK690" s="40"/>
      <c r="AL690" s="40"/>
      <c r="AM690" s="40"/>
      <c r="AN690" s="45"/>
      <c r="AO690" s="40"/>
    </row>
    <row r="691" spans="2:41" ht="12.75" customHeight="1" x14ac:dyDescent="0.25">
      <c r="B691" s="40"/>
      <c r="C691" s="40"/>
      <c r="D691" s="40"/>
      <c r="E691" s="40"/>
      <c r="F691" s="40"/>
      <c r="G691" s="40"/>
      <c r="H691" s="5"/>
      <c r="Q691" s="40"/>
      <c r="R691" s="40"/>
      <c r="S691" s="40"/>
      <c r="T691" s="40"/>
      <c r="U691" s="40"/>
      <c r="W691" s="40"/>
      <c r="X691" s="40"/>
      <c r="Y691" s="40"/>
      <c r="Z691" s="41"/>
      <c r="AA691" s="41"/>
      <c r="AB691" s="41"/>
      <c r="AC691" s="41"/>
      <c r="AD691" s="41"/>
      <c r="AE691" s="40"/>
      <c r="AF691" s="45"/>
      <c r="AG691" s="5"/>
      <c r="AH691" s="6"/>
      <c r="AI691" s="45"/>
      <c r="AJ691" s="45"/>
      <c r="AK691" s="40"/>
      <c r="AL691" s="40"/>
      <c r="AM691" s="40"/>
      <c r="AN691" s="45"/>
      <c r="AO691" s="40"/>
    </row>
    <row r="692" spans="2:41" ht="12.75" customHeight="1" x14ac:dyDescent="0.25">
      <c r="B692" s="40"/>
      <c r="C692" s="40"/>
      <c r="D692" s="40"/>
      <c r="E692" s="40"/>
      <c r="F692" s="40"/>
      <c r="G692" s="40"/>
      <c r="H692" s="5"/>
      <c r="Q692" s="40"/>
      <c r="R692" s="40"/>
      <c r="S692" s="40"/>
      <c r="T692" s="40"/>
      <c r="U692" s="40"/>
      <c r="W692" s="40"/>
      <c r="X692" s="40"/>
      <c r="Y692" s="40"/>
      <c r="Z692" s="41"/>
      <c r="AA692" s="41"/>
      <c r="AB692" s="41"/>
      <c r="AC692" s="41"/>
      <c r="AD692" s="41"/>
      <c r="AE692" s="40"/>
      <c r="AF692" s="45"/>
      <c r="AG692" s="5"/>
      <c r="AH692" s="6"/>
      <c r="AI692" s="45"/>
      <c r="AJ692" s="45"/>
      <c r="AK692" s="40"/>
      <c r="AL692" s="40"/>
      <c r="AM692" s="40"/>
      <c r="AN692" s="45"/>
      <c r="AO692" s="40"/>
    </row>
    <row r="693" spans="2:41" ht="12.75" customHeight="1" x14ac:dyDescent="0.25">
      <c r="B693" s="40"/>
      <c r="C693" s="40"/>
      <c r="D693" s="40"/>
      <c r="E693" s="40"/>
      <c r="F693" s="40"/>
      <c r="G693" s="40"/>
      <c r="H693" s="5"/>
      <c r="Q693" s="40"/>
      <c r="R693" s="40"/>
      <c r="S693" s="40"/>
      <c r="T693" s="40"/>
      <c r="U693" s="40"/>
      <c r="W693" s="40"/>
      <c r="X693" s="40"/>
      <c r="Y693" s="40"/>
      <c r="Z693" s="41"/>
      <c r="AA693" s="41"/>
      <c r="AB693" s="41"/>
      <c r="AC693" s="41"/>
      <c r="AD693" s="41"/>
      <c r="AE693" s="40"/>
      <c r="AF693" s="45"/>
      <c r="AG693" s="5"/>
      <c r="AH693" s="6"/>
      <c r="AI693" s="45"/>
      <c r="AJ693" s="45"/>
      <c r="AK693" s="40"/>
      <c r="AL693" s="40"/>
      <c r="AM693" s="40"/>
      <c r="AN693" s="45"/>
      <c r="AO693" s="40"/>
    </row>
    <row r="694" spans="2:41" ht="12.75" customHeight="1" x14ac:dyDescent="0.25">
      <c r="B694" s="40"/>
      <c r="C694" s="40"/>
      <c r="D694" s="40"/>
      <c r="E694" s="40"/>
      <c r="F694" s="40"/>
      <c r="G694" s="40"/>
      <c r="H694" s="5"/>
      <c r="Q694" s="40"/>
      <c r="R694" s="40"/>
      <c r="S694" s="40"/>
      <c r="T694" s="40"/>
      <c r="U694" s="40"/>
      <c r="W694" s="40"/>
      <c r="X694" s="40"/>
      <c r="Y694" s="40"/>
      <c r="Z694" s="41"/>
      <c r="AA694" s="41"/>
      <c r="AB694" s="41"/>
      <c r="AC694" s="41"/>
      <c r="AD694" s="41"/>
      <c r="AE694" s="40"/>
      <c r="AF694" s="45"/>
      <c r="AG694" s="5"/>
      <c r="AH694" s="6"/>
      <c r="AI694" s="45"/>
      <c r="AJ694" s="45"/>
      <c r="AK694" s="40"/>
      <c r="AL694" s="40"/>
      <c r="AM694" s="40"/>
      <c r="AN694" s="45"/>
      <c r="AO694" s="40"/>
    </row>
    <row r="695" spans="2:41" ht="12.75" customHeight="1" x14ac:dyDescent="0.25">
      <c r="B695" s="40"/>
      <c r="C695" s="40"/>
      <c r="D695" s="40"/>
      <c r="E695" s="40"/>
      <c r="F695" s="40"/>
      <c r="G695" s="40"/>
      <c r="H695" s="5"/>
      <c r="Q695" s="40"/>
      <c r="R695" s="40"/>
      <c r="S695" s="40"/>
      <c r="T695" s="40"/>
      <c r="U695" s="40"/>
      <c r="W695" s="40"/>
      <c r="X695" s="40"/>
      <c r="Y695" s="40"/>
      <c r="Z695" s="41"/>
      <c r="AA695" s="41"/>
      <c r="AB695" s="41"/>
      <c r="AC695" s="41"/>
      <c r="AD695" s="41"/>
      <c r="AE695" s="40"/>
      <c r="AF695" s="45"/>
      <c r="AG695" s="5"/>
      <c r="AH695" s="6"/>
      <c r="AI695" s="45"/>
      <c r="AJ695" s="45"/>
      <c r="AK695" s="40"/>
      <c r="AL695" s="40"/>
      <c r="AM695" s="40"/>
      <c r="AN695" s="45"/>
      <c r="AO695" s="40"/>
    </row>
    <row r="696" spans="2:41" ht="12.75" customHeight="1" x14ac:dyDescent="0.25">
      <c r="B696" s="40"/>
      <c r="C696" s="40"/>
      <c r="D696" s="40"/>
      <c r="E696" s="40"/>
      <c r="F696" s="40"/>
      <c r="G696" s="40"/>
      <c r="H696" s="5"/>
      <c r="Q696" s="40"/>
      <c r="R696" s="40"/>
      <c r="S696" s="40"/>
      <c r="T696" s="40"/>
      <c r="U696" s="40"/>
      <c r="W696" s="40"/>
      <c r="X696" s="40"/>
      <c r="Y696" s="40"/>
      <c r="Z696" s="41"/>
      <c r="AA696" s="41"/>
      <c r="AB696" s="41"/>
      <c r="AC696" s="41"/>
      <c r="AD696" s="41"/>
      <c r="AE696" s="40"/>
      <c r="AF696" s="45"/>
      <c r="AG696" s="5"/>
      <c r="AH696" s="6"/>
      <c r="AI696" s="45"/>
      <c r="AJ696" s="45"/>
      <c r="AK696" s="40"/>
      <c r="AL696" s="40"/>
      <c r="AM696" s="40"/>
      <c r="AN696" s="45"/>
      <c r="AO696" s="40"/>
    </row>
    <row r="697" spans="2:41" ht="12.75" customHeight="1" x14ac:dyDescent="0.25">
      <c r="B697" s="40"/>
      <c r="C697" s="40"/>
      <c r="D697" s="40"/>
      <c r="E697" s="40"/>
      <c r="F697" s="40"/>
      <c r="G697" s="40"/>
      <c r="H697" s="5"/>
      <c r="Q697" s="40"/>
      <c r="R697" s="40"/>
      <c r="S697" s="40"/>
      <c r="T697" s="40"/>
      <c r="U697" s="40"/>
      <c r="W697" s="40"/>
      <c r="X697" s="40"/>
      <c r="Y697" s="40"/>
      <c r="Z697" s="41"/>
      <c r="AA697" s="41"/>
      <c r="AB697" s="41"/>
      <c r="AC697" s="41"/>
      <c r="AD697" s="41"/>
      <c r="AE697" s="40"/>
      <c r="AF697" s="45"/>
      <c r="AG697" s="5"/>
      <c r="AH697" s="6"/>
      <c r="AI697" s="45"/>
      <c r="AJ697" s="45"/>
      <c r="AK697" s="40"/>
      <c r="AL697" s="40"/>
      <c r="AM697" s="40"/>
      <c r="AN697" s="45"/>
      <c r="AO697" s="40"/>
    </row>
    <row r="698" spans="2:41" ht="12.75" customHeight="1" x14ac:dyDescent="0.25">
      <c r="B698" s="40"/>
      <c r="C698" s="40"/>
      <c r="D698" s="40"/>
      <c r="E698" s="40"/>
      <c r="F698" s="40"/>
      <c r="G698" s="40"/>
      <c r="H698" s="5"/>
      <c r="Q698" s="40"/>
      <c r="R698" s="40"/>
      <c r="S698" s="40"/>
      <c r="T698" s="40"/>
      <c r="U698" s="40"/>
      <c r="W698" s="40"/>
      <c r="X698" s="40"/>
      <c r="Y698" s="40"/>
      <c r="Z698" s="41"/>
      <c r="AA698" s="41"/>
      <c r="AB698" s="41"/>
      <c r="AC698" s="41"/>
      <c r="AD698" s="41"/>
      <c r="AE698" s="40"/>
      <c r="AF698" s="45"/>
      <c r="AG698" s="5"/>
      <c r="AH698" s="6"/>
      <c r="AI698" s="45"/>
      <c r="AJ698" s="45"/>
      <c r="AK698" s="40"/>
      <c r="AL698" s="40"/>
      <c r="AM698" s="40"/>
      <c r="AN698" s="45"/>
      <c r="AO698" s="40"/>
    </row>
    <row r="699" spans="2:41" ht="12.75" customHeight="1" x14ac:dyDescent="0.25">
      <c r="B699" s="40"/>
      <c r="C699" s="40"/>
      <c r="D699" s="40"/>
      <c r="E699" s="40"/>
      <c r="F699" s="40"/>
      <c r="G699" s="40"/>
      <c r="H699" s="5"/>
      <c r="Q699" s="40"/>
      <c r="R699" s="40"/>
      <c r="S699" s="40"/>
      <c r="T699" s="40"/>
      <c r="U699" s="40"/>
      <c r="W699" s="40"/>
      <c r="X699" s="40"/>
      <c r="Y699" s="40"/>
      <c r="Z699" s="41"/>
      <c r="AA699" s="41"/>
      <c r="AB699" s="41"/>
      <c r="AC699" s="41"/>
      <c r="AD699" s="41"/>
      <c r="AE699" s="40"/>
      <c r="AF699" s="45"/>
      <c r="AG699" s="5"/>
      <c r="AH699" s="6"/>
      <c r="AI699" s="45"/>
      <c r="AJ699" s="45"/>
      <c r="AK699" s="40"/>
      <c r="AL699" s="40"/>
      <c r="AM699" s="40"/>
      <c r="AN699" s="45"/>
      <c r="AO699" s="40"/>
    </row>
    <row r="700" spans="2:41" ht="12.75" customHeight="1" x14ac:dyDescent="0.25">
      <c r="B700" s="40"/>
      <c r="C700" s="40"/>
      <c r="D700" s="40"/>
      <c r="E700" s="40"/>
      <c r="F700" s="40"/>
      <c r="G700" s="40"/>
      <c r="H700" s="5"/>
      <c r="Q700" s="40"/>
      <c r="R700" s="40"/>
      <c r="S700" s="40"/>
      <c r="T700" s="40"/>
      <c r="U700" s="40"/>
      <c r="W700" s="40"/>
      <c r="X700" s="40"/>
      <c r="Y700" s="40"/>
      <c r="Z700" s="41"/>
      <c r="AA700" s="41"/>
      <c r="AB700" s="41"/>
      <c r="AC700" s="41"/>
      <c r="AD700" s="41"/>
      <c r="AE700" s="40"/>
      <c r="AF700" s="45"/>
      <c r="AG700" s="5"/>
      <c r="AH700" s="6"/>
      <c r="AI700" s="45"/>
      <c r="AJ700" s="45"/>
      <c r="AK700" s="40"/>
      <c r="AL700" s="40"/>
      <c r="AM700" s="40"/>
      <c r="AN700" s="45"/>
      <c r="AO700" s="40"/>
    </row>
    <row r="701" spans="2:41" ht="12.75" customHeight="1" x14ac:dyDescent="0.25">
      <c r="B701" s="40"/>
      <c r="C701" s="40"/>
      <c r="D701" s="40"/>
      <c r="E701" s="40"/>
      <c r="F701" s="40"/>
      <c r="G701" s="40"/>
      <c r="H701" s="5"/>
      <c r="Q701" s="40"/>
      <c r="R701" s="40"/>
      <c r="S701" s="40"/>
      <c r="T701" s="40"/>
      <c r="U701" s="40"/>
      <c r="W701" s="40"/>
      <c r="X701" s="40"/>
      <c r="Y701" s="40"/>
      <c r="Z701" s="41"/>
      <c r="AA701" s="41"/>
      <c r="AB701" s="41"/>
      <c r="AC701" s="41"/>
      <c r="AD701" s="41"/>
      <c r="AE701" s="40"/>
      <c r="AF701" s="45"/>
      <c r="AG701" s="5"/>
      <c r="AH701" s="6"/>
      <c r="AI701" s="45"/>
      <c r="AJ701" s="45"/>
      <c r="AK701" s="40"/>
      <c r="AL701" s="40"/>
      <c r="AM701" s="40"/>
      <c r="AN701" s="45"/>
      <c r="AO701" s="40"/>
    </row>
    <row r="702" spans="2:41" ht="12.75" customHeight="1" x14ac:dyDescent="0.25">
      <c r="B702" s="40"/>
      <c r="C702" s="40"/>
      <c r="D702" s="40"/>
      <c r="E702" s="40"/>
      <c r="F702" s="40"/>
      <c r="G702" s="40"/>
      <c r="H702" s="5"/>
      <c r="Q702" s="40"/>
      <c r="R702" s="40"/>
      <c r="S702" s="40"/>
      <c r="T702" s="40"/>
      <c r="U702" s="40"/>
      <c r="W702" s="40"/>
      <c r="X702" s="40"/>
      <c r="Y702" s="40"/>
      <c r="Z702" s="41"/>
      <c r="AA702" s="41"/>
      <c r="AB702" s="41"/>
      <c r="AC702" s="41"/>
      <c r="AD702" s="41"/>
      <c r="AE702" s="40"/>
      <c r="AF702" s="45"/>
      <c r="AG702" s="5"/>
      <c r="AH702" s="6"/>
      <c r="AI702" s="45"/>
      <c r="AJ702" s="45"/>
      <c r="AK702" s="40"/>
      <c r="AL702" s="40"/>
      <c r="AM702" s="40"/>
      <c r="AN702" s="45"/>
      <c r="AO702" s="40"/>
    </row>
    <row r="703" spans="2:41" ht="12.75" customHeight="1" x14ac:dyDescent="0.25">
      <c r="B703" s="40"/>
      <c r="C703" s="40"/>
      <c r="D703" s="40"/>
      <c r="E703" s="40"/>
      <c r="F703" s="40"/>
      <c r="G703" s="40"/>
      <c r="H703" s="5"/>
      <c r="Q703" s="40"/>
      <c r="R703" s="40"/>
      <c r="S703" s="40"/>
      <c r="T703" s="40"/>
      <c r="U703" s="40"/>
      <c r="W703" s="40"/>
      <c r="X703" s="40"/>
      <c r="Y703" s="40"/>
      <c r="Z703" s="41"/>
      <c r="AA703" s="41"/>
      <c r="AB703" s="41"/>
      <c r="AC703" s="41"/>
      <c r="AD703" s="41"/>
      <c r="AE703" s="40"/>
      <c r="AF703" s="45"/>
      <c r="AG703" s="5"/>
      <c r="AH703" s="6"/>
      <c r="AI703" s="45"/>
      <c r="AJ703" s="45"/>
      <c r="AK703" s="40"/>
      <c r="AL703" s="40"/>
      <c r="AM703" s="40"/>
      <c r="AN703" s="45"/>
      <c r="AO703" s="40"/>
    </row>
    <row r="704" spans="2:41" ht="12.75" customHeight="1" x14ac:dyDescent="0.25">
      <c r="B704" s="40"/>
      <c r="C704" s="40"/>
      <c r="D704" s="40"/>
      <c r="E704" s="40"/>
      <c r="F704" s="40"/>
      <c r="G704" s="40"/>
      <c r="H704" s="5"/>
      <c r="Q704" s="40"/>
      <c r="R704" s="40"/>
      <c r="S704" s="40"/>
      <c r="T704" s="40"/>
      <c r="U704" s="40"/>
      <c r="W704" s="40"/>
      <c r="X704" s="40"/>
      <c r="Y704" s="40"/>
      <c r="Z704" s="41"/>
      <c r="AA704" s="41"/>
      <c r="AB704" s="41"/>
      <c r="AC704" s="41"/>
      <c r="AD704" s="41"/>
      <c r="AE704" s="40"/>
      <c r="AF704" s="45"/>
      <c r="AG704" s="5"/>
      <c r="AH704" s="6"/>
      <c r="AI704" s="45"/>
      <c r="AJ704" s="45"/>
      <c r="AK704" s="40"/>
      <c r="AL704" s="40"/>
      <c r="AM704" s="40"/>
      <c r="AN704" s="45"/>
      <c r="AO704" s="40"/>
    </row>
    <row r="705" spans="2:41" ht="12.75" customHeight="1" x14ac:dyDescent="0.25">
      <c r="B705" s="40"/>
      <c r="C705" s="40"/>
      <c r="D705" s="40"/>
      <c r="E705" s="40"/>
      <c r="F705" s="40"/>
      <c r="G705" s="40"/>
      <c r="H705" s="5"/>
      <c r="Q705" s="40"/>
      <c r="R705" s="40"/>
      <c r="S705" s="40"/>
      <c r="T705" s="40"/>
      <c r="U705" s="40"/>
      <c r="W705" s="40"/>
      <c r="X705" s="40"/>
      <c r="Y705" s="40"/>
      <c r="Z705" s="41"/>
      <c r="AA705" s="41"/>
      <c r="AB705" s="41"/>
      <c r="AC705" s="41"/>
      <c r="AD705" s="41"/>
      <c r="AE705" s="40"/>
      <c r="AF705" s="45"/>
      <c r="AG705" s="5"/>
      <c r="AH705" s="6"/>
      <c r="AI705" s="45"/>
      <c r="AJ705" s="45"/>
      <c r="AK705" s="40"/>
      <c r="AL705" s="40"/>
      <c r="AM705" s="40"/>
      <c r="AN705" s="45"/>
      <c r="AO705" s="40"/>
    </row>
    <row r="706" spans="2:41" ht="12.75" customHeight="1" x14ac:dyDescent="0.25">
      <c r="B706" s="40"/>
      <c r="C706" s="40"/>
      <c r="D706" s="40"/>
      <c r="E706" s="40"/>
      <c r="F706" s="40"/>
      <c r="G706" s="40"/>
      <c r="H706" s="5"/>
      <c r="Q706" s="40"/>
      <c r="R706" s="40"/>
      <c r="S706" s="40"/>
      <c r="T706" s="40"/>
      <c r="U706" s="40"/>
      <c r="W706" s="40"/>
      <c r="X706" s="40"/>
      <c r="Y706" s="40"/>
      <c r="Z706" s="41"/>
      <c r="AA706" s="41"/>
      <c r="AB706" s="41"/>
      <c r="AC706" s="41"/>
      <c r="AD706" s="41"/>
      <c r="AE706" s="40"/>
      <c r="AF706" s="45"/>
      <c r="AG706" s="5"/>
      <c r="AH706" s="6"/>
      <c r="AI706" s="45"/>
      <c r="AJ706" s="45"/>
      <c r="AK706" s="40"/>
      <c r="AL706" s="40"/>
      <c r="AM706" s="40"/>
      <c r="AN706" s="45"/>
      <c r="AO706" s="40"/>
    </row>
    <row r="707" spans="2:41" ht="12.75" customHeight="1" x14ac:dyDescent="0.25">
      <c r="B707" s="40"/>
      <c r="C707" s="40"/>
      <c r="D707" s="40"/>
      <c r="E707" s="40"/>
      <c r="F707" s="40"/>
      <c r="G707" s="40"/>
      <c r="H707" s="5"/>
      <c r="Q707" s="40"/>
      <c r="R707" s="40"/>
      <c r="S707" s="40"/>
      <c r="T707" s="40"/>
      <c r="U707" s="40"/>
      <c r="W707" s="40"/>
      <c r="X707" s="40"/>
      <c r="Y707" s="40"/>
      <c r="Z707" s="41"/>
      <c r="AA707" s="41"/>
      <c r="AB707" s="41"/>
      <c r="AC707" s="41"/>
      <c r="AD707" s="41"/>
      <c r="AE707" s="40"/>
      <c r="AF707" s="45"/>
      <c r="AG707" s="5"/>
      <c r="AH707" s="6"/>
      <c r="AI707" s="45"/>
      <c r="AJ707" s="45"/>
      <c r="AK707" s="40"/>
      <c r="AL707" s="40"/>
      <c r="AM707" s="40"/>
      <c r="AN707" s="45"/>
      <c r="AO707" s="40"/>
    </row>
    <row r="708" spans="2:41" ht="12.75" customHeight="1" x14ac:dyDescent="0.25">
      <c r="B708" s="40"/>
      <c r="C708" s="40"/>
      <c r="D708" s="40"/>
      <c r="E708" s="40"/>
      <c r="F708" s="40"/>
      <c r="G708" s="40"/>
      <c r="H708" s="5"/>
      <c r="Q708" s="40"/>
      <c r="R708" s="40"/>
      <c r="S708" s="40"/>
      <c r="T708" s="40"/>
      <c r="U708" s="40"/>
      <c r="W708" s="40"/>
      <c r="X708" s="40"/>
      <c r="Y708" s="40"/>
      <c r="Z708" s="41"/>
      <c r="AA708" s="41"/>
      <c r="AB708" s="41"/>
      <c r="AC708" s="41"/>
      <c r="AD708" s="41"/>
      <c r="AE708" s="40"/>
      <c r="AF708" s="45"/>
      <c r="AG708" s="5"/>
      <c r="AH708" s="6"/>
      <c r="AI708" s="45"/>
      <c r="AJ708" s="45"/>
      <c r="AK708" s="40"/>
      <c r="AL708" s="40"/>
      <c r="AM708" s="40"/>
      <c r="AN708" s="45"/>
      <c r="AO708" s="40"/>
    </row>
    <row r="709" spans="2:41" ht="12.75" customHeight="1" x14ac:dyDescent="0.25">
      <c r="B709" s="40"/>
      <c r="C709" s="40"/>
      <c r="D709" s="40"/>
      <c r="E709" s="40"/>
      <c r="F709" s="40"/>
      <c r="G709" s="40"/>
      <c r="H709" s="5"/>
      <c r="Q709" s="40"/>
      <c r="R709" s="40"/>
      <c r="S709" s="40"/>
      <c r="T709" s="40"/>
      <c r="U709" s="40"/>
      <c r="W709" s="40"/>
      <c r="X709" s="40"/>
      <c r="Y709" s="40"/>
      <c r="Z709" s="41"/>
      <c r="AA709" s="41"/>
      <c r="AB709" s="41"/>
      <c r="AC709" s="41"/>
      <c r="AD709" s="41"/>
      <c r="AE709" s="40"/>
      <c r="AF709" s="45"/>
      <c r="AG709" s="5"/>
      <c r="AH709" s="6"/>
      <c r="AI709" s="45"/>
      <c r="AJ709" s="45"/>
      <c r="AK709" s="40"/>
      <c r="AL709" s="40"/>
      <c r="AM709" s="40"/>
      <c r="AN709" s="45"/>
      <c r="AO709" s="40"/>
    </row>
    <row r="710" spans="2:41" ht="12.75" customHeight="1" x14ac:dyDescent="0.25">
      <c r="B710" s="40"/>
      <c r="C710" s="40"/>
      <c r="D710" s="40"/>
      <c r="E710" s="40"/>
      <c r="F710" s="40"/>
      <c r="G710" s="40"/>
      <c r="H710" s="5"/>
      <c r="Q710" s="40"/>
      <c r="R710" s="40"/>
      <c r="S710" s="40"/>
      <c r="T710" s="40"/>
      <c r="U710" s="40"/>
      <c r="W710" s="40"/>
      <c r="X710" s="40"/>
      <c r="Y710" s="40"/>
      <c r="Z710" s="41"/>
      <c r="AA710" s="41"/>
      <c r="AB710" s="41"/>
      <c r="AC710" s="41"/>
      <c r="AD710" s="41"/>
      <c r="AE710" s="40"/>
      <c r="AF710" s="45"/>
      <c r="AG710" s="5"/>
      <c r="AH710" s="6"/>
      <c r="AI710" s="45"/>
      <c r="AJ710" s="45"/>
      <c r="AK710" s="40"/>
      <c r="AL710" s="40"/>
      <c r="AM710" s="40"/>
      <c r="AN710" s="45"/>
      <c r="AO710" s="40"/>
    </row>
    <row r="711" spans="2:41" ht="12.75" customHeight="1" x14ac:dyDescent="0.25">
      <c r="B711" s="40"/>
      <c r="C711" s="40"/>
      <c r="D711" s="40"/>
      <c r="E711" s="40"/>
      <c r="F711" s="40"/>
      <c r="G711" s="40"/>
      <c r="H711" s="5"/>
      <c r="Q711" s="40"/>
      <c r="R711" s="40"/>
      <c r="S711" s="40"/>
      <c r="T711" s="40"/>
      <c r="U711" s="40"/>
      <c r="W711" s="40"/>
      <c r="X711" s="40"/>
      <c r="Y711" s="40"/>
      <c r="Z711" s="41"/>
      <c r="AA711" s="41"/>
      <c r="AB711" s="41"/>
      <c r="AC711" s="41"/>
      <c r="AD711" s="41"/>
      <c r="AE711" s="40"/>
      <c r="AF711" s="45"/>
      <c r="AG711" s="5"/>
      <c r="AH711" s="6"/>
      <c r="AI711" s="45"/>
      <c r="AJ711" s="45"/>
      <c r="AK711" s="40"/>
      <c r="AL711" s="40"/>
      <c r="AM711" s="40"/>
      <c r="AN711" s="45"/>
      <c r="AO711" s="40"/>
    </row>
    <row r="712" spans="2:41" ht="12.75" customHeight="1" x14ac:dyDescent="0.25">
      <c r="B712" s="40"/>
      <c r="C712" s="40"/>
      <c r="D712" s="40"/>
      <c r="E712" s="40"/>
      <c r="F712" s="40"/>
      <c r="G712" s="40"/>
      <c r="H712" s="5"/>
      <c r="Q712" s="40"/>
      <c r="R712" s="40"/>
      <c r="S712" s="40"/>
      <c r="T712" s="40"/>
      <c r="U712" s="40"/>
      <c r="W712" s="40"/>
      <c r="X712" s="40"/>
      <c r="Y712" s="40"/>
      <c r="Z712" s="41"/>
      <c r="AA712" s="41"/>
      <c r="AB712" s="41"/>
      <c r="AC712" s="41"/>
      <c r="AD712" s="41"/>
      <c r="AE712" s="40"/>
      <c r="AF712" s="45"/>
      <c r="AG712" s="5"/>
      <c r="AH712" s="6"/>
      <c r="AI712" s="45"/>
      <c r="AJ712" s="45"/>
      <c r="AK712" s="40"/>
      <c r="AL712" s="40"/>
      <c r="AM712" s="40"/>
      <c r="AN712" s="45"/>
      <c r="AO712" s="40"/>
    </row>
    <row r="713" spans="2:41" ht="12.75" customHeight="1" x14ac:dyDescent="0.25">
      <c r="B713" s="40"/>
      <c r="C713" s="40"/>
      <c r="D713" s="40"/>
      <c r="E713" s="40"/>
      <c r="F713" s="40"/>
      <c r="G713" s="40"/>
      <c r="H713" s="5"/>
      <c r="Q713" s="40"/>
      <c r="R713" s="40"/>
      <c r="S713" s="40"/>
      <c r="T713" s="40"/>
      <c r="U713" s="40"/>
      <c r="W713" s="40"/>
      <c r="X713" s="40"/>
      <c r="Y713" s="40"/>
      <c r="Z713" s="41"/>
      <c r="AA713" s="41"/>
      <c r="AB713" s="41"/>
      <c r="AC713" s="41"/>
      <c r="AD713" s="41"/>
      <c r="AE713" s="40"/>
      <c r="AF713" s="45"/>
      <c r="AG713" s="5"/>
      <c r="AH713" s="6"/>
      <c r="AI713" s="45"/>
      <c r="AJ713" s="45"/>
      <c r="AK713" s="40"/>
      <c r="AL713" s="40"/>
      <c r="AM713" s="40"/>
      <c r="AN713" s="45"/>
      <c r="AO713" s="40"/>
    </row>
    <row r="714" spans="2:41" ht="12.75" customHeight="1" x14ac:dyDescent="0.25">
      <c r="B714" s="40"/>
      <c r="C714" s="40"/>
      <c r="D714" s="40"/>
      <c r="E714" s="40"/>
      <c r="F714" s="40"/>
      <c r="G714" s="40"/>
      <c r="H714" s="5"/>
      <c r="Q714" s="40"/>
      <c r="R714" s="40"/>
      <c r="S714" s="40"/>
      <c r="T714" s="40"/>
      <c r="U714" s="40"/>
      <c r="W714" s="40"/>
      <c r="X714" s="40"/>
      <c r="Y714" s="40"/>
      <c r="Z714" s="41"/>
      <c r="AA714" s="41"/>
      <c r="AB714" s="41"/>
      <c r="AC714" s="41"/>
      <c r="AD714" s="41"/>
      <c r="AE714" s="40"/>
      <c r="AF714" s="45"/>
      <c r="AG714" s="5"/>
      <c r="AH714" s="6"/>
      <c r="AI714" s="45"/>
      <c r="AJ714" s="45"/>
      <c r="AK714" s="40"/>
      <c r="AL714" s="40"/>
      <c r="AM714" s="40"/>
      <c r="AN714" s="45"/>
      <c r="AO714" s="40"/>
    </row>
    <row r="715" spans="2:41" ht="12.75" customHeight="1" x14ac:dyDescent="0.25">
      <c r="B715" s="40"/>
      <c r="C715" s="40"/>
      <c r="D715" s="40"/>
      <c r="E715" s="40"/>
      <c r="F715" s="40"/>
      <c r="G715" s="40"/>
      <c r="H715" s="5"/>
      <c r="Q715" s="40"/>
      <c r="R715" s="40"/>
      <c r="S715" s="40"/>
      <c r="T715" s="40"/>
      <c r="U715" s="40"/>
      <c r="W715" s="40"/>
      <c r="X715" s="40"/>
      <c r="Y715" s="40"/>
      <c r="Z715" s="41"/>
      <c r="AA715" s="41"/>
      <c r="AB715" s="41"/>
      <c r="AC715" s="41"/>
      <c r="AD715" s="41"/>
      <c r="AE715" s="40"/>
      <c r="AF715" s="45"/>
      <c r="AG715" s="5"/>
      <c r="AH715" s="6"/>
      <c r="AI715" s="45"/>
      <c r="AJ715" s="45"/>
      <c r="AK715" s="40"/>
      <c r="AL715" s="40"/>
      <c r="AM715" s="40"/>
      <c r="AN715" s="45"/>
      <c r="AO715" s="40"/>
    </row>
    <row r="716" spans="2:41" ht="12.75" customHeight="1" x14ac:dyDescent="0.25">
      <c r="B716" s="40"/>
      <c r="C716" s="40"/>
      <c r="D716" s="40"/>
      <c r="E716" s="40"/>
      <c r="F716" s="40"/>
      <c r="G716" s="40"/>
      <c r="H716" s="5"/>
      <c r="Q716" s="40"/>
      <c r="R716" s="40"/>
      <c r="S716" s="40"/>
      <c r="T716" s="40"/>
      <c r="U716" s="40"/>
      <c r="W716" s="40"/>
      <c r="X716" s="40"/>
      <c r="Y716" s="40"/>
      <c r="Z716" s="41"/>
      <c r="AA716" s="41"/>
      <c r="AB716" s="41"/>
      <c r="AC716" s="41"/>
      <c r="AD716" s="41"/>
      <c r="AE716" s="40"/>
      <c r="AF716" s="45"/>
      <c r="AG716" s="5"/>
      <c r="AH716" s="6"/>
      <c r="AI716" s="45"/>
      <c r="AJ716" s="45"/>
      <c r="AK716" s="40"/>
      <c r="AL716" s="40"/>
      <c r="AM716" s="40"/>
      <c r="AN716" s="45"/>
      <c r="AO716" s="40"/>
    </row>
    <row r="717" spans="2:41" ht="12.75" customHeight="1" x14ac:dyDescent="0.25">
      <c r="B717" s="40"/>
      <c r="C717" s="40"/>
      <c r="D717" s="40"/>
      <c r="E717" s="40"/>
      <c r="F717" s="40"/>
      <c r="G717" s="40"/>
      <c r="H717" s="5"/>
      <c r="Q717" s="40"/>
      <c r="R717" s="40"/>
      <c r="S717" s="40"/>
      <c r="T717" s="40"/>
      <c r="U717" s="40"/>
      <c r="W717" s="40"/>
      <c r="X717" s="40"/>
      <c r="Y717" s="40"/>
      <c r="Z717" s="41"/>
      <c r="AA717" s="41"/>
      <c r="AB717" s="41"/>
      <c r="AC717" s="41"/>
      <c r="AD717" s="41"/>
      <c r="AE717" s="40"/>
      <c r="AF717" s="45"/>
      <c r="AG717" s="5"/>
      <c r="AH717" s="6"/>
      <c r="AI717" s="45"/>
      <c r="AJ717" s="45"/>
      <c r="AK717" s="40"/>
      <c r="AL717" s="40"/>
      <c r="AM717" s="40"/>
      <c r="AN717" s="45"/>
      <c r="AO717" s="40"/>
    </row>
    <row r="718" spans="2:41" ht="12.75" customHeight="1" x14ac:dyDescent="0.25">
      <c r="B718" s="40"/>
      <c r="C718" s="40"/>
      <c r="D718" s="40"/>
      <c r="E718" s="40"/>
      <c r="F718" s="40"/>
      <c r="G718" s="40"/>
      <c r="H718" s="5"/>
      <c r="Q718" s="40"/>
      <c r="R718" s="40"/>
      <c r="S718" s="40"/>
      <c r="T718" s="40"/>
      <c r="U718" s="40"/>
      <c r="W718" s="40"/>
      <c r="X718" s="40"/>
      <c r="Y718" s="40"/>
      <c r="Z718" s="41"/>
      <c r="AA718" s="41"/>
      <c r="AB718" s="41"/>
      <c r="AC718" s="41"/>
      <c r="AD718" s="41"/>
      <c r="AE718" s="40"/>
      <c r="AF718" s="45"/>
      <c r="AG718" s="5"/>
      <c r="AH718" s="6"/>
      <c r="AI718" s="45"/>
      <c r="AJ718" s="45"/>
      <c r="AK718" s="40"/>
      <c r="AL718" s="40"/>
      <c r="AM718" s="40"/>
      <c r="AN718" s="45"/>
      <c r="AO718" s="40"/>
    </row>
    <row r="719" spans="2:41" ht="12.75" customHeight="1" x14ac:dyDescent="0.25">
      <c r="B719" s="40"/>
      <c r="C719" s="40"/>
      <c r="D719" s="40"/>
      <c r="E719" s="40"/>
      <c r="F719" s="40"/>
      <c r="G719" s="40"/>
      <c r="H719" s="5"/>
      <c r="Q719" s="40"/>
      <c r="R719" s="40"/>
      <c r="S719" s="40"/>
      <c r="T719" s="40"/>
      <c r="U719" s="40"/>
      <c r="W719" s="40"/>
      <c r="X719" s="40"/>
      <c r="Y719" s="40"/>
      <c r="Z719" s="41"/>
      <c r="AA719" s="41"/>
      <c r="AB719" s="41"/>
      <c r="AC719" s="41"/>
      <c r="AD719" s="41"/>
      <c r="AE719" s="40"/>
      <c r="AF719" s="45"/>
      <c r="AG719" s="5"/>
      <c r="AH719" s="6"/>
      <c r="AI719" s="45"/>
      <c r="AJ719" s="45"/>
      <c r="AK719" s="40"/>
      <c r="AL719" s="40"/>
      <c r="AM719" s="40"/>
      <c r="AN719" s="45"/>
      <c r="AO719" s="40"/>
    </row>
    <row r="720" spans="2:41" ht="12.75" customHeight="1" x14ac:dyDescent="0.25">
      <c r="B720" s="40"/>
      <c r="C720" s="40"/>
      <c r="D720" s="40"/>
      <c r="E720" s="40"/>
      <c r="F720" s="40"/>
      <c r="G720" s="40"/>
      <c r="H720" s="5"/>
      <c r="Q720" s="40"/>
      <c r="R720" s="40"/>
      <c r="S720" s="40"/>
      <c r="T720" s="40"/>
      <c r="U720" s="40"/>
      <c r="W720" s="40"/>
      <c r="X720" s="40"/>
      <c r="Y720" s="40"/>
      <c r="Z720" s="41"/>
      <c r="AA720" s="41"/>
      <c r="AB720" s="41"/>
      <c r="AC720" s="41"/>
      <c r="AD720" s="41"/>
      <c r="AE720" s="40"/>
      <c r="AF720" s="45"/>
      <c r="AG720" s="5"/>
      <c r="AH720" s="6"/>
      <c r="AI720" s="45"/>
      <c r="AJ720" s="45"/>
      <c r="AK720" s="40"/>
      <c r="AL720" s="40"/>
      <c r="AM720" s="40"/>
      <c r="AN720" s="45"/>
      <c r="AO720" s="40"/>
    </row>
    <row r="721" spans="2:41" ht="12.75" customHeight="1" x14ac:dyDescent="0.25">
      <c r="B721" s="40"/>
      <c r="C721" s="40"/>
      <c r="D721" s="40"/>
      <c r="E721" s="40"/>
      <c r="F721" s="40"/>
      <c r="G721" s="40"/>
      <c r="H721" s="5"/>
      <c r="Q721" s="40"/>
      <c r="R721" s="40"/>
      <c r="S721" s="40"/>
      <c r="T721" s="40"/>
      <c r="U721" s="40"/>
      <c r="W721" s="40"/>
      <c r="X721" s="40"/>
      <c r="Y721" s="40"/>
      <c r="Z721" s="41"/>
      <c r="AA721" s="41"/>
      <c r="AB721" s="41"/>
      <c r="AC721" s="41"/>
      <c r="AD721" s="41"/>
      <c r="AE721" s="40"/>
      <c r="AF721" s="45"/>
      <c r="AG721" s="5"/>
      <c r="AH721" s="6"/>
      <c r="AI721" s="45"/>
      <c r="AJ721" s="45"/>
      <c r="AK721" s="40"/>
      <c r="AL721" s="40"/>
      <c r="AM721" s="40"/>
      <c r="AN721" s="45"/>
      <c r="AO721" s="40"/>
    </row>
    <row r="722" spans="2:41" ht="12.75" customHeight="1" x14ac:dyDescent="0.25">
      <c r="B722" s="40"/>
      <c r="C722" s="40"/>
      <c r="D722" s="40"/>
      <c r="E722" s="40"/>
      <c r="F722" s="40"/>
      <c r="G722" s="40"/>
      <c r="H722" s="5"/>
      <c r="Q722" s="40"/>
      <c r="R722" s="40"/>
      <c r="S722" s="40"/>
      <c r="T722" s="40"/>
      <c r="U722" s="40"/>
      <c r="W722" s="40"/>
      <c r="X722" s="40"/>
      <c r="Y722" s="40"/>
      <c r="Z722" s="41"/>
      <c r="AA722" s="41"/>
      <c r="AB722" s="41"/>
      <c r="AC722" s="41"/>
      <c r="AD722" s="41"/>
      <c r="AE722" s="40"/>
      <c r="AF722" s="45"/>
      <c r="AG722" s="5"/>
      <c r="AH722" s="6"/>
      <c r="AI722" s="45"/>
      <c r="AJ722" s="45"/>
      <c r="AK722" s="40"/>
      <c r="AL722" s="40"/>
      <c r="AM722" s="40"/>
      <c r="AN722" s="45"/>
      <c r="AO722" s="40"/>
    </row>
    <row r="723" spans="2:41" ht="12.75" customHeight="1" x14ac:dyDescent="0.25">
      <c r="B723" s="40"/>
      <c r="C723" s="40"/>
      <c r="D723" s="40"/>
      <c r="E723" s="40"/>
      <c r="F723" s="40"/>
      <c r="G723" s="40"/>
      <c r="H723" s="5"/>
      <c r="Q723" s="40"/>
      <c r="R723" s="40"/>
      <c r="S723" s="40"/>
      <c r="T723" s="40"/>
      <c r="U723" s="40"/>
      <c r="W723" s="40"/>
      <c r="X723" s="40"/>
      <c r="Y723" s="40"/>
      <c r="Z723" s="41"/>
      <c r="AA723" s="41"/>
      <c r="AB723" s="41"/>
      <c r="AC723" s="41"/>
      <c r="AD723" s="41"/>
      <c r="AE723" s="40"/>
      <c r="AF723" s="45"/>
      <c r="AG723" s="5"/>
      <c r="AH723" s="6"/>
      <c r="AI723" s="45"/>
      <c r="AJ723" s="45"/>
      <c r="AK723" s="40"/>
      <c r="AL723" s="40"/>
      <c r="AM723" s="40"/>
      <c r="AN723" s="45"/>
      <c r="AO723" s="40"/>
    </row>
    <row r="724" spans="2:41" ht="12.75" customHeight="1" x14ac:dyDescent="0.25">
      <c r="B724" s="40"/>
      <c r="C724" s="40"/>
      <c r="D724" s="40"/>
      <c r="E724" s="40"/>
      <c r="F724" s="40"/>
      <c r="G724" s="40"/>
      <c r="H724" s="5"/>
      <c r="Q724" s="40"/>
      <c r="R724" s="40"/>
      <c r="S724" s="40"/>
      <c r="T724" s="40"/>
      <c r="U724" s="40"/>
      <c r="W724" s="40"/>
      <c r="X724" s="40"/>
      <c r="Y724" s="40"/>
      <c r="Z724" s="41"/>
      <c r="AA724" s="41"/>
      <c r="AB724" s="41"/>
      <c r="AC724" s="41"/>
      <c r="AD724" s="41"/>
      <c r="AE724" s="40"/>
      <c r="AF724" s="45"/>
      <c r="AG724" s="5"/>
      <c r="AH724" s="6"/>
      <c r="AI724" s="45"/>
      <c r="AJ724" s="45"/>
      <c r="AK724" s="40"/>
      <c r="AL724" s="40"/>
      <c r="AM724" s="40"/>
      <c r="AN724" s="45"/>
      <c r="AO724" s="40"/>
    </row>
    <row r="725" spans="2:41" ht="12.75" customHeight="1" x14ac:dyDescent="0.25">
      <c r="B725" s="40"/>
      <c r="C725" s="40"/>
      <c r="D725" s="40"/>
      <c r="E725" s="40"/>
      <c r="F725" s="40"/>
      <c r="G725" s="40"/>
      <c r="H725" s="5"/>
      <c r="Q725" s="40"/>
      <c r="R725" s="40"/>
      <c r="S725" s="40"/>
      <c r="T725" s="40"/>
      <c r="U725" s="40"/>
      <c r="W725" s="40"/>
      <c r="X725" s="40"/>
      <c r="Y725" s="40"/>
      <c r="Z725" s="41"/>
      <c r="AA725" s="41"/>
      <c r="AB725" s="41"/>
      <c r="AC725" s="41"/>
      <c r="AD725" s="41"/>
      <c r="AE725" s="40"/>
      <c r="AF725" s="45"/>
      <c r="AG725" s="5"/>
      <c r="AH725" s="6"/>
      <c r="AI725" s="45"/>
      <c r="AJ725" s="45"/>
      <c r="AK725" s="40"/>
      <c r="AL725" s="40"/>
      <c r="AM725" s="40"/>
      <c r="AN725" s="45"/>
      <c r="AO725" s="40"/>
    </row>
    <row r="726" spans="2:41" ht="12.75" customHeight="1" x14ac:dyDescent="0.25">
      <c r="B726" s="40"/>
      <c r="C726" s="40"/>
      <c r="D726" s="40"/>
      <c r="E726" s="40"/>
      <c r="F726" s="40"/>
      <c r="G726" s="40"/>
      <c r="H726" s="5"/>
      <c r="Q726" s="40"/>
      <c r="R726" s="40"/>
      <c r="S726" s="40"/>
      <c r="T726" s="40"/>
      <c r="U726" s="40"/>
      <c r="W726" s="40"/>
      <c r="X726" s="40"/>
      <c r="Y726" s="40"/>
      <c r="Z726" s="41"/>
      <c r="AA726" s="41"/>
      <c r="AB726" s="41"/>
      <c r="AC726" s="41"/>
      <c r="AD726" s="41"/>
      <c r="AE726" s="40"/>
      <c r="AF726" s="45"/>
      <c r="AG726" s="5"/>
      <c r="AH726" s="6"/>
      <c r="AI726" s="45"/>
      <c r="AJ726" s="45"/>
      <c r="AK726" s="40"/>
      <c r="AL726" s="40"/>
      <c r="AM726" s="40"/>
      <c r="AN726" s="45"/>
      <c r="AO726" s="40"/>
    </row>
    <row r="727" spans="2:41" ht="12.75" customHeight="1" x14ac:dyDescent="0.25">
      <c r="B727" s="40"/>
      <c r="C727" s="40"/>
      <c r="D727" s="40"/>
      <c r="E727" s="40"/>
      <c r="F727" s="40"/>
      <c r="G727" s="40"/>
      <c r="H727" s="5"/>
      <c r="Q727" s="40"/>
      <c r="R727" s="40"/>
      <c r="S727" s="40"/>
      <c r="T727" s="40"/>
      <c r="U727" s="40"/>
      <c r="W727" s="40"/>
      <c r="X727" s="40"/>
      <c r="Y727" s="40"/>
      <c r="Z727" s="41"/>
      <c r="AA727" s="41"/>
      <c r="AB727" s="41"/>
      <c r="AC727" s="41"/>
      <c r="AD727" s="41"/>
      <c r="AE727" s="40"/>
      <c r="AF727" s="45"/>
      <c r="AG727" s="5"/>
      <c r="AH727" s="6"/>
      <c r="AI727" s="45"/>
      <c r="AJ727" s="45"/>
      <c r="AK727" s="40"/>
      <c r="AL727" s="40"/>
      <c r="AM727" s="40"/>
      <c r="AN727" s="45"/>
      <c r="AO727" s="40"/>
    </row>
    <row r="728" spans="2:41" ht="12.75" customHeight="1" x14ac:dyDescent="0.25">
      <c r="B728" s="40"/>
      <c r="C728" s="40"/>
      <c r="D728" s="40"/>
      <c r="E728" s="40"/>
      <c r="F728" s="40"/>
      <c r="G728" s="40"/>
      <c r="H728" s="5"/>
      <c r="Q728" s="40"/>
      <c r="R728" s="40"/>
      <c r="S728" s="40"/>
      <c r="T728" s="40"/>
      <c r="U728" s="40"/>
      <c r="W728" s="40"/>
      <c r="X728" s="40"/>
      <c r="Y728" s="40"/>
      <c r="Z728" s="41"/>
      <c r="AA728" s="41"/>
      <c r="AB728" s="41"/>
      <c r="AC728" s="41"/>
      <c r="AD728" s="41"/>
      <c r="AE728" s="40"/>
      <c r="AF728" s="45"/>
      <c r="AG728" s="5"/>
      <c r="AH728" s="6"/>
      <c r="AI728" s="45"/>
      <c r="AJ728" s="45"/>
      <c r="AK728" s="40"/>
      <c r="AL728" s="40"/>
      <c r="AM728" s="40"/>
      <c r="AN728" s="45"/>
      <c r="AO728" s="40"/>
    </row>
    <row r="729" spans="2:41" ht="12.75" customHeight="1" x14ac:dyDescent="0.25">
      <c r="B729" s="40"/>
      <c r="C729" s="40"/>
      <c r="D729" s="40"/>
      <c r="E729" s="40"/>
      <c r="F729" s="40"/>
      <c r="G729" s="40"/>
      <c r="H729" s="5"/>
      <c r="Q729" s="40"/>
      <c r="R729" s="40"/>
      <c r="S729" s="40"/>
      <c r="T729" s="40"/>
      <c r="U729" s="40"/>
      <c r="W729" s="40"/>
      <c r="X729" s="40"/>
      <c r="Y729" s="40"/>
      <c r="Z729" s="41"/>
      <c r="AA729" s="41"/>
      <c r="AB729" s="41"/>
      <c r="AC729" s="41"/>
      <c r="AD729" s="41"/>
      <c r="AE729" s="40"/>
      <c r="AF729" s="45"/>
      <c r="AG729" s="5"/>
      <c r="AH729" s="6"/>
      <c r="AI729" s="45"/>
      <c r="AJ729" s="45"/>
      <c r="AK729" s="40"/>
      <c r="AL729" s="40"/>
      <c r="AM729" s="40"/>
      <c r="AN729" s="45"/>
      <c r="AO729" s="40"/>
    </row>
    <row r="730" spans="2:41" ht="12.75" customHeight="1" x14ac:dyDescent="0.25">
      <c r="B730" s="40"/>
      <c r="C730" s="40"/>
      <c r="D730" s="40"/>
      <c r="E730" s="40"/>
      <c r="F730" s="40"/>
      <c r="G730" s="40"/>
      <c r="H730" s="5"/>
      <c r="Q730" s="40"/>
      <c r="R730" s="40"/>
      <c r="S730" s="40"/>
      <c r="T730" s="40"/>
      <c r="U730" s="40"/>
      <c r="W730" s="40"/>
      <c r="X730" s="40"/>
      <c r="Y730" s="40"/>
      <c r="Z730" s="41"/>
      <c r="AA730" s="41"/>
      <c r="AB730" s="41"/>
      <c r="AC730" s="41"/>
      <c r="AD730" s="41"/>
      <c r="AE730" s="40"/>
      <c r="AF730" s="45"/>
      <c r="AG730" s="5"/>
      <c r="AH730" s="6"/>
      <c r="AI730" s="45"/>
      <c r="AJ730" s="45"/>
      <c r="AK730" s="40"/>
      <c r="AL730" s="40"/>
      <c r="AM730" s="40"/>
      <c r="AN730" s="45"/>
      <c r="AO730" s="40"/>
    </row>
    <row r="731" spans="2:41" ht="12.75" customHeight="1" x14ac:dyDescent="0.25">
      <c r="B731" s="40"/>
      <c r="C731" s="40"/>
      <c r="D731" s="40"/>
      <c r="E731" s="40"/>
      <c r="F731" s="40"/>
      <c r="G731" s="40"/>
      <c r="H731" s="5"/>
      <c r="Q731" s="40"/>
      <c r="R731" s="40"/>
      <c r="S731" s="40"/>
      <c r="T731" s="40"/>
      <c r="U731" s="40"/>
      <c r="W731" s="40"/>
      <c r="X731" s="40"/>
      <c r="Y731" s="40"/>
      <c r="Z731" s="41"/>
      <c r="AA731" s="41"/>
      <c r="AB731" s="41"/>
      <c r="AC731" s="41"/>
      <c r="AD731" s="41"/>
      <c r="AE731" s="40"/>
      <c r="AF731" s="45"/>
      <c r="AG731" s="5"/>
      <c r="AH731" s="6"/>
      <c r="AI731" s="45"/>
      <c r="AJ731" s="45"/>
      <c r="AK731" s="40"/>
      <c r="AL731" s="40"/>
      <c r="AM731" s="40"/>
      <c r="AN731" s="45"/>
      <c r="AO731" s="40"/>
    </row>
    <row r="732" spans="2:41" ht="12.75" customHeight="1" x14ac:dyDescent="0.25">
      <c r="B732" s="40"/>
      <c r="C732" s="40"/>
      <c r="D732" s="40"/>
      <c r="E732" s="40"/>
      <c r="F732" s="40"/>
      <c r="G732" s="40"/>
      <c r="H732" s="5"/>
      <c r="Q732" s="40"/>
      <c r="R732" s="40"/>
      <c r="S732" s="40"/>
      <c r="T732" s="40"/>
      <c r="U732" s="40"/>
      <c r="W732" s="40"/>
      <c r="X732" s="40"/>
      <c r="Y732" s="40"/>
      <c r="Z732" s="41"/>
      <c r="AA732" s="41"/>
      <c r="AB732" s="41"/>
      <c r="AC732" s="41"/>
      <c r="AD732" s="41"/>
      <c r="AE732" s="40"/>
      <c r="AF732" s="45"/>
      <c r="AG732" s="5"/>
      <c r="AH732" s="6"/>
      <c r="AI732" s="45"/>
      <c r="AJ732" s="45"/>
      <c r="AK732" s="40"/>
      <c r="AL732" s="40"/>
      <c r="AM732" s="40"/>
      <c r="AN732" s="45"/>
      <c r="AO732" s="40"/>
    </row>
    <row r="733" spans="2:41" ht="12.75" customHeight="1" x14ac:dyDescent="0.25">
      <c r="B733" s="40"/>
      <c r="C733" s="40"/>
      <c r="D733" s="40"/>
      <c r="E733" s="40"/>
      <c r="F733" s="40"/>
      <c r="G733" s="40"/>
      <c r="H733" s="5"/>
      <c r="Q733" s="40"/>
      <c r="R733" s="40"/>
      <c r="S733" s="40"/>
      <c r="T733" s="40"/>
      <c r="U733" s="40"/>
      <c r="W733" s="40"/>
      <c r="X733" s="40"/>
      <c r="Y733" s="40"/>
      <c r="Z733" s="41"/>
      <c r="AA733" s="41"/>
      <c r="AB733" s="41"/>
      <c r="AC733" s="41"/>
      <c r="AD733" s="41"/>
      <c r="AE733" s="40"/>
      <c r="AF733" s="45"/>
      <c r="AG733" s="5"/>
      <c r="AH733" s="6"/>
      <c r="AI733" s="45"/>
      <c r="AJ733" s="45"/>
      <c r="AK733" s="40"/>
      <c r="AL733" s="40"/>
      <c r="AM733" s="40"/>
      <c r="AN733" s="45"/>
      <c r="AO733" s="40"/>
    </row>
    <row r="734" spans="2:41" ht="12.75" customHeight="1" x14ac:dyDescent="0.25">
      <c r="B734" s="40"/>
      <c r="C734" s="40"/>
      <c r="D734" s="40"/>
      <c r="E734" s="40"/>
      <c r="F734" s="40"/>
      <c r="G734" s="40"/>
      <c r="H734" s="5"/>
      <c r="Q734" s="40"/>
      <c r="R734" s="40"/>
      <c r="S734" s="40"/>
      <c r="T734" s="40"/>
      <c r="U734" s="40"/>
      <c r="W734" s="40"/>
      <c r="X734" s="40"/>
      <c r="Y734" s="40"/>
      <c r="Z734" s="41"/>
      <c r="AA734" s="41"/>
      <c r="AB734" s="41"/>
      <c r="AC734" s="41"/>
      <c r="AD734" s="41"/>
      <c r="AE734" s="40"/>
      <c r="AF734" s="45"/>
      <c r="AG734" s="5"/>
      <c r="AH734" s="6"/>
      <c r="AI734" s="45"/>
      <c r="AJ734" s="45"/>
      <c r="AK734" s="40"/>
      <c r="AL734" s="40"/>
      <c r="AM734" s="40"/>
      <c r="AN734" s="45"/>
      <c r="AO734" s="40"/>
    </row>
    <row r="735" spans="2:41" ht="12.75" customHeight="1" x14ac:dyDescent="0.25">
      <c r="B735" s="40"/>
      <c r="C735" s="40"/>
      <c r="D735" s="40"/>
      <c r="E735" s="40"/>
      <c r="F735" s="40"/>
      <c r="G735" s="40"/>
      <c r="H735" s="5"/>
      <c r="Q735" s="40"/>
      <c r="R735" s="40"/>
      <c r="S735" s="40"/>
      <c r="T735" s="40"/>
      <c r="U735" s="40"/>
      <c r="W735" s="40"/>
      <c r="X735" s="40"/>
      <c r="Y735" s="40"/>
      <c r="Z735" s="41"/>
      <c r="AA735" s="41"/>
      <c r="AB735" s="41"/>
      <c r="AC735" s="41"/>
      <c r="AD735" s="41"/>
      <c r="AE735" s="40"/>
      <c r="AF735" s="45"/>
      <c r="AG735" s="5"/>
      <c r="AH735" s="6"/>
      <c r="AI735" s="45"/>
      <c r="AJ735" s="45"/>
      <c r="AK735" s="40"/>
      <c r="AL735" s="40"/>
      <c r="AM735" s="40"/>
      <c r="AN735" s="45"/>
      <c r="AO735" s="40"/>
    </row>
    <row r="736" spans="2:41" ht="12.75" customHeight="1" x14ac:dyDescent="0.25">
      <c r="B736" s="40"/>
      <c r="C736" s="40"/>
      <c r="D736" s="40"/>
      <c r="E736" s="40"/>
      <c r="F736" s="40"/>
      <c r="G736" s="40"/>
      <c r="H736" s="5"/>
      <c r="Q736" s="40"/>
      <c r="R736" s="40"/>
      <c r="S736" s="40"/>
      <c r="T736" s="40"/>
      <c r="U736" s="40"/>
      <c r="W736" s="40"/>
      <c r="X736" s="40"/>
      <c r="Y736" s="40"/>
      <c r="Z736" s="41"/>
      <c r="AA736" s="41"/>
      <c r="AB736" s="41"/>
      <c r="AC736" s="41"/>
      <c r="AD736" s="41"/>
      <c r="AE736" s="40"/>
      <c r="AF736" s="45"/>
      <c r="AG736" s="5"/>
      <c r="AH736" s="6"/>
      <c r="AI736" s="45"/>
      <c r="AJ736" s="45"/>
      <c r="AK736" s="40"/>
      <c r="AL736" s="40"/>
      <c r="AM736" s="40"/>
      <c r="AN736" s="45"/>
      <c r="AO736" s="40"/>
    </row>
    <row r="737" spans="2:41" ht="12.75" customHeight="1" x14ac:dyDescent="0.25">
      <c r="B737" s="40"/>
      <c r="C737" s="40"/>
      <c r="D737" s="40"/>
      <c r="E737" s="40"/>
      <c r="F737" s="40"/>
      <c r="G737" s="40"/>
      <c r="H737" s="5"/>
      <c r="Q737" s="40"/>
      <c r="R737" s="40"/>
      <c r="S737" s="40"/>
      <c r="T737" s="40"/>
      <c r="U737" s="40"/>
      <c r="W737" s="40"/>
      <c r="X737" s="40"/>
      <c r="Y737" s="40"/>
      <c r="Z737" s="41"/>
      <c r="AA737" s="41"/>
      <c r="AB737" s="41"/>
      <c r="AC737" s="41"/>
      <c r="AD737" s="41"/>
      <c r="AE737" s="40"/>
      <c r="AF737" s="45"/>
      <c r="AG737" s="5"/>
      <c r="AH737" s="6"/>
      <c r="AI737" s="45"/>
      <c r="AJ737" s="45"/>
      <c r="AK737" s="40"/>
      <c r="AL737" s="40"/>
      <c r="AM737" s="40"/>
      <c r="AN737" s="45"/>
      <c r="AO737" s="40"/>
    </row>
    <row r="738" spans="2:41" ht="12.75" customHeight="1" x14ac:dyDescent="0.25">
      <c r="B738" s="40"/>
      <c r="C738" s="40"/>
      <c r="D738" s="40"/>
      <c r="E738" s="40"/>
      <c r="F738" s="40"/>
      <c r="G738" s="40"/>
      <c r="H738" s="5"/>
      <c r="Q738" s="40"/>
      <c r="R738" s="40"/>
      <c r="S738" s="40"/>
      <c r="T738" s="40"/>
      <c r="U738" s="40"/>
      <c r="W738" s="40"/>
      <c r="X738" s="40"/>
      <c r="Y738" s="40"/>
      <c r="Z738" s="41"/>
      <c r="AA738" s="41"/>
      <c r="AB738" s="41"/>
      <c r="AC738" s="41"/>
      <c r="AD738" s="41"/>
      <c r="AE738" s="40"/>
      <c r="AF738" s="45"/>
      <c r="AG738" s="5"/>
      <c r="AH738" s="6"/>
      <c r="AI738" s="45"/>
      <c r="AJ738" s="45"/>
      <c r="AK738" s="40"/>
      <c r="AL738" s="40"/>
      <c r="AM738" s="40"/>
      <c r="AN738" s="45"/>
      <c r="AO738" s="40"/>
    </row>
    <row r="739" spans="2:41" ht="12.75" customHeight="1" x14ac:dyDescent="0.25">
      <c r="B739" s="40"/>
      <c r="C739" s="40"/>
      <c r="D739" s="40"/>
      <c r="E739" s="40"/>
      <c r="F739" s="40"/>
      <c r="G739" s="40"/>
      <c r="H739" s="5"/>
      <c r="Q739" s="40"/>
      <c r="R739" s="40"/>
      <c r="S739" s="40"/>
      <c r="T739" s="40"/>
      <c r="U739" s="40"/>
      <c r="W739" s="40"/>
      <c r="X739" s="40"/>
      <c r="Y739" s="40"/>
      <c r="Z739" s="41"/>
      <c r="AA739" s="41"/>
      <c r="AB739" s="41"/>
      <c r="AC739" s="41"/>
      <c r="AD739" s="41"/>
      <c r="AE739" s="40"/>
      <c r="AF739" s="45"/>
      <c r="AG739" s="5"/>
      <c r="AH739" s="6"/>
      <c r="AI739" s="45"/>
      <c r="AJ739" s="45"/>
      <c r="AK739" s="40"/>
      <c r="AL739" s="40"/>
      <c r="AM739" s="40"/>
      <c r="AN739" s="45"/>
      <c r="AO739" s="40"/>
    </row>
    <row r="740" spans="2:41" ht="12.75" customHeight="1" x14ac:dyDescent="0.25">
      <c r="B740" s="40"/>
      <c r="C740" s="40"/>
      <c r="D740" s="40"/>
      <c r="E740" s="40"/>
      <c r="F740" s="40"/>
      <c r="G740" s="40"/>
      <c r="H740" s="5"/>
      <c r="Q740" s="40"/>
      <c r="R740" s="40"/>
      <c r="S740" s="40"/>
      <c r="T740" s="40"/>
      <c r="U740" s="40"/>
      <c r="W740" s="40"/>
      <c r="X740" s="40"/>
      <c r="Y740" s="40"/>
      <c r="Z740" s="41"/>
      <c r="AA740" s="41"/>
      <c r="AB740" s="41"/>
      <c r="AC740" s="41"/>
      <c r="AD740" s="41"/>
      <c r="AE740" s="40"/>
      <c r="AF740" s="45"/>
      <c r="AG740" s="5"/>
      <c r="AH740" s="6"/>
      <c r="AI740" s="45"/>
      <c r="AJ740" s="45"/>
      <c r="AK740" s="40"/>
      <c r="AL740" s="40"/>
      <c r="AM740" s="40"/>
      <c r="AN740" s="45"/>
      <c r="AO740" s="40"/>
    </row>
    <row r="741" spans="2:41" ht="12.75" customHeight="1" x14ac:dyDescent="0.25">
      <c r="B741" s="40"/>
      <c r="C741" s="40"/>
      <c r="D741" s="40"/>
      <c r="E741" s="40"/>
      <c r="F741" s="40"/>
      <c r="G741" s="40"/>
      <c r="H741" s="5"/>
      <c r="Q741" s="40"/>
      <c r="R741" s="40"/>
      <c r="S741" s="40"/>
      <c r="T741" s="40"/>
      <c r="U741" s="40"/>
      <c r="W741" s="40"/>
      <c r="X741" s="40"/>
      <c r="Y741" s="40"/>
      <c r="Z741" s="41"/>
      <c r="AA741" s="41"/>
      <c r="AB741" s="41"/>
      <c r="AC741" s="41"/>
      <c r="AD741" s="41"/>
      <c r="AE741" s="40"/>
      <c r="AF741" s="45"/>
      <c r="AG741" s="5"/>
      <c r="AH741" s="6"/>
      <c r="AI741" s="45"/>
      <c r="AJ741" s="45"/>
      <c r="AK741" s="40"/>
      <c r="AL741" s="40"/>
      <c r="AM741" s="40"/>
      <c r="AN741" s="45"/>
      <c r="AO741" s="40"/>
    </row>
    <row r="742" spans="2:41" ht="12.75" customHeight="1" x14ac:dyDescent="0.25">
      <c r="B742" s="40"/>
      <c r="C742" s="40"/>
      <c r="D742" s="40"/>
      <c r="E742" s="40"/>
      <c r="F742" s="40"/>
      <c r="G742" s="40"/>
      <c r="H742" s="5"/>
      <c r="Q742" s="40"/>
      <c r="R742" s="40"/>
      <c r="S742" s="40"/>
      <c r="T742" s="40"/>
      <c r="U742" s="40"/>
      <c r="W742" s="40"/>
      <c r="X742" s="40"/>
      <c r="Y742" s="40"/>
      <c r="Z742" s="41"/>
      <c r="AA742" s="41"/>
      <c r="AB742" s="41"/>
      <c r="AC742" s="41"/>
      <c r="AD742" s="41"/>
      <c r="AE742" s="40"/>
      <c r="AF742" s="45"/>
      <c r="AG742" s="5"/>
      <c r="AH742" s="6"/>
      <c r="AI742" s="45"/>
      <c r="AJ742" s="45"/>
      <c r="AK742" s="40"/>
      <c r="AL742" s="40"/>
      <c r="AM742" s="40"/>
      <c r="AN742" s="45"/>
      <c r="AO742" s="40"/>
    </row>
    <row r="743" spans="2:41" ht="12.75" customHeight="1" x14ac:dyDescent="0.25">
      <c r="B743" s="40"/>
      <c r="C743" s="40"/>
      <c r="D743" s="40"/>
      <c r="E743" s="40"/>
      <c r="F743" s="40"/>
      <c r="G743" s="40"/>
      <c r="H743" s="5"/>
      <c r="Q743" s="40"/>
      <c r="R743" s="40"/>
      <c r="S743" s="40"/>
      <c r="T743" s="40"/>
      <c r="U743" s="40"/>
      <c r="W743" s="40"/>
      <c r="X743" s="40"/>
      <c r="Y743" s="40"/>
      <c r="Z743" s="41"/>
      <c r="AA743" s="41"/>
      <c r="AB743" s="41"/>
      <c r="AC743" s="41"/>
      <c r="AD743" s="41"/>
      <c r="AE743" s="40"/>
      <c r="AF743" s="45"/>
      <c r="AG743" s="5"/>
      <c r="AH743" s="6"/>
      <c r="AI743" s="45"/>
      <c r="AJ743" s="45"/>
      <c r="AK743" s="40"/>
      <c r="AL743" s="40"/>
      <c r="AM743" s="40"/>
      <c r="AN743" s="45"/>
      <c r="AO743" s="40"/>
    </row>
    <row r="744" spans="2:41" ht="12.75" customHeight="1" x14ac:dyDescent="0.25">
      <c r="B744" s="40"/>
      <c r="C744" s="40"/>
      <c r="D744" s="40"/>
      <c r="E744" s="40"/>
      <c r="F744" s="40"/>
      <c r="G744" s="40"/>
      <c r="H744" s="5"/>
      <c r="Q744" s="40"/>
      <c r="R744" s="40"/>
      <c r="S744" s="40"/>
      <c r="T744" s="40"/>
      <c r="U744" s="40"/>
      <c r="W744" s="40"/>
      <c r="X744" s="40"/>
      <c r="Y744" s="40"/>
      <c r="Z744" s="41"/>
      <c r="AA744" s="41"/>
      <c r="AB744" s="41"/>
      <c r="AC744" s="41"/>
      <c r="AD744" s="41"/>
      <c r="AE744" s="40"/>
      <c r="AF744" s="45"/>
      <c r="AG744" s="5"/>
      <c r="AH744" s="6"/>
      <c r="AI744" s="45"/>
      <c r="AJ744" s="45"/>
      <c r="AK744" s="40"/>
      <c r="AL744" s="40"/>
      <c r="AM744" s="40"/>
      <c r="AN744" s="45"/>
      <c r="AO744" s="40"/>
    </row>
    <row r="745" spans="2:41" ht="12.75" customHeight="1" x14ac:dyDescent="0.25">
      <c r="B745" s="40"/>
      <c r="C745" s="40"/>
      <c r="D745" s="40"/>
      <c r="E745" s="40"/>
      <c r="F745" s="40"/>
      <c r="G745" s="40"/>
      <c r="H745" s="5"/>
      <c r="Q745" s="40"/>
      <c r="R745" s="40"/>
      <c r="S745" s="40"/>
      <c r="T745" s="40"/>
      <c r="U745" s="40"/>
      <c r="W745" s="40"/>
      <c r="X745" s="40"/>
      <c r="Y745" s="40"/>
      <c r="Z745" s="41"/>
      <c r="AA745" s="41"/>
      <c r="AB745" s="41"/>
      <c r="AC745" s="41"/>
      <c r="AD745" s="41"/>
      <c r="AE745" s="40"/>
      <c r="AF745" s="45"/>
      <c r="AG745" s="5"/>
      <c r="AH745" s="6"/>
      <c r="AI745" s="45"/>
      <c r="AJ745" s="45"/>
      <c r="AK745" s="40"/>
      <c r="AL745" s="40"/>
      <c r="AM745" s="40"/>
      <c r="AN745" s="45"/>
      <c r="AO745" s="40"/>
    </row>
    <row r="746" spans="2:41" ht="12.75" customHeight="1" x14ac:dyDescent="0.25">
      <c r="B746" s="40"/>
      <c r="C746" s="40"/>
      <c r="D746" s="40"/>
      <c r="E746" s="40"/>
      <c r="F746" s="40"/>
      <c r="G746" s="40"/>
      <c r="H746" s="5"/>
      <c r="Q746" s="40"/>
      <c r="R746" s="40"/>
      <c r="S746" s="40"/>
      <c r="T746" s="40"/>
      <c r="U746" s="40"/>
      <c r="W746" s="40"/>
      <c r="X746" s="40"/>
      <c r="Y746" s="40"/>
      <c r="Z746" s="41"/>
      <c r="AA746" s="41"/>
      <c r="AB746" s="41"/>
      <c r="AC746" s="41"/>
      <c r="AD746" s="41"/>
      <c r="AE746" s="40"/>
      <c r="AF746" s="45"/>
      <c r="AG746" s="5"/>
      <c r="AH746" s="6"/>
      <c r="AI746" s="45"/>
      <c r="AJ746" s="45"/>
      <c r="AK746" s="40"/>
      <c r="AL746" s="40"/>
      <c r="AM746" s="40"/>
      <c r="AN746" s="45"/>
      <c r="AO746" s="40"/>
    </row>
    <row r="747" spans="2:41" ht="12.75" customHeight="1" x14ac:dyDescent="0.25">
      <c r="B747" s="40"/>
      <c r="C747" s="40"/>
      <c r="D747" s="40"/>
      <c r="E747" s="40"/>
      <c r="F747" s="40"/>
      <c r="G747" s="40"/>
      <c r="H747" s="5"/>
      <c r="Q747" s="40"/>
      <c r="R747" s="40"/>
      <c r="S747" s="40"/>
      <c r="T747" s="40"/>
      <c r="U747" s="40"/>
      <c r="W747" s="40"/>
      <c r="X747" s="40"/>
      <c r="Y747" s="40"/>
      <c r="Z747" s="41"/>
      <c r="AA747" s="41"/>
      <c r="AB747" s="41"/>
      <c r="AC747" s="41"/>
      <c r="AD747" s="41"/>
      <c r="AE747" s="40"/>
      <c r="AF747" s="45"/>
      <c r="AG747" s="5"/>
      <c r="AH747" s="6"/>
      <c r="AI747" s="45"/>
      <c r="AJ747" s="45"/>
      <c r="AK747" s="40"/>
      <c r="AL747" s="40"/>
      <c r="AM747" s="40"/>
      <c r="AN747" s="45"/>
      <c r="AO747" s="40"/>
    </row>
    <row r="748" spans="2:41" ht="12.75" customHeight="1" x14ac:dyDescent="0.25">
      <c r="B748" s="40"/>
      <c r="C748" s="40"/>
      <c r="D748" s="40"/>
      <c r="E748" s="40"/>
      <c r="F748" s="40"/>
      <c r="G748" s="40"/>
      <c r="H748" s="5"/>
      <c r="Q748" s="40"/>
      <c r="R748" s="40"/>
      <c r="S748" s="40"/>
      <c r="T748" s="40"/>
      <c r="U748" s="40"/>
      <c r="W748" s="40"/>
      <c r="X748" s="40"/>
      <c r="Y748" s="40"/>
      <c r="Z748" s="41"/>
      <c r="AA748" s="41"/>
      <c r="AB748" s="41"/>
      <c r="AC748" s="41"/>
      <c r="AD748" s="41"/>
      <c r="AE748" s="40"/>
      <c r="AF748" s="45"/>
      <c r="AG748" s="5"/>
      <c r="AH748" s="6"/>
      <c r="AI748" s="45"/>
      <c r="AJ748" s="45"/>
      <c r="AK748" s="40"/>
      <c r="AL748" s="40"/>
      <c r="AM748" s="40"/>
      <c r="AN748" s="45"/>
      <c r="AO748" s="40"/>
    </row>
    <row r="749" spans="2:41" ht="12.75" customHeight="1" x14ac:dyDescent="0.25">
      <c r="B749" s="40"/>
      <c r="C749" s="40"/>
      <c r="D749" s="40"/>
      <c r="E749" s="40"/>
      <c r="F749" s="40"/>
      <c r="G749" s="40"/>
      <c r="H749" s="5"/>
      <c r="Q749" s="40"/>
      <c r="R749" s="40"/>
      <c r="S749" s="40"/>
      <c r="T749" s="40"/>
      <c r="U749" s="40"/>
      <c r="W749" s="40"/>
      <c r="X749" s="40"/>
      <c r="Y749" s="40"/>
      <c r="Z749" s="41"/>
      <c r="AA749" s="41"/>
      <c r="AB749" s="41"/>
      <c r="AC749" s="41"/>
      <c r="AD749" s="41"/>
      <c r="AE749" s="40"/>
      <c r="AF749" s="45"/>
      <c r="AG749" s="5"/>
      <c r="AH749" s="6"/>
      <c r="AI749" s="45"/>
      <c r="AJ749" s="45"/>
      <c r="AK749" s="40"/>
      <c r="AL749" s="40"/>
      <c r="AM749" s="40"/>
      <c r="AN749" s="45"/>
      <c r="AO749" s="40"/>
    </row>
    <row r="750" spans="2:41" ht="12.75" customHeight="1" x14ac:dyDescent="0.25">
      <c r="B750" s="40"/>
      <c r="C750" s="40"/>
      <c r="D750" s="40"/>
      <c r="E750" s="40"/>
      <c r="F750" s="40"/>
      <c r="G750" s="40"/>
      <c r="H750" s="5"/>
      <c r="Q750" s="40"/>
      <c r="R750" s="40"/>
      <c r="S750" s="40"/>
      <c r="T750" s="40"/>
      <c r="U750" s="40"/>
      <c r="W750" s="40"/>
      <c r="X750" s="40"/>
      <c r="Y750" s="40"/>
      <c r="Z750" s="41"/>
      <c r="AA750" s="41"/>
      <c r="AB750" s="41"/>
      <c r="AC750" s="41"/>
      <c r="AD750" s="41"/>
      <c r="AE750" s="40"/>
      <c r="AF750" s="45"/>
      <c r="AG750" s="5"/>
      <c r="AH750" s="6"/>
      <c r="AI750" s="45"/>
      <c r="AJ750" s="45"/>
      <c r="AK750" s="40"/>
      <c r="AL750" s="40"/>
      <c r="AM750" s="40"/>
      <c r="AN750" s="45"/>
      <c r="AO750" s="40"/>
    </row>
    <row r="751" spans="2:41" ht="12.75" customHeight="1" x14ac:dyDescent="0.25">
      <c r="B751" s="40"/>
      <c r="C751" s="40"/>
      <c r="D751" s="40"/>
      <c r="E751" s="40"/>
      <c r="F751" s="40"/>
      <c r="G751" s="40"/>
      <c r="H751" s="5"/>
      <c r="Q751" s="40"/>
      <c r="R751" s="40"/>
      <c r="S751" s="40"/>
      <c r="T751" s="40"/>
      <c r="U751" s="40"/>
      <c r="W751" s="40"/>
      <c r="X751" s="40"/>
      <c r="Y751" s="40"/>
      <c r="Z751" s="41"/>
      <c r="AA751" s="41"/>
      <c r="AB751" s="41"/>
      <c r="AC751" s="41"/>
      <c r="AD751" s="41"/>
      <c r="AE751" s="40"/>
      <c r="AF751" s="45"/>
      <c r="AG751" s="5"/>
      <c r="AH751" s="6"/>
      <c r="AI751" s="45"/>
      <c r="AJ751" s="45"/>
      <c r="AK751" s="40"/>
      <c r="AL751" s="40"/>
      <c r="AM751" s="40"/>
      <c r="AN751" s="45"/>
      <c r="AO751" s="40"/>
    </row>
    <row r="752" spans="2:41" ht="12.75" customHeight="1" x14ac:dyDescent="0.25">
      <c r="B752" s="40"/>
      <c r="C752" s="40"/>
      <c r="D752" s="40"/>
      <c r="E752" s="40"/>
      <c r="F752" s="40"/>
      <c r="G752" s="40"/>
      <c r="H752" s="5"/>
      <c r="Q752" s="40"/>
      <c r="R752" s="40"/>
      <c r="S752" s="40"/>
      <c r="T752" s="40"/>
      <c r="U752" s="40"/>
      <c r="W752" s="40"/>
      <c r="X752" s="40"/>
      <c r="Y752" s="40"/>
      <c r="Z752" s="41"/>
      <c r="AA752" s="41"/>
      <c r="AB752" s="41"/>
      <c r="AC752" s="41"/>
      <c r="AD752" s="41"/>
      <c r="AE752" s="40"/>
      <c r="AF752" s="45"/>
      <c r="AG752" s="5"/>
      <c r="AH752" s="6"/>
      <c r="AI752" s="45"/>
      <c r="AJ752" s="45"/>
      <c r="AK752" s="40"/>
      <c r="AL752" s="40"/>
      <c r="AM752" s="40"/>
      <c r="AN752" s="45"/>
      <c r="AO752" s="40"/>
    </row>
    <row r="753" spans="2:41" ht="12.75" customHeight="1" x14ac:dyDescent="0.25">
      <c r="B753" s="40"/>
      <c r="C753" s="40"/>
      <c r="D753" s="40"/>
      <c r="E753" s="40"/>
      <c r="F753" s="40"/>
      <c r="G753" s="40"/>
      <c r="H753" s="5"/>
      <c r="Q753" s="40"/>
      <c r="R753" s="40"/>
      <c r="S753" s="40"/>
      <c r="T753" s="40"/>
      <c r="U753" s="40"/>
      <c r="W753" s="40"/>
      <c r="X753" s="40"/>
      <c r="Y753" s="40"/>
      <c r="Z753" s="41"/>
      <c r="AA753" s="41"/>
      <c r="AB753" s="41"/>
      <c r="AC753" s="41"/>
      <c r="AD753" s="41"/>
      <c r="AE753" s="40"/>
      <c r="AF753" s="45"/>
      <c r="AG753" s="5"/>
      <c r="AH753" s="6"/>
      <c r="AI753" s="45"/>
      <c r="AJ753" s="45"/>
      <c r="AK753" s="40"/>
      <c r="AL753" s="40"/>
      <c r="AM753" s="40"/>
      <c r="AN753" s="45"/>
      <c r="AO753" s="40"/>
    </row>
    <row r="754" spans="2:41" ht="12.75" customHeight="1" x14ac:dyDescent="0.25">
      <c r="B754" s="40"/>
      <c r="C754" s="40"/>
      <c r="D754" s="40"/>
      <c r="E754" s="40"/>
      <c r="F754" s="40"/>
      <c r="G754" s="40"/>
      <c r="H754" s="5"/>
      <c r="Q754" s="40"/>
      <c r="R754" s="40"/>
      <c r="S754" s="40"/>
      <c r="T754" s="40"/>
      <c r="U754" s="40"/>
      <c r="W754" s="40"/>
      <c r="X754" s="40"/>
      <c r="Y754" s="40"/>
      <c r="Z754" s="41"/>
      <c r="AA754" s="41"/>
      <c r="AB754" s="41"/>
      <c r="AC754" s="41"/>
      <c r="AD754" s="41"/>
      <c r="AE754" s="40"/>
      <c r="AF754" s="45"/>
      <c r="AG754" s="5"/>
      <c r="AH754" s="6"/>
      <c r="AI754" s="45"/>
      <c r="AJ754" s="45"/>
      <c r="AK754" s="40"/>
      <c r="AL754" s="40"/>
      <c r="AM754" s="40"/>
      <c r="AN754" s="45"/>
      <c r="AO754" s="40"/>
    </row>
    <row r="755" spans="2:41" ht="12.75" customHeight="1" x14ac:dyDescent="0.25">
      <c r="B755" s="40"/>
      <c r="C755" s="40"/>
      <c r="D755" s="40"/>
      <c r="E755" s="40"/>
      <c r="F755" s="40"/>
      <c r="G755" s="40"/>
      <c r="H755" s="5"/>
      <c r="Q755" s="40"/>
      <c r="R755" s="40"/>
      <c r="S755" s="40"/>
      <c r="T755" s="40"/>
      <c r="U755" s="40"/>
      <c r="W755" s="40"/>
      <c r="X755" s="40"/>
      <c r="Y755" s="40"/>
      <c r="Z755" s="41"/>
      <c r="AA755" s="41"/>
      <c r="AB755" s="41"/>
      <c r="AC755" s="41"/>
      <c r="AD755" s="41"/>
      <c r="AE755" s="40"/>
      <c r="AF755" s="45"/>
      <c r="AG755" s="5"/>
      <c r="AH755" s="6"/>
      <c r="AI755" s="45"/>
      <c r="AJ755" s="45"/>
      <c r="AK755" s="40"/>
      <c r="AL755" s="40"/>
      <c r="AM755" s="40"/>
      <c r="AN755" s="45"/>
      <c r="AO755" s="40"/>
    </row>
    <row r="756" spans="2:41" ht="12.75" customHeight="1" x14ac:dyDescent="0.25">
      <c r="B756" s="40"/>
      <c r="C756" s="40"/>
      <c r="D756" s="40"/>
      <c r="E756" s="40"/>
      <c r="F756" s="40"/>
      <c r="G756" s="40"/>
      <c r="H756" s="5"/>
      <c r="Q756" s="40"/>
      <c r="R756" s="40"/>
      <c r="S756" s="40"/>
      <c r="T756" s="40"/>
      <c r="U756" s="40"/>
      <c r="W756" s="40"/>
      <c r="X756" s="40"/>
      <c r="Y756" s="40"/>
      <c r="Z756" s="41"/>
      <c r="AA756" s="41"/>
      <c r="AB756" s="41"/>
      <c r="AC756" s="41"/>
      <c r="AD756" s="41"/>
      <c r="AE756" s="40"/>
      <c r="AF756" s="45"/>
      <c r="AG756" s="5"/>
      <c r="AH756" s="6"/>
      <c r="AI756" s="45"/>
      <c r="AJ756" s="45"/>
      <c r="AK756" s="40"/>
      <c r="AL756" s="40"/>
      <c r="AM756" s="40"/>
      <c r="AN756" s="45"/>
      <c r="AO756" s="40"/>
    </row>
    <row r="757" spans="2:41" ht="12.75" customHeight="1" x14ac:dyDescent="0.25">
      <c r="B757" s="40"/>
      <c r="C757" s="40"/>
      <c r="D757" s="40"/>
      <c r="E757" s="40"/>
      <c r="F757" s="40"/>
      <c r="G757" s="40"/>
      <c r="H757" s="5"/>
      <c r="Q757" s="40"/>
      <c r="R757" s="40"/>
      <c r="S757" s="40"/>
      <c r="T757" s="40"/>
      <c r="U757" s="40"/>
      <c r="W757" s="40"/>
      <c r="X757" s="40"/>
      <c r="Y757" s="40"/>
      <c r="Z757" s="41"/>
      <c r="AA757" s="41"/>
      <c r="AB757" s="41"/>
      <c r="AC757" s="41"/>
      <c r="AD757" s="41"/>
      <c r="AE757" s="40"/>
      <c r="AF757" s="45"/>
      <c r="AG757" s="5"/>
      <c r="AH757" s="6"/>
      <c r="AI757" s="45"/>
      <c r="AJ757" s="45"/>
      <c r="AK757" s="40"/>
      <c r="AL757" s="40"/>
      <c r="AM757" s="40"/>
      <c r="AN757" s="45"/>
      <c r="AO757" s="40"/>
    </row>
    <row r="758" spans="2:41" ht="12.75" customHeight="1" x14ac:dyDescent="0.25">
      <c r="B758" s="40"/>
      <c r="C758" s="40"/>
      <c r="D758" s="40"/>
      <c r="E758" s="40"/>
      <c r="F758" s="40"/>
      <c r="G758" s="40"/>
      <c r="H758" s="5"/>
      <c r="Q758" s="40"/>
      <c r="R758" s="40"/>
      <c r="S758" s="40"/>
      <c r="T758" s="40"/>
      <c r="U758" s="40"/>
      <c r="W758" s="40"/>
      <c r="X758" s="40"/>
      <c r="Y758" s="40"/>
      <c r="Z758" s="41"/>
      <c r="AA758" s="41"/>
      <c r="AB758" s="41"/>
      <c r="AC758" s="41"/>
      <c r="AD758" s="41"/>
      <c r="AE758" s="40"/>
      <c r="AF758" s="45"/>
      <c r="AG758" s="5"/>
      <c r="AH758" s="6"/>
      <c r="AI758" s="45"/>
      <c r="AJ758" s="45"/>
      <c r="AK758" s="40"/>
      <c r="AL758" s="40"/>
      <c r="AM758" s="40"/>
      <c r="AN758" s="45"/>
      <c r="AO758" s="40"/>
    </row>
    <row r="759" spans="2:41" ht="12.75" customHeight="1" x14ac:dyDescent="0.25">
      <c r="B759" s="40"/>
      <c r="C759" s="40"/>
      <c r="D759" s="40"/>
      <c r="E759" s="40"/>
      <c r="F759" s="40"/>
      <c r="G759" s="40"/>
      <c r="H759" s="5"/>
      <c r="Q759" s="40"/>
      <c r="R759" s="40"/>
      <c r="S759" s="40"/>
      <c r="T759" s="40"/>
      <c r="U759" s="40"/>
      <c r="W759" s="40"/>
      <c r="X759" s="40"/>
      <c r="Y759" s="40"/>
      <c r="Z759" s="41"/>
      <c r="AA759" s="41"/>
      <c r="AB759" s="41"/>
      <c r="AC759" s="41"/>
      <c r="AD759" s="41"/>
      <c r="AE759" s="40"/>
      <c r="AF759" s="45"/>
      <c r="AG759" s="5"/>
      <c r="AH759" s="6"/>
      <c r="AI759" s="45"/>
      <c r="AJ759" s="45"/>
      <c r="AK759" s="40"/>
      <c r="AL759" s="40"/>
      <c r="AM759" s="40"/>
      <c r="AN759" s="45"/>
      <c r="AO759" s="40"/>
    </row>
    <row r="760" spans="2:41" ht="12.75" customHeight="1" x14ac:dyDescent="0.25">
      <c r="B760" s="40"/>
      <c r="C760" s="40"/>
      <c r="D760" s="40"/>
      <c r="E760" s="40"/>
      <c r="F760" s="40"/>
      <c r="G760" s="40"/>
      <c r="H760" s="5"/>
      <c r="Q760" s="40"/>
      <c r="R760" s="40"/>
      <c r="S760" s="40"/>
      <c r="T760" s="40"/>
      <c r="U760" s="40"/>
      <c r="W760" s="40"/>
      <c r="X760" s="40"/>
      <c r="Y760" s="40"/>
      <c r="Z760" s="41"/>
      <c r="AA760" s="41"/>
      <c r="AB760" s="41"/>
      <c r="AC760" s="41"/>
      <c r="AD760" s="41"/>
      <c r="AE760" s="40"/>
      <c r="AF760" s="45"/>
      <c r="AG760" s="5"/>
      <c r="AH760" s="6"/>
      <c r="AI760" s="45"/>
      <c r="AJ760" s="45"/>
      <c r="AK760" s="40"/>
      <c r="AL760" s="40"/>
      <c r="AM760" s="40"/>
      <c r="AN760" s="45"/>
      <c r="AO760" s="40"/>
    </row>
    <row r="761" spans="2:41" ht="12.75" customHeight="1" x14ac:dyDescent="0.25">
      <c r="B761" s="40"/>
      <c r="C761" s="40"/>
      <c r="D761" s="40"/>
      <c r="E761" s="40"/>
      <c r="F761" s="40"/>
      <c r="G761" s="40"/>
      <c r="H761" s="5"/>
      <c r="Q761" s="40"/>
      <c r="R761" s="40"/>
      <c r="S761" s="40"/>
      <c r="T761" s="40"/>
      <c r="U761" s="40"/>
      <c r="W761" s="40"/>
      <c r="X761" s="40"/>
      <c r="Y761" s="40"/>
      <c r="Z761" s="41"/>
      <c r="AA761" s="41"/>
      <c r="AB761" s="41"/>
      <c r="AC761" s="41"/>
      <c r="AD761" s="41"/>
      <c r="AE761" s="40"/>
      <c r="AF761" s="45"/>
      <c r="AG761" s="5"/>
      <c r="AH761" s="6"/>
      <c r="AI761" s="45"/>
      <c r="AJ761" s="45"/>
      <c r="AK761" s="40"/>
      <c r="AL761" s="40"/>
      <c r="AM761" s="40"/>
      <c r="AN761" s="45"/>
      <c r="AO761" s="40"/>
    </row>
    <row r="762" spans="2:41" ht="12.75" customHeight="1" x14ac:dyDescent="0.25">
      <c r="B762" s="40"/>
      <c r="C762" s="40"/>
      <c r="D762" s="40"/>
      <c r="E762" s="40"/>
      <c r="F762" s="40"/>
      <c r="G762" s="40"/>
      <c r="H762" s="5"/>
      <c r="Q762" s="40"/>
      <c r="R762" s="40"/>
      <c r="S762" s="40"/>
      <c r="T762" s="40"/>
      <c r="U762" s="40"/>
      <c r="W762" s="40"/>
      <c r="X762" s="40"/>
      <c r="Y762" s="40"/>
      <c r="Z762" s="41"/>
      <c r="AA762" s="41"/>
      <c r="AB762" s="41"/>
      <c r="AC762" s="41"/>
      <c r="AD762" s="41"/>
      <c r="AE762" s="40"/>
      <c r="AF762" s="45"/>
      <c r="AG762" s="5"/>
      <c r="AH762" s="6"/>
      <c r="AI762" s="45"/>
      <c r="AJ762" s="45"/>
      <c r="AK762" s="40"/>
      <c r="AL762" s="40"/>
      <c r="AM762" s="40"/>
      <c r="AN762" s="45"/>
      <c r="AO762" s="40"/>
    </row>
    <row r="763" spans="2:41" ht="12.75" customHeight="1" x14ac:dyDescent="0.25">
      <c r="B763" s="40"/>
      <c r="C763" s="40"/>
      <c r="D763" s="40"/>
      <c r="E763" s="40"/>
      <c r="F763" s="40"/>
      <c r="G763" s="40"/>
      <c r="H763" s="5"/>
      <c r="Q763" s="40"/>
      <c r="R763" s="40"/>
      <c r="S763" s="40"/>
      <c r="T763" s="40"/>
      <c r="U763" s="40"/>
      <c r="W763" s="40"/>
      <c r="X763" s="40"/>
      <c r="Y763" s="40"/>
      <c r="Z763" s="41"/>
      <c r="AA763" s="41"/>
      <c r="AB763" s="41"/>
      <c r="AC763" s="41"/>
      <c r="AD763" s="41"/>
      <c r="AE763" s="40"/>
      <c r="AF763" s="45"/>
      <c r="AG763" s="5"/>
      <c r="AH763" s="6"/>
      <c r="AI763" s="45"/>
      <c r="AJ763" s="45"/>
      <c r="AK763" s="40"/>
      <c r="AL763" s="40"/>
      <c r="AM763" s="40"/>
      <c r="AN763" s="45"/>
      <c r="AO763" s="40"/>
    </row>
    <row r="764" spans="2:41" ht="12.75" customHeight="1" x14ac:dyDescent="0.25">
      <c r="B764" s="40"/>
      <c r="C764" s="40"/>
      <c r="D764" s="40"/>
      <c r="E764" s="40"/>
      <c r="F764" s="40"/>
      <c r="G764" s="40"/>
      <c r="H764" s="5"/>
      <c r="Q764" s="40"/>
      <c r="R764" s="40"/>
      <c r="S764" s="40"/>
      <c r="T764" s="40"/>
      <c r="U764" s="40"/>
      <c r="W764" s="40"/>
      <c r="X764" s="40"/>
      <c r="Y764" s="40"/>
      <c r="Z764" s="41"/>
      <c r="AA764" s="41"/>
      <c r="AB764" s="41"/>
      <c r="AC764" s="41"/>
      <c r="AD764" s="41"/>
      <c r="AE764" s="40"/>
      <c r="AF764" s="45"/>
      <c r="AG764" s="5"/>
      <c r="AH764" s="6"/>
      <c r="AI764" s="45"/>
      <c r="AJ764" s="45"/>
      <c r="AK764" s="40"/>
      <c r="AL764" s="40"/>
      <c r="AM764" s="40"/>
      <c r="AN764" s="45"/>
      <c r="AO764" s="40"/>
    </row>
    <row r="765" spans="2:41" ht="12.75" customHeight="1" x14ac:dyDescent="0.25">
      <c r="B765" s="40"/>
      <c r="C765" s="40"/>
      <c r="D765" s="40"/>
      <c r="E765" s="40"/>
      <c r="F765" s="40"/>
      <c r="G765" s="40"/>
      <c r="H765" s="5"/>
      <c r="Q765" s="40"/>
      <c r="R765" s="40"/>
      <c r="S765" s="40"/>
      <c r="T765" s="40"/>
      <c r="U765" s="40"/>
      <c r="W765" s="40"/>
      <c r="X765" s="40"/>
      <c r="Y765" s="40"/>
      <c r="Z765" s="41"/>
      <c r="AA765" s="41"/>
      <c r="AB765" s="41"/>
      <c r="AC765" s="41"/>
      <c r="AD765" s="41"/>
      <c r="AE765" s="40"/>
      <c r="AF765" s="45"/>
      <c r="AG765" s="5"/>
      <c r="AH765" s="6"/>
      <c r="AI765" s="45"/>
      <c r="AJ765" s="45"/>
      <c r="AK765" s="40"/>
      <c r="AL765" s="40"/>
      <c r="AM765" s="40"/>
      <c r="AN765" s="45"/>
      <c r="AO765" s="40"/>
    </row>
    <row r="766" spans="2:41" ht="12.75" customHeight="1" x14ac:dyDescent="0.25">
      <c r="B766" s="40"/>
      <c r="C766" s="40"/>
      <c r="D766" s="40"/>
      <c r="E766" s="40"/>
      <c r="F766" s="40"/>
      <c r="G766" s="40"/>
      <c r="H766" s="5"/>
      <c r="Q766" s="40"/>
      <c r="R766" s="40"/>
      <c r="S766" s="40"/>
      <c r="T766" s="40"/>
      <c r="U766" s="40"/>
      <c r="W766" s="40"/>
      <c r="X766" s="40"/>
      <c r="Y766" s="40"/>
      <c r="Z766" s="41"/>
      <c r="AA766" s="41"/>
      <c r="AB766" s="41"/>
      <c r="AC766" s="41"/>
      <c r="AD766" s="41"/>
      <c r="AE766" s="40"/>
      <c r="AF766" s="45"/>
      <c r="AG766" s="5"/>
      <c r="AH766" s="6"/>
      <c r="AI766" s="45"/>
      <c r="AJ766" s="45"/>
      <c r="AK766" s="40"/>
      <c r="AL766" s="40"/>
      <c r="AM766" s="40"/>
      <c r="AN766" s="45"/>
      <c r="AO766" s="40"/>
    </row>
    <row r="767" spans="2:41" ht="12.75" customHeight="1" x14ac:dyDescent="0.25">
      <c r="B767" s="40"/>
      <c r="C767" s="40"/>
      <c r="D767" s="40"/>
      <c r="E767" s="40"/>
      <c r="F767" s="40"/>
      <c r="G767" s="40"/>
      <c r="H767" s="5"/>
      <c r="Q767" s="40"/>
      <c r="R767" s="40"/>
      <c r="S767" s="40"/>
      <c r="T767" s="40"/>
      <c r="U767" s="40"/>
      <c r="W767" s="40"/>
      <c r="X767" s="40"/>
      <c r="Y767" s="40"/>
      <c r="Z767" s="41"/>
      <c r="AA767" s="41"/>
      <c r="AB767" s="41"/>
      <c r="AC767" s="41"/>
      <c r="AD767" s="41"/>
      <c r="AE767" s="40"/>
      <c r="AF767" s="45"/>
      <c r="AG767" s="5"/>
      <c r="AH767" s="6"/>
      <c r="AI767" s="45"/>
      <c r="AJ767" s="45"/>
      <c r="AK767" s="40"/>
      <c r="AL767" s="40"/>
      <c r="AM767" s="40"/>
      <c r="AN767" s="45"/>
      <c r="AO767" s="40"/>
    </row>
    <row r="768" spans="2:41" ht="12.75" customHeight="1" x14ac:dyDescent="0.25">
      <c r="B768" s="40"/>
      <c r="C768" s="40"/>
      <c r="D768" s="40"/>
      <c r="E768" s="40"/>
      <c r="F768" s="40"/>
      <c r="G768" s="40"/>
      <c r="H768" s="5"/>
      <c r="Q768" s="40"/>
      <c r="R768" s="40"/>
      <c r="S768" s="40"/>
      <c r="T768" s="40"/>
      <c r="U768" s="40"/>
      <c r="W768" s="40"/>
      <c r="X768" s="40"/>
      <c r="Y768" s="40"/>
      <c r="Z768" s="41"/>
      <c r="AA768" s="41"/>
      <c r="AB768" s="41"/>
      <c r="AC768" s="41"/>
      <c r="AD768" s="41"/>
      <c r="AE768" s="40"/>
      <c r="AF768" s="45"/>
      <c r="AG768" s="5"/>
      <c r="AH768" s="6"/>
      <c r="AI768" s="45"/>
      <c r="AJ768" s="45"/>
      <c r="AK768" s="40"/>
      <c r="AL768" s="40"/>
      <c r="AM768" s="40"/>
      <c r="AN768" s="45"/>
      <c r="AO768" s="40"/>
    </row>
    <row r="769" spans="2:41" ht="12.75" customHeight="1" x14ac:dyDescent="0.25">
      <c r="B769" s="40"/>
      <c r="C769" s="40"/>
      <c r="D769" s="40"/>
      <c r="E769" s="40"/>
      <c r="F769" s="40"/>
      <c r="G769" s="40"/>
      <c r="H769" s="5"/>
      <c r="Q769" s="40"/>
      <c r="R769" s="40"/>
      <c r="S769" s="40"/>
      <c r="T769" s="40"/>
      <c r="U769" s="40"/>
      <c r="W769" s="40"/>
      <c r="X769" s="40"/>
      <c r="Y769" s="40"/>
      <c r="Z769" s="41"/>
      <c r="AA769" s="41"/>
      <c r="AB769" s="41"/>
      <c r="AC769" s="41"/>
      <c r="AD769" s="41"/>
      <c r="AE769" s="40"/>
      <c r="AF769" s="45"/>
      <c r="AG769" s="5"/>
      <c r="AH769" s="6"/>
      <c r="AI769" s="45"/>
      <c r="AJ769" s="45"/>
      <c r="AK769" s="40"/>
      <c r="AL769" s="40"/>
      <c r="AM769" s="40"/>
      <c r="AN769" s="45"/>
      <c r="AO769" s="40"/>
    </row>
    <row r="770" spans="2:41" ht="12.75" customHeight="1" x14ac:dyDescent="0.25">
      <c r="B770" s="40"/>
      <c r="C770" s="40"/>
      <c r="D770" s="40"/>
      <c r="E770" s="40"/>
      <c r="F770" s="40"/>
      <c r="G770" s="40"/>
      <c r="H770" s="5"/>
      <c r="Q770" s="40"/>
      <c r="R770" s="40"/>
      <c r="S770" s="40"/>
      <c r="T770" s="40"/>
      <c r="U770" s="40"/>
      <c r="W770" s="40"/>
      <c r="X770" s="40"/>
      <c r="Y770" s="40"/>
      <c r="Z770" s="41"/>
      <c r="AA770" s="41"/>
      <c r="AB770" s="41"/>
      <c r="AC770" s="41"/>
      <c r="AD770" s="41"/>
      <c r="AE770" s="40"/>
      <c r="AF770" s="45"/>
      <c r="AG770" s="5"/>
      <c r="AH770" s="6"/>
      <c r="AI770" s="45"/>
      <c r="AJ770" s="45"/>
      <c r="AK770" s="40"/>
      <c r="AL770" s="40"/>
      <c r="AM770" s="40"/>
      <c r="AN770" s="45"/>
      <c r="AO770" s="40"/>
    </row>
    <row r="771" spans="2:41" ht="12.75" customHeight="1" x14ac:dyDescent="0.25">
      <c r="B771" s="40"/>
      <c r="C771" s="40"/>
      <c r="D771" s="40"/>
      <c r="E771" s="40"/>
      <c r="F771" s="40"/>
      <c r="G771" s="40"/>
      <c r="H771" s="5"/>
      <c r="Q771" s="40"/>
      <c r="R771" s="40"/>
      <c r="S771" s="40"/>
      <c r="T771" s="40"/>
      <c r="U771" s="40"/>
      <c r="W771" s="40"/>
      <c r="X771" s="40"/>
      <c r="Y771" s="40"/>
      <c r="Z771" s="41"/>
      <c r="AA771" s="41"/>
      <c r="AB771" s="41"/>
      <c r="AC771" s="41"/>
      <c r="AD771" s="41"/>
      <c r="AE771" s="40"/>
      <c r="AF771" s="45"/>
      <c r="AG771" s="5"/>
      <c r="AH771" s="6"/>
      <c r="AI771" s="45"/>
      <c r="AJ771" s="45"/>
      <c r="AK771" s="40"/>
      <c r="AL771" s="40"/>
      <c r="AM771" s="40"/>
      <c r="AN771" s="45"/>
      <c r="AO771" s="40"/>
    </row>
    <row r="772" spans="2:41" ht="12.75" customHeight="1" x14ac:dyDescent="0.25">
      <c r="B772" s="40"/>
      <c r="C772" s="40"/>
      <c r="D772" s="40"/>
      <c r="E772" s="40"/>
      <c r="F772" s="40"/>
      <c r="G772" s="40"/>
      <c r="H772" s="5"/>
      <c r="Q772" s="40"/>
      <c r="R772" s="40"/>
      <c r="S772" s="40"/>
      <c r="T772" s="40"/>
      <c r="U772" s="40"/>
      <c r="W772" s="40"/>
      <c r="X772" s="40"/>
      <c r="Y772" s="40"/>
      <c r="Z772" s="41"/>
      <c r="AA772" s="41"/>
      <c r="AB772" s="41"/>
      <c r="AC772" s="41"/>
      <c r="AD772" s="41"/>
      <c r="AE772" s="40"/>
      <c r="AF772" s="45"/>
      <c r="AG772" s="5"/>
      <c r="AH772" s="6"/>
      <c r="AI772" s="45"/>
      <c r="AJ772" s="45"/>
      <c r="AK772" s="40"/>
      <c r="AL772" s="40"/>
      <c r="AM772" s="40"/>
      <c r="AN772" s="45"/>
      <c r="AO772" s="40"/>
    </row>
    <row r="773" spans="2:41" ht="12.75" customHeight="1" x14ac:dyDescent="0.25">
      <c r="B773" s="40"/>
      <c r="C773" s="40"/>
      <c r="D773" s="40"/>
      <c r="E773" s="40"/>
      <c r="F773" s="40"/>
      <c r="G773" s="40"/>
      <c r="H773" s="5"/>
      <c r="Q773" s="40"/>
      <c r="R773" s="40"/>
      <c r="S773" s="40"/>
      <c r="T773" s="40"/>
      <c r="U773" s="40"/>
      <c r="W773" s="40"/>
      <c r="X773" s="40"/>
      <c r="Y773" s="40"/>
      <c r="Z773" s="41"/>
      <c r="AA773" s="41"/>
      <c r="AB773" s="41"/>
      <c r="AC773" s="41"/>
      <c r="AD773" s="41"/>
      <c r="AE773" s="40"/>
      <c r="AF773" s="45"/>
      <c r="AG773" s="5"/>
      <c r="AH773" s="6"/>
      <c r="AI773" s="45"/>
      <c r="AJ773" s="45"/>
      <c r="AK773" s="40"/>
      <c r="AL773" s="40"/>
      <c r="AM773" s="40"/>
      <c r="AN773" s="45"/>
      <c r="AO773" s="40"/>
    </row>
    <row r="774" spans="2:41" ht="12.75" customHeight="1" x14ac:dyDescent="0.25">
      <c r="B774" s="40"/>
      <c r="C774" s="40"/>
      <c r="D774" s="40"/>
      <c r="E774" s="40"/>
      <c r="F774" s="40"/>
      <c r="G774" s="40"/>
      <c r="H774" s="5"/>
      <c r="Q774" s="40"/>
      <c r="R774" s="40"/>
      <c r="S774" s="40"/>
      <c r="T774" s="40"/>
      <c r="U774" s="40"/>
      <c r="W774" s="40"/>
      <c r="X774" s="40"/>
      <c r="Y774" s="40"/>
      <c r="Z774" s="41"/>
      <c r="AA774" s="41"/>
      <c r="AB774" s="41"/>
      <c r="AC774" s="41"/>
      <c r="AD774" s="41"/>
      <c r="AE774" s="40"/>
      <c r="AF774" s="45"/>
      <c r="AG774" s="5"/>
      <c r="AH774" s="6"/>
      <c r="AI774" s="45"/>
      <c r="AJ774" s="45"/>
      <c r="AK774" s="40"/>
      <c r="AL774" s="40"/>
      <c r="AM774" s="40"/>
      <c r="AN774" s="45"/>
      <c r="AO774" s="40"/>
    </row>
    <row r="775" spans="2:41" ht="12.75" customHeight="1" x14ac:dyDescent="0.25">
      <c r="B775" s="40"/>
      <c r="C775" s="40"/>
      <c r="D775" s="40"/>
      <c r="E775" s="40"/>
      <c r="F775" s="40"/>
      <c r="G775" s="40"/>
      <c r="H775" s="5"/>
      <c r="Q775" s="40"/>
      <c r="R775" s="40"/>
      <c r="S775" s="40"/>
      <c r="T775" s="40"/>
      <c r="U775" s="40"/>
      <c r="W775" s="40"/>
      <c r="X775" s="40"/>
      <c r="Y775" s="40"/>
      <c r="Z775" s="41"/>
      <c r="AA775" s="41"/>
      <c r="AB775" s="41"/>
      <c r="AC775" s="41"/>
      <c r="AD775" s="41"/>
      <c r="AE775" s="40"/>
      <c r="AF775" s="45"/>
      <c r="AG775" s="5"/>
      <c r="AH775" s="6"/>
      <c r="AI775" s="45"/>
      <c r="AJ775" s="45"/>
      <c r="AK775" s="40"/>
      <c r="AL775" s="40"/>
      <c r="AM775" s="40"/>
      <c r="AN775" s="45"/>
      <c r="AO775" s="40"/>
    </row>
    <row r="776" spans="2:41" ht="12.75" customHeight="1" x14ac:dyDescent="0.25">
      <c r="B776" s="40"/>
      <c r="C776" s="40"/>
      <c r="D776" s="40"/>
      <c r="E776" s="40"/>
      <c r="F776" s="40"/>
      <c r="G776" s="40"/>
      <c r="H776" s="5"/>
      <c r="Q776" s="40"/>
      <c r="R776" s="40"/>
      <c r="S776" s="40"/>
      <c r="T776" s="40"/>
      <c r="U776" s="40"/>
      <c r="W776" s="40"/>
      <c r="X776" s="40"/>
      <c r="Y776" s="40"/>
      <c r="Z776" s="41"/>
      <c r="AA776" s="41"/>
      <c r="AB776" s="41"/>
      <c r="AC776" s="41"/>
      <c r="AD776" s="41"/>
      <c r="AE776" s="40"/>
      <c r="AF776" s="45"/>
      <c r="AG776" s="5"/>
      <c r="AH776" s="6"/>
      <c r="AI776" s="45"/>
      <c r="AJ776" s="45"/>
      <c r="AK776" s="40"/>
      <c r="AL776" s="40"/>
      <c r="AM776" s="40"/>
      <c r="AN776" s="45"/>
      <c r="AO776" s="40"/>
    </row>
    <row r="777" spans="2:41" ht="12.75" customHeight="1" x14ac:dyDescent="0.25">
      <c r="B777" s="40"/>
      <c r="C777" s="40"/>
      <c r="D777" s="40"/>
      <c r="E777" s="40"/>
      <c r="F777" s="40"/>
      <c r="G777" s="40"/>
      <c r="H777" s="5"/>
      <c r="Q777" s="40"/>
      <c r="R777" s="40"/>
      <c r="S777" s="40"/>
      <c r="T777" s="40"/>
      <c r="U777" s="40"/>
      <c r="W777" s="40"/>
      <c r="X777" s="40"/>
      <c r="Y777" s="40"/>
      <c r="Z777" s="41"/>
      <c r="AA777" s="41"/>
      <c r="AB777" s="41"/>
      <c r="AC777" s="41"/>
      <c r="AD777" s="41"/>
      <c r="AE777" s="40"/>
      <c r="AF777" s="45"/>
      <c r="AG777" s="5"/>
      <c r="AH777" s="6"/>
      <c r="AI777" s="45"/>
      <c r="AJ777" s="45"/>
      <c r="AK777" s="40"/>
      <c r="AL777" s="40"/>
      <c r="AM777" s="40"/>
      <c r="AN777" s="45"/>
      <c r="AO777" s="40"/>
    </row>
    <row r="778" spans="2:41" ht="12.75" customHeight="1" x14ac:dyDescent="0.25">
      <c r="B778" s="40"/>
      <c r="C778" s="40"/>
      <c r="D778" s="40"/>
      <c r="E778" s="40"/>
      <c r="F778" s="40"/>
      <c r="G778" s="40"/>
      <c r="H778" s="5"/>
      <c r="Q778" s="40"/>
      <c r="R778" s="40"/>
      <c r="S778" s="40"/>
      <c r="T778" s="40"/>
      <c r="U778" s="40"/>
      <c r="W778" s="40"/>
      <c r="X778" s="40"/>
      <c r="Y778" s="40"/>
      <c r="Z778" s="41"/>
      <c r="AA778" s="41"/>
      <c r="AB778" s="41"/>
      <c r="AC778" s="41"/>
      <c r="AD778" s="41"/>
      <c r="AE778" s="40"/>
      <c r="AF778" s="45"/>
      <c r="AG778" s="5"/>
      <c r="AH778" s="6"/>
      <c r="AI778" s="45"/>
      <c r="AJ778" s="45"/>
      <c r="AK778" s="40"/>
      <c r="AL778" s="40"/>
      <c r="AM778" s="40"/>
      <c r="AN778" s="45"/>
      <c r="AO778" s="40"/>
    </row>
    <row r="779" spans="2:41" ht="12.75" customHeight="1" x14ac:dyDescent="0.25">
      <c r="B779" s="40"/>
      <c r="C779" s="40"/>
      <c r="D779" s="40"/>
      <c r="E779" s="40"/>
      <c r="F779" s="40"/>
      <c r="G779" s="40"/>
      <c r="H779" s="5"/>
      <c r="Q779" s="40"/>
      <c r="R779" s="40"/>
      <c r="S779" s="40"/>
      <c r="T779" s="40"/>
      <c r="U779" s="40"/>
      <c r="W779" s="40"/>
      <c r="X779" s="40"/>
      <c r="Y779" s="40"/>
      <c r="Z779" s="41"/>
      <c r="AA779" s="41"/>
      <c r="AB779" s="41"/>
      <c r="AC779" s="41"/>
      <c r="AD779" s="41"/>
      <c r="AE779" s="40"/>
      <c r="AF779" s="45"/>
      <c r="AG779" s="5"/>
      <c r="AH779" s="6"/>
      <c r="AI779" s="45"/>
      <c r="AJ779" s="45"/>
      <c r="AK779" s="40"/>
      <c r="AL779" s="40"/>
      <c r="AM779" s="40"/>
      <c r="AN779" s="45"/>
      <c r="AO779" s="40"/>
    </row>
    <row r="780" spans="2:41" ht="12.75" customHeight="1" x14ac:dyDescent="0.25">
      <c r="B780" s="40"/>
      <c r="C780" s="40"/>
      <c r="D780" s="40"/>
      <c r="E780" s="40"/>
      <c r="F780" s="40"/>
      <c r="G780" s="40"/>
      <c r="H780" s="5"/>
      <c r="Q780" s="40"/>
      <c r="R780" s="40"/>
      <c r="S780" s="40"/>
      <c r="T780" s="40"/>
      <c r="U780" s="40"/>
      <c r="W780" s="40"/>
      <c r="X780" s="40"/>
      <c r="Y780" s="40"/>
      <c r="Z780" s="41"/>
      <c r="AA780" s="41"/>
      <c r="AB780" s="41"/>
      <c r="AC780" s="41"/>
      <c r="AD780" s="41"/>
      <c r="AE780" s="40"/>
      <c r="AF780" s="45"/>
      <c r="AG780" s="5"/>
      <c r="AH780" s="6"/>
      <c r="AI780" s="45"/>
      <c r="AJ780" s="45"/>
      <c r="AK780" s="40"/>
      <c r="AL780" s="40"/>
      <c r="AM780" s="40"/>
      <c r="AN780" s="45"/>
      <c r="AO780" s="40"/>
    </row>
    <row r="781" spans="2:41" ht="12.75" customHeight="1" x14ac:dyDescent="0.25">
      <c r="B781" s="40"/>
      <c r="C781" s="40"/>
      <c r="D781" s="40"/>
      <c r="E781" s="40"/>
      <c r="F781" s="40"/>
      <c r="G781" s="40"/>
      <c r="H781" s="5"/>
      <c r="Q781" s="40"/>
      <c r="R781" s="40"/>
      <c r="S781" s="40"/>
      <c r="T781" s="40"/>
      <c r="U781" s="40"/>
      <c r="W781" s="40"/>
      <c r="X781" s="40"/>
      <c r="Y781" s="40"/>
      <c r="Z781" s="41"/>
      <c r="AA781" s="41"/>
      <c r="AB781" s="41"/>
      <c r="AC781" s="41"/>
      <c r="AD781" s="41"/>
      <c r="AE781" s="40"/>
      <c r="AF781" s="45"/>
      <c r="AG781" s="5"/>
      <c r="AH781" s="6"/>
      <c r="AI781" s="45"/>
      <c r="AJ781" s="45"/>
      <c r="AK781" s="40"/>
      <c r="AL781" s="40"/>
      <c r="AM781" s="40"/>
      <c r="AN781" s="45"/>
      <c r="AO781" s="40"/>
    </row>
    <row r="782" spans="2:41" ht="12.75" customHeight="1" x14ac:dyDescent="0.25">
      <c r="B782" s="40"/>
      <c r="C782" s="40"/>
      <c r="D782" s="40"/>
      <c r="E782" s="40"/>
      <c r="F782" s="40"/>
      <c r="G782" s="40"/>
      <c r="H782" s="5"/>
      <c r="Q782" s="40"/>
      <c r="R782" s="40"/>
      <c r="S782" s="40"/>
      <c r="T782" s="40"/>
      <c r="U782" s="40"/>
      <c r="W782" s="40"/>
      <c r="X782" s="40"/>
      <c r="Y782" s="40"/>
      <c r="Z782" s="41"/>
      <c r="AA782" s="41"/>
      <c r="AB782" s="41"/>
      <c r="AC782" s="41"/>
      <c r="AD782" s="41"/>
      <c r="AE782" s="40"/>
      <c r="AF782" s="45"/>
      <c r="AG782" s="5"/>
      <c r="AH782" s="6"/>
      <c r="AI782" s="45"/>
      <c r="AJ782" s="45"/>
      <c r="AK782" s="40"/>
      <c r="AL782" s="40"/>
      <c r="AM782" s="40"/>
      <c r="AN782" s="45"/>
      <c r="AO782" s="40"/>
    </row>
    <row r="783" spans="2:41" ht="12.75" customHeight="1" x14ac:dyDescent="0.25">
      <c r="B783" s="40"/>
      <c r="C783" s="40"/>
      <c r="D783" s="40"/>
      <c r="E783" s="40"/>
      <c r="F783" s="40"/>
      <c r="G783" s="40"/>
      <c r="H783" s="5"/>
      <c r="Q783" s="40"/>
      <c r="R783" s="40"/>
      <c r="S783" s="40"/>
      <c r="T783" s="40"/>
      <c r="U783" s="40"/>
      <c r="W783" s="40"/>
      <c r="X783" s="40"/>
      <c r="Y783" s="40"/>
      <c r="Z783" s="41"/>
      <c r="AA783" s="41"/>
      <c r="AB783" s="41"/>
      <c r="AC783" s="41"/>
      <c r="AD783" s="41"/>
      <c r="AE783" s="40"/>
      <c r="AF783" s="45"/>
      <c r="AG783" s="5"/>
      <c r="AH783" s="6"/>
      <c r="AI783" s="45"/>
      <c r="AJ783" s="45"/>
      <c r="AK783" s="40"/>
      <c r="AL783" s="40"/>
      <c r="AM783" s="40"/>
      <c r="AN783" s="45"/>
      <c r="AO783" s="40"/>
    </row>
    <row r="784" spans="2:41" ht="12.75" customHeight="1" x14ac:dyDescent="0.25">
      <c r="B784" s="40"/>
      <c r="C784" s="40"/>
      <c r="D784" s="40"/>
      <c r="E784" s="40"/>
      <c r="F784" s="40"/>
      <c r="G784" s="40"/>
      <c r="H784" s="5"/>
      <c r="Q784" s="40"/>
      <c r="R784" s="40"/>
      <c r="S784" s="40"/>
      <c r="T784" s="40"/>
      <c r="U784" s="40"/>
      <c r="W784" s="40"/>
      <c r="X784" s="40"/>
      <c r="Y784" s="40"/>
      <c r="Z784" s="41"/>
      <c r="AA784" s="41"/>
      <c r="AB784" s="41"/>
      <c r="AC784" s="41"/>
      <c r="AD784" s="41"/>
      <c r="AE784" s="40"/>
      <c r="AF784" s="45"/>
      <c r="AG784" s="5"/>
      <c r="AH784" s="6"/>
      <c r="AI784" s="45"/>
      <c r="AJ784" s="45"/>
      <c r="AK784" s="40"/>
      <c r="AL784" s="40"/>
      <c r="AM784" s="40"/>
      <c r="AN784" s="45"/>
      <c r="AO784" s="40"/>
    </row>
    <row r="785" spans="2:41" ht="12.75" customHeight="1" x14ac:dyDescent="0.25">
      <c r="B785" s="40"/>
      <c r="C785" s="40"/>
      <c r="D785" s="40"/>
      <c r="E785" s="40"/>
      <c r="F785" s="40"/>
      <c r="G785" s="40"/>
      <c r="H785" s="5"/>
      <c r="Q785" s="40"/>
      <c r="R785" s="40"/>
      <c r="S785" s="40"/>
      <c r="T785" s="40"/>
      <c r="U785" s="40"/>
      <c r="W785" s="40"/>
      <c r="X785" s="40"/>
      <c r="Y785" s="40"/>
      <c r="Z785" s="41"/>
      <c r="AA785" s="41"/>
      <c r="AB785" s="41"/>
      <c r="AC785" s="41"/>
      <c r="AD785" s="41"/>
      <c r="AE785" s="40"/>
      <c r="AF785" s="45"/>
      <c r="AG785" s="5"/>
      <c r="AH785" s="6"/>
      <c r="AI785" s="45"/>
      <c r="AJ785" s="45"/>
      <c r="AK785" s="40"/>
      <c r="AL785" s="40"/>
      <c r="AM785" s="40"/>
      <c r="AN785" s="45"/>
      <c r="AO785" s="40"/>
    </row>
    <row r="786" spans="2:41" ht="12.75" customHeight="1" x14ac:dyDescent="0.25">
      <c r="B786" s="40"/>
      <c r="C786" s="40"/>
      <c r="D786" s="40"/>
      <c r="E786" s="40"/>
      <c r="F786" s="40"/>
      <c r="G786" s="40"/>
      <c r="H786" s="5"/>
      <c r="Q786" s="40"/>
      <c r="R786" s="40"/>
      <c r="S786" s="40"/>
      <c r="T786" s="40"/>
      <c r="U786" s="40"/>
      <c r="W786" s="40"/>
      <c r="X786" s="40"/>
      <c r="Y786" s="40"/>
      <c r="Z786" s="41"/>
      <c r="AA786" s="41"/>
      <c r="AB786" s="41"/>
      <c r="AC786" s="41"/>
      <c r="AD786" s="41"/>
      <c r="AE786" s="40"/>
      <c r="AF786" s="45"/>
      <c r="AG786" s="5"/>
      <c r="AH786" s="6"/>
      <c r="AI786" s="45"/>
      <c r="AJ786" s="45"/>
      <c r="AK786" s="40"/>
      <c r="AL786" s="40"/>
      <c r="AM786" s="40"/>
      <c r="AN786" s="45"/>
      <c r="AO786" s="40"/>
    </row>
    <row r="787" spans="2:41" ht="12.75" customHeight="1" x14ac:dyDescent="0.25">
      <c r="B787" s="40"/>
      <c r="C787" s="40"/>
      <c r="D787" s="40"/>
      <c r="E787" s="40"/>
      <c r="F787" s="40"/>
      <c r="G787" s="40"/>
      <c r="H787" s="5"/>
      <c r="Q787" s="40"/>
      <c r="R787" s="40"/>
      <c r="S787" s="40"/>
      <c r="T787" s="40"/>
      <c r="U787" s="40"/>
      <c r="W787" s="40"/>
      <c r="X787" s="40"/>
      <c r="Y787" s="40"/>
      <c r="Z787" s="41"/>
      <c r="AA787" s="41"/>
      <c r="AB787" s="41"/>
      <c r="AC787" s="41"/>
      <c r="AD787" s="41"/>
      <c r="AE787" s="40"/>
      <c r="AF787" s="45"/>
      <c r="AG787" s="5"/>
      <c r="AH787" s="6"/>
      <c r="AI787" s="45"/>
      <c r="AJ787" s="45"/>
      <c r="AK787" s="40"/>
      <c r="AL787" s="40"/>
      <c r="AM787" s="40"/>
      <c r="AN787" s="45"/>
      <c r="AO787" s="40"/>
    </row>
    <row r="788" spans="2:41" ht="12.75" customHeight="1" x14ac:dyDescent="0.25">
      <c r="B788" s="40"/>
      <c r="C788" s="40"/>
      <c r="D788" s="40"/>
      <c r="E788" s="40"/>
      <c r="F788" s="40"/>
      <c r="G788" s="40"/>
      <c r="H788" s="5"/>
      <c r="Q788" s="40"/>
      <c r="R788" s="40"/>
      <c r="S788" s="40"/>
      <c r="T788" s="40"/>
      <c r="U788" s="40"/>
      <c r="W788" s="40"/>
      <c r="X788" s="40"/>
      <c r="Y788" s="40"/>
      <c r="Z788" s="41"/>
      <c r="AA788" s="41"/>
      <c r="AB788" s="41"/>
      <c r="AC788" s="41"/>
      <c r="AD788" s="41"/>
      <c r="AE788" s="40"/>
      <c r="AF788" s="45"/>
      <c r="AG788" s="5"/>
      <c r="AH788" s="6"/>
      <c r="AI788" s="45"/>
      <c r="AJ788" s="45"/>
      <c r="AK788" s="40"/>
      <c r="AL788" s="40"/>
      <c r="AM788" s="40"/>
      <c r="AN788" s="45"/>
      <c r="AO788" s="40"/>
    </row>
    <row r="789" spans="2:41" ht="12.75" customHeight="1" x14ac:dyDescent="0.25">
      <c r="B789" s="40"/>
      <c r="C789" s="40"/>
      <c r="D789" s="40"/>
      <c r="E789" s="40"/>
      <c r="F789" s="40"/>
      <c r="G789" s="40"/>
      <c r="H789" s="5"/>
      <c r="Q789" s="40"/>
      <c r="R789" s="40"/>
      <c r="S789" s="40"/>
      <c r="T789" s="40"/>
      <c r="U789" s="40"/>
      <c r="W789" s="40"/>
      <c r="X789" s="40"/>
      <c r="Y789" s="40"/>
      <c r="Z789" s="41"/>
      <c r="AA789" s="41"/>
      <c r="AB789" s="41"/>
      <c r="AC789" s="41"/>
      <c r="AD789" s="41"/>
      <c r="AE789" s="40"/>
      <c r="AF789" s="45"/>
      <c r="AG789" s="5"/>
      <c r="AH789" s="6"/>
      <c r="AI789" s="45"/>
      <c r="AJ789" s="45"/>
      <c r="AK789" s="40"/>
      <c r="AL789" s="40"/>
      <c r="AM789" s="40"/>
      <c r="AN789" s="45"/>
      <c r="AO789" s="40"/>
    </row>
    <row r="790" spans="2:41" ht="12.75" customHeight="1" x14ac:dyDescent="0.25">
      <c r="B790" s="40"/>
      <c r="C790" s="40"/>
      <c r="D790" s="40"/>
      <c r="E790" s="40"/>
      <c r="F790" s="40"/>
      <c r="G790" s="40"/>
      <c r="H790" s="5"/>
      <c r="Q790" s="40"/>
      <c r="R790" s="40"/>
      <c r="S790" s="40"/>
      <c r="T790" s="40"/>
      <c r="U790" s="40"/>
      <c r="W790" s="40"/>
      <c r="X790" s="40"/>
      <c r="Y790" s="40"/>
      <c r="Z790" s="41"/>
      <c r="AA790" s="41"/>
      <c r="AB790" s="41"/>
      <c r="AC790" s="41"/>
      <c r="AD790" s="41"/>
      <c r="AE790" s="40"/>
      <c r="AF790" s="45"/>
      <c r="AG790" s="5"/>
      <c r="AH790" s="6"/>
      <c r="AI790" s="45"/>
      <c r="AJ790" s="45"/>
      <c r="AK790" s="40"/>
      <c r="AL790" s="40"/>
      <c r="AM790" s="40"/>
      <c r="AN790" s="45"/>
      <c r="AO790" s="40"/>
    </row>
    <row r="791" spans="2:41" ht="12.75" customHeight="1" x14ac:dyDescent="0.25">
      <c r="B791" s="40"/>
      <c r="C791" s="40"/>
      <c r="D791" s="40"/>
      <c r="E791" s="40"/>
      <c r="F791" s="40"/>
      <c r="G791" s="40"/>
      <c r="H791" s="5"/>
      <c r="Q791" s="40"/>
      <c r="R791" s="40"/>
      <c r="S791" s="40"/>
      <c r="T791" s="40"/>
      <c r="U791" s="40"/>
      <c r="W791" s="40"/>
      <c r="X791" s="40"/>
      <c r="Y791" s="40"/>
      <c r="Z791" s="41"/>
      <c r="AA791" s="41"/>
      <c r="AB791" s="41"/>
      <c r="AC791" s="41"/>
      <c r="AD791" s="41"/>
      <c r="AE791" s="40"/>
      <c r="AF791" s="45"/>
      <c r="AG791" s="5"/>
      <c r="AH791" s="6"/>
      <c r="AI791" s="45"/>
      <c r="AJ791" s="45"/>
      <c r="AK791" s="40"/>
      <c r="AL791" s="40"/>
      <c r="AM791" s="40"/>
      <c r="AN791" s="45"/>
      <c r="AO791" s="40"/>
    </row>
    <row r="792" spans="2:41" ht="12.75" customHeight="1" x14ac:dyDescent="0.25">
      <c r="B792" s="40"/>
      <c r="C792" s="40"/>
      <c r="D792" s="40"/>
      <c r="E792" s="40"/>
      <c r="F792" s="40"/>
      <c r="G792" s="40"/>
      <c r="H792" s="5"/>
      <c r="Q792" s="40"/>
      <c r="R792" s="40"/>
      <c r="S792" s="40"/>
      <c r="T792" s="40"/>
      <c r="U792" s="40"/>
      <c r="W792" s="40"/>
      <c r="X792" s="40"/>
      <c r="Y792" s="40"/>
      <c r="Z792" s="41"/>
      <c r="AA792" s="41"/>
      <c r="AB792" s="41"/>
      <c r="AC792" s="41"/>
      <c r="AD792" s="41"/>
      <c r="AE792" s="40"/>
      <c r="AF792" s="45"/>
      <c r="AG792" s="5"/>
      <c r="AH792" s="6"/>
      <c r="AI792" s="45"/>
      <c r="AJ792" s="45"/>
      <c r="AK792" s="40"/>
      <c r="AL792" s="40"/>
      <c r="AM792" s="40"/>
      <c r="AN792" s="45"/>
      <c r="AO792" s="40"/>
    </row>
    <row r="793" spans="2:41" ht="12.75" customHeight="1" x14ac:dyDescent="0.25">
      <c r="B793" s="40"/>
      <c r="C793" s="40"/>
      <c r="D793" s="40"/>
      <c r="E793" s="40"/>
      <c r="F793" s="40"/>
      <c r="G793" s="40"/>
      <c r="H793" s="5"/>
      <c r="Q793" s="40"/>
      <c r="R793" s="40"/>
      <c r="S793" s="40"/>
      <c r="T793" s="40"/>
      <c r="U793" s="40"/>
      <c r="W793" s="40"/>
      <c r="X793" s="40"/>
      <c r="Y793" s="40"/>
      <c r="Z793" s="41"/>
      <c r="AA793" s="41"/>
      <c r="AB793" s="41"/>
      <c r="AC793" s="41"/>
      <c r="AD793" s="41"/>
      <c r="AE793" s="40"/>
      <c r="AF793" s="45"/>
      <c r="AG793" s="5"/>
      <c r="AH793" s="6"/>
      <c r="AI793" s="45"/>
      <c r="AJ793" s="45"/>
      <c r="AK793" s="40"/>
      <c r="AL793" s="40"/>
      <c r="AM793" s="40"/>
      <c r="AN793" s="45"/>
      <c r="AO793" s="40"/>
    </row>
    <row r="794" spans="2:41" ht="12.75" customHeight="1" x14ac:dyDescent="0.25">
      <c r="B794" s="40"/>
      <c r="C794" s="40"/>
      <c r="D794" s="40"/>
      <c r="E794" s="40"/>
      <c r="F794" s="40"/>
      <c r="G794" s="40"/>
      <c r="H794" s="5"/>
      <c r="Q794" s="40"/>
      <c r="R794" s="40"/>
      <c r="S794" s="40"/>
      <c r="T794" s="40"/>
      <c r="U794" s="40"/>
      <c r="W794" s="40"/>
      <c r="X794" s="40"/>
      <c r="Y794" s="40"/>
      <c r="Z794" s="41"/>
      <c r="AA794" s="41"/>
      <c r="AB794" s="41"/>
      <c r="AC794" s="41"/>
      <c r="AD794" s="41"/>
      <c r="AE794" s="40"/>
      <c r="AF794" s="45"/>
      <c r="AG794" s="5"/>
      <c r="AH794" s="6"/>
      <c r="AI794" s="45"/>
      <c r="AJ794" s="45"/>
      <c r="AK794" s="40"/>
      <c r="AL794" s="40"/>
      <c r="AM794" s="40"/>
      <c r="AN794" s="45"/>
      <c r="AO794" s="40"/>
    </row>
    <row r="795" spans="2:41" ht="12.75" customHeight="1" x14ac:dyDescent="0.25">
      <c r="B795" s="40"/>
      <c r="C795" s="40"/>
      <c r="D795" s="40"/>
      <c r="E795" s="40"/>
      <c r="F795" s="40"/>
      <c r="G795" s="40"/>
      <c r="H795" s="5"/>
      <c r="Q795" s="40"/>
      <c r="R795" s="40"/>
      <c r="S795" s="40"/>
      <c r="T795" s="40"/>
      <c r="U795" s="40"/>
      <c r="W795" s="40"/>
      <c r="X795" s="40"/>
      <c r="Y795" s="40"/>
      <c r="Z795" s="41"/>
      <c r="AA795" s="41"/>
      <c r="AB795" s="41"/>
      <c r="AC795" s="41"/>
      <c r="AD795" s="41"/>
      <c r="AE795" s="40"/>
      <c r="AF795" s="45"/>
      <c r="AG795" s="5"/>
      <c r="AH795" s="6"/>
      <c r="AI795" s="45"/>
      <c r="AJ795" s="45"/>
      <c r="AK795" s="40"/>
      <c r="AL795" s="40"/>
      <c r="AM795" s="40"/>
      <c r="AN795" s="45"/>
      <c r="AO795" s="40"/>
    </row>
    <row r="796" spans="2:41" ht="12.75" customHeight="1" x14ac:dyDescent="0.25">
      <c r="B796" s="40"/>
      <c r="C796" s="40"/>
      <c r="D796" s="40"/>
      <c r="E796" s="40"/>
      <c r="F796" s="40"/>
      <c r="G796" s="40"/>
      <c r="H796" s="5"/>
      <c r="Q796" s="40"/>
      <c r="R796" s="40"/>
      <c r="S796" s="40"/>
      <c r="T796" s="40"/>
      <c r="U796" s="40"/>
      <c r="W796" s="40"/>
      <c r="X796" s="40"/>
      <c r="Y796" s="40"/>
      <c r="Z796" s="41"/>
      <c r="AA796" s="41"/>
      <c r="AB796" s="41"/>
      <c r="AC796" s="41"/>
      <c r="AD796" s="41"/>
      <c r="AE796" s="40"/>
      <c r="AF796" s="45"/>
      <c r="AG796" s="5"/>
      <c r="AH796" s="6"/>
      <c r="AI796" s="45"/>
      <c r="AJ796" s="45"/>
      <c r="AK796" s="40"/>
      <c r="AL796" s="40"/>
      <c r="AM796" s="40"/>
      <c r="AN796" s="45"/>
      <c r="AO796" s="40"/>
    </row>
    <row r="797" spans="2:41" ht="12.75" customHeight="1" x14ac:dyDescent="0.25">
      <c r="B797" s="40"/>
      <c r="C797" s="40"/>
      <c r="D797" s="40"/>
      <c r="E797" s="40"/>
      <c r="F797" s="40"/>
      <c r="G797" s="40"/>
      <c r="H797" s="5"/>
      <c r="Q797" s="40"/>
      <c r="R797" s="40"/>
      <c r="S797" s="40"/>
      <c r="T797" s="40"/>
      <c r="U797" s="40"/>
      <c r="W797" s="40"/>
      <c r="X797" s="40"/>
      <c r="Y797" s="40"/>
      <c r="Z797" s="41"/>
      <c r="AA797" s="41"/>
      <c r="AB797" s="41"/>
      <c r="AC797" s="41"/>
      <c r="AD797" s="41"/>
      <c r="AE797" s="40"/>
      <c r="AF797" s="45"/>
      <c r="AG797" s="5"/>
      <c r="AH797" s="6"/>
      <c r="AI797" s="45"/>
      <c r="AJ797" s="45"/>
      <c r="AK797" s="40"/>
      <c r="AL797" s="40"/>
      <c r="AM797" s="40"/>
      <c r="AN797" s="45"/>
      <c r="AO797" s="40"/>
    </row>
    <row r="798" spans="2:41" ht="12.75" customHeight="1" x14ac:dyDescent="0.25">
      <c r="B798" s="40"/>
      <c r="C798" s="40"/>
      <c r="D798" s="40"/>
      <c r="E798" s="40"/>
      <c r="F798" s="40"/>
      <c r="G798" s="40"/>
      <c r="H798" s="5"/>
      <c r="Q798" s="40"/>
      <c r="R798" s="40"/>
      <c r="S798" s="40"/>
      <c r="T798" s="40"/>
      <c r="U798" s="40"/>
      <c r="W798" s="40"/>
      <c r="X798" s="40"/>
      <c r="Y798" s="40"/>
      <c r="Z798" s="41"/>
      <c r="AA798" s="41"/>
      <c r="AB798" s="41"/>
      <c r="AC798" s="41"/>
      <c r="AD798" s="41"/>
      <c r="AE798" s="40"/>
      <c r="AF798" s="45"/>
      <c r="AG798" s="5"/>
      <c r="AH798" s="6"/>
      <c r="AI798" s="45"/>
      <c r="AJ798" s="45"/>
      <c r="AK798" s="40"/>
      <c r="AL798" s="40"/>
      <c r="AM798" s="40"/>
      <c r="AN798" s="45"/>
      <c r="AO798" s="40"/>
    </row>
    <row r="799" spans="2:41" ht="12.75" customHeight="1" x14ac:dyDescent="0.25">
      <c r="B799" s="40"/>
      <c r="C799" s="40"/>
      <c r="D799" s="40"/>
      <c r="E799" s="40"/>
      <c r="F799" s="40"/>
      <c r="G799" s="40"/>
      <c r="H799" s="5"/>
      <c r="Q799" s="40"/>
      <c r="R799" s="40"/>
      <c r="S799" s="40"/>
      <c r="T799" s="40"/>
      <c r="U799" s="40"/>
      <c r="W799" s="40"/>
      <c r="X799" s="40"/>
      <c r="Y799" s="40"/>
      <c r="Z799" s="41"/>
      <c r="AA799" s="41"/>
      <c r="AB799" s="41"/>
      <c r="AC799" s="41"/>
      <c r="AD799" s="41"/>
      <c r="AE799" s="40"/>
      <c r="AF799" s="45"/>
      <c r="AG799" s="5"/>
      <c r="AH799" s="6"/>
      <c r="AI799" s="45"/>
      <c r="AJ799" s="45"/>
      <c r="AK799" s="40"/>
      <c r="AL799" s="40"/>
      <c r="AM799" s="40"/>
      <c r="AN799" s="45"/>
      <c r="AO799" s="40"/>
    </row>
    <row r="800" spans="2:41" ht="12.75" customHeight="1" x14ac:dyDescent="0.25">
      <c r="B800" s="40"/>
      <c r="C800" s="40"/>
      <c r="D800" s="40"/>
      <c r="E800" s="40"/>
      <c r="F800" s="40"/>
      <c r="G800" s="40"/>
      <c r="H800" s="5"/>
      <c r="Q800" s="40"/>
      <c r="R800" s="40"/>
      <c r="S800" s="40"/>
      <c r="T800" s="40"/>
      <c r="U800" s="40"/>
      <c r="W800" s="40"/>
      <c r="X800" s="40"/>
      <c r="Y800" s="40"/>
      <c r="Z800" s="41"/>
      <c r="AA800" s="41"/>
      <c r="AB800" s="41"/>
      <c r="AC800" s="41"/>
      <c r="AD800" s="41"/>
      <c r="AE800" s="40"/>
      <c r="AF800" s="45"/>
      <c r="AG800" s="5"/>
      <c r="AH800" s="6"/>
      <c r="AI800" s="45"/>
      <c r="AJ800" s="45"/>
      <c r="AK800" s="40"/>
      <c r="AL800" s="40"/>
      <c r="AM800" s="40"/>
      <c r="AN800" s="45"/>
      <c r="AO800" s="40"/>
    </row>
    <row r="801" spans="2:41" ht="12.75" customHeight="1" x14ac:dyDescent="0.25">
      <c r="B801" s="40"/>
      <c r="C801" s="40"/>
      <c r="D801" s="40"/>
      <c r="E801" s="40"/>
      <c r="F801" s="40"/>
      <c r="G801" s="40"/>
      <c r="H801" s="5"/>
      <c r="Q801" s="40"/>
      <c r="R801" s="40"/>
      <c r="S801" s="40"/>
      <c r="T801" s="40"/>
      <c r="U801" s="40"/>
      <c r="W801" s="40"/>
      <c r="X801" s="40"/>
      <c r="Y801" s="40"/>
      <c r="Z801" s="41"/>
      <c r="AA801" s="41"/>
      <c r="AB801" s="41"/>
      <c r="AC801" s="41"/>
      <c r="AD801" s="41"/>
      <c r="AE801" s="40"/>
      <c r="AF801" s="45"/>
      <c r="AG801" s="5"/>
      <c r="AH801" s="6"/>
      <c r="AI801" s="45"/>
      <c r="AJ801" s="45"/>
      <c r="AK801" s="40"/>
      <c r="AL801" s="40"/>
      <c r="AM801" s="40"/>
      <c r="AN801" s="45"/>
      <c r="AO801" s="40"/>
    </row>
    <row r="802" spans="2:41" ht="12.75" customHeight="1" x14ac:dyDescent="0.25">
      <c r="B802" s="40"/>
      <c r="C802" s="40"/>
      <c r="D802" s="40"/>
      <c r="E802" s="40"/>
      <c r="F802" s="40"/>
      <c r="G802" s="40"/>
      <c r="H802" s="5"/>
      <c r="Q802" s="40"/>
      <c r="R802" s="40"/>
      <c r="S802" s="40"/>
      <c r="T802" s="40"/>
      <c r="U802" s="40"/>
      <c r="W802" s="40"/>
      <c r="X802" s="40"/>
      <c r="Y802" s="40"/>
      <c r="Z802" s="41"/>
      <c r="AA802" s="41"/>
      <c r="AB802" s="41"/>
      <c r="AC802" s="41"/>
      <c r="AD802" s="41"/>
      <c r="AE802" s="40"/>
      <c r="AF802" s="45"/>
      <c r="AG802" s="5"/>
      <c r="AH802" s="6"/>
      <c r="AI802" s="45"/>
      <c r="AJ802" s="45"/>
      <c r="AK802" s="40"/>
      <c r="AL802" s="40"/>
      <c r="AM802" s="40"/>
      <c r="AN802" s="45"/>
      <c r="AO802" s="40"/>
    </row>
    <row r="803" spans="2:41" ht="12.75" customHeight="1" x14ac:dyDescent="0.25">
      <c r="B803" s="40"/>
      <c r="C803" s="40"/>
      <c r="D803" s="40"/>
      <c r="E803" s="40"/>
      <c r="F803" s="40"/>
      <c r="G803" s="40"/>
      <c r="H803" s="5"/>
      <c r="Q803" s="40"/>
      <c r="R803" s="40"/>
      <c r="S803" s="40"/>
      <c r="T803" s="40"/>
      <c r="U803" s="40"/>
      <c r="W803" s="40"/>
      <c r="X803" s="40"/>
      <c r="Y803" s="40"/>
      <c r="Z803" s="41"/>
      <c r="AA803" s="41"/>
      <c r="AB803" s="41"/>
      <c r="AC803" s="41"/>
      <c r="AD803" s="41"/>
      <c r="AE803" s="40"/>
      <c r="AF803" s="45"/>
      <c r="AG803" s="5"/>
      <c r="AH803" s="6"/>
      <c r="AI803" s="45"/>
      <c r="AJ803" s="45"/>
      <c r="AK803" s="40"/>
      <c r="AL803" s="40"/>
      <c r="AM803" s="40"/>
      <c r="AN803" s="45"/>
      <c r="AO803" s="40"/>
    </row>
    <row r="804" spans="2:41" ht="12.75" customHeight="1" x14ac:dyDescent="0.25">
      <c r="B804" s="40"/>
      <c r="C804" s="40"/>
      <c r="D804" s="40"/>
      <c r="E804" s="40"/>
      <c r="F804" s="40"/>
      <c r="G804" s="40"/>
      <c r="H804" s="5"/>
      <c r="Q804" s="40"/>
      <c r="R804" s="40"/>
      <c r="S804" s="40"/>
      <c r="T804" s="40"/>
      <c r="U804" s="40"/>
      <c r="W804" s="40"/>
      <c r="X804" s="40"/>
      <c r="Y804" s="40"/>
      <c r="Z804" s="41"/>
      <c r="AA804" s="41"/>
      <c r="AB804" s="41"/>
      <c r="AC804" s="41"/>
      <c r="AD804" s="41"/>
      <c r="AE804" s="40"/>
      <c r="AF804" s="45"/>
      <c r="AG804" s="5"/>
      <c r="AH804" s="6"/>
      <c r="AI804" s="45"/>
      <c r="AJ804" s="45"/>
      <c r="AK804" s="40"/>
      <c r="AL804" s="40"/>
      <c r="AM804" s="40"/>
      <c r="AN804" s="45"/>
      <c r="AO804" s="40"/>
    </row>
    <row r="805" spans="2:41" ht="12.75" customHeight="1" x14ac:dyDescent="0.25">
      <c r="B805" s="40"/>
      <c r="C805" s="40"/>
      <c r="D805" s="40"/>
      <c r="E805" s="40"/>
      <c r="F805" s="40"/>
      <c r="G805" s="40"/>
      <c r="H805" s="5"/>
      <c r="Q805" s="40"/>
      <c r="R805" s="40"/>
      <c r="S805" s="40"/>
      <c r="T805" s="40"/>
      <c r="U805" s="40"/>
      <c r="W805" s="40"/>
      <c r="X805" s="40"/>
      <c r="Y805" s="40"/>
      <c r="Z805" s="41"/>
      <c r="AA805" s="41"/>
      <c r="AB805" s="41"/>
      <c r="AC805" s="41"/>
      <c r="AD805" s="41"/>
      <c r="AE805" s="40"/>
      <c r="AF805" s="45"/>
      <c r="AG805" s="5"/>
      <c r="AH805" s="6"/>
      <c r="AI805" s="45"/>
      <c r="AJ805" s="45"/>
      <c r="AK805" s="40"/>
      <c r="AL805" s="40"/>
      <c r="AM805" s="40"/>
      <c r="AN805" s="45"/>
      <c r="AO805" s="40"/>
    </row>
    <row r="806" spans="2:41" ht="12.75" customHeight="1" x14ac:dyDescent="0.25">
      <c r="B806" s="40"/>
      <c r="C806" s="40"/>
      <c r="D806" s="40"/>
      <c r="E806" s="40"/>
      <c r="F806" s="40"/>
      <c r="G806" s="40"/>
      <c r="H806" s="5"/>
      <c r="Q806" s="40"/>
      <c r="R806" s="40"/>
      <c r="S806" s="40"/>
      <c r="T806" s="40"/>
      <c r="U806" s="40"/>
      <c r="W806" s="40"/>
      <c r="X806" s="40"/>
      <c r="Y806" s="40"/>
      <c r="Z806" s="41"/>
      <c r="AA806" s="41"/>
      <c r="AB806" s="41"/>
      <c r="AC806" s="41"/>
      <c r="AD806" s="41"/>
      <c r="AE806" s="40"/>
      <c r="AF806" s="45"/>
      <c r="AG806" s="5"/>
      <c r="AH806" s="6"/>
      <c r="AI806" s="45"/>
      <c r="AJ806" s="45"/>
      <c r="AK806" s="40"/>
      <c r="AL806" s="40"/>
      <c r="AM806" s="40"/>
      <c r="AN806" s="45"/>
      <c r="AO806" s="40"/>
    </row>
    <row r="807" spans="2:41" ht="12.75" customHeight="1" x14ac:dyDescent="0.25">
      <c r="B807" s="40"/>
      <c r="C807" s="40"/>
      <c r="D807" s="40"/>
      <c r="E807" s="40"/>
      <c r="F807" s="40"/>
      <c r="G807" s="40"/>
      <c r="H807" s="5"/>
      <c r="Q807" s="40"/>
      <c r="R807" s="40"/>
      <c r="S807" s="40"/>
      <c r="T807" s="40"/>
      <c r="U807" s="40"/>
      <c r="W807" s="40"/>
      <c r="X807" s="40"/>
      <c r="Y807" s="40"/>
      <c r="Z807" s="41"/>
      <c r="AA807" s="41"/>
      <c r="AB807" s="41"/>
      <c r="AC807" s="41"/>
      <c r="AD807" s="41"/>
      <c r="AE807" s="40"/>
      <c r="AF807" s="45"/>
      <c r="AG807" s="5"/>
      <c r="AH807" s="6"/>
      <c r="AI807" s="45"/>
      <c r="AJ807" s="45"/>
      <c r="AK807" s="40"/>
      <c r="AL807" s="40"/>
      <c r="AM807" s="40"/>
      <c r="AN807" s="45"/>
      <c r="AO807" s="40"/>
    </row>
    <row r="808" spans="2:41" ht="12.75" customHeight="1" x14ac:dyDescent="0.25">
      <c r="B808" s="40"/>
      <c r="C808" s="40"/>
      <c r="D808" s="40"/>
      <c r="E808" s="40"/>
      <c r="F808" s="40"/>
      <c r="G808" s="40"/>
      <c r="H808" s="5"/>
      <c r="Q808" s="40"/>
      <c r="R808" s="40"/>
      <c r="S808" s="40"/>
      <c r="T808" s="40"/>
      <c r="U808" s="40"/>
      <c r="W808" s="40"/>
      <c r="X808" s="40"/>
      <c r="Y808" s="40"/>
      <c r="Z808" s="41"/>
      <c r="AA808" s="41"/>
      <c r="AB808" s="41"/>
      <c r="AC808" s="41"/>
      <c r="AD808" s="41"/>
      <c r="AE808" s="40"/>
      <c r="AF808" s="45"/>
      <c r="AG808" s="5"/>
      <c r="AH808" s="6"/>
      <c r="AI808" s="45"/>
      <c r="AJ808" s="45"/>
      <c r="AK808" s="40"/>
      <c r="AL808" s="40"/>
      <c r="AM808" s="40"/>
      <c r="AN808" s="45"/>
      <c r="AO808" s="40"/>
    </row>
    <row r="809" spans="2:41" ht="12.75" customHeight="1" x14ac:dyDescent="0.25">
      <c r="B809" s="40"/>
      <c r="C809" s="40"/>
      <c r="D809" s="40"/>
      <c r="E809" s="40"/>
      <c r="F809" s="40"/>
      <c r="G809" s="40"/>
      <c r="H809" s="5"/>
      <c r="Q809" s="40"/>
      <c r="R809" s="40"/>
      <c r="S809" s="40"/>
      <c r="T809" s="40"/>
      <c r="U809" s="40"/>
      <c r="W809" s="40"/>
      <c r="X809" s="40"/>
      <c r="Y809" s="40"/>
      <c r="Z809" s="41"/>
      <c r="AA809" s="41"/>
      <c r="AB809" s="41"/>
      <c r="AC809" s="41"/>
      <c r="AD809" s="41"/>
      <c r="AE809" s="40"/>
      <c r="AF809" s="45"/>
      <c r="AG809" s="5"/>
      <c r="AH809" s="6"/>
      <c r="AI809" s="45"/>
      <c r="AJ809" s="45"/>
      <c r="AK809" s="40"/>
      <c r="AL809" s="40"/>
      <c r="AM809" s="40"/>
      <c r="AN809" s="45"/>
      <c r="AO809" s="40"/>
    </row>
    <row r="810" spans="2:41" ht="12.75" customHeight="1" x14ac:dyDescent="0.25">
      <c r="B810" s="40"/>
      <c r="C810" s="40"/>
      <c r="D810" s="40"/>
      <c r="E810" s="40"/>
      <c r="F810" s="40"/>
      <c r="G810" s="40"/>
      <c r="H810" s="5"/>
      <c r="Q810" s="40"/>
      <c r="R810" s="40"/>
      <c r="S810" s="40"/>
      <c r="T810" s="40"/>
      <c r="U810" s="40"/>
      <c r="W810" s="40"/>
      <c r="X810" s="40"/>
      <c r="Y810" s="40"/>
      <c r="Z810" s="41"/>
      <c r="AA810" s="41"/>
      <c r="AB810" s="41"/>
      <c r="AC810" s="41"/>
      <c r="AD810" s="41"/>
      <c r="AE810" s="40"/>
      <c r="AF810" s="45"/>
      <c r="AG810" s="5"/>
      <c r="AH810" s="6"/>
      <c r="AI810" s="45"/>
      <c r="AJ810" s="45"/>
      <c r="AK810" s="40"/>
      <c r="AL810" s="40"/>
      <c r="AM810" s="40"/>
      <c r="AN810" s="45"/>
      <c r="AO810" s="40"/>
    </row>
    <row r="811" spans="2:41" ht="12.75" customHeight="1" x14ac:dyDescent="0.25">
      <c r="B811" s="40"/>
      <c r="C811" s="40"/>
      <c r="D811" s="40"/>
      <c r="E811" s="40"/>
      <c r="F811" s="40"/>
      <c r="G811" s="40"/>
      <c r="H811" s="5"/>
      <c r="Q811" s="40"/>
      <c r="R811" s="40"/>
      <c r="S811" s="40"/>
      <c r="T811" s="40"/>
      <c r="U811" s="40"/>
      <c r="W811" s="40"/>
      <c r="X811" s="40"/>
      <c r="Y811" s="40"/>
      <c r="Z811" s="41"/>
      <c r="AA811" s="41"/>
      <c r="AB811" s="41"/>
      <c r="AC811" s="41"/>
      <c r="AD811" s="41"/>
      <c r="AE811" s="40"/>
      <c r="AF811" s="45"/>
      <c r="AG811" s="5"/>
      <c r="AH811" s="6"/>
      <c r="AI811" s="45"/>
      <c r="AJ811" s="45"/>
      <c r="AK811" s="40"/>
      <c r="AL811" s="40"/>
      <c r="AM811" s="40"/>
      <c r="AN811" s="45"/>
      <c r="AO811" s="40"/>
    </row>
    <row r="812" spans="2:41" ht="12.75" customHeight="1" x14ac:dyDescent="0.25">
      <c r="B812" s="40"/>
      <c r="C812" s="40"/>
      <c r="D812" s="40"/>
      <c r="E812" s="40"/>
      <c r="F812" s="40"/>
      <c r="G812" s="40"/>
      <c r="H812" s="5"/>
      <c r="Q812" s="40"/>
      <c r="R812" s="40"/>
      <c r="S812" s="40"/>
      <c r="T812" s="40"/>
      <c r="U812" s="40"/>
      <c r="W812" s="40"/>
      <c r="X812" s="40"/>
      <c r="Y812" s="40"/>
      <c r="Z812" s="41"/>
      <c r="AA812" s="41"/>
      <c r="AB812" s="41"/>
      <c r="AC812" s="41"/>
      <c r="AD812" s="41"/>
      <c r="AE812" s="40"/>
      <c r="AF812" s="45"/>
      <c r="AG812" s="5"/>
      <c r="AH812" s="6"/>
      <c r="AI812" s="45"/>
      <c r="AJ812" s="45"/>
      <c r="AK812" s="40"/>
      <c r="AL812" s="40"/>
      <c r="AM812" s="40"/>
      <c r="AN812" s="45"/>
      <c r="AO812" s="40"/>
    </row>
    <row r="813" spans="2:41" ht="12.75" customHeight="1" x14ac:dyDescent="0.25">
      <c r="B813" s="40"/>
      <c r="C813" s="40"/>
      <c r="D813" s="40"/>
      <c r="E813" s="40"/>
      <c r="F813" s="40"/>
      <c r="G813" s="40"/>
      <c r="H813" s="5"/>
      <c r="Q813" s="40"/>
      <c r="R813" s="40"/>
      <c r="S813" s="40"/>
      <c r="T813" s="40"/>
      <c r="U813" s="40"/>
      <c r="W813" s="40"/>
      <c r="X813" s="40"/>
      <c r="Y813" s="40"/>
      <c r="Z813" s="41"/>
      <c r="AA813" s="41"/>
      <c r="AB813" s="41"/>
      <c r="AC813" s="41"/>
      <c r="AD813" s="41"/>
      <c r="AE813" s="40"/>
      <c r="AF813" s="45"/>
      <c r="AG813" s="5"/>
      <c r="AH813" s="6"/>
      <c r="AI813" s="45"/>
      <c r="AJ813" s="45"/>
      <c r="AK813" s="40"/>
      <c r="AL813" s="40"/>
      <c r="AM813" s="40"/>
      <c r="AN813" s="45"/>
      <c r="AO813" s="40"/>
    </row>
    <row r="814" spans="2:41" ht="12.75" customHeight="1" x14ac:dyDescent="0.25">
      <c r="B814" s="40"/>
      <c r="C814" s="40"/>
      <c r="D814" s="40"/>
      <c r="E814" s="40"/>
      <c r="F814" s="40"/>
      <c r="G814" s="40"/>
      <c r="H814" s="5"/>
      <c r="Q814" s="40"/>
      <c r="R814" s="40"/>
      <c r="S814" s="40"/>
      <c r="T814" s="40"/>
      <c r="U814" s="40"/>
      <c r="W814" s="40"/>
      <c r="X814" s="40"/>
      <c r="Y814" s="40"/>
      <c r="Z814" s="41"/>
      <c r="AA814" s="41"/>
      <c r="AB814" s="41"/>
      <c r="AC814" s="41"/>
      <c r="AD814" s="41"/>
      <c r="AE814" s="40"/>
      <c r="AF814" s="45"/>
      <c r="AG814" s="5"/>
      <c r="AH814" s="6"/>
      <c r="AI814" s="45"/>
      <c r="AJ814" s="45"/>
      <c r="AK814" s="40"/>
      <c r="AL814" s="40"/>
      <c r="AM814" s="40"/>
      <c r="AN814" s="45"/>
      <c r="AO814" s="40"/>
    </row>
    <row r="815" spans="2:41" ht="12.75" customHeight="1" x14ac:dyDescent="0.25">
      <c r="B815" s="40"/>
      <c r="C815" s="40"/>
      <c r="D815" s="40"/>
      <c r="E815" s="40"/>
      <c r="F815" s="40"/>
      <c r="G815" s="40"/>
      <c r="H815" s="5"/>
      <c r="Q815" s="40"/>
      <c r="R815" s="40"/>
      <c r="S815" s="40"/>
      <c r="T815" s="40"/>
      <c r="U815" s="40"/>
      <c r="W815" s="40"/>
      <c r="X815" s="40"/>
      <c r="Y815" s="40"/>
      <c r="Z815" s="41"/>
      <c r="AA815" s="41"/>
      <c r="AB815" s="41"/>
      <c r="AC815" s="41"/>
      <c r="AD815" s="41"/>
      <c r="AE815" s="40"/>
      <c r="AF815" s="45"/>
      <c r="AG815" s="5"/>
      <c r="AH815" s="6"/>
      <c r="AI815" s="45"/>
      <c r="AJ815" s="45"/>
      <c r="AK815" s="40"/>
      <c r="AL815" s="40"/>
      <c r="AM815" s="40"/>
      <c r="AN815" s="45"/>
      <c r="AO815" s="40"/>
    </row>
    <row r="816" spans="2:41" ht="12.75" customHeight="1" x14ac:dyDescent="0.25">
      <c r="B816" s="40"/>
      <c r="C816" s="40"/>
      <c r="D816" s="40"/>
      <c r="E816" s="40"/>
      <c r="F816" s="40"/>
      <c r="G816" s="40"/>
      <c r="H816" s="5"/>
      <c r="Q816" s="40"/>
      <c r="R816" s="40"/>
      <c r="S816" s="40"/>
      <c r="T816" s="40"/>
      <c r="U816" s="40"/>
      <c r="W816" s="40"/>
      <c r="X816" s="40"/>
      <c r="Y816" s="40"/>
      <c r="Z816" s="41"/>
      <c r="AA816" s="41"/>
      <c r="AB816" s="41"/>
      <c r="AC816" s="41"/>
      <c r="AD816" s="41"/>
      <c r="AE816" s="40"/>
      <c r="AF816" s="45"/>
      <c r="AG816" s="5"/>
      <c r="AH816" s="6"/>
      <c r="AI816" s="45"/>
      <c r="AJ816" s="45"/>
      <c r="AK816" s="40"/>
      <c r="AL816" s="40"/>
      <c r="AM816" s="40"/>
      <c r="AN816" s="45"/>
      <c r="AO816" s="40"/>
    </row>
    <row r="817" spans="2:41" ht="12.75" customHeight="1" x14ac:dyDescent="0.25">
      <c r="B817" s="40"/>
      <c r="C817" s="40"/>
      <c r="D817" s="40"/>
      <c r="E817" s="40"/>
      <c r="F817" s="40"/>
      <c r="G817" s="40"/>
      <c r="H817" s="5"/>
      <c r="Q817" s="40"/>
      <c r="R817" s="40"/>
      <c r="S817" s="40"/>
      <c r="T817" s="40"/>
      <c r="U817" s="40"/>
      <c r="W817" s="40"/>
      <c r="X817" s="40"/>
      <c r="Y817" s="40"/>
      <c r="Z817" s="41"/>
      <c r="AA817" s="41"/>
      <c r="AB817" s="41"/>
      <c r="AC817" s="41"/>
      <c r="AD817" s="41"/>
      <c r="AE817" s="40"/>
      <c r="AF817" s="45"/>
      <c r="AG817" s="5"/>
      <c r="AH817" s="6"/>
      <c r="AI817" s="45"/>
      <c r="AJ817" s="45"/>
      <c r="AK817" s="40"/>
      <c r="AL817" s="40"/>
      <c r="AM817" s="40"/>
      <c r="AN817" s="45"/>
      <c r="AO817" s="40"/>
    </row>
    <row r="818" spans="2:41" ht="12.75" customHeight="1" x14ac:dyDescent="0.25">
      <c r="B818" s="40"/>
      <c r="C818" s="40"/>
      <c r="D818" s="40"/>
      <c r="E818" s="40"/>
      <c r="F818" s="40"/>
      <c r="G818" s="40"/>
      <c r="H818" s="5"/>
      <c r="Q818" s="40"/>
      <c r="R818" s="40"/>
      <c r="S818" s="40"/>
      <c r="T818" s="40"/>
      <c r="U818" s="40"/>
      <c r="W818" s="40"/>
      <c r="X818" s="40"/>
      <c r="Y818" s="40"/>
      <c r="Z818" s="41"/>
      <c r="AA818" s="41"/>
      <c r="AB818" s="41"/>
      <c r="AC818" s="41"/>
      <c r="AD818" s="41"/>
      <c r="AE818" s="40"/>
      <c r="AF818" s="45"/>
      <c r="AG818" s="5"/>
      <c r="AH818" s="6"/>
      <c r="AI818" s="45"/>
      <c r="AJ818" s="45"/>
      <c r="AK818" s="40"/>
      <c r="AL818" s="40"/>
      <c r="AM818" s="40"/>
      <c r="AN818" s="45"/>
      <c r="AO818" s="40"/>
    </row>
    <row r="819" spans="2:41" ht="12.75" customHeight="1" x14ac:dyDescent="0.25">
      <c r="B819" s="40"/>
      <c r="C819" s="40"/>
      <c r="D819" s="40"/>
      <c r="E819" s="40"/>
      <c r="F819" s="40"/>
      <c r="G819" s="40"/>
      <c r="H819" s="5"/>
      <c r="Q819" s="40"/>
      <c r="R819" s="40"/>
      <c r="S819" s="40"/>
      <c r="T819" s="40"/>
      <c r="U819" s="40"/>
      <c r="W819" s="40"/>
      <c r="X819" s="40"/>
      <c r="Y819" s="40"/>
      <c r="Z819" s="41"/>
      <c r="AA819" s="41"/>
      <c r="AB819" s="41"/>
      <c r="AC819" s="41"/>
      <c r="AD819" s="41"/>
      <c r="AE819" s="40"/>
      <c r="AF819" s="45"/>
      <c r="AG819" s="5"/>
      <c r="AH819" s="6"/>
      <c r="AI819" s="45"/>
      <c r="AJ819" s="45"/>
      <c r="AK819" s="40"/>
      <c r="AL819" s="40"/>
      <c r="AM819" s="40"/>
      <c r="AN819" s="45"/>
      <c r="AO819" s="40"/>
    </row>
    <row r="820" spans="2:41" ht="12.75" customHeight="1" x14ac:dyDescent="0.25">
      <c r="B820" s="40"/>
      <c r="C820" s="40"/>
      <c r="D820" s="40"/>
      <c r="E820" s="40"/>
      <c r="F820" s="40"/>
      <c r="G820" s="40"/>
      <c r="H820" s="5"/>
      <c r="Q820" s="40"/>
      <c r="R820" s="40"/>
      <c r="S820" s="40"/>
      <c r="T820" s="40"/>
      <c r="U820" s="40"/>
      <c r="W820" s="40"/>
      <c r="X820" s="40"/>
      <c r="Y820" s="40"/>
      <c r="Z820" s="41"/>
      <c r="AA820" s="41"/>
      <c r="AB820" s="41"/>
      <c r="AC820" s="41"/>
      <c r="AD820" s="41"/>
      <c r="AE820" s="40"/>
      <c r="AF820" s="45"/>
      <c r="AG820" s="5"/>
      <c r="AH820" s="6"/>
      <c r="AI820" s="45"/>
      <c r="AJ820" s="45"/>
      <c r="AK820" s="40"/>
      <c r="AL820" s="40"/>
      <c r="AM820" s="40"/>
      <c r="AN820" s="45"/>
      <c r="AO820" s="40"/>
    </row>
    <row r="821" spans="2:41" ht="12.75" customHeight="1" x14ac:dyDescent="0.25">
      <c r="B821" s="40"/>
      <c r="C821" s="40"/>
      <c r="D821" s="40"/>
      <c r="E821" s="40"/>
      <c r="F821" s="40"/>
      <c r="G821" s="40"/>
      <c r="H821" s="5"/>
      <c r="Q821" s="40"/>
      <c r="R821" s="40"/>
      <c r="S821" s="40"/>
      <c r="T821" s="40"/>
      <c r="U821" s="40"/>
      <c r="W821" s="40"/>
      <c r="X821" s="40"/>
      <c r="Y821" s="40"/>
      <c r="Z821" s="41"/>
      <c r="AA821" s="41"/>
      <c r="AB821" s="41"/>
      <c r="AC821" s="41"/>
      <c r="AD821" s="41"/>
      <c r="AE821" s="40"/>
      <c r="AF821" s="45"/>
      <c r="AG821" s="5"/>
      <c r="AH821" s="6"/>
      <c r="AI821" s="45"/>
      <c r="AJ821" s="45"/>
      <c r="AK821" s="40"/>
      <c r="AL821" s="40"/>
      <c r="AM821" s="40"/>
      <c r="AN821" s="45"/>
      <c r="AO821" s="40"/>
    </row>
    <row r="822" spans="2:41" ht="12.75" customHeight="1" x14ac:dyDescent="0.25">
      <c r="B822" s="40"/>
      <c r="C822" s="40"/>
      <c r="D822" s="40"/>
      <c r="E822" s="40"/>
      <c r="F822" s="40"/>
      <c r="G822" s="40"/>
      <c r="H822" s="5"/>
      <c r="Q822" s="40"/>
      <c r="R822" s="40"/>
      <c r="S822" s="40"/>
      <c r="T822" s="40"/>
      <c r="U822" s="40"/>
      <c r="W822" s="40"/>
      <c r="X822" s="40"/>
      <c r="Y822" s="40"/>
      <c r="Z822" s="41"/>
      <c r="AA822" s="41"/>
      <c r="AB822" s="41"/>
      <c r="AC822" s="41"/>
      <c r="AD822" s="41"/>
      <c r="AE822" s="40"/>
      <c r="AF822" s="45"/>
      <c r="AG822" s="5"/>
      <c r="AH822" s="6"/>
      <c r="AI822" s="45"/>
      <c r="AJ822" s="45"/>
      <c r="AK822" s="40"/>
      <c r="AL822" s="40"/>
      <c r="AM822" s="40"/>
      <c r="AN822" s="45"/>
      <c r="AO822" s="40"/>
    </row>
    <row r="823" spans="2:41" ht="12.75" customHeight="1" x14ac:dyDescent="0.25">
      <c r="B823" s="40"/>
      <c r="C823" s="40"/>
      <c r="D823" s="40"/>
      <c r="E823" s="40"/>
      <c r="F823" s="40"/>
      <c r="G823" s="40"/>
      <c r="H823" s="5"/>
      <c r="Q823" s="40"/>
      <c r="R823" s="40"/>
      <c r="S823" s="40"/>
      <c r="T823" s="40"/>
      <c r="U823" s="40"/>
      <c r="W823" s="40"/>
      <c r="X823" s="40"/>
      <c r="Y823" s="40"/>
      <c r="Z823" s="41"/>
      <c r="AA823" s="41"/>
      <c r="AB823" s="41"/>
      <c r="AC823" s="41"/>
      <c r="AD823" s="41"/>
      <c r="AE823" s="40"/>
      <c r="AF823" s="45"/>
      <c r="AG823" s="5"/>
      <c r="AH823" s="6"/>
      <c r="AI823" s="45"/>
      <c r="AJ823" s="45"/>
      <c r="AK823" s="40"/>
      <c r="AL823" s="40"/>
      <c r="AM823" s="40"/>
      <c r="AN823" s="45"/>
      <c r="AO823" s="40"/>
    </row>
    <row r="824" spans="2:41" ht="12.75" customHeight="1" x14ac:dyDescent="0.25">
      <c r="B824" s="40"/>
      <c r="C824" s="40"/>
      <c r="D824" s="40"/>
      <c r="E824" s="40"/>
      <c r="F824" s="40"/>
      <c r="G824" s="40"/>
      <c r="H824" s="5"/>
      <c r="Q824" s="40"/>
      <c r="R824" s="40"/>
      <c r="S824" s="40"/>
      <c r="T824" s="40"/>
      <c r="U824" s="40"/>
      <c r="W824" s="40"/>
      <c r="X824" s="40"/>
      <c r="Y824" s="40"/>
      <c r="Z824" s="41"/>
      <c r="AA824" s="41"/>
      <c r="AB824" s="41"/>
      <c r="AC824" s="41"/>
      <c r="AD824" s="41"/>
      <c r="AE824" s="40"/>
      <c r="AF824" s="45"/>
      <c r="AG824" s="5"/>
      <c r="AH824" s="6"/>
      <c r="AI824" s="45"/>
      <c r="AJ824" s="45"/>
      <c r="AK824" s="40"/>
      <c r="AL824" s="40"/>
      <c r="AM824" s="40"/>
      <c r="AN824" s="45"/>
      <c r="AO824" s="40"/>
    </row>
    <row r="825" spans="2:41" ht="12.75" customHeight="1" x14ac:dyDescent="0.25">
      <c r="B825" s="40"/>
      <c r="C825" s="40"/>
      <c r="D825" s="40"/>
      <c r="E825" s="40"/>
      <c r="F825" s="40"/>
      <c r="G825" s="40"/>
      <c r="H825" s="5"/>
      <c r="Q825" s="40"/>
      <c r="R825" s="40"/>
      <c r="S825" s="40"/>
      <c r="T825" s="40"/>
      <c r="U825" s="40"/>
      <c r="W825" s="40"/>
      <c r="X825" s="40"/>
      <c r="Y825" s="40"/>
      <c r="Z825" s="41"/>
      <c r="AA825" s="41"/>
      <c r="AB825" s="41"/>
      <c r="AC825" s="41"/>
      <c r="AD825" s="41"/>
      <c r="AE825" s="40"/>
      <c r="AF825" s="45"/>
      <c r="AG825" s="5"/>
      <c r="AH825" s="6"/>
      <c r="AI825" s="45"/>
      <c r="AJ825" s="45"/>
      <c r="AK825" s="40"/>
      <c r="AL825" s="40"/>
      <c r="AM825" s="40"/>
      <c r="AN825" s="45"/>
      <c r="AO825" s="40"/>
    </row>
    <row r="826" spans="2:41" ht="12.75" customHeight="1" x14ac:dyDescent="0.25">
      <c r="B826" s="40"/>
      <c r="C826" s="40"/>
      <c r="D826" s="40"/>
      <c r="E826" s="40"/>
      <c r="F826" s="40"/>
      <c r="G826" s="40"/>
      <c r="H826" s="5"/>
      <c r="Q826" s="40"/>
      <c r="R826" s="40"/>
      <c r="S826" s="40"/>
      <c r="T826" s="40"/>
      <c r="U826" s="40"/>
      <c r="W826" s="40"/>
      <c r="X826" s="40"/>
      <c r="Y826" s="40"/>
      <c r="Z826" s="41"/>
      <c r="AA826" s="41"/>
      <c r="AB826" s="41"/>
      <c r="AC826" s="41"/>
      <c r="AD826" s="41"/>
      <c r="AE826" s="40"/>
      <c r="AF826" s="45"/>
      <c r="AG826" s="5"/>
      <c r="AH826" s="6"/>
      <c r="AI826" s="45"/>
      <c r="AJ826" s="45"/>
      <c r="AK826" s="40"/>
      <c r="AL826" s="40"/>
      <c r="AM826" s="40"/>
      <c r="AN826" s="45"/>
      <c r="AO826" s="40"/>
    </row>
    <row r="827" spans="2:41" ht="12.75" customHeight="1" x14ac:dyDescent="0.25">
      <c r="B827" s="40"/>
      <c r="C827" s="40"/>
      <c r="D827" s="40"/>
      <c r="E827" s="40"/>
      <c r="F827" s="40"/>
      <c r="G827" s="40"/>
      <c r="H827" s="5"/>
      <c r="Q827" s="40"/>
      <c r="R827" s="40"/>
      <c r="S827" s="40"/>
      <c r="T827" s="40"/>
      <c r="U827" s="40"/>
      <c r="W827" s="40"/>
      <c r="X827" s="40"/>
      <c r="Y827" s="40"/>
      <c r="Z827" s="41"/>
      <c r="AA827" s="41"/>
      <c r="AB827" s="41"/>
      <c r="AC827" s="41"/>
      <c r="AD827" s="41"/>
      <c r="AE827" s="40"/>
      <c r="AF827" s="45"/>
      <c r="AG827" s="5"/>
      <c r="AH827" s="6"/>
      <c r="AI827" s="45"/>
      <c r="AJ827" s="45"/>
      <c r="AK827" s="40"/>
      <c r="AL827" s="40"/>
      <c r="AM827" s="40"/>
      <c r="AN827" s="45"/>
      <c r="AO827" s="40"/>
    </row>
    <row r="828" spans="2:41" ht="12.75" customHeight="1" x14ac:dyDescent="0.25">
      <c r="B828" s="40"/>
      <c r="C828" s="40"/>
      <c r="D828" s="40"/>
      <c r="E828" s="40"/>
      <c r="F828" s="40"/>
      <c r="G828" s="40"/>
      <c r="H828" s="5"/>
      <c r="Q828" s="40"/>
      <c r="R828" s="40"/>
      <c r="S828" s="40"/>
      <c r="T828" s="40"/>
      <c r="U828" s="40"/>
      <c r="W828" s="40"/>
      <c r="X828" s="40"/>
      <c r="Y828" s="40"/>
      <c r="Z828" s="41"/>
      <c r="AA828" s="41"/>
      <c r="AB828" s="41"/>
      <c r="AC828" s="41"/>
      <c r="AD828" s="41"/>
      <c r="AE828" s="40"/>
      <c r="AF828" s="45"/>
      <c r="AG828" s="5"/>
      <c r="AH828" s="6"/>
      <c r="AI828" s="45"/>
      <c r="AJ828" s="45"/>
      <c r="AK828" s="40"/>
      <c r="AL828" s="40"/>
      <c r="AM828" s="40"/>
      <c r="AN828" s="45"/>
      <c r="AO828" s="40"/>
    </row>
    <row r="829" spans="2:41" ht="12.75" customHeight="1" x14ac:dyDescent="0.25">
      <c r="B829" s="40"/>
      <c r="C829" s="40"/>
      <c r="D829" s="40"/>
      <c r="E829" s="40"/>
      <c r="F829" s="40"/>
      <c r="G829" s="40"/>
      <c r="H829" s="5"/>
      <c r="Q829" s="40"/>
      <c r="R829" s="40"/>
      <c r="S829" s="40"/>
      <c r="T829" s="40"/>
      <c r="U829" s="40"/>
      <c r="W829" s="40"/>
      <c r="X829" s="40"/>
      <c r="Y829" s="40"/>
      <c r="Z829" s="41"/>
      <c r="AA829" s="41"/>
      <c r="AB829" s="41"/>
      <c r="AC829" s="41"/>
      <c r="AD829" s="41"/>
      <c r="AE829" s="40"/>
      <c r="AF829" s="45"/>
      <c r="AG829" s="5"/>
      <c r="AH829" s="6"/>
      <c r="AI829" s="45"/>
      <c r="AJ829" s="45"/>
      <c r="AK829" s="40"/>
      <c r="AL829" s="40"/>
      <c r="AM829" s="40"/>
      <c r="AN829" s="45"/>
      <c r="AO829" s="40"/>
    </row>
    <row r="830" spans="2:41" ht="12.75" customHeight="1" x14ac:dyDescent="0.25">
      <c r="B830" s="40"/>
      <c r="C830" s="40"/>
      <c r="D830" s="40"/>
      <c r="E830" s="40"/>
      <c r="F830" s="40"/>
      <c r="G830" s="40"/>
      <c r="H830" s="5"/>
      <c r="Q830" s="40"/>
      <c r="R830" s="40"/>
      <c r="S830" s="40"/>
      <c r="T830" s="40"/>
      <c r="U830" s="40"/>
      <c r="W830" s="40"/>
      <c r="X830" s="40"/>
      <c r="Y830" s="40"/>
      <c r="Z830" s="41"/>
      <c r="AA830" s="41"/>
      <c r="AB830" s="41"/>
      <c r="AC830" s="41"/>
      <c r="AD830" s="41"/>
      <c r="AE830" s="40"/>
      <c r="AF830" s="45"/>
      <c r="AG830" s="5"/>
      <c r="AH830" s="6"/>
      <c r="AI830" s="45"/>
      <c r="AJ830" s="45"/>
      <c r="AK830" s="40"/>
      <c r="AL830" s="40"/>
      <c r="AM830" s="40"/>
      <c r="AN830" s="45"/>
      <c r="AO830" s="40"/>
    </row>
    <row r="831" spans="2:41" ht="12.75" customHeight="1" x14ac:dyDescent="0.25">
      <c r="B831" s="40"/>
      <c r="C831" s="40"/>
      <c r="D831" s="40"/>
      <c r="E831" s="40"/>
      <c r="F831" s="40"/>
      <c r="G831" s="40"/>
      <c r="H831" s="5"/>
      <c r="Q831" s="40"/>
      <c r="R831" s="40"/>
      <c r="S831" s="40"/>
      <c r="T831" s="40"/>
      <c r="U831" s="40"/>
      <c r="W831" s="40"/>
      <c r="X831" s="40"/>
      <c r="Y831" s="40"/>
      <c r="Z831" s="41"/>
      <c r="AA831" s="41"/>
      <c r="AB831" s="41"/>
      <c r="AC831" s="41"/>
      <c r="AD831" s="41"/>
      <c r="AE831" s="40"/>
      <c r="AF831" s="45"/>
      <c r="AG831" s="5"/>
      <c r="AH831" s="6"/>
      <c r="AI831" s="45"/>
      <c r="AJ831" s="45"/>
      <c r="AK831" s="40"/>
      <c r="AL831" s="40"/>
      <c r="AM831" s="40"/>
      <c r="AN831" s="45"/>
      <c r="AO831" s="40"/>
    </row>
    <row r="832" spans="2:41" ht="12.75" customHeight="1" x14ac:dyDescent="0.25">
      <c r="B832" s="40"/>
      <c r="C832" s="40"/>
      <c r="D832" s="40"/>
      <c r="E832" s="40"/>
      <c r="F832" s="40"/>
      <c r="G832" s="40"/>
      <c r="H832" s="5"/>
      <c r="Q832" s="40"/>
      <c r="R832" s="40"/>
      <c r="S832" s="40"/>
      <c r="T832" s="40"/>
      <c r="U832" s="40"/>
      <c r="W832" s="40"/>
      <c r="X832" s="40"/>
      <c r="Y832" s="40"/>
      <c r="Z832" s="41"/>
      <c r="AA832" s="41"/>
      <c r="AB832" s="41"/>
      <c r="AC832" s="41"/>
      <c r="AD832" s="41"/>
      <c r="AE832" s="40"/>
      <c r="AF832" s="45"/>
      <c r="AG832" s="5"/>
      <c r="AH832" s="6"/>
      <c r="AI832" s="45"/>
      <c r="AJ832" s="45"/>
      <c r="AK832" s="40"/>
      <c r="AL832" s="40"/>
      <c r="AM832" s="40"/>
      <c r="AN832" s="45"/>
      <c r="AO832" s="40"/>
    </row>
    <row r="833" spans="2:41" ht="12.75" customHeight="1" x14ac:dyDescent="0.25">
      <c r="B833" s="40"/>
      <c r="C833" s="40"/>
      <c r="D833" s="40"/>
      <c r="E833" s="40"/>
      <c r="F833" s="40"/>
      <c r="G833" s="40"/>
      <c r="H833" s="5"/>
      <c r="Q833" s="40"/>
      <c r="R833" s="40"/>
      <c r="S833" s="40"/>
      <c r="T833" s="40"/>
      <c r="U833" s="40"/>
      <c r="W833" s="40"/>
      <c r="X833" s="40"/>
      <c r="Y833" s="40"/>
      <c r="Z833" s="41"/>
      <c r="AA833" s="41"/>
      <c r="AB833" s="41"/>
      <c r="AC833" s="41"/>
      <c r="AD833" s="41"/>
      <c r="AE833" s="40"/>
      <c r="AF833" s="45"/>
      <c r="AG833" s="5"/>
      <c r="AH833" s="6"/>
      <c r="AI833" s="45"/>
      <c r="AJ833" s="45"/>
      <c r="AK833" s="40"/>
      <c r="AL833" s="40"/>
      <c r="AM833" s="40"/>
      <c r="AN833" s="45"/>
      <c r="AO833" s="40"/>
    </row>
    <row r="834" spans="2:41" ht="12.75" customHeight="1" x14ac:dyDescent="0.25">
      <c r="B834" s="40"/>
      <c r="C834" s="40"/>
      <c r="D834" s="40"/>
      <c r="E834" s="40"/>
      <c r="F834" s="40"/>
      <c r="G834" s="40"/>
      <c r="H834" s="5"/>
      <c r="Q834" s="40"/>
      <c r="R834" s="40"/>
      <c r="S834" s="40"/>
      <c r="T834" s="40"/>
      <c r="U834" s="40"/>
      <c r="W834" s="40"/>
      <c r="X834" s="40"/>
      <c r="Y834" s="40"/>
      <c r="Z834" s="41"/>
      <c r="AA834" s="41"/>
      <c r="AB834" s="41"/>
      <c r="AC834" s="41"/>
      <c r="AD834" s="41"/>
      <c r="AE834" s="40"/>
      <c r="AF834" s="45"/>
      <c r="AG834" s="5"/>
      <c r="AH834" s="6"/>
      <c r="AI834" s="45"/>
      <c r="AJ834" s="45"/>
      <c r="AK834" s="40"/>
      <c r="AL834" s="40"/>
      <c r="AM834" s="40"/>
      <c r="AN834" s="45"/>
      <c r="AO834" s="40"/>
    </row>
    <row r="835" spans="2:41" ht="12.75" customHeight="1" x14ac:dyDescent="0.25">
      <c r="B835" s="40"/>
      <c r="C835" s="40"/>
      <c r="D835" s="40"/>
      <c r="E835" s="40"/>
      <c r="F835" s="40"/>
      <c r="G835" s="40"/>
      <c r="H835" s="5"/>
      <c r="Q835" s="40"/>
      <c r="R835" s="40"/>
      <c r="S835" s="40"/>
      <c r="T835" s="40"/>
      <c r="U835" s="40"/>
      <c r="W835" s="40"/>
      <c r="X835" s="40"/>
      <c r="Y835" s="40"/>
      <c r="Z835" s="41"/>
      <c r="AA835" s="41"/>
      <c r="AB835" s="41"/>
      <c r="AC835" s="41"/>
      <c r="AD835" s="41"/>
      <c r="AE835" s="40"/>
      <c r="AF835" s="45"/>
      <c r="AG835" s="5"/>
      <c r="AH835" s="6"/>
      <c r="AI835" s="45"/>
      <c r="AJ835" s="45"/>
      <c r="AK835" s="40"/>
      <c r="AL835" s="40"/>
      <c r="AM835" s="40"/>
      <c r="AN835" s="45"/>
      <c r="AO835" s="40"/>
    </row>
    <row r="836" spans="2:41" ht="12.75" customHeight="1" x14ac:dyDescent="0.25">
      <c r="B836" s="40"/>
      <c r="C836" s="40"/>
      <c r="D836" s="40"/>
      <c r="E836" s="40"/>
      <c r="F836" s="40"/>
      <c r="G836" s="40"/>
      <c r="H836" s="5"/>
      <c r="Q836" s="40"/>
      <c r="R836" s="40"/>
      <c r="S836" s="40"/>
      <c r="T836" s="40"/>
      <c r="U836" s="40"/>
      <c r="W836" s="40"/>
      <c r="X836" s="40"/>
      <c r="Y836" s="40"/>
      <c r="Z836" s="41"/>
      <c r="AA836" s="41"/>
      <c r="AB836" s="41"/>
      <c r="AC836" s="41"/>
      <c r="AD836" s="41"/>
      <c r="AE836" s="40"/>
      <c r="AF836" s="45"/>
      <c r="AG836" s="5"/>
      <c r="AH836" s="6"/>
      <c r="AI836" s="45"/>
      <c r="AJ836" s="45"/>
      <c r="AK836" s="40"/>
      <c r="AL836" s="40"/>
      <c r="AM836" s="40"/>
      <c r="AN836" s="45"/>
      <c r="AO836" s="40"/>
    </row>
    <row r="837" spans="2:41" ht="12.75" customHeight="1" x14ac:dyDescent="0.25">
      <c r="B837" s="40"/>
      <c r="C837" s="40"/>
      <c r="D837" s="40"/>
      <c r="E837" s="40"/>
      <c r="F837" s="40"/>
      <c r="G837" s="40"/>
      <c r="H837" s="5"/>
      <c r="Q837" s="40"/>
      <c r="R837" s="40"/>
      <c r="S837" s="40"/>
      <c r="T837" s="40"/>
      <c r="U837" s="40"/>
      <c r="W837" s="40"/>
      <c r="X837" s="40"/>
      <c r="Y837" s="40"/>
      <c r="Z837" s="41"/>
      <c r="AA837" s="41"/>
      <c r="AB837" s="41"/>
      <c r="AC837" s="41"/>
      <c r="AD837" s="41"/>
      <c r="AE837" s="40"/>
      <c r="AF837" s="45"/>
      <c r="AG837" s="5"/>
      <c r="AH837" s="6"/>
      <c r="AI837" s="45"/>
      <c r="AJ837" s="45"/>
      <c r="AK837" s="40"/>
      <c r="AL837" s="40"/>
      <c r="AM837" s="40"/>
      <c r="AN837" s="45"/>
      <c r="AO837" s="40"/>
    </row>
    <row r="838" spans="2:41" ht="12.75" customHeight="1" x14ac:dyDescent="0.25">
      <c r="B838" s="40"/>
      <c r="C838" s="40"/>
      <c r="D838" s="40"/>
      <c r="E838" s="40"/>
      <c r="F838" s="40"/>
      <c r="G838" s="40"/>
      <c r="H838" s="5"/>
      <c r="Q838" s="40"/>
      <c r="R838" s="40"/>
      <c r="S838" s="40"/>
      <c r="T838" s="40"/>
      <c r="U838" s="40"/>
      <c r="W838" s="40"/>
      <c r="X838" s="40"/>
      <c r="Y838" s="40"/>
      <c r="Z838" s="41"/>
      <c r="AA838" s="41"/>
      <c r="AB838" s="41"/>
      <c r="AC838" s="41"/>
      <c r="AD838" s="41"/>
      <c r="AE838" s="40"/>
      <c r="AF838" s="45"/>
      <c r="AG838" s="5"/>
      <c r="AH838" s="6"/>
      <c r="AI838" s="45"/>
      <c r="AJ838" s="45"/>
      <c r="AK838" s="40"/>
      <c r="AL838" s="40"/>
      <c r="AM838" s="40"/>
      <c r="AN838" s="45"/>
      <c r="AO838" s="40"/>
    </row>
    <row r="839" spans="2:41" ht="12.75" customHeight="1" x14ac:dyDescent="0.25">
      <c r="B839" s="40"/>
      <c r="C839" s="40"/>
      <c r="D839" s="40"/>
      <c r="E839" s="40"/>
      <c r="F839" s="40"/>
      <c r="G839" s="40"/>
      <c r="H839" s="5"/>
      <c r="Q839" s="40"/>
      <c r="R839" s="40"/>
      <c r="S839" s="40"/>
      <c r="T839" s="40"/>
      <c r="U839" s="40"/>
      <c r="W839" s="40"/>
      <c r="X839" s="40"/>
      <c r="Y839" s="40"/>
      <c r="Z839" s="41"/>
      <c r="AA839" s="41"/>
      <c r="AB839" s="41"/>
      <c r="AC839" s="41"/>
      <c r="AD839" s="41"/>
      <c r="AE839" s="40"/>
      <c r="AF839" s="45"/>
      <c r="AG839" s="5"/>
      <c r="AH839" s="6"/>
      <c r="AI839" s="45"/>
      <c r="AJ839" s="45"/>
      <c r="AK839" s="40"/>
      <c r="AL839" s="40"/>
      <c r="AM839" s="40"/>
      <c r="AN839" s="45"/>
      <c r="AO839" s="40"/>
    </row>
    <row r="840" spans="2:41" ht="12.75" customHeight="1" x14ac:dyDescent="0.25">
      <c r="B840" s="40"/>
      <c r="C840" s="40"/>
      <c r="D840" s="40"/>
      <c r="E840" s="40"/>
      <c r="F840" s="40"/>
      <c r="G840" s="40"/>
      <c r="H840" s="5"/>
      <c r="Q840" s="40"/>
      <c r="R840" s="40"/>
      <c r="S840" s="40"/>
      <c r="T840" s="40"/>
      <c r="U840" s="40"/>
      <c r="W840" s="40"/>
      <c r="X840" s="40"/>
      <c r="Y840" s="40"/>
      <c r="Z840" s="41"/>
      <c r="AA840" s="41"/>
      <c r="AB840" s="41"/>
      <c r="AC840" s="41"/>
      <c r="AD840" s="41"/>
      <c r="AE840" s="40"/>
      <c r="AF840" s="45"/>
      <c r="AG840" s="5"/>
      <c r="AH840" s="6"/>
      <c r="AI840" s="45"/>
      <c r="AJ840" s="45"/>
      <c r="AK840" s="40"/>
      <c r="AL840" s="40"/>
      <c r="AM840" s="40"/>
      <c r="AN840" s="45"/>
      <c r="AO840" s="40"/>
    </row>
    <row r="841" spans="2:41" ht="12.75" customHeight="1" x14ac:dyDescent="0.25">
      <c r="B841" s="40"/>
      <c r="C841" s="40"/>
      <c r="D841" s="40"/>
      <c r="E841" s="40"/>
      <c r="F841" s="40"/>
      <c r="G841" s="40"/>
      <c r="H841" s="5"/>
      <c r="Q841" s="40"/>
      <c r="R841" s="40"/>
      <c r="S841" s="40"/>
      <c r="T841" s="40"/>
      <c r="U841" s="40"/>
      <c r="W841" s="40"/>
      <c r="X841" s="40"/>
      <c r="Y841" s="40"/>
      <c r="Z841" s="41"/>
      <c r="AA841" s="41"/>
      <c r="AB841" s="41"/>
      <c r="AC841" s="41"/>
      <c r="AD841" s="41"/>
      <c r="AE841" s="40"/>
      <c r="AF841" s="45"/>
      <c r="AG841" s="5"/>
      <c r="AH841" s="6"/>
      <c r="AI841" s="45"/>
      <c r="AJ841" s="45"/>
      <c r="AK841" s="40"/>
      <c r="AL841" s="40"/>
      <c r="AM841" s="40"/>
      <c r="AN841" s="45"/>
      <c r="AO841" s="40"/>
    </row>
    <row r="842" spans="2:41" ht="12.75" customHeight="1" x14ac:dyDescent="0.25">
      <c r="B842" s="40"/>
      <c r="C842" s="40"/>
      <c r="D842" s="40"/>
      <c r="E842" s="40"/>
      <c r="F842" s="40"/>
      <c r="G842" s="40"/>
      <c r="H842" s="5"/>
      <c r="Q842" s="40"/>
      <c r="R842" s="40"/>
      <c r="S842" s="40"/>
      <c r="T842" s="40"/>
      <c r="U842" s="40"/>
      <c r="W842" s="40"/>
      <c r="X842" s="40"/>
      <c r="Y842" s="40"/>
      <c r="Z842" s="41"/>
      <c r="AA842" s="41"/>
      <c r="AB842" s="41"/>
      <c r="AC842" s="41"/>
      <c r="AD842" s="41"/>
      <c r="AE842" s="40"/>
      <c r="AF842" s="45"/>
      <c r="AG842" s="5"/>
      <c r="AH842" s="6"/>
      <c r="AI842" s="45"/>
      <c r="AJ842" s="45"/>
      <c r="AK842" s="40"/>
      <c r="AL842" s="40"/>
      <c r="AM842" s="40"/>
      <c r="AN842" s="45"/>
      <c r="AO842" s="40"/>
    </row>
    <row r="843" spans="2:41" ht="12.75" customHeight="1" x14ac:dyDescent="0.25">
      <c r="B843" s="40"/>
      <c r="C843" s="40"/>
      <c r="D843" s="40"/>
      <c r="E843" s="40"/>
      <c r="F843" s="40"/>
      <c r="G843" s="40"/>
      <c r="H843" s="5"/>
      <c r="Q843" s="40"/>
      <c r="R843" s="40"/>
      <c r="S843" s="40"/>
      <c r="T843" s="40"/>
      <c r="U843" s="40"/>
      <c r="W843" s="40"/>
      <c r="X843" s="40"/>
      <c r="Y843" s="40"/>
      <c r="Z843" s="41"/>
      <c r="AA843" s="41"/>
      <c r="AB843" s="41"/>
      <c r="AC843" s="41"/>
      <c r="AD843" s="41"/>
      <c r="AE843" s="40"/>
      <c r="AF843" s="45"/>
      <c r="AG843" s="5"/>
      <c r="AH843" s="6"/>
      <c r="AI843" s="45"/>
      <c r="AJ843" s="45"/>
      <c r="AK843" s="40"/>
      <c r="AL843" s="40"/>
      <c r="AM843" s="40"/>
      <c r="AN843" s="45"/>
      <c r="AO843" s="40"/>
    </row>
    <row r="844" spans="2:41" ht="12.75" customHeight="1" x14ac:dyDescent="0.25">
      <c r="B844" s="40"/>
      <c r="C844" s="40"/>
      <c r="D844" s="40"/>
      <c r="E844" s="40"/>
      <c r="F844" s="40"/>
      <c r="G844" s="40"/>
      <c r="H844" s="5"/>
      <c r="Q844" s="40"/>
      <c r="R844" s="40"/>
      <c r="S844" s="40"/>
      <c r="T844" s="40"/>
      <c r="U844" s="40"/>
      <c r="W844" s="40"/>
      <c r="X844" s="40"/>
      <c r="Y844" s="40"/>
      <c r="Z844" s="41"/>
      <c r="AA844" s="41"/>
      <c r="AB844" s="41"/>
      <c r="AC844" s="41"/>
      <c r="AD844" s="41"/>
      <c r="AE844" s="40"/>
      <c r="AF844" s="45"/>
      <c r="AG844" s="5"/>
      <c r="AH844" s="6"/>
      <c r="AI844" s="45"/>
      <c r="AJ844" s="45"/>
      <c r="AK844" s="40"/>
      <c r="AL844" s="40"/>
      <c r="AM844" s="40"/>
      <c r="AN844" s="45"/>
      <c r="AO844" s="40"/>
    </row>
    <row r="845" spans="2:41" ht="12.75" customHeight="1" x14ac:dyDescent="0.25">
      <c r="B845" s="40"/>
      <c r="C845" s="40"/>
      <c r="D845" s="40"/>
      <c r="E845" s="40"/>
      <c r="F845" s="40"/>
      <c r="G845" s="40"/>
      <c r="H845" s="5"/>
      <c r="Q845" s="40"/>
      <c r="R845" s="40"/>
      <c r="S845" s="40"/>
      <c r="T845" s="40"/>
      <c r="U845" s="40"/>
      <c r="W845" s="40"/>
      <c r="X845" s="40"/>
      <c r="Y845" s="40"/>
      <c r="Z845" s="41"/>
      <c r="AA845" s="41"/>
      <c r="AB845" s="41"/>
      <c r="AC845" s="41"/>
      <c r="AD845" s="41"/>
      <c r="AE845" s="40"/>
      <c r="AF845" s="45"/>
      <c r="AG845" s="5"/>
      <c r="AH845" s="6"/>
      <c r="AI845" s="45"/>
      <c r="AJ845" s="45"/>
      <c r="AK845" s="40"/>
      <c r="AL845" s="40"/>
      <c r="AM845" s="40"/>
      <c r="AN845" s="45"/>
      <c r="AO845" s="40"/>
    </row>
    <row r="846" spans="2:41" ht="12.75" customHeight="1" x14ac:dyDescent="0.25">
      <c r="B846" s="40"/>
      <c r="C846" s="40"/>
      <c r="D846" s="40"/>
      <c r="E846" s="40"/>
      <c r="F846" s="40"/>
      <c r="G846" s="40"/>
      <c r="H846" s="5"/>
      <c r="Q846" s="40"/>
      <c r="R846" s="40"/>
      <c r="S846" s="40"/>
      <c r="T846" s="40"/>
      <c r="U846" s="40"/>
      <c r="W846" s="40"/>
      <c r="X846" s="40"/>
      <c r="Y846" s="40"/>
      <c r="Z846" s="41"/>
      <c r="AA846" s="41"/>
      <c r="AB846" s="41"/>
      <c r="AC846" s="41"/>
      <c r="AD846" s="41"/>
      <c r="AE846" s="40"/>
      <c r="AF846" s="45"/>
      <c r="AG846" s="5"/>
      <c r="AH846" s="6"/>
      <c r="AI846" s="45"/>
      <c r="AJ846" s="45"/>
      <c r="AK846" s="40"/>
      <c r="AL846" s="40"/>
      <c r="AM846" s="40"/>
      <c r="AN846" s="45"/>
      <c r="AO846" s="40"/>
    </row>
    <row r="847" spans="2:41" ht="12.75" customHeight="1" x14ac:dyDescent="0.25">
      <c r="B847" s="40"/>
      <c r="C847" s="40"/>
      <c r="D847" s="40"/>
      <c r="E847" s="40"/>
      <c r="F847" s="40"/>
      <c r="G847" s="40"/>
      <c r="H847" s="5"/>
      <c r="Q847" s="40"/>
      <c r="R847" s="40"/>
      <c r="S847" s="40"/>
      <c r="T847" s="40"/>
      <c r="U847" s="40"/>
      <c r="W847" s="40"/>
      <c r="X847" s="40"/>
      <c r="Y847" s="40"/>
      <c r="Z847" s="41"/>
      <c r="AA847" s="41"/>
      <c r="AB847" s="41"/>
      <c r="AC847" s="41"/>
      <c r="AD847" s="41"/>
      <c r="AE847" s="40"/>
      <c r="AF847" s="45"/>
      <c r="AG847" s="5"/>
      <c r="AH847" s="6"/>
      <c r="AI847" s="45"/>
      <c r="AJ847" s="45"/>
      <c r="AK847" s="40"/>
      <c r="AL847" s="40"/>
      <c r="AM847" s="40"/>
      <c r="AN847" s="45"/>
      <c r="AO847" s="40"/>
    </row>
    <row r="848" spans="2:41" ht="12.75" customHeight="1" x14ac:dyDescent="0.25">
      <c r="B848" s="40"/>
      <c r="C848" s="40"/>
      <c r="D848" s="40"/>
      <c r="E848" s="40"/>
      <c r="F848" s="40"/>
      <c r="G848" s="40"/>
      <c r="H848" s="5"/>
      <c r="Q848" s="40"/>
      <c r="R848" s="40"/>
      <c r="S848" s="40"/>
      <c r="T848" s="40"/>
      <c r="U848" s="40"/>
      <c r="W848" s="40"/>
      <c r="X848" s="40"/>
      <c r="Y848" s="40"/>
      <c r="Z848" s="41"/>
      <c r="AA848" s="41"/>
      <c r="AB848" s="41"/>
      <c r="AC848" s="41"/>
      <c r="AD848" s="41"/>
      <c r="AE848" s="40"/>
      <c r="AF848" s="45"/>
      <c r="AG848" s="5"/>
      <c r="AH848" s="6"/>
      <c r="AI848" s="45"/>
      <c r="AJ848" s="45"/>
      <c r="AK848" s="40"/>
      <c r="AL848" s="40"/>
      <c r="AM848" s="40"/>
      <c r="AN848" s="45"/>
      <c r="AO848" s="40"/>
    </row>
    <row r="849" spans="2:41" ht="12.75" customHeight="1" x14ac:dyDescent="0.25">
      <c r="B849" s="40"/>
      <c r="C849" s="40"/>
      <c r="D849" s="40"/>
      <c r="E849" s="40"/>
      <c r="F849" s="40"/>
      <c r="G849" s="40"/>
      <c r="H849" s="5"/>
      <c r="Q849" s="40"/>
      <c r="R849" s="40"/>
      <c r="S849" s="40"/>
      <c r="T849" s="40"/>
      <c r="U849" s="40"/>
      <c r="W849" s="40"/>
      <c r="X849" s="40"/>
      <c r="Y849" s="40"/>
      <c r="Z849" s="41"/>
      <c r="AA849" s="41"/>
      <c r="AB849" s="41"/>
      <c r="AC849" s="41"/>
      <c r="AD849" s="41"/>
      <c r="AE849" s="40"/>
      <c r="AF849" s="45"/>
      <c r="AG849" s="5"/>
      <c r="AH849" s="6"/>
      <c r="AI849" s="45"/>
      <c r="AJ849" s="45"/>
      <c r="AK849" s="40"/>
      <c r="AL849" s="40"/>
      <c r="AM849" s="40"/>
      <c r="AN849" s="45"/>
      <c r="AO849" s="40"/>
    </row>
    <row r="850" spans="2:41" ht="12.75" customHeight="1" x14ac:dyDescent="0.25">
      <c r="B850" s="40"/>
      <c r="C850" s="40"/>
      <c r="D850" s="40"/>
      <c r="E850" s="40"/>
      <c r="F850" s="40"/>
      <c r="G850" s="40"/>
      <c r="H850" s="5"/>
      <c r="Q850" s="40"/>
      <c r="R850" s="40"/>
      <c r="S850" s="40"/>
      <c r="T850" s="40"/>
      <c r="U850" s="40"/>
      <c r="W850" s="40"/>
      <c r="X850" s="40"/>
      <c r="Y850" s="40"/>
      <c r="Z850" s="41"/>
      <c r="AA850" s="41"/>
      <c r="AB850" s="41"/>
      <c r="AC850" s="41"/>
      <c r="AD850" s="41"/>
      <c r="AE850" s="40"/>
      <c r="AF850" s="45"/>
      <c r="AG850" s="5"/>
      <c r="AH850" s="6"/>
      <c r="AI850" s="45"/>
      <c r="AJ850" s="45"/>
      <c r="AK850" s="40"/>
      <c r="AL850" s="40"/>
      <c r="AM850" s="40"/>
      <c r="AN850" s="45"/>
      <c r="AO850" s="40"/>
    </row>
    <row r="851" spans="2:41" ht="12.75" customHeight="1" x14ac:dyDescent="0.25">
      <c r="B851" s="40"/>
      <c r="C851" s="40"/>
      <c r="D851" s="40"/>
      <c r="E851" s="40"/>
      <c r="F851" s="40"/>
      <c r="G851" s="40"/>
      <c r="H851" s="5"/>
      <c r="Q851" s="40"/>
      <c r="R851" s="40"/>
      <c r="S851" s="40"/>
      <c r="T851" s="40"/>
      <c r="U851" s="40"/>
      <c r="W851" s="40"/>
      <c r="X851" s="40"/>
      <c r="Y851" s="40"/>
      <c r="Z851" s="41"/>
      <c r="AA851" s="41"/>
      <c r="AB851" s="41"/>
      <c r="AC851" s="41"/>
      <c r="AD851" s="41"/>
      <c r="AE851" s="40"/>
      <c r="AF851" s="45"/>
      <c r="AG851" s="5"/>
      <c r="AH851" s="6"/>
      <c r="AI851" s="45"/>
      <c r="AJ851" s="45"/>
      <c r="AK851" s="40"/>
      <c r="AL851" s="40"/>
      <c r="AM851" s="40"/>
      <c r="AN851" s="45"/>
      <c r="AO851" s="40"/>
    </row>
    <row r="852" spans="2:41" ht="12.75" customHeight="1" x14ac:dyDescent="0.25">
      <c r="B852" s="40"/>
      <c r="C852" s="40"/>
      <c r="D852" s="40"/>
      <c r="E852" s="40"/>
      <c r="F852" s="40"/>
      <c r="G852" s="40"/>
      <c r="H852" s="5"/>
      <c r="Q852" s="40"/>
      <c r="R852" s="40"/>
      <c r="S852" s="40"/>
      <c r="T852" s="40"/>
      <c r="U852" s="40"/>
      <c r="W852" s="40"/>
      <c r="X852" s="40"/>
      <c r="Y852" s="40"/>
      <c r="Z852" s="41"/>
      <c r="AA852" s="41"/>
      <c r="AB852" s="41"/>
      <c r="AC852" s="41"/>
      <c r="AD852" s="41"/>
      <c r="AE852" s="40"/>
      <c r="AF852" s="45"/>
      <c r="AG852" s="5"/>
      <c r="AH852" s="6"/>
      <c r="AI852" s="45"/>
      <c r="AJ852" s="45"/>
      <c r="AK852" s="40"/>
      <c r="AL852" s="40"/>
      <c r="AM852" s="40"/>
      <c r="AN852" s="45"/>
      <c r="AO852" s="40"/>
    </row>
    <row r="853" spans="2:41" ht="12.75" customHeight="1" x14ac:dyDescent="0.25">
      <c r="B853" s="40"/>
      <c r="C853" s="40"/>
      <c r="D853" s="40"/>
      <c r="E853" s="40"/>
      <c r="F853" s="40"/>
      <c r="G853" s="40"/>
      <c r="H853" s="5"/>
      <c r="Q853" s="40"/>
      <c r="R853" s="40"/>
      <c r="S853" s="40"/>
      <c r="T853" s="40"/>
      <c r="U853" s="40"/>
      <c r="W853" s="40"/>
      <c r="X853" s="40"/>
      <c r="Y853" s="40"/>
      <c r="Z853" s="41"/>
      <c r="AA853" s="41"/>
      <c r="AB853" s="41"/>
      <c r="AC853" s="41"/>
      <c r="AD853" s="41"/>
      <c r="AE853" s="40"/>
      <c r="AF853" s="45"/>
      <c r="AG853" s="5"/>
      <c r="AH853" s="6"/>
      <c r="AI853" s="45"/>
      <c r="AJ853" s="45"/>
      <c r="AK853" s="40"/>
      <c r="AL853" s="40"/>
      <c r="AM853" s="40"/>
      <c r="AN853" s="45"/>
      <c r="AO853" s="40"/>
    </row>
    <row r="854" spans="2:41" ht="12.75" customHeight="1" x14ac:dyDescent="0.25">
      <c r="B854" s="40"/>
      <c r="C854" s="40"/>
      <c r="D854" s="40"/>
      <c r="E854" s="40"/>
      <c r="F854" s="40"/>
      <c r="G854" s="40"/>
      <c r="H854" s="5"/>
      <c r="Q854" s="40"/>
      <c r="R854" s="40"/>
      <c r="S854" s="40"/>
      <c r="T854" s="40"/>
      <c r="U854" s="40"/>
      <c r="W854" s="40"/>
      <c r="X854" s="40"/>
      <c r="Y854" s="40"/>
      <c r="Z854" s="41"/>
      <c r="AA854" s="41"/>
      <c r="AB854" s="41"/>
      <c r="AC854" s="41"/>
      <c r="AD854" s="41"/>
      <c r="AE854" s="40"/>
      <c r="AF854" s="45"/>
      <c r="AG854" s="5"/>
      <c r="AH854" s="6"/>
      <c r="AI854" s="45"/>
      <c r="AJ854" s="45"/>
      <c r="AK854" s="40"/>
      <c r="AL854" s="40"/>
      <c r="AM854" s="40"/>
      <c r="AN854" s="45"/>
      <c r="AO854" s="40"/>
    </row>
    <row r="855" spans="2:41" ht="12.75" customHeight="1" x14ac:dyDescent="0.25">
      <c r="B855" s="40"/>
      <c r="C855" s="40"/>
      <c r="D855" s="40"/>
      <c r="E855" s="40"/>
      <c r="F855" s="40"/>
      <c r="G855" s="40"/>
      <c r="H855" s="5"/>
      <c r="Q855" s="40"/>
      <c r="R855" s="40"/>
      <c r="S855" s="40"/>
      <c r="T855" s="40"/>
      <c r="U855" s="40"/>
      <c r="W855" s="40"/>
      <c r="X855" s="40"/>
      <c r="Y855" s="40"/>
      <c r="Z855" s="41"/>
      <c r="AA855" s="41"/>
      <c r="AB855" s="41"/>
      <c r="AC855" s="41"/>
      <c r="AD855" s="41"/>
      <c r="AE855" s="40"/>
      <c r="AF855" s="45"/>
      <c r="AG855" s="5"/>
      <c r="AH855" s="6"/>
      <c r="AI855" s="45"/>
      <c r="AJ855" s="45"/>
      <c r="AK855" s="40"/>
      <c r="AL855" s="40"/>
      <c r="AM855" s="40"/>
      <c r="AN855" s="45"/>
      <c r="AO855" s="40"/>
    </row>
    <row r="856" spans="2:41" ht="12.75" customHeight="1" x14ac:dyDescent="0.25">
      <c r="B856" s="40"/>
      <c r="C856" s="40"/>
      <c r="D856" s="40"/>
      <c r="E856" s="40"/>
      <c r="F856" s="40"/>
      <c r="G856" s="40"/>
      <c r="H856" s="5"/>
      <c r="Q856" s="40"/>
      <c r="R856" s="40"/>
      <c r="S856" s="40"/>
      <c r="T856" s="40"/>
      <c r="U856" s="40"/>
      <c r="W856" s="40"/>
      <c r="X856" s="40"/>
      <c r="Y856" s="40"/>
      <c r="Z856" s="41"/>
      <c r="AA856" s="41"/>
      <c r="AB856" s="41"/>
      <c r="AC856" s="41"/>
      <c r="AD856" s="41"/>
      <c r="AE856" s="40"/>
      <c r="AF856" s="45"/>
      <c r="AG856" s="5"/>
      <c r="AH856" s="6"/>
      <c r="AI856" s="45"/>
      <c r="AJ856" s="45"/>
      <c r="AK856" s="40"/>
      <c r="AL856" s="40"/>
      <c r="AM856" s="40"/>
      <c r="AN856" s="45"/>
      <c r="AO856" s="40"/>
    </row>
    <row r="857" spans="2:41" ht="12.75" customHeight="1" x14ac:dyDescent="0.25">
      <c r="B857" s="40"/>
      <c r="C857" s="40"/>
      <c r="D857" s="40"/>
      <c r="E857" s="40"/>
      <c r="F857" s="40"/>
      <c r="G857" s="40"/>
      <c r="H857" s="5"/>
      <c r="Q857" s="40"/>
      <c r="R857" s="40"/>
      <c r="S857" s="40"/>
      <c r="T857" s="40"/>
      <c r="U857" s="40"/>
      <c r="W857" s="40"/>
      <c r="X857" s="40"/>
      <c r="Y857" s="40"/>
      <c r="Z857" s="41"/>
      <c r="AA857" s="41"/>
      <c r="AB857" s="41"/>
      <c r="AC857" s="41"/>
      <c r="AD857" s="41"/>
      <c r="AE857" s="40"/>
      <c r="AF857" s="45"/>
      <c r="AG857" s="5"/>
      <c r="AH857" s="6"/>
      <c r="AI857" s="45"/>
      <c r="AJ857" s="45"/>
      <c r="AK857" s="40"/>
      <c r="AL857" s="40"/>
      <c r="AM857" s="40"/>
      <c r="AN857" s="45"/>
      <c r="AO857" s="40"/>
    </row>
    <row r="858" spans="2:41" ht="12.75" customHeight="1" x14ac:dyDescent="0.25">
      <c r="B858" s="40"/>
      <c r="C858" s="40"/>
      <c r="D858" s="40"/>
      <c r="E858" s="40"/>
      <c r="F858" s="40"/>
      <c r="G858" s="40"/>
      <c r="H858" s="5"/>
      <c r="Q858" s="40"/>
      <c r="R858" s="40"/>
      <c r="S858" s="40"/>
      <c r="T858" s="40"/>
      <c r="U858" s="40"/>
      <c r="W858" s="40"/>
      <c r="X858" s="40"/>
      <c r="Y858" s="40"/>
      <c r="Z858" s="41"/>
      <c r="AA858" s="41"/>
      <c r="AB858" s="41"/>
      <c r="AC858" s="41"/>
      <c r="AD858" s="41"/>
      <c r="AE858" s="40"/>
      <c r="AF858" s="45"/>
      <c r="AG858" s="5"/>
      <c r="AH858" s="6"/>
      <c r="AI858" s="45"/>
      <c r="AJ858" s="45"/>
      <c r="AK858" s="40"/>
      <c r="AL858" s="40"/>
      <c r="AM858" s="40"/>
      <c r="AN858" s="45"/>
      <c r="AO858" s="40"/>
    </row>
    <row r="859" spans="2:41" ht="12.75" customHeight="1" x14ac:dyDescent="0.25">
      <c r="B859" s="40"/>
      <c r="C859" s="40"/>
      <c r="D859" s="40"/>
      <c r="E859" s="40"/>
      <c r="F859" s="40"/>
      <c r="G859" s="40"/>
      <c r="H859" s="5"/>
      <c r="Q859" s="40"/>
      <c r="R859" s="40"/>
      <c r="S859" s="40"/>
      <c r="T859" s="40"/>
      <c r="U859" s="40"/>
      <c r="W859" s="40"/>
      <c r="X859" s="40"/>
      <c r="Y859" s="40"/>
      <c r="Z859" s="41"/>
      <c r="AA859" s="41"/>
      <c r="AB859" s="41"/>
      <c r="AC859" s="41"/>
      <c r="AD859" s="41"/>
      <c r="AE859" s="40"/>
      <c r="AF859" s="45"/>
      <c r="AG859" s="5"/>
      <c r="AH859" s="6"/>
      <c r="AI859" s="45"/>
      <c r="AJ859" s="45"/>
      <c r="AK859" s="40"/>
      <c r="AL859" s="40"/>
      <c r="AM859" s="40"/>
      <c r="AN859" s="45"/>
      <c r="AO859" s="40"/>
    </row>
    <row r="860" spans="2:41" ht="12.75" customHeight="1" x14ac:dyDescent="0.25">
      <c r="B860" s="40"/>
      <c r="C860" s="40"/>
      <c r="D860" s="40"/>
      <c r="E860" s="40"/>
      <c r="F860" s="40"/>
      <c r="G860" s="40"/>
      <c r="H860" s="5"/>
      <c r="Q860" s="40"/>
      <c r="R860" s="40"/>
      <c r="S860" s="40"/>
      <c r="T860" s="40"/>
      <c r="U860" s="40"/>
      <c r="W860" s="40"/>
      <c r="X860" s="40"/>
      <c r="Y860" s="40"/>
      <c r="Z860" s="41"/>
      <c r="AA860" s="41"/>
      <c r="AB860" s="41"/>
      <c r="AC860" s="41"/>
      <c r="AD860" s="41"/>
      <c r="AE860" s="40"/>
      <c r="AF860" s="45"/>
      <c r="AG860" s="5"/>
      <c r="AH860" s="6"/>
      <c r="AI860" s="45"/>
      <c r="AJ860" s="45"/>
      <c r="AK860" s="40"/>
      <c r="AL860" s="40"/>
      <c r="AM860" s="40"/>
      <c r="AN860" s="45"/>
      <c r="AO860" s="40"/>
    </row>
    <row r="861" spans="2:41" ht="12.75" customHeight="1" x14ac:dyDescent="0.25">
      <c r="B861" s="40"/>
      <c r="C861" s="40"/>
      <c r="D861" s="40"/>
      <c r="E861" s="40"/>
      <c r="F861" s="40"/>
      <c r="G861" s="40"/>
      <c r="H861" s="5"/>
      <c r="Q861" s="40"/>
      <c r="R861" s="40"/>
      <c r="S861" s="40"/>
      <c r="T861" s="40"/>
      <c r="U861" s="40"/>
      <c r="W861" s="40"/>
      <c r="X861" s="40"/>
      <c r="Y861" s="40"/>
      <c r="Z861" s="41"/>
      <c r="AA861" s="41"/>
      <c r="AB861" s="41"/>
      <c r="AC861" s="41"/>
      <c r="AD861" s="41"/>
      <c r="AE861" s="40"/>
      <c r="AF861" s="45"/>
      <c r="AG861" s="5"/>
      <c r="AH861" s="6"/>
      <c r="AI861" s="45"/>
      <c r="AJ861" s="45"/>
      <c r="AK861" s="40"/>
      <c r="AL861" s="40"/>
      <c r="AM861" s="40"/>
      <c r="AN861" s="45"/>
      <c r="AO861" s="40"/>
    </row>
    <row r="862" spans="2:41" ht="12.75" customHeight="1" x14ac:dyDescent="0.25">
      <c r="B862" s="40"/>
      <c r="C862" s="40"/>
      <c r="D862" s="40"/>
      <c r="E862" s="40"/>
      <c r="F862" s="40"/>
      <c r="G862" s="40"/>
      <c r="H862" s="5"/>
      <c r="Q862" s="40"/>
      <c r="R862" s="40"/>
      <c r="S862" s="40"/>
      <c r="T862" s="40"/>
      <c r="U862" s="40"/>
      <c r="W862" s="40"/>
      <c r="X862" s="40"/>
      <c r="Y862" s="40"/>
      <c r="Z862" s="41"/>
      <c r="AA862" s="41"/>
      <c r="AB862" s="41"/>
      <c r="AC862" s="41"/>
      <c r="AD862" s="41"/>
      <c r="AE862" s="40"/>
      <c r="AF862" s="45"/>
      <c r="AG862" s="5"/>
      <c r="AH862" s="6"/>
      <c r="AI862" s="45"/>
      <c r="AJ862" s="45"/>
      <c r="AK862" s="40"/>
      <c r="AL862" s="40"/>
      <c r="AM862" s="40"/>
      <c r="AN862" s="45"/>
      <c r="AO862" s="40"/>
    </row>
    <row r="863" spans="2:41" ht="12.75" customHeight="1" x14ac:dyDescent="0.25">
      <c r="B863" s="40"/>
      <c r="C863" s="40"/>
      <c r="D863" s="40"/>
      <c r="E863" s="40"/>
      <c r="F863" s="40"/>
      <c r="G863" s="40"/>
      <c r="H863" s="5"/>
      <c r="Q863" s="40"/>
      <c r="R863" s="40"/>
      <c r="S863" s="40"/>
      <c r="T863" s="40"/>
      <c r="U863" s="40"/>
      <c r="W863" s="40"/>
      <c r="X863" s="40"/>
      <c r="Y863" s="40"/>
      <c r="Z863" s="41"/>
      <c r="AA863" s="41"/>
      <c r="AB863" s="41"/>
      <c r="AC863" s="41"/>
      <c r="AD863" s="41"/>
      <c r="AE863" s="40"/>
      <c r="AF863" s="45"/>
      <c r="AG863" s="5"/>
      <c r="AH863" s="6"/>
      <c r="AI863" s="45"/>
      <c r="AJ863" s="45"/>
      <c r="AK863" s="40"/>
      <c r="AL863" s="40"/>
      <c r="AM863" s="40"/>
      <c r="AN863" s="45"/>
      <c r="AO863" s="40"/>
    </row>
    <row r="864" spans="2:41" ht="12.75" customHeight="1" x14ac:dyDescent="0.25">
      <c r="B864" s="40"/>
      <c r="C864" s="40"/>
      <c r="D864" s="40"/>
      <c r="E864" s="40"/>
      <c r="F864" s="40"/>
      <c r="G864" s="40"/>
      <c r="H864" s="5"/>
      <c r="Q864" s="40"/>
      <c r="R864" s="40"/>
      <c r="S864" s="40"/>
      <c r="T864" s="40"/>
      <c r="U864" s="40"/>
      <c r="W864" s="40"/>
      <c r="X864" s="40"/>
      <c r="Y864" s="40"/>
      <c r="Z864" s="41"/>
      <c r="AA864" s="41"/>
      <c r="AB864" s="41"/>
      <c r="AC864" s="41"/>
      <c r="AD864" s="41"/>
      <c r="AE864" s="40"/>
      <c r="AF864" s="45"/>
      <c r="AG864" s="5"/>
      <c r="AH864" s="6"/>
      <c r="AI864" s="45"/>
      <c r="AJ864" s="45"/>
      <c r="AK864" s="40"/>
      <c r="AL864" s="40"/>
      <c r="AM864" s="40"/>
      <c r="AN864" s="45"/>
      <c r="AO864" s="40"/>
    </row>
    <row r="865" spans="2:41" ht="12.75" customHeight="1" x14ac:dyDescent="0.25">
      <c r="B865" s="40"/>
      <c r="C865" s="40"/>
      <c r="D865" s="40"/>
      <c r="E865" s="40"/>
      <c r="F865" s="40"/>
      <c r="G865" s="40"/>
      <c r="H865" s="5"/>
      <c r="Q865" s="40"/>
      <c r="R865" s="40"/>
      <c r="S865" s="40"/>
      <c r="T865" s="40"/>
      <c r="U865" s="40"/>
      <c r="W865" s="40"/>
      <c r="X865" s="40"/>
      <c r="Y865" s="40"/>
      <c r="Z865" s="41"/>
      <c r="AA865" s="41"/>
      <c r="AB865" s="41"/>
      <c r="AC865" s="41"/>
      <c r="AD865" s="41"/>
      <c r="AE865" s="40"/>
      <c r="AF865" s="45"/>
      <c r="AG865" s="5"/>
      <c r="AH865" s="6"/>
      <c r="AI865" s="45"/>
      <c r="AJ865" s="45"/>
      <c r="AK865" s="40"/>
      <c r="AL865" s="40"/>
      <c r="AM865" s="40"/>
      <c r="AN865" s="45"/>
      <c r="AO865" s="40"/>
    </row>
    <row r="866" spans="2:41" ht="12.75" customHeight="1" x14ac:dyDescent="0.25">
      <c r="B866" s="40"/>
      <c r="C866" s="40"/>
      <c r="D866" s="40"/>
      <c r="E866" s="40"/>
      <c r="F866" s="40"/>
      <c r="G866" s="40"/>
      <c r="H866" s="5"/>
      <c r="Q866" s="40"/>
      <c r="R866" s="40"/>
      <c r="S866" s="40"/>
      <c r="T866" s="40"/>
      <c r="U866" s="40"/>
      <c r="W866" s="40"/>
      <c r="X866" s="40"/>
      <c r="Y866" s="40"/>
      <c r="Z866" s="41"/>
      <c r="AA866" s="41"/>
      <c r="AB866" s="41"/>
      <c r="AC866" s="41"/>
      <c r="AD866" s="41"/>
      <c r="AE866" s="40"/>
      <c r="AF866" s="45"/>
      <c r="AG866" s="5"/>
      <c r="AH866" s="6"/>
      <c r="AI866" s="45"/>
      <c r="AJ866" s="45"/>
      <c r="AK866" s="40"/>
      <c r="AL866" s="40"/>
      <c r="AM866" s="40"/>
      <c r="AN866" s="45"/>
      <c r="AO866" s="40"/>
    </row>
    <row r="867" spans="2:41" ht="12.75" customHeight="1" x14ac:dyDescent="0.25">
      <c r="B867" s="40"/>
      <c r="C867" s="40"/>
      <c r="D867" s="40"/>
      <c r="E867" s="40"/>
      <c r="F867" s="40"/>
      <c r="G867" s="40"/>
      <c r="H867" s="5"/>
      <c r="Q867" s="40"/>
      <c r="R867" s="40"/>
      <c r="S867" s="40"/>
      <c r="T867" s="40"/>
      <c r="U867" s="40"/>
      <c r="W867" s="40"/>
      <c r="X867" s="40"/>
      <c r="Y867" s="40"/>
      <c r="Z867" s="41"/>
      <c r="AA867" s="41"/>
      <c r="AB867" s="41"/>
      <c r="AC867" s="41"/>
      <c r="AD867" s="41"/>
      <c r="AE867" s="40"/>
      <c r="AF867" s="45"/>
      <c r="AG867" s="5"/>
      <c r="AH867" s="6"/>
      <c r="AI867" s="45"/>
      <c r="AJ867" s="45"/>
      <c r="AK867" s="40"/>
      <c r="AL867" s="40"/>
      <c r="AM867" s="40"/>
      <c r="AN867" s="45"/>
      <c r="AO867" s="40"/>
    </row>
    <row r="868" spans="2:41" ht="12.75" customHeight="1" x14ac:dyDescent="0.25">
      <c r="B868" s="40"/>
      <c r="C868" s="40"/>
      <c r="D868" s="40"/>
      <c r="E868" s="40"/>
      <c r="F868" s="40"/>
      <c r="G868" s="40"/>
      <c r="H868" s="5"/>
      <c r="Q868" s="40"/>
      <c r="R868" s="40"/>
      <c r="S868" s="40"/>
      <c r="T868" s="40"/>
      <c r="U868" s="40"/>
      <c r="W868" s="40"/>
      <c r="X868" s="40"/>
      <c r="Y868" s="40"/>
      <c r="Z868" s="41"/>
      <c r="AA868" s="41"/>
      <c r="AB868" s="41"/>
      <c r="AC868" s="41"/>
      <c r="AD868" s="41"/>
      <c r="AE868" s="40"/>
      <c r="AF868" s="45"/>
      <c r="AG868" s="5"/>
      <c r="AH868" s="6"/>
      <c r="AI868" s="45"/>
      <c r="AJ868" s="45"/>
      <c r="AK868" s="40"/>
      <c r="AL868" s="40"/>
      <c r="AM868" s="40"/>
      <c r="AN868" s="45"/>
      <c r="AO868" s="40"/>
    </row>
    <row r="869" spans="2:41" ht="12.75" customHeight="1" x14ac:dyDescent="0.25">
      <c r="B869" s="40"/>
      <c r="C869" s="40"/>
      <c r="D869" s="40"/>
      <c r="E869" s="40"/>
      <c r="F869" s="40"/>
      <c r="G869" s="40"/>
      <c r="H869" s="5"/>
      <c r="Q869" s="40"/>
      <c r="R869" s="40"/>
      <c r="S869" s="40"/>
      <c r="T869" s="40"/>
      <c r="U869" s="40"/>
      <c r="W869" s="40"/>
      <c r="X869" s="40"/>
      <c r="Y869" s="40"/>
      <c r="Z869" s="41"/>
      <c r="AA869" s="41"/>
      <c r="AB869" s="41"/>
      <c r="AC869" s="41"/>
      <c r="AD869" s="41"/>
      <c r="AE869" s="40"/>
      <c r="AF869" s="45"/>
      <c r="AG869" s="5"/>
      <c r="AH869" s="6"/>
      <c r="AI869" s="45"/>
      <c r="AJ869" s="45"/>
      <c r="AK869" s="40"/>
      <c r="AL869" s="40"/>
      <c r="AM869" s="40"/>
      <c r="AN869" s="45"/>
      <c r="AO869" s="40"/>
    </row>
    <row r="870" spans="2:41" ht="12.75" customHeight="1" x14ac:dyDescent="0.25">
      <c r="B870" s="40"/>
      <c r="C870" s="40"/>
      <c r="D870" s="40"/>
      <c r="E870" s="40"/>
      <c r="F870" s="40"/>
      <c r="G870" s="40"/>
      <c r="H870" s="5"/>
      <c r="Q870" s="40"/>
      <c r="R870" s="40"/>
      <c r="S870" s="40"/>
      <c r="T870" s="40"/>
      <c r="U870" s="40"/>
      <c r="W870" s="40"/>
      <c r="X870" s="40"/>
      <c r="Y870" s="40"/>
      <c r="Z870" s="41"/>
      <c r="AA870" s="41"/>
      <c r="AB870" s="41"/>
      <c r="AC870" s="41"/>
      <c r="AD870" s="41"/>
      <c r="AE870" s="40"/>
      <c r="AF870" s="45"/>
      <c r="AG870" s="5"/>
      <c r="AH870" s="6"/>
      <c r="AI870" s="45"/>
      <c r="AJ870" s="45"/>
      <c r="AK870" s="40"/>
      <c r="AL870" s="40"/>
      <c r="AM870" s="40"/>
      <c r="AN870" s="45"/>
      <c r="AO870" s="40"/>
    </row>
    <row r="871" spans="2:41" ht="12.75" customHeight="1" x14ac:dyDescent="0.25">
      <c r="B871" s="40"/>
      <c r="C871" s="40"/>
      <c r="D871" s="40"/>
      <c r="E871" s="40"/>
      <c r="F871" s="40"/>
      <c r="G871" s="40"/>
      <c r="H871" s="5"/>
      <c r="Q871" s="40"/>
      <c r="R871" s="40"/>
      <c r="S871" s="40"/>
      <c r="T871" s="40"/>
      <c r="U871" s="40"/>
      <c r="W871" s="40"/>
      <c r="X871" s="40"/>
      <c r="Y871" s="40"/>
      <c r="Z871" s="41"/>
      <c r="AA871" s="41"/>
      <c r="AB871" s="41"/>
      <c r="AC871" s="41"/>
      <c r="AD871" s="41"/>
      <c r="AE871" s="40"/>
      <c r="AF871" s="45"/>
      <c r="AG871" s="5"/>
      <c r="AH871" s="6"/>
      <c r="AI871" s="45"/>
      <c r="AJ871" s="45"/>
      <c r="AK871" s="40"/>
      <c r="AL871" s="40"/>
      <c r="AM871" s="40"/>
      <c r="AN871" s="45"/>
      <c r="AO871" s="40"/>
    </row>
    <row r="872" spans="2:41" ht="12.75" customHeight="1" x14ac:dyDescent="0.25">
      <c r="B872" s="40"/>
      <c r="C872" s="40"/>
      <c r="D872" s="40"/>
      <c r="E872" s="40"/>
      <c r="F872" s="40"/>
      <c r="G872" s="40"/>
      <c r="H872" s="5"/>
      <c r="Q872" s="40"/>
      <c r="R872" s="40"/>
      <c r="S872" s="40"/>
      <c r="T872" s="40"/>
      <c r="U872" s="40"/>
      <c r="W872" s="40"/>
      <c r="X872" s="40"/>
      <c r="Y872" s="40"/>
      <c r="Z872" s="41"/>
      <c r="AA872" s="41"/>
      <c r="AB872" s="41"/>
      <c r="AC872" s="41"/>
      <c r="AD872" s="41"/>
      <c r="AE872" s="40"/>
      <c r="AF872" s="45"/>
      <c r="AG872" s="5"/>
      <c r="AH872" s="6"/>
      <c r="AI872" s="45"/>
      <c r="AJ872" s="45"/>
      <c r="AK872" s="40"/>
      <c r="AL872" s="40"/>
      <c r="AM872" s="40"/>
      <c r="AN872" s="45"/>
      <c r="AO872" s="40"/>
    </row>
    <row r="873" spans="2:41" ht="12.75" customHeight="1" x14ac:dyDescent="0.25">
      <c r="B873" s="40"/>
      <c r="C873" s="40"/>
      <c r="D873" s="40"/>
      <c r="E873" s="40"/>
      <c r="F873" s="40"/>
      <c r="G873" s="40"/>
      <c r="H873" s="5"/>
      <c r="Q873" s="40"/>
      <c r="R873" s="40"/>
      <c r="S873" s="40"/>
      <c r="T873" s="40"/>
      <c r="U873" s="40"/>
      <c r="W873" s="40"/>
      <c r="X873" s="40"/>
      <c r="Y873" s="40"/>
      <c r="Z873" s="41"/>
      <c r="AA873" s="41"/>
      <c r="AB873" s="41"/>
      <c r="AC873" s="41"/>
      <c r="AD873" s="41"/>
      <c r="AE873" s="40"/>
      <c r="AF873" s="45"/>
      <c r="AG873" s="5"/>
      <c r="AH873" s="6"/>
      <c r="AI873" s="45"/>
      <c r="AJ873" s="45"/>
      <c r="AK873" s="40"/>
      <c r="AL873" s="40"/>
      <c r="AM873" s="40"/>
      <c r="AN873" s="45"/>
      <c r="AO873" s="40"/>
    </row>
    <row r="874" spans="2:41" ht="12.75" customHeight="1" x14ac:dyDescent="0.25">
      <c r="B874" s="40"/>
      <c r="C874" s="40"/>
      <c r="D874" s="40"/>
      <c r="E874" s="40"/>
      <c r="F874" s="40"/>
      <c r="G874" s="40"/>
      <c r="H874" s="5"/>
      <c r="Q874" s="40"/>
      <c r="R874" s="40"/>
      <c r="S874" s="40"/>
      <c r="T874" s="40"/>
      <c r="U874" s="40"/>
      <c r="W874" s="40"/>
      <c r="X874" s="40"/>
      <c r="Y874" s="40"/>
      <c r="Z874" s="41"/>
      <c r="AA874" s="41"/>
      <c r="AB874" s="41"/>
      <c r="AC874" s="41"/>
      <c r="AD874" s="41"/>
      <c r="AE874" s="40"/>
      <c r="AF874" s="45"/>
      <c r="AG874" s="5"/>
      <c r="AH874" s="6"/>
      <c r="AI874" s="45"/>
      <c r="AJ874" s="45"/>
      <c r="AK874" s="40"/>
      <c r="AL874" s="40"/>
      <c r="AM874" s="40"/>
      <c r="AN874" s="45"/>
      <c r="AO874" s="40"/>
    </row>
    <row r="875" spans="2:41" ht="12.75" customHeight="1" x14ac:dyDescent="0.25">
      <c r="B875" s="40"/>
      <c r="C875" s="40"/>
      <c r="D875" s="40"/>
      <c r="E875" s="40"/>
      <c r="F875" s="40"/>
      <c r="G875" s="40"/>
      <c r="H875" s="5"/>
      <c r="Q875" s="40"/>
      <c r="R875" s="40"/>
      <c r="S875" s="40"/>
      <c r="T875" s="40"/>
      <c r="U875" s="40"/>
      <c r="W875" s="40"/>
      <c r="X875" s="40"/>
      <c r="Y875" s="40"/>
      <c r="Z875" s="41"/>
      <c r="AA875" s="41"/>
      <c r="AB875" s="41"/>
      <c r="AC875" s="41"/>
      <c r="AD875" s="41"/>
      <c r="AE875" s="40"/>
      <c r="AF875" s="45"/>
      <c r="AG875" s="5"/>
      <c r="AH875" s="6"/>
      <c r="AI875" s="45"/>
      <c r="AJ875" s="45"/>
      <c r="AK875" s="40"/>
      <c r="AL875" s="40"/>
      <c r="AM875" s="40"/>
      <c r="AN875" s="45"/>
      <c r="AO875" s="40"/>
    </row>
    <row r="876" spans="2:41" ht="12.75" customHeight="1" x14ac:dyDescent="0.25">
      <c r="B876" s="40"/>
      <c r="C876" s="40"/>
      <c r="D876" s="40"/>
      <c r="E876" s="40"/>
      <c r="F876" s="40"/>
      <c r="G876" s="40"/>
      <c r="H876" s="5"/>
      <c r="Q876" s="40"/>
      <c r="R876" s="40"/>
      <c r="S876" s="40"/>
      <c r="T876" s="40"/>
      <c r="U876" s="40"/>
      <c r="W876" s="40"/>
      <c r="X876" s="40"/>
      <c r="Y876" s="40"/>
      <c r="Z876" s="41"/>
      <c r="AA876" s="41"/>
      <c r="AB876" s="41"/>
      <c r="AC876" s="41"/>
      <c r="AD876" s="41"/>
      <c r="AE876" s="40"/>
      <c r="AF876" s="45"/>
      <c r="AG876" s="5"/>
      <c r="AH876" s="6"/>
      <c r="AI876" s="45"/>
      <c r="AJ876" s="45"/>
      <c r="AK876" s="40"/>
      <c r="AL876" s="40"/>
      <c r="AM876" s="40"/>
      <c r="AN876" s="45"/>
      <c r="AO876" s="40"/>
    </row>
    <row r="877" spans="2:41" ht="12.75" customHeight="1" x14ac:dyDescent="0.25">
      <c r="B877" s="40"/>
      <c r="C877" s="40"/>
      <c r="D877" s="40"/>
      <c r="E877" s="40"/>
      <c r="F877" s="40"/>
      <c r="G877" s="40"/>
      <c r="H877" s="5"/>
      <c r="Q877" s="40"/>
      <c r="R877" s="40"/>
      <c r="S877" s="40"/>
      <c r="T877" s="40"/>
      <c r="U877" s="40"/>
      <c r="W877" s="40"/>
      <c r="X877" s="40"/>
      <c r="Y877" s="40"/>
      <c r="Z877" s="41"/>
      <c r="AA877" s="41"/>
      <c r="AB877" s="41"/>
      <c r="AC877" s="41"/>
      <c r="AD877" s="41"/>
      <c r="AE877" s="40"/>
      <c r="AF877" s="45"/>
      <c r="AG877" s="5"/>
      <c r="AH877" s="6"/>
      <c r="AI877" s="45"/>
      <c r="AJ877" s="45"/>
      <c r="AK877" s="40"/>
      <c r="AL877" s="40"/>
      <c r="AM877" s="40"/>
      <c r="AN877" s="45"/>
      <c r="AO877" s="40"/>
    </row>
    <row r="878" spans="2:41" ht="12.75" customHeight="1" x14ac:dyDescent="0.25">
      <c r="B878" s="40"/>
      <c r="C878" s="40"/>
      <c r="D878" s="40"/>
      <c r="E878" s="40"/>
      <c r="F878" s="40"/>
      <c r="G878" s="40"/>
      <c r="H878" s="5"/>
      <c r="Q878" s="40"/>
      <c r="R878" s="40"/>
      <c r="S878" s="40"/>
      <c r="T878" s="40"/>
      <c r="U878" s="40"/>
      <c r="W878" s="40"/>
      <c r="X878" s="40"/>
      <c r="Y878" s="40"/>
      <c r="Z878" s="41"/>
      <c r="AA878" s="41"/>
      <c r="AB878" s="41"/>
      <c r="AC878" s="41"/>
      <c r="AD878" s="41"/>
      <c r="AE878" s="40"/>
      <c r="AF878" s="45"/>
      <c r="AG878" s="5"/>
      <c r="AH878" s="6"/>
      <c r="AI878" s="45"/>
      <c r="AJ878" s="45"/>
      <c r="AK878" s="40"/>
      <c r="AL878" s="40"/>
      <c r="AM878" s="40"/>
      <c r="AN878" s="45"/>
      <c r="AO878" s="40"/>
    </row>
    <row r="879" spans="2:41" ht="12.75" customHeight="1" x14ac:dyDescent="0.25">
      <c r="B879" s="40"/>
      <c r="C879" s="40"/>
      <c r="D879" s="40"/>
      <c r="E879" s="40"/>
      <c r="F879" s="40"/>
      <c r="G879" s="40"/>
      <c r="H879" s="5"/>
      <c r="Q879" s="40"/>
      <c r="R879" s="40"/>
      <c r="S879" s="40"/>
      <c r="T879" s="40"/>
      <c r="U879" s="40"/>
      <c r="W879" s="40"/>
      <c r="X879" s="40"/>
      <c r="Y879" s="40"/>
      <c r="Z879" s="41"/>
      <c r="AA879" s="41"/>
      <c r="AB879" s="41"/>
      <c r="AC879" s="41"/>
      <c r="AD879" s="41"/>
      <c r="AE879" s="40"/>
      <c r="AF879" s="45"/>
      <c r="AG879" s="5"/>
      <c r="AH879" s="6"/>
      <c r="AI879" s="45"/>
      <c r="AJ879" s="45"/>
      <c r="AK879" s="40"/>
      <c r="AL879" s="40"/>
      <c r="AM879" s="40"/>
      <c r="AN879" s="45"/>
      <c r="AO879" s="40"/>
    </row>
    <row r="880" spans="2:41" ht="12.75" customHeight="1" x14ac:dyDescent="0.25">
      <c r="B880" s="40"/>
      <c r="C880" s="40"/>
      <c r="D880" s="40"/>
      <c r="E880" s="40"/>
      <c r="F880" s="40"/>
      <c r="G880" s="40"/>
      <c r="H880" s="5"/>
      <c r="Q880" s="40"/>
      <c r="R880" s="40"/>
      <c r="S880" s="40"/>
      <c r="T880" s="40"/>
      <c r="U880" s="40"/>
      <c r="W880" s="40"/>
      <c r="X880" s="40"/>
      <c r="Y880" s="40"/>
      <c r="Z880" s="41"/>
      <c r="AA880" s="41"/>
      <c r="AB880" s="41"/>
      <c r="AC880" s="41"/>
      <c r="AD880" s="41"/>
      <c r="AE880" s="40"/>
      <c r="AF880" s="45"/>
      <c r="AG880" s="5"/>
      <c r="AH880" s="6"/>
      <c r="AI880" s="45"/>
      <c r="AJ880" s="45"/>
      <c r="AK880" s="40"/>
      <c r="AL880" s="40"/>
      <c r="AM880" s="40"/>
      <c r="AN880" s="45"/>
      <c r="AO880" s="40"/>
    </row>
    <row r="881" spans="2:41" ht="12.75" customHeight="1" x14ac:dyDescent="0.25">
      <c r="B881" s="40"/>
      <c r="C881" s="40"/>
      <c r="D881" s="40"/>
      <c r="E881" s="40"/>
      <c r="F881" s="40"/>
      <c r="G881" s="40"/>
      <c r="H881" s="5"/>
      <c r="Q881" s="40"/>
      <c r="R881" s="40"/>
      <c r="S881" s="40"/>
      <c r="T881" s="40"/>
      <c r="U881" s="40"/>
      <c r="W881" s="40"/>
      <c r="X881" s="40"/>
      <c r="Y881" s="40"/>
      <c r="Z881" s="41"/>
      <c r="AA881" s="41"/>
      <c r="AB881" s="41"/>
      <c r="AC881" s="41"/>
      <c r="AD881" s="41"/>
      <c r="AE881" s="40"/>
      <c r="AF881" s="45"/>
      <c r="AG881" s="5"/>
      <c r="AH881" s="6"/>
      <c r="AI881" s="45"/>
      <c r="AJ881" s="45"/>
      <c r="AK881" s="40"/>
      <c r="AL881" s="40"/>
      <c r="AM881" s="40"/>
      <c r="AN881" s="45"/>
      <c r="AO881" s="40"/>
    </row>
    <row r="882" spans="2:41" ht="12.75" customHeight="1" x14ac:dyDescent="0.25">
      <c r="B882" s="40"/>
      <c r="C882" s="40"/>
      <c r="D882" s="40"/>
      <c r="E882" s="40"/>
      <c r="F882" s="40"/>
      <c r="G882" s="40"/>
      <c r="H882" s="5"/>
      <c r="Q882" s="40"/>
      <c r="R882" s="40"/>
      <c r="S882" s="40"/>
      <c r="T882" s="40"/>
      <c r="U882" s="40"/>
      <c r="W882" s="40"/>
      <c r="X882" s="40"/>
      <c r="Y882" s="40"/>
      <c r="Z882" s="41"/>
      <c r="AA882" s="41"/>
      <c r="AB882" s="41"/>
      <c r="AC882" s="41"/>
      <c r="AD882" s="41"/>
      <c r="AE882" s="40"/>
      <c r="AF882" s="45"/>
      <c r="AG882" s="5"/>
      <c r="AH882" s="6"/>
      <c r="AI882" s="45"/>
      <c r="AJ882" s="45"/>
      <c r="AK882" s="40"/>
      <c r="AL882" s="40"/>
      <c r="AM882" s="40"/>
      <c r="AN882" s="45"/>
      <c r="AO882" s="40"/>
    </row>
    <row r="883" spans="2:41" ht="12.75" customHeight="1" x14ac:dyDescent="0.25">
      <c r="B883" s="40"/>
      <c r="C883" s="40"/>
      <c r="D883" s="40"/>
      <c r="E883" s="40"/>
      <c r="F883" s="40"/>
      <c r="G883" s="40"/>
      <c r="H883" s="5"/>
      <c r="Q883" s="40"/>
      <c r="R883" s="40"/>
      <c r="S883" s="40"/>
      <c r="T883" s="40"/>
      <c r="U883" s="40"/>
      <c r="W883" s="40"/>
      <c r="X883" s="40"/>
      <c r="Y883" s="40"/>
      <c r="Z883" s="41"/>
      <c r="AA883" s="41"/>
      <c r="AB883" s="41"/>
      <c r="AC883" s="41"/>
      <c r="AD883" s="41"/>
      <c r="AE883" s="40"/>
      <c r="AF883" s="45"/>
      <c r="AG883" s="5"/>
      <c r="AH883" s="6"/>
      <c r="AI883" s="45"/>
      <c r="AJ883" s="45"/>
      <c r="AK883" s="40"/>
      <c r="AL883" s="40"/>
      <c r="AM883" s="40"/>
      <c r="AN883" s="45"/>
      <c r="AO883" s="40"/>
    </row>
    <row r="884" spans="2:41" ht="12.75" customHeight="1" x14ac:dyDescent="0.25">
      <c r="B884" s="40"/>
      <c r="C884" s="40"/>
      <c r="D884" s="40"/>
      <c r="E884" s="40"/>
      <c r="F884" s="40"/>
      <c r="G884" s="40"/>
      <c r="H884" s="5"/>
      <c r="Q884" s="40"/>
      <c r="R884" s="40"/>
      <c r="S884" s="40"/>
      <c r="T884" s="40"/>
      <c r="U884" s="40"/>
      <c r="W884" s="40"/>
      <c r="X884" s="40"/>
      <c r="Y884" s="40"/>
      <c r="Z884" s="41"/>
      <c r="AA884" s="41"/>
      <c r="AB884" s="41"/>
      <c r="AC884" s="41"/>
      <c r="AD884" s="41"/>
      <c r="AE884" s="40"/>
      <c r="AF884" s="45"/>
      <c r="AG884" s="5"/>
      <c r="AH884" s="6"/>
      <c r="AI884" s="45"/>
      <c r="AJ884" s="45"/>
      <c r="AK884" s="40"/>
      <c r="AL884" s="40"/>
      <c r="AM884" s="40"/>
      <c r="AN884" s="45"/>
      <c r="AO884" s="40"/>
    </row>
    <row r="885" spans="2:41" ht="12.75" customHeight="1" x14ac:dyDescent="0.25">
      <c r="B885" s="40"/>
      <c r="C885" s="40"/>
      <c r="D885" s="40"/>
      <c r="E885" s="40"/>
      <c r="F885" s="40"/>
      <c r="G885" s="40"/>
      <c r="H885" s="5"/>
      <c r="Q885" s="40"/>
      <c r="R885" s="40"/>
      <c r="S885" s="40"/>
      <c r="T885" s="40"/>
      <c r="U885" s="40"/>
      <c r="W885" s="40"/>
      <c r="X885" s="40"/>
      <c r="Y885" s="40"/>
      <c r="Z885" s="41"/>
      <c r="AA885" s="41"/>
      <c r="AB885" s="41"/>
      <c r="AC885" s="41"/>
      <c r="AD885" s="41"/>
      <c r="AE885" s="40"/>
      <c r="AF885" s="45"/>
      <c r="AG885" s="5"/>
      <c r="AH885" s="6"/>
      <c r="AI885" s="45"/>
      <c r="AJ885" s="45"/>
      <c r="AK885" s="40"/>
      <c r="AL885" s="40"/>
      <c r="AM885" s="40"/>
      <c r="AN885" s="45"/>
      <c r="AO885" s="40"/>
    </row>
    <row r="886" spans="2:41" ht="12.75" customHeight="1" x14ac:dyDescent="0.25">
      <c r="B886" s="40"/>
      <c r="C886" s="40"/>
      <c r="D886" s="40"/>
      <c r="E886" s="40"/>
      <c r="F886" s="40"/>
      <c r="G886" s="40"/>
      <c r="H886" s="5"/>
      <c r="Q886" s="40"/>
      <c r="R886" s="40"/>
      <c r="S886" s="40"/>
      <c r="T886" s="40"/>
      <c r="U886" s="40"/>
      <c r="W886" s="40"/>
      <c r="X886" s="40"/>
      <c r="Y886" s="40"/>
      <c r="Z886" s="41"/>
      <c r="AA886" s="41"/>
      <c r="AB886" s="41"/>
      <c r="AC886" s="41"/>
      <c r="AD886" s="41"/>
      <c r="AE886" s="40"/>
      <c r="AF886" s="45"/>
      <c r="AG886" s="5"/>
      <c r="AH886" s="6"/>
      <c r="AI886" s="45"/>
      <c r="AJ886" s="45"/>
      <c r="AK886" s="40"/>
      <c r="AL886" s="40"/>
      <c r="AM886" s="40"/>
      <c r="AN886" s="45"/>
      <c r="AO886" s="40"/>
    </row>
    <row r="887" spans="2:41" ht="12.75" customHeight="1" x14ac:dyDescent="0.25">
      <c r="B887" s="40"/>
      <c r="C887" s="40"/>
      <c r="D887" s="40"/>
      <c r="E887" s="40"/>
      <c r="F887" s="40"/>
      <c r="G887" s="40"/>
      <c r="H887" s="5"/>
      <c r="Q887" s="40"/>
      <c r="R887" s="40"/>
      <c r="S887" s="40"/>
      <c r="T887" s="40"/>
      <c r="U887" s="40"/>
      <c r="W887" s="40"/>
      <c r="X887" s="40"/>
      <c r="Y887" s="40"/>
      <c r="Z887" s="41"/>
      <c r="AA887" s="41"/>
      <c r="AB887" s="41"/>
      <c r="AC887" s="41"/>
      <c r="AD887" s="41"/>
      <c r="AE887" s="40"/>
      <c r="AF887" s="45"/>
      <c r="AG887" s="5"/>
      <c r="AH887" s="6"/>
      <c r="AI887" s="45"/>
      <c r="AJ887" s="45"/>
      <c r="AK887" s="40"/>
      <c r="AL887" s="40"/>
      <c r="AM887" s="40"/>
      <c r="AN887" s="45"/>
      <c r="AO887" s="40"/>
    </row>
    <row r="888" spans="2:41" ht="12.75" customHeight="1" x14ac:dyDescent="0.25">
      <c r="B888" s="40"/>
      <c r="C888" s="40"/>
      <c r="D888" s="40"/>
      <c r="E888" s="40"/>
      <c r="F888" s="40"/>
      <c r="G888" s="40"/>
      <c r="H888" s="5"/>
      <c r="Q888" s="40"/>
      <c r="R888" s="40"/>
      <c r="S888" s="40"/>
      <c r="T888" s="40"/>
      <c r="U888" s="40"/>
      <c r="W888" s="40"/>
      <c r="X888" s="40"/>
      <c r="Y888" s="40"/>
      <c r="Z888" s="41"/>
      <c r="AA888" s="41"/>
      <c r="AB888" s="41"/>
      <c r="AC888" s="41"/>
      <c r="AD888" s="41"/>
      <c r="AE888" s="40"/>
      <c r="AF888" s="45"/>
      <c r="AG888" s="5"/>
      <c r="AH888" s="6"/>
      <c r="AI888" s="45"/>
      <c r="AJ888" s="45"/>
      <c r="AK888" s="40"/>
      <c r="AL888" s="40"/>
      <c r="AM888" s="40"/>
      <c r="AN888" s="45"/>
      <c r="AO888" s="40"/>
    </row>
    <row r="889" spans="2:41" ht="12.75" customHeight="1" x14ac:dyDescent="0.25">
      <c r="B889" s="40"/>
      <c r="C889" s="40"/>
      <c r="D889" s="40"/>
      <c r="E889" s="40"/>
      <c r="F889" s="40"/>
      <c r="G889" s="40"/>
      <c r="H889" s="5"/>
      <c r="Q889" s="40"/>
      <c r="R889" s="40"/>
      <c r="S889" s="40"/>
      <c r="T889" s="40"/>
      <c r="U889" s="40"/>
      <c r="W889" s="40"/>
      <c r="X889" s="40"/>
      <c r="Y889" s="40"/>
      <c r="Z889" s="41"/>
      <c r="AA889" s="41"/>
      <c r="AB889" s="41"/>
      <c r="AC889" s="41"/>
      <c r="AD889" s="41"/>
      <c r="AE889" s="40"/>
      <c r="AF889" s="45"/>
      <c r="AG889" s="5"/>
      <c r="AH889" s="6"/>
      <c r="AI889" s="45"/>
      <c r="AJ889" s="45"/>
      <c r="AK889" s="40"/>
      <c r="AL889" s="40"/>
      <c r="AM889" s="40"/>
      <c r="AN889" s="45"/>
      <c r="AO889" s="40"/>
    </row>
    <row r="890" spans="2:41" ht="12.75" customHeight="1" x14ac:dyDescent="0.25">
      <c r="B890" s="40"/>
      <c r="C890" s="40"/>
      <c r="D890" s="40"/>
      <c r="E890" s="40"/>
      <c r="F890" s="40"/>
      <c r="G890" s="40"/>
      <c r="H890" s="5"/>
      <c r="Q890" s="40"/>
      <c r="R890" s="40"/>
      <c r="S890" s="40"/>
      <c r="T890" s="40"/>
      <c r="U890" s="40"/>
      <c r="W890" s="40"/>
      <c r="X890" s="40"/>
      <c r="Y890" s="40"/>
      <c r="Z890" s="41"/>
      <c r="AA890" s="41"/>
      <c r="AB890" s="41"/>
      <c r="AC890" s="41"/>
      <c r="AD890" s="41"/>
      <c r="AE890" s="40"/>
      <c r="AF890" s="45"/>
      <c r="AG890" s="5"/>
      <c r="AH890" s="6"/>
      <c r="AI890" s="45"/>
      <c r="AJ890" s="45"/>
      <c r="AK890" s="40"/>
      <c r="AL890" s="40"/>
      <c r="AM890" s="40"/>
      <c r="AN890" s="45"/>
      <c r="AO890" s="40"/>
    </row>
    <row r="891" spans="2:41" ht="12.75" customHeight="1" x14ac:dyDescent="0.25">
      <c r="B891" s="40"/>
      <c r="C891" s="40"/>
      <c r="D891" s="40"/>
      <c r="E891" s="40"/>
      <c r="F891" s="40"/>
      <c r="G891" s="40"/>
      <c r="H891" s="5"/>
      <c r="Q891" s="40"/>
      <c r="R891" s="40"/>
      <c r="S891" s="40"/>
      <c r="T891" s="40"/>
      <c r="U891" s="40"/>
      <c r="W891" s="40"/>
      <c r="X891" s="40"/>
      <c r="Y891" s="40"/>
      <c r="Z891" s="41"/>
      <c r="AA891" s="41"/>
      <c r="AB891" s="41"/>
      <c r="AC891" s="41"/>
      <c r="AD891" s="41"/>
      <c r="AE891" s="40"/>
      <c r="AF891" s="45"/>
      <c r="AG891" s="5"/>
      <c r="AH891" s="6"/>
      <c r="AI891" s="45"/>
      <c r="AJ891" s="45"/>
      <c r="AK891" s="40"/>
      <c r="AL891" s="40"/>
      <c r="AM891" s="40"/>
      <c r="AN891" s="45"/>
      <c r="AO891" s="40"/>
    </row>
    <row r="892" spans="2:41" ht="12.75" customHeight="1" x14ac:dyDescent="0.25">
      <c r="B892" s="40"/>
      <c r="C892" s="40"/>
      <c r="D892" s="40"/>
      <c r="E892" s="40"/>
      <c r="F892" s="40"/>
      <c r="G892" s="40"/>
      <c r="H892" s="5"/>
      <c r="Q892" s="40"/>
      <c r="R892" s="40"/>
      <c r="S892" s="40"/>
      <c r="T892" s="40"/>
      <c r="U892" s="40"/>
      <c r="W892" s="40"/>
      <c r="X892" s="40"/>
      <c r="Y892" s="40"/>
      <c r="Z892" s="41"/>
      <c r="AA892" s="41"/>
      <c r="AB892" s="41"/>
      <c r="AC892" s="41"/>
      <c r="AD892" s="41"/>
      <c r="AE892" s="40"/>
      <c r="AF892" s="45"/>
      <c r="AG892" s="5"/>
      <c r="AH892" s="6"/>
      <c r="AI892" s="45"/>
      <c r="AJ892" s="45"/>
      <c r="AK892" s="40"/>
      <c r="AL892" s="40"/>
      <c r="AM892" s="40"/>
      <c r="AN892" s="45"/>
      <c r="AO892" s="40"/>
    </row>
    <row r="893" spans="2:41" ht="12.75" customHeight="1" x14ac:dyDescent="0.25">
      <c r="B893" s="40"/>
      <c r="C893" s="40"/>
      <c r="D893" s="40"/>
      <c r="E893" s="40"/>
      <c r="F893" s="40"/>
      <c r="G893" s="40"/>
      <c r="H893" s="5"/>
      <c r="Q893" s="40"/>
      <c r="R893" s="40"/>
      <c r="S893" s="40"/>
      <c r="T893" s="40"/>
      <c r="U893" s="40"/>
      <c r="W893" s="40"/>
      <c r="X893" s="40"/>
      <c r="Y893" s="40"/>
      <c r="Z893" s="41"/>
      <c r="AA893" s="41"/>
      <c r="AB893" s="41"/>
      <c r="AC893" s="41"/>
      <c r="AD893" s="41"/>
      <c r="AE893" s="40"/>
      <c r="AF893" s="45"/>
      <c r="AG893" s="5"/>
      <c r="AH893" s="6"/>
      <c r="AI893" s="45"/>
      <c r="AJ893" s="45"/>
      <c r="AK893" s="40"/>
      <c r="AL893" s="40"/>
      <c r="AM893" s="40"/>
      <c r="AN893" s="45"/>
      <c r="AO893" s="40"/>
    </row>
    <row r="894" spans="2:41" ht="12.75" customHeight="1" x14ac:dyDescent="0.25">
      <c r="B894" s="40"/>
      <c r="C894" s="40"/>
      <c r="D894" s="40"/>
      <c r="E894" s="40"/>
      <c r="F894" s="40"/>
      <c r="G894" s="40"/>
      <c r="H894" s="5"/>
      <c r="Q894" s="40"/>
      <c r="R894" s="40"/>
      <c r="S894" s="40"/>
      <c r="T894" s="40"/>
      <c r="U894" s="40"/>
      <c r="W894" s="40"/>
      <c r="X894" s="40"/>
      <c r="Y894" s="40"/>
      <c r="Z894" s="41"/>
      <c r="AA894" s="41"/>
      <c r="AB894" s="41"/>
      <c r="AC894" s="41"/>
      <c r="AD894" s="41"/>
      <c r="AE894" s="40"/>
      <c r="AF894" s="45"/>
      <c r="AG894" s="5"/>
      <c r="AH894" s="6"/>
      <c r="AI894" s="45"/>
      <c r="AJ894" s="45"/>
      <c r="AK894" s="40"/>
      <c r="AL894" s="40"/>
      <c r="AM894" s="40"/>
      <c r="AN894" s="45"/>
      <c r="AO894" s="40"/>
    </row>
    <row r="895" spans="2:41" ht="12.75" customHeight="1" x14ac:dyDescent="0.25">
      <c r="B895" s="40"/>
      <c r="C895" s="40"/>
      <c r="D895" s="40"/>
      <c r="E895" s="40"/>
      <c r="F895" s="40"/>
      <c r="G895" s="40"/>
      <c r="H895" s="5"/>
      <c r="Q895" s="40"/>
      <c r="R895" s="40"/>
      <c r="S895" s="40"/>
      <c r="T895" s="40"/>
      <c r="U895" s="40"/>
      <c r="W895" s="40"/>
      <c r="X895" s="40"/>
      <c r="Y895" s="40"/>
      <c r="Z895" s="41"/>
      <c r="AA895" s="41"/>
      <c r="AB895" s="41"/>
      <c r="AC895" s="41"/>
      <c r="AD895" s="41"/>
      <c r="AE895" s="40"/>
      <c r="AF895" s="45"/>
      <c r="AG895" s="5"/>
      <c r="AH895" s="6"/>
      <c r="AI895" s="45"/>
      <c r="AJ895" s="45"/>
      <c r="AK895" s="40"/>
      <c r="AL895" s="40"/>
      <c r="AM895" s="40"/>
      <c r="AN895" s="45"/>
      <c r="AO895" s="40"/>
    </row>
    <row r="896" spans="2:41" ht="12.75" customHeight="1" x14ac:dyDescent="0.25">
      <c r="B896" s="40"/>
      <c r="C896" s="40"/>
      <c r="D896" s="40"/>
      <c r="E896" s="40"/>
      <c r="F896" s="40"/>
      <c r="G896" s="40"/>
      <c r="H896" s="5"/>
      <c r="Q896" s="40"/>
      <c r="R896" s="40"/>
      <c r="S896" s="40"/>
      <c r="T896" s="40"/>
      <c r="U896" s="40"/>
      <c r="W896" s="40"/>
      <c r="X896" s="40"/>
      <c r="Y896" s="40"/>
      <c r="Z896" s="41"/>
      <c r="AA896" s="41"/>
      <c r="AB896" s="41"/>
      <c r="AC896" s="41"/>
      <c r="AD896" s="41"/>
      <c r="AE896" s="40"/>
      <c r="AF896" s="45"/>
      <c r="AG896" s="5"/>
      <c r="AH896" s="6"/>
      <c r="AI896" s="45"/>
      <c r="AJ896" s="45"/>
      <c r="AK896" s="40"/>
      <c r="AL896" s="40"/>
      <c r="AM896" s="40"/>
      <c r="AN896" s="45"/>
      <c r="AO896" s="40"/>
    </row>
    <row r="897" spans="2:41" ht="12.75" customHeight="1" x14ac:dyDescent="0.25">
      <c r="B897" s="40"/>
      <c r="C897" s="40"/>
      <c r="D897" s="40"/>
      <c r="E897" s="40"/>
      <c r="F897" s="40"/>
      <c r="G897" s="40"/>
      <c r="H897" s="5"/>
      <c r="Q897" s="40"/>
      <c r="R897" s="40"/>
      <c r="S897" s="40"/>
      <c r="T897" s="40"/>
      <c r="U897" s="40"/>
      <c r="W897" s="40"/>
      <c r="X897" s="40"/>
      <c r="Y897" s="40"/>
      <c r="Z897" s="41"/>
      <c r="AA897" s="41"/>
      <c r="AB897" s="41"/>
      <c r="AC897" s="41"/>
      <c r="AD897" s="41"/>
      <c r="AE897" s="40"/>
      <c r="AF897" s="45"/>
      <c r="AG897" s="5"/>
      <c r="AH897" s="6"/>
      <c r="AI897" s="45"/>
      <c r="AJ897" s="45"/>
      <c r="AK897" s="40"/>
      <c r="AL897" s="40"/>
      <c r="AM897" s="40"/>
      <c r="AN897" s="45"/>
      <c r="AO897" s="40"/>
    </row>
    <row r="898" spans="2:41" ht="12.75" customHeight="1" x14ac:dyDescent="0.25">
      <c r="B898" s="40"/>
      <c r="C898" s="40"/>
      <c r="D898" s="40"/>
      <c r="E898" s="40"/>
      <c r="F898" s="40"/>
      <c r="G898" s="40"/>
      <c r="H898" s="5"/>
      <c r="Q898" s="40"/>
      <c r="R898" s="40"/>
      <c r="S898" s="40"/>
      <c r="T898" s="40"/>
      <c r="U898" s="40"/>
      <c r="W898" s="40"/>
      <c r="X898" s="40"/>
      <c r="Y898" s="40"/>
      <c r="Z898" s="41"/>
      <c r="AA898" s="41"/>
      <c r="AB898" s="41"/>
      <c r="AC898" s="41"/>
      <c r="AD898" s="41"/>
      <c r="AE898" s="40"/>
      <c r="AF898" s="45"/>
      <c r="AG898" s="5"/>
      <c r="AH898" s="6"/>
      <c r="AI898" s="45"/>
      <c r="AJ898" s="45"/>
      <c r="AK898" s="40"/>
      <c r="AL898" s="40"/>
      <c r="AM898" s="40"/>
      <c r="AN898" s="45"/>
      <c r="AO898" s="40"/>
    </row>
    <row r="899" spans="2:41" ht="12.75" customHeight="1" x14ac:dyDescent="0.25">
      <c r="B899" s="40"/>
      <c r="C899" s="40"/>
      <c r="D899" s="40"/>
      <c r="E899" s="40"/>
      <c r="F899" s="40"/>
      <c r="G899" s="40"/>
      <c r="H899" s="5"/>
      <c r="Q899" s="40"/>
      <c r="R899" s="40"/>
      <c r="S899" s="40"/>
      <c r="T899" s="40"/>
      <c r="U899" s="40"/>
      <c r="W899" s="40"/>
      <c r="X899" s="40"/>
      <c r="Y899" s="40"/>
      <c r="Z899" s="41"/>
      <c r="AA899" s="41"/>
      <c r="AB899" s="41"/>
      <c r="AC899" s="41"/>
      <c r="AD899" s="41"/>
      <c r="AE899" s="40"/>
      <c r="AF899" s="45"/>
      <c r="AG899" s="5"/>
      <c r="AH899" s="6"/>
      <c r="AI899" s="45"/>
      <c r="AJ899" s="45"/>
      <c r="AK899" s="40"/>
      <c r="AL899" s="40"/>
      <c r="AM899" s="40"/>
      <c r="AN899" s="45"/>
      <c r="AO899" s="40"/>
    </row>
    <row r="900" spans="2:41" ht="12.75" customHeight="1" x14ac:dyDescent="0.25">
      <c r="B900" s="40"/>
      <c r="C900" s="40"/>
      <c r="D900" s="40"/>
      <c r="E900" s="40"/>
      <c r="F900" s="40"/>
      <c r="G900" s="40"/>
      <c r="H900" s="5"/>
      <c r="Q900" s="40"/>
      <c r="R900" s="40"/>
      <c r="S900" s="40"/>
      <c r="T900" s="40"/>
      <c r="U900" s="40"/>
      <c r="W900" s="40"/>
      <c r="X900" s="40"/>
      <c r="Y900" s="40"/>
      <c r="Z900" s="41"/>
      <c r="AA900" s="41"/>
      <c r="AB900" s="41"/>
      <c r="AC900" s="41"/>
      <c r="AD900" s="41"/>
      <c r="AE900" s="40"/>
      <c r="AF900" s="45"/>
      <c r="AG900" s="5"/>
      <c r="AH900" s="6"/>
      <c r="AI900" s="45"/>
      <c r="AJ900" s="45"/>
      <c r="AK900" s="40"/>
      <c r="AL900" s="40"/>
      <c r="AM900" s="40"/>
      <c r="AN900" s="45"/>
      <c r="AO900" s="40"/>
    </row>
    <row r="901" spans="2:41" ht="12.75" customHeight="1" x14ac:dyDescent="0.25">
      <c r="B901" s="40"/>
      <c r="C901" s="40"/>
      <c r="D901" s="40"/>
      <c r="E901" s="40"/>
      <c r="F901" s="40"/>
      <c r="G901" s="40"/>
      <c r="H901" s="5"/>
      <c r="Q901" s="40"/>
      <c r="R901" s="40"/>
      <c r="S901" s="40"/>
      <c r="T901" s="40"/>
      <c r="U901" s="40"/>
      <c r="W901" s="40"/>
      <c r="X901" s="40"/>
      <c r="Y901" s="40"/>
      <c r="Z901" s="41"/>
      <c r="AA901" s="41"/>
      <c r="AB901" s="41"/>
      <c r="AC901" s="41"/>
      <c r="AD901" s="41"/>
      <c r="AE901" s="40"/>
      <c r="AF901" s="45"/>
      <c r="AG901" s="5"/>
      <c r="AH901" s="6"/>
      <c r="AI901" s="45"/>
      <c r="AJ901" s="45"/>
      <c r="AK901" s="40"/>
      <c r="AL901" s="40"/>
      <c r="AM901" s="40"/>
      <c r="AN901" s="45"/>
      <c r="AO901" s="40"/>
    </row>
    <row r="902" spans="2:41" ht="12.75" customHeight="1" x14ac:dyDescent="0.25">
      <c r="B902" s="40"/>
      <c r="C902" s="40"/>
      <c r="D902" s="40"/>
      <c r="E902" s="40"/>
      <c r="F902" s="40"/>
      <c r="G902" s="40"/>
      <c r="H902" s="5"/>
      <c r="Q902" s="40"/>
      <c r="R902" s="40"/>
      <c r="S902" s="40"/>
      <c r="T902" s="40"/>
      <c r="U902" s="40"/>
      <c r="W902" s="40"/>
      <c r="X902" s="40"/>
      <c r="Y902" s="40"/>
      <c r="Z902" s="41"/>
      <c r="AA902" s="41"/>
      <c r="AB902" s="41"/>
      <c r="AC902" s="41"/>
      <c r="AD902" s="41"/>
      <c r="AE902" s="40"/>
      <c r="AF902" s="45"/>
      <c r="AG902" s="5"/>
      <c r="AH902" s="6"/>
      <c r="AI902" s="45"/>
      <c r="AJ902" s="45"/>
      <c r="AK902" s="40"/>
      <c r="AL902" s="40"/>
      <c r="AM902" s="40"/>
      <c r="AN902" s="45"/>
      <c r="AO902" s="40"/>
    </row>
    <row r="903" spans="2:41" ht="12.75" customHeight="1" x14ac:dyDescent="0.25">
      <c r="B903" s="40"/>
      <c r="C903" s="40"/>
      <c r="D903" s="40"/>
      <c r="E903" s="40"/>
      <c r="F903" s="40"/>
      <c r="G903" s="40"/>
      <c r="H903" s="5"/>
      <c r="Q903" s="40"/>
      <c r="R903" s="40"/>
      <c r="S903" s="40"/>
      <c r="T903" s="40"/>
      <c r="U903" s="40"/>
      <c r="W903" s="40"/>
      <c r="X903" s="40"/>
      <c r="Y903" s="40"/>
      <c r="Z903" s="41"/>
      <c r="AA903" s="41"/>
      <c r="AB903" s="41"/>
      <c r="AC903" s="41"/>
      <c r="AD903" s="41"/>
      <c r="AE903" s="40"/>
      <c r="AF903" s="45"/>
      <c r="AG903" s="5"/>
      <c r="AH903" s="6"/>
      <c r="AI903" s="45"/>
      <c r="AJ903" s="45"/>
      <c r="AK903" s="40"/>
      <c r="AL903" s="40"/>
      <c r="AM903" s="40"/>
      <c r="AN903" s="45"/>
      <c r="AO903" s="40"/>
    </row>
    <row r="904" spans="2:41" ht="12.75" customHeight="1" x14ac:dyDescent="0.25">
      <c r="B904" s="40"/>
      <c r="C904" s="40"/>
      <c r="D904" s="40"/>
      <c r="E904" s="40"/>
      <c r="F904" s="40"/>
      <c r="G904" s="40"/>
      <c r="H904" s="5"/>
      <c r="Q904" s="40"/>
      <c r="R904" s="40"/>
      <c r="S904" s="40"/>
      <c r="T904" s="40"/>
      <c r="U904" s="40"/>
      <c r="W904" s="40"/>
      <c r="X904" s="40"/>
      <c r="Y904" s="40"/>
      <c r="Z904" s="41"/>
      <c r="AA904" s="41"/>
      <c r="AB904" s="41"/>
      <c r="AC904" s="41"/>
      <c r="AD904" s="41"/>
      <c r="AE904" s="40"/>
      <c r="AF904" s="45"/>
      <c r="AG904" s="5"/>
      <c r="AH904" s="6"/>
      <c r="AI904" s="45"/>
      <c r="AJ904" s="45"/>
      <c r="AK904" s="40"/>
      <c r="AL904" s="40"/>
      <c r="AM904" s="40"/>
      <c r="AN904" s="45"/>
      <c r="AO904" s="40"/>
    </row>
    <row r="905" spans="2:41" ht="12.75" customHeight="1" x14ac:dyDescent="0.25">
      <c r="B905" s="40"/>
      <c r="C905" s="40"/>
      <c r="D905" s="40"/>
      <c r="E905" s="40"/>
      <c r="F905" s="40"/>
      <c r="G905" s="40"/>
      <c r="H905" s="5"/>
      <c r="Q905" s="40"/>
      <c r="R905" s="40"/>
      <c r="S905" s="40"/>
      <c r="T905" s="40"/>
      <c r="U905" s="40"/>
      <c r="W905" s="40"/>
      <c r="X905" s="40"/>
      <c r="Y905" s="40"/>
      <c r="Z905" s="41"/>
      <c r="AA905" s="41"/>
      <c r="AB905" s="41"/>
      <c r="AC905" s="41"/>
      <c r="AD905" s="41"/>
      <c r="AE905" s="40"/>
      <c r="AF905" s="45"/>
      <c r="AG905" s="5"/>
      <c r="AH905" s="6"/>
      <c r="AI905" s="45"/>
      <c r="AJ905" s="45"/>
      <c r="AK905" s="40"/>
      <c r="AL905" s="40"/>
      <c r="AM905" s="40"/>
      <c r="AN905" s="45"/>
      <c r="AO905" s="40"/>
    </row>
    <row r="906" spans="2:41" ht="12.75" customHeight="1" x14ac:dyDescent="0.25">
      <c r="B906" s="40"/>
      <c r="C906" s="40"/>
      <c r="D906" s="40"/>
      <c r="E906" s="40"/>
      <c r="F906" s="40"/>
      <c r="G906" s="40"/>
      <c r="H906" s="5"/>
      <c r="Q906" s="40"/>
      <c r="R906" s="40"/>
      <c r="S906" s="40"/>
      <c r="T906" s="40"/>
      <c r="U906" s="40"/>
      <c r="W906" s="40"/>
      <c r="X906" s="40"/>
      <c r="Y906" s="40"/>
      <c r="Z906" s="41"/>
      <c r="AA906" s="41"/>
      <c r="AB906" s="41"/>
      <c r="AC906" s="41"/>
      <c r="AD906" s="41"/>
      <c r="AE906" s="40"/>
      <c r="AF906" s="45"/>
      <c r="AG906" s="5"/>
      <c r="AH906" s="6"/>
      <c r="AI906" s="45"/>
      <c r="AJ906" s="45"/>
      <c r="AK906" s="40"/>
      <c r="AL906" s="40"/>
      <c r="AM906" s="40"/>
      <c r="AN906" s="45"/>
      <c r="AO906" s="40"/>
    </row>
    <row r="907" spans="2:41" ht="12.75" customHeight="1" x14ac:dyDescent="0.25">
      <c r="B907" s="40"/>
      <c r="C907" s="40"/>
      <c r="D907" s="40"/>
      <c r="E907" s="40"/>
      <c r="F907" s="40"/>
      <c r="G907" s="40"/>
      <c r="H907" s="5"/>
      <c r="Q907" s="40"/>
      <c r="R907" s="40"/>
      <c r="S907" s="40"/>
      <c r="T907" s="40"/>
      <c r="U907" s="40"/>
      <c r="W907" s="40"/>
      <c r="X907" s="40"/>
      <c r="Y907" s="40"/>
      <c r="Z907" s="41"/>
      <c r="AA907" s="41"/>
      <c r="AB907" s="41"/>
      <c r="AC907" s="41"/>
      <c r="AD907" s="41"/>
      <c r="AE907" s="40"/>
      <c r="AF907" s="45"/>
      <c r="AG907" s="5"/>
      <c r="AH907" s="6"/>
      <c r="AI907" s="45"/>
      <c r="AJ907" s="45"/>
      <c r="AK907" s="40"/>
      <c r="AL907" s="40"/>
      <c r="AM907" s="40"/>
      <c r="AN907" s="45"/>
      <c r="AO907" s="40"/>
    </row>
    <row r="908" spans="2:41" ht="12.75" customHeight="1" x14ac:dyDescent="0.25">
      <c r="B908" s="40"/>
      <c r="C908" s="40"/>
      <c r="D908" s="40"/>
      <c r="E908" s="40"/>
      <c r="F908" s="40"/>
      <c r="G908" s="40"/>
      <c r="H908" s="5"/>
      <c r="Q908" s="40"/>
      <c r="R908" s="40"/>
      <c r="S908" s="40"/>
      <c r="T908" s="40"/>
      <c r="U908" s="40"/>
      <c r="W908" s="40"/>
      <c r="X908" s="40"/>
      <c r="Y908" s="40"/>
      <c r="Z908" s="41"/>
      <c r="AA908" s="41"/>
      <c r="AB908" s="41"/>
      <c r="AC908" s="41"/>
      <c r="AD908" s="41"/>
      <c r="AE908" s="40"/>
      <c r="AF908" s="45"/>
      <c r="AG908" s="5"/>
      <c r="AH908" s="6"/>
      <c r="AI908" s="45"/>
      <c r="AJ908" s="45"/>
      <c r="AK908" s="40"/>
      <c r="AL908" s="40"/>
      <c r="AM908" s="40"/>
      <c r="AN908" s="45"/>
      <c r="AO908" s="40"/>
    </row>
    <row r="909" spans="2:41" ht="12.75" customHeight="1" x14ac:dyDescent="0.25">
      <c r="B909" s="40"/>
      <c r="C909" s="40"/>
      <c r="D909" s="40"/>
      <c r="E909" s="40"/>
      <c r="F909" s="40"/>
      <c r="G909" s="40"/>
      <c r="H909" s="5"/>
      <c r="Q909" s="40"/>
      <c r="R909" s="40"/>
      <c r="S909" s="40"/>
      <c r="T909" s="40"/>
      <c r="U909" s="40"/>
      <c r="W909" s="40"/>
      <c r="X909" s="40"/>
      <c r="Y909" s="40"/>
      <c r="Z909" s="41"/>
      <c r="AA909" s="41"/>
      <c r="AB909" s="41"/>
      <c r="AC909" s="41"/>
      <c r="AD909" s="41"/>
      <c r="AE909" s="40"/>
      <c r="AF909" s="45"/>
      <c r="AG909" s="5"/>
      <c r="AH909" s="6"/>
      <c r="AI909" s="45"/>
      <c r="AJ909" s="45"/>
      <c r="AK909" s="40"/>
      <c r="AL909" s="40"/>
      <c r="AM909" s="40"/>
      <c r="AN909" s="45"/>
      <c r="AO909" s="40"/>
    </row>
    <row r="910" spans="2:41" ht="12.75" customHeight="1" x14ac:dyDescent="0.25">
      <c r="B910" s="40"/>
      <c r="C910" s="40"/>
      <c r="D910" s="40"/>
      <c r="E910" s="40"/>
      <c r="F910" s="40"/>
      <c r="G910" s="40"/>
      <c r="H910" s="5"/>
      <c r="Q910" s="40"/>
      <c r="R910" s="40"/>
      <c r="S910" s="40"/>
      <c r="T910" s="40"/>
      <c r="U910" s="40"/>
      <c r="W910" s="40"/>
      <c r="X910" s="40"/>
      <c r="Y910" s="40"/>
      <c r="Z910" s="41"/>
      <c r="AA910" s="41"/>
      <c r="AB910" s="41"/>
      <c r="AC910" s="41"/>
      <c r="AD910" s="41"/>
      <c r="AE910" s="40"/>
      <c r="AF910" s="45"/>
      <c r="AG910" s="5"/>
      <c r="AH910" s="6"/>
      <c r="AI910" s="45"/>
      <c r="AJ910" s="45"/>
      <c r="AK910" s="40"/>
      <c r="AL910" s="40"/>
      <c r="AM910" s="40"/>
      <c r="AN910" s="45"/>
      <c r="AO910" s="40"/>
    </row>
    <row r="911" spans="2:41" ht="12.75" customHeight="1" x14ac:dyDescent="0.25">
      <c r="B911" s="40"/>
      <c r="C911" s="40"/>
      <c r="D911" s="40"/>
      <c r="E911" s="40"/>
      <c r="F911" s="40"/>
      <c r="G911" s="40"/>
      <c r="H911" s="5"/>
      <c r="Q911" s="40"/>
      <c r="R911" s="40"/>
      <c r="S911" s="40"/>
      <c r="T911" s="40"/>
      <c r="U911" s="40"/>
      <c r="W911" s="40"/>
      <c r="X911" s="40"/>
      <c r="Y911" s="40"/>
      <c r="Z911" s="41"/>
      <c r="AA911" s="41"/>
      <c r="AB911" s="41"/>
      <c r="AC911" s="41"/>
      <c r="AD911" s="41"/>
      <c r="AE911" s="40"/>
      <c r="AF911" s="45"/>
      <c r="AG911" s="5"/>
      <c r="AH911" s="6"/>
      <c r="AI911" s="45"/>
      <c r="AJ911" s="45"/>
      <c r="AK911" s="40"/>
      <c r="AL911" s="40"/>
      <c r="AM911" s="40"/>
      <c r="AN911" s="45"/>
      <c r="AO911" s="40"/>
    </row>
    <row r="912" spans="2:41" ht="12.75" customHeight="1" x14ac:dyDescent="0.25">
      <c r="B912" s="40"/>
      <c r="C912" s="40"/>
      <c r="D912" s="40"/>
      <c r="E912" s="40"/>
      <c r="F912" s="40"/>
      <c r="G912" s="40"/>
      <c r="H912" s="5"/>
      <c r="Q912" s="40"/>
      <c r="R912" s="40"/>
      <c r="S912" s="40"/>
      <c r="T912" s="40"/>
      <c r="U912" s="40"/>
      <c r="W912" s="40"/>
      <c r="X912" s="40"/>
      <c r="Y912" s="40"/>
      <c r="Z912" s="41"/>
      <c r="AA912" s="41"/>
      <c r="AB912" s="41"/>
      <c r="AC912" s="41"/>
      <c r="AD912" s="41"/>
      <c r="AE912" s="40"/>
      <c r="AF912" s="45"/>
      <c r="AG912" s="5"/>
      <c r="AH912" s="6"/>
      <c r="AI912" s="45"/>
      <c r="AJ912" s="45"/>
      <c r="AK912" s="40"/>
      <c r="AL912" s="40"/>
      <c r="AM912" s="40"/>
      <c r="AN912" s="45"/>
      <c r="AO912" s="40"/>
    </row>
    <row r="913" spans="2:41" ht="12.75" customHeight="1" x14ac:dyDescent="0.25">
      <c r="B913" s="40"/>
      <c r="C913" s="40"/>
      <c r="D913" s="40"/>
      <c r="E913" s="40"/>
      <c r="F913" s="40"/>
      <c r="G913" s="40"/>
      <c r="H913" s="5"/>
      <c r="Q913" s="40"/>
      <c r="R913" s="40"/>
      <c r="S913" s="40"/>
      <c r="T913" s="40"/>
      <c r="U913" s="40"/>
      <c r="W913" s="40"/>
      <c r="X913" s="40"/>
      <c r="Y913" s="40"/>
      <c r="Z913" s="41"/>
      <c r="AA913" s="41"/>
      <c r="AB913" s="41"/>
      <c r="AC913" s="41"/>
      <c r="AD913" s="41"/>
      <c r="AE913" s="40"/>
      <c r="AF913" s="45"/>
      <c r="AG913" s="5"/>
      <c r="AH913" s="6"/>
      <c r="AI913" s="45"/>
      <c r="AJ913" s="45"/>
      <c r="AK913" s="40"/>
      <c r="AL913" s="40"/>
      <c r="AM913" s="40"/>
      <c r="AN913" s="45"/>
      <c r="AO913" s="40"/>
    </row>
    <row r="914" spans="2:41" ht="12.75" customHeight="1" x14ac:dyDescent="0.25">
      <c r="B914" s="40"/>
      <c r="C914" s="40"/>
      <c r="D914" s="40"/>
      <c r="E914" s="40"/>
      <c r="F914" s="40"/>
      <c r="G914" s="40"/>
      <c r="H914" s="5"/>
      <c r="Q914" s="40"/>
      <c r="R914" s="40"/>
      <c r="S914" s="40"/>
      <c r="T914" s="40"/>
      <c r="U914" s="40"/>
      <c r="W914" s="40"/>
      <c r="X914" s="40"/>
      <c r="Y914" s="40"/>
      <c r="Z914" s="41"/>
      <c r="AA914" s="41"/>
      <c r="AB914" s="41"/>
      <c r="AC914" s="41"/>
      <c r="AD914" s="41"/>
      <c r="AE914" s="40"/>
      <c r="AF914" s="45"/>
      <c r="AG914" s="5"/>
      <c r="AH914" s="6"/>
      <c r="AI914" s="45"/>
      <c r="AJ914" s="45"/>
      <c r="AK914" s="40"/>
      <c r="AL914" s="40"/>
      <c r="AM914" s="40"/>
      <c r="AN914" s="45"/>
      <c r="AO914" s="40"/>
    </row>
    <row r="915" spans="2:41" ht="12.75" customHeight="1" x14ac:dyDescent="0.25">
      <c r="B915" s="40"/>
      <c r="C915" s="40"/>
      <c r="D915" s="40"/>
      <c r="E915" s="40"/>
      <c r="F915" s="40"/>
      <c r="G915" s="40"/>
      <c r="H915" s="5"/>
      <c r="Q915" s="40"/>
      <c r="R915" s="40"/>
      <c r="S915" s="40"/>
      <c r="T915" s="40"/>
      <c r="U915" s="40"/>
      <c r="W915" s="40"/>
      <c r="X915" s="40"/>
      <c r="Y915" s="40"/>
      <c r="Z915" s="41"/>
      <c r="AA915" s="41"/>
      <c r="AB915" s="41"/>
      <c r="AC915" s="41"/>
      <c r="AD915" s="41"/>
      <c r="AE915" s="40"/>
      <c r="AF915" s="45"/>
      <c r="AG915" s="5"/>
      <c r="AH915" s="6"/>
      <c r="AI915" s="45"/>
      <c r="AJ915" s="45"/>
      <c r="AK915" s="40"/>
      <c r="AL915" s="40"/>
      <c r="AM915" s="40"/>
      <c r="AN915" s="45"/>
      <c r="AO915" s="40"/>
    </row>
    <row r="916" spans="2:41" ht="12.75" customHeight="1" x14ac:dyDescent="0.25">
      <c r="B916" s="40"/>
      <c r="C916" s="40"/>
      <c r="D916" s="40"/>
      <c r="E916" s="40"/>
      <c r="F916" s="40"/>
      <c r="G916" s="40"/>
      <c r="H916" s="5"/>
      <c r="Q916" s="40"/>
      <c r="R916" s="40"/>
      <c r="S916" s="40"/>
      <c r="T916" s="40"/>
      <c r="U916" s="40"/>
      <c r="W916" s="40"/>
      <c r="X916" s="40"/>
      <c r="Y916" s="40"/>
      <c r="Z916" s="41"/>
      <c r="AA916" s="41"/>
      <c r="AB916" s="41"/>
      <c r="AC916" s="41"/>
      <c r="AD916" s="41"/>
      <c r="AE916" s="40"/>
      <c r="AF916" s="45"/>
      <c r="AG916" s="5"/>
      <c r="AH916" s="6"/>
      <c r="AI916" s="45"/>
      <c r="AJ916" s="45"/>
      <c r="AK916" s="40"/>
      <c r="AL916" s="40"/>
      <c r="AM916" s="40"/>
      <c r="AN916" s="45"/>
      <c r="AO916" s="40"/>
    </row>
    <row r="917" spans="2:41" ht="12.75" customHeight="1" x14ac:dyDescent="0.25">
      <c r="B917" s="40"/>
      <c r="C917" s="40"/>
      <c r="D917" s="40"/>
      <c r="E917" s="40"/>
      <c r="F917" s="40"/>
      <c r="G917" s="40"/>
      <c r="H917" s="5"/>
      <c r="Q917" s="40"/>
      <c r="R917" s="40"/>
      <c r="S917" s="40"/>
      <c r="T917" s="40"/>
      <c r="U917" s="40"/>
      <c r="W917" s="40"/>
      <c r="X917" s="40"/>
      <c r="Y917" s="40"/>
      <c r="Z917" s="41"/>
      <c r="AA917" s="41"/>
      <c r="AB917" s="41"/>
      <c r="AC917" s="41"/>
      <c r="AD917" s="41"/>
      <c r="AE917" s="40"/>
      <c r="AF917" s="45"/>
      <c r="AG917" s="5"/>
      <c r="AH917" s="6"/>
      <c r="AI917" s="45"/>
      <c r="AJ917" s="45"/>
      <c r="AK917" s="40"/>
      <c r="AL917" s="40"/>
      <c r="AM917" s="40"/>
      <c r="AN917" s="45"/>
      <c r="AO917" s="40"/>
    </row>
    <row r="918" spans="2:41" ht="12.75" customHeight="1" x14ac:dyDescent="0.25">
      <c r="B918" s="40"/>
      <c r="C918" s="40"/>
      <c r="D918" s="40"/>
      <c r="E918" s="40"/>
      <c r="F918" s="40"/>
      <c r="G918" s="40"/>
      <c r="H918" s="5"/>
      <c r="Q918" s="40"/>
      <c r="R918" s="40"/>
      <c r="S918" s="40"/>
      <c r="T918" s="40"/>
      <c r="U918" s="40"/>
      <c r="W918" s="40"/>
      <c r="X918" s="40"/>
      <c r="Y918" s="40"/>
      <c r="Z918" s="41"/>
      <c r="AA918" s="41"/>
      <c r="AB918" s="41"/>
      <c r="AC918" s="41"/>
      <c r="AD918" s="41"/>
      <c r="AE918" s="40"/>
      <c r="AF918" s="45"/>
      <c r="AG918" s="5"/>
      <c r="AH918" s="6"/>
      <c r="AI918" s="45"/>
      <c r="AJ918" s="45"/>
      <c r="AK918" s="40"/>
      <c r="AL918" s="40"/>
      <c r="AM918" s="40"/>
      <c r="AN918" s="45"/>
      <c r="AO918" s="40"/>
    </row>
    <row r="919" spans="2:41" ht="12.75" customHeight="1" x14ac:dyDescent="0.25">
      <c r="B919" s="40"/>
      <c r="C919" s="40"/>
      <c r="D919" s="40"/>
      <c r="E919" s="40"/>
      <c r="F919" s="40"/>
      <c r="G919" s="40"/>
      <c r="H919" s="5"/>
      <c r="Q919" s="40"/>
      <c r="R919" s="40"/>
      <c r="S919" s="40"/>
      <c r="T919" s="40"/>
      <c r="U919" s="40"/>
      <c r="W919" s="40"/>
      <c r="X919" s="40"/>
      <c r="Y919" s="40"/>
      <c r="Z919" s="41"/>
      <c r="AA919" s="41"/>
      <c r="AB919" s="41"/>
      <c r="AC919" s="41"/>
      <c r="AD919" s="41"/>
      <c r="AE919" s="40"/>
      <c r="AF919" s="45"/>
      <c r="AG919" s="5"/>
      <c r="AH919" s="6"/>
      <c r="AI919" s="45"/>
      <c r="AJ919" s="45"/>
      <c r="AK919" s="40"/>
      <c r="AL919" s="40"/>
      <c r="AM919" s="40"/>
      <c r="AN919" s="45"/>
      <c r="AO919" s="40"/>
    </row>
    <row r="920" spans="2:41" ht="12.75" customHeight="1" x14ac:dyDescent="0.25">
      <c r="B920" s="40"/>
      <c r="C920" s="40"/>
      <c r="D920" s="40"/>
      <c r="E920" s="40"/>
      <c r="F920" s="40"/>
      <c r="G920" s="40"/>
      <c r="H920" s="5"/>
      <c r="Q920" s="40"/>
      <c r="R920" s="40"/>
      <c r="S920" s="40"/>
      <c r="T920" s="40"/>
      <c r="U920" s="40"/>
      <c r="W920" s="40"/>
      <c r="X920" s="40"/>
      <c r="Y920" s="40"/>
      <c r="Z920" s="41"/>
      <c r="AA920" s="41"/>
      <c r="AB920" s="41"/>
      <c r="AC920" s="41"/>
      <c r="AD920" s="41"/>
      <c r="AE920" s="40"/>
      <c r="AF920" s="45"/>
      <c r="AG920" s="5"/>
      <c r="AH920" s="6"/>
      <c r="AI920" s="45"/>
      <c r="AJ920" s="45"/>
      <c r="AK920" s="40"/>
      <c r="AL920" s="40"/>
      <c r="AM920" s="40"/>
      <c r="AN920" s="45"/>
      <c r="AO920" s="40"/>
    </row>
    <row r="921" spans="2:41" ht="12.75" customHeight="1" x14ac:dyDescent="0.25">
      <c r="B921" s="40"/>
      <c r="C921" s="40"/>
      <c r="D921" s="40"/>
      <c r="E921" s="40"/>
      <c r="F921" s="40"/>
      <c r="G921" s="40"/>
      <c r="H921" s="5"/>
      <c r="Q921" s="40"/>
      <c r="R921" s="40"/>
      <c r="S921" s="40"/>
      <c r="T921" s="40"/>
      <c r="U921" s="40"/>
      <c r="W921" s="40"/>
      <c r="X921" s="40"/>
      <c r="Y921" s="40"/>
      <c r="Z921" s="41"/>
      <c r="AA921" s="41"/>
      <c r="AB921" s="41"/>
      <c r="AC921" s="41"/>
      <c r="AD921" s="41"/>
      <c r="AE921" s="40"/>
      <c r="AF921" s="45"/>
      <c r="AG921" s="5"/>
      <c r="AH921" s="6"/>
      <c r="AI921" s="45"/>
      <c r="AJ921" s="45"/>
      <c r="AK921" s="40"/>
      <c r="AL921" s="40"/>
      <c r="AM921" s="40"/>
      <c r="AN921" s="45"/>
      <c r="AO921" s="40"/>
    </row>
    <row r="922" spans="2:41" ht="12.75" customHeight="1" x14ac:dyDescent="0.25">
      <c r="B922" s="40"/>
      <c r="C922" s="40"/>
      <c r="D922" s="40"/>
      <c r="E922" s="40"/>
      <c r="F922" s="40"/>
      <c r="G922" s="40"/>
      <c r="H922" s="5"/>
      <c r="Q922" s="40"/>
      <c r="R922" s="40"/>
      <c r="S922" s="40"/>
      <c r="T922" s="40"/>
      <c r="U922" s="40"/>
      <c r="W922" s="40"/>
      <c r="X922" s="40"/>
      <c r="Y922" s="40"/>
      <c r="Z922" s="41"/>
      <c r="AA922" s="41"/>
      <c r="AB922" s="41"/>
      <c r="AC922" s="41"/>
      <c r="AD922" s="41"/>
      <c r="AE922" s="40"/>
      <c r="AF922" s="45"/>
      <c r="AG922" s="5"/>
      <c r="AH922" s="6"/>
      <c r="AI922" s="45"/>
      <c r="AJ922" s="45"/>
      <c r="AK922" s="40"/>
      <c r="AL922" s="40"/>
      <c r="AM922" s="40"/>
      <c r="AN922" s="45"/>
      <c r="AO922" s="40"/>
    </row>
    <row r="923" spans="2:41" ht="12.75" customHeight="1" x14ac:dyDescent="0.25">
      <c r="B923" s="40"/>
      <c r="C923" s="40"/>
      <c r="D923" s="40"/>
      <c r="E923" s="40"/>
      <c r="F923" s="40"/>
      <c r="G923" s="40"/>
      <c r="H923" s="5"/>
      <c r="Q923" s="40"/>
      <c r="R923" s="40"/>
      <c r="S923" s="40"/>
      <c r="T923" s="40"/>
      <c r="U923" s="40"/>
      <c r="W923" s="40"/>
      <c r="X923" s="40"/>
      <c r="Y923" s="40"/>
      <c r="Z923" s="41"/>
      <c r="AA923" s="41"/>
      <c r="AB923" s="41"/>
      <c r="AC923" s="41"/>
      <c r="AD923" s="41"/>
      <c r="AE923" s="40"/>
      <c r="AF923" s="45"/>
      <c r="AG923" s="5"/>
      <c r="AH923" s="6"/>
      <c r="AI923" s="45"/>
      <c r="AJ923" s="45"/>
      <c r="AK923" s="40"/>
      <c r="AL923" s="40"/>
      <c r="AM923" s="40"/>
      <c r="AN923" s="45"/>
      <c r="AO923" s="40"/>
    </row>
    <row r="924" spans="2:41" ht="12.75" customHeight="1" x14ac:dyDescent="0.25">
      <c r="B924" s="40"/>
      <c r="C924" s="40"/>
      <c r="D924" s="40"/>
      <c r="E924" s="40"/>
      <c r="F924" s="40"/>
      <c r="G924" s="40"/>
      <c r="H924" s="5"/>
      <c r="Q924" s="40"/>
      <c r="R924" s="40"/>
      <c r="S924" s="40"/>
      <c r="T924" s="40"/>
      <c r="U924" s="40"/>
      <c r="W924" s="40"/>
      <c r="X924" s="40"/>
      <c r="Y924" s="40"/>
      <c r="Z924" s="41"/>
      <c r="AA924" s="41"/>
      <c r="AB924" s="41"/>
      <c r="AC924" s="41"/>
      <c r="AD924" s="41"/>
      <c r="AE924" s="40"/>
      <c r="AF924" s="45"/>
      <c r="AG924" s="5"/>
      <c r="AH924" s="6"/>
      <c r="AI924" s="45"/>
      <c r="AJ924" s="45"/>
      <c r="AK924" s="40"/>
      <c r="AL924" s="40"/>
      <c r="AM924" s="40"/>
      <c r="AN924" s="45"/>
      <c r="AO924" s="40"/>
    </row>
    <row r="925" spans="2:41" ht="12.75" customHeight="1" x14ac:dyDescent="0.25">
      <c r="B925" s="40"/>
      <c r="C925" s="40"/>
      <c r="D925" s="40"/>
      <c r="E925" s="40"/>
      <c r="F925" s="40"/>
      <c r="G925" s="40"/>
      <c r="H925" s="5"/>
      <c r="Q925" s="40"/>
      <c r="R925" s="40"/>
      <c r="S925" s="40"/>
      <c r="T925" s="40"/>
      <c r="U925" s="40"/>
      <c r="W925" s="40"/>
      <c r="X925" s="40"/>
      <c r="Y925" s="40"/>
      <c r="Z925" s="41"/>
      <c r="AA925" s="41"/>
      <c r="AB925" s="41"/>
      <c r="AC925" s="41"/>
      <c r="AD925" s="41"/>
      <c r="AE925" s="40"/>
      <c r="AF925" s="45"/>
      <c r="AG925" s="5"/>
      <c r="AH925" s="6"/>
      <c r="AI925" s="45"/>
      <c r="AJ925" s="45"/>
      <c r="AK925" s="40"/>
      <c r="AL925" s="40"/>
      <c r="AM925" s="40"/>
      <c r="AN925" s="45"/>
      <c r="AO925" s="40"/>
    </row>
    <row r="926" spans="2:41" ht="12.75" customHeight="1" x14ac:dyDescent="0.25">
      <c r="B926" s="40"/>
      <c r="C926" s="40"/>
      <c r="D926" s="40"/>
      <c r="E926" s="40"/>
      <c r="F926" s="40"/>
      <c r="G926" s="40"/>
      <c r="H926" s="5"/>
      <c r="Q926" s="40"/>
      <c r="R926" s="40"/>
      <c r="S926" s="40"/>
      <c r="T926" s="40"/>
      <c r="U926" s="40"/>
      <c r="W926" s="40"/>
      <c r="X926" s="40"/>
      <c r="Y926" s="40"/>
      <c r="Z926" s="41"/>
      <c r="AA926" s="41"/>
      <c r="AB926" s="41"/>
      <c r="AC926" s="41"/>
      <c r="AD926" s="41"/>
      <c r="AE926" s="40"/>
      <c r="AF926" s="45"/>
      <c r="AG926" s="5"/>
      <c r="AH926" s="6"/>
      <c r="AI926" s="45"/>
      <c r="AJ926" s="45"/>
      <c r="AK926" s="40"/>
      <c r="AL926" s="40"/>
      <c r="AM926" s="40"/>
      <c r="AN926" s="45"/>
      <c r="AO926" s="40"/>
    </row>
    <row r="927" spans="2:41" ht="12.75" customHeight="1" x14ac:dyDescent="0.25">
      <c r="B927" s="40"/>
      <c r="C927" s="40"/>
      <c r="D927" s="40"/>
      <c r="E927" s="40"/>
      <c r="F927" s="40"/>
      <c r="G927" s="40"/>
      <c r="H927" s="5"/>
      <c r="Q927" s="40"/>
      <c r="R927" s="40"/>
      <c r="S927" s="40"/>
      <c r="T927" s="40"/>
      <c r="U927" s="40"/>
      <c r="W927" s="40"/>
      <c r="X927" s="40"/>
      <c r="Y927" s="40"/>
      <c r="Z927" s="41"/>
      <c r="AA927" s="41"/>
      <c r="AB927" s="41"/>
      <c r="AC927" s="41"/>
      <c r="AD927" s="41"/>
      <c r="AE927" s="40"/>
      <c r="AF927" s="45"/>
      <c r="AG927" s="5"/>
      <c r="AH927" s="6"/>
      <c r="AI927" s="45"/>
      <c r="AJ927" s="45"/>
      <c r="AK927" s="40"/>
      <c r="AL927" s="40"/>
      <c r="AM927" s="40"/>
      <c r="AN927" s="45"/>
      <c r="AO927" s="40"/>
    </row>
    <row r="928" spans="2:41" ht="12.75" customHeight="1" x14ac:dyDescent="0.25">
      <c r="B928" s="40"/>
      <c r="C928" s="40"/>
      <c r="D928" s="40"/>
      <c r="E928" s="40"/>
      <c r="F928" s="40"/>
      <c r="G928" s="40"/>
      <c r="H928" s="5"/>
      <c r="Q928" s="40"/>
      <c r="R928" s="40"/>
      <c r="S928" s="40"/>
      <c r="T928" s="40"/>
      <c r="U928" s="40"/>
      <c r="W928" s="40"/>
      <c r="X928" s="40"/>
      <c r="Y928" s="40"/>
      <c r="Z928" s="41"/>
      <c r="AA928" s="41"/>
      <c r="AB928" s="41"/>
      <c r="AC928" s="41"/>
      <c r="AD928" s="41"/>
      <c r="AE928" s="40"/>
      <c r="AF928" s="45"/>
      <c r="AG928" s="5"/>
      <c r="AH928" s="6"/>
      <c r="AI928" s="45"/>
      <c r="AJ928" s="45"/>
      <c r="AK928" s="40"/>
      <c r="AL928" s="40"/>
      <c r="AM928" s="40"/>
      <c r="AN928" s="45"/>
      <c r="AO928" s="40"/>
    </row>
    <row r="929" spans="2:41" ht="12.75" customHeight="1" x14ac:dyDescent="0.25">
      <c r="B929" s="40"/>
      <c r="C929" s="40"/>
      <c r="D929" s="40"/>
      <c r="E929" s="40"/>
      <c r="F929" s="40"/>
      <c r="G929" s="40"/>
      <c r="H929" s="5"/>
      <c r="Q929" s="40"/>
      <c r="R929" s="40"/>
      <c r="S929" s="40"/>
      <c r="T929" s="40"/>
      <c r="U929" s="40"/>
      <c r="W929" s="40"/>
      <c r="X929" s="40"/>
      <c r="Y929" s="40"/>
      <c r="Z929" s="41"/>
      <c r="AA929" s="41"/>
      <c r="AB929" s="41"/>
      <c r="AC929" s="41"/>
      <c r="AD929" s="41"/>
      <c r="AE929" s="40"/>
      <c r="AF929" s="45"/>
      <c r="AG929" s="5"/>
      <c r="AH929" s="6"/>
      <c r="AI929" s="45"/>
      <c r="AJ929" s="45"/>
      <c r="AK929" s="40"/>
      <c r="AL929" s="40"/>
      <c r="AM929" s="40"/>
      <c r="AN929" s="45"/>
      <c r="AO929" s="40"/>
    </row>
    <row r="930" spans="2:41" ht="12.75" customHeight="1" x14ac:dyDescent="0.25">
      <c r="B930" s="40"/>
      <c r="C930" s="40"/>
      <c r="D930" s="40"/>
      <c r="E930" s="40"/>
      <c r="F930" s="40"/>
      <c r="G930" s="40"/>
      <c r="H930" s="5"/>
      <c r="Q930" s="40"/>
      <c r="R930" s="40"/>
      <c r="S930" s="40"/>
      <c r="T930" s="40"/>
      <c r="U930" s="40"/>
      <c r="W930" s="40"/>
      <c r="X930" s="40"/>
      <c r="Y930" s="40"/>
      <c r="Z930" s="41"/>
      <c r="AA930" s="41"/>
      <c r="AB930" s="41"/>
      <c r="AC930" s="41"/>
      <c r="AD930" s="41"/>
      <c r="AE930" s="40"/>
      <c r="AF930" s="45"/>
      <c r="AG930" s="5"/>
      <c r="AH930" s="6"/>
      <c r="AI930" s="45"/>
      <c r="AJ930" s="45"/>
      <c r="AK930" s="40"/>
      <c r="AL930" s="40"/>
      <c r="AM930" s="40"/>
      <c r="AN930" s="45"/>
      <c r="AO930" s="40"/>
    </row>
    <row r="931" spans="2:41" ht="12.75" customHeight="1" x14ac:dyDescent="0.25">
      <c r="B931" s="40"/>
      <c r="C931" s="40"/>
      <c r="D931" s="40"/>
      <c r="E931" s="40"/>
      <c r="F931" s="40"/>
      <c r="G931" s="40"/>
      <c r="H931" s="5"/>
      <c r="Q931" s="40"/>
      <c r="R931" s="40"/>
      <c r="S931" s="40"/>
      <c r="T931" s="40"/>
      <c r="U931" s="40"/>
      <c r="W931" s="40"/>
      <c r="X931" s="40"/>
      <c r="Y931" s="40"/>
      <c r="Z931" s="41"/>
      <c r="AA931" s="41"/>
      <c r="AB931" s="41"/>
      <c r="AC931" s="41"/>
      <c r="AD931" s="41"/>
      <c r="AE931" s="40"/>
      <c r="AF931" s="45"/>
      <c r="AG931" s="5"/>
      <c r="AH931" s="6"/>
      <c r="AI931" s="45"/>
      <c r="AJ931" s="45"/>
      <c r="AK931" s="40"/>
      <c r="AL931" s="40"/>
      <c r="AM931" s="40"/>
      <c r="AN931" s="45"/>
      <c r="AO931" s="40"/>
    </row>
    <row r="932" spans="2:41" ht="12.75" customHeight="1" x14ac:dyDescent="0.25">
      <c r="B932" s="40"/>
      <c r="C932" s="40"/>
      <c r="D932" s="40"/>
      <c r="E932" s="40"/>
      <c r="F932" s="40"/>
      <c r="G932" s="40"/>
      <c r="H932" s="5"/>
      <c r="Q932" s="40"/>
      <c r="R932" s="40"/>
      <c r="S932" s="40"/>
      <c r="T932" s="40"/>
      <c r="U932" s="40"/>
      <c r="W932" s="40"/>
      <c r="X932" s="40"/>
      <c r="Y932" s="40"/>
      <c r="Z932" s="41"/>
      <c r="AA932" s="41"/>
      <c r="AB932" s="41"/>
      <c r="AC932" s="41"/>
      <c r="AD932" s="41"/>
      <c r="AE932" s="40"/>
      <c r="AF932" s="45"/>
      <c r="AG932" s="5"/>
      <c r="AH932" s="6"/>
      <c r="AI932" s="45"/>
      <c r="AJ932" s="45"/>
      <c r="AK932" s="40"/>
      <c r="AL932" s="40"/>
      <c r="AM932" s="40"/>
      <c r="AN932" s="45"/>
      <c r="AO932" s="40"/>
    </row>
    <row r="933" spans="2:41" ht="12.75" customHeight="1" x14ac:dyDescent="0.25">
      <c r="B933" s="40"/>
      <c r="C933" s="40"/>
      <c r="D933" s="40"/>
      <c r="E933" s="40"/>
      <c r="F933" s="40"/>
      <c r="G933" s="40"/>
      <c r="H933" s="5"/>
      <c r="Q933" s="40"/>
      <c r="R933" s="40"/>
      <c r="S933" s="40"/>
      <c r="T933" s="40"/>
      <c r="U933" s="40"/>
      <c r="W933" s="40"/>
      <c r="X933" s="40"/>
      <c r="Y933" s="40"/>
      <c r="Z933" s="41"/>
      <c r="AA933" s="41"/>
      <c r="AB933" s="41"/>
      <c r="AC933" s="41"/>
      <c r="AD933" s="41"/>
      <c r="AE933" s="40"/>
      <c r="AF933" s="45"/>
      <c r="AG933" s="5"/>
      <c r="AH933" s="6"/>
      <c r="AI933" s="45"/>
      <c r="AJ933" s="45"/>
      <c r="AK933" s="40"/>
      <c r="AL933" s="40"/>
      <c r="AM933" s="40"/>
      <c r="AN933" s="45"/>
      <c r="AO933" s="40"/>
    </row>
    <row r="934" spans="2:41" ht="12.75" customHeight="1" x14ac:dyDescent="0.25">
      <c r="B934" s="40"/>
      <c r="C934" s="40"/>
      <c r="D934" s="40"/>
      <c r="E934" s="40"/>
      <c r="F934" s="40"/>
      <c r="G934" s="40"/>
      <c r="H934" s="5"/>
      <c r="Q934" s="40"/>
      <c r="R934" s="40"/>
      <c r="S934" s="40"/>
      <c r="T934" s="40"/>
      <c r="U934" s="40"/>
      <c r="W934" s="40"/>
      <c r="X934" s="40"/>
      <c r="Y934" s="40"/>
      <c r="Z934" s="41"/>
      <c r="AA934" s="41"/>
      <c r="AB934" s="41"/>
      <c r="AC934" s="41"/>
      <c r="AD934" s="41"/>
      <c r="AE934" s="40"/>
      <c r="AF934" s="45"/>
      <c r="AG934" s="5"/>
      <c r="AH934" s="6"/>
      <c r="AI934" s="45"/>
      <c r="AJ934" s="45"/>
      <c r="AK934" s="40"/>
      <c r="AL934" s="40"/>
      <c r="AM934" s="40"/>
      <c r="AN934" s="45"/>
      <c r="AO934" s="40"/>
    </row>
    <row r="935" spans="2:41" ht="12.75" customHeight="1" x14ac:dyDescent="0.25">
      <c r="B935" s="40"/>
      <c r="C935" s="40"/>
      <c r="D935" s="40"/>
      <c r="E935" s="40"/>
      <c r="F935" s="40"/>
      <c r="G935" s="40"/>
      <c r="H935" s="5"/>
      <c r="Q935" s="40"/>
      <c r="R935" s="40"/>
      <c r="S935" s="40"/>
      <c r="T935" s="40"/>
      <c r="U935" s="40"/>
      <c r="W935" s="40"/>
      <c r="X935" s="40"/>
      <c r="Y935" s="40"/>
      <c r="Z935" s="41"/>
      <c r="AA935" s="41"/>
      <c r="AB935" s="41"/>
      <c r="AC935" s="41"/>
      <c r="AD935" s="41"/>
      <c r="AE935" s="40"/>
      <c r="AF935" s="45"/>
      <c r="AG935" s="5"/>
      <c r="AH935" s="6"/>
      <c r="AI935" s="45"/>
      <c r="AJ935" s="45"/>
      <c r="AK935" s="40"/>
      <c r="AL935" s="40"/>
      <c r="AM935" s="40"/>
      <c r="AN935" s="45"/>
      <c r="AO935" s="40"/>
    </row>
    <row r="936" spans="2:41" ht="12.75" customHeight="1" x14ac:dyDescent="0.25">
      <c r="B936" s="40"/>
      <c r="C936" s="40"/>
      <c r="D936" s="40"/>
      <c r="E936" s="40"/>
      <c r="F936" s="40"/>
      <c r="G936" s="40"/>
      <c r="H936" s="5"/>
      <c r="Q936" s="40"/>
      <c r="R936" s="40"/>
      <c r="S936" s="40"/>
      <c r="T936" s="40"/>
      <c r="U936" s="40"/>
      <c r="W936" s="40"/>
      <c r="X936" s="40"/>
      <c r="Y936" s="40"/>
      <c r="Z936" s="41"/>
      <c r="AA936" s="41"/>
      <c r="AB936" s="41"/>
      <c r="AC936" s="41"/>
      <c r="AD936" s="41"/>
      <c r="AE936" s="40"/>
      <c r="AF936" s="45"/>
      <c r="AG936" s="5"/>
      <c r="AH936" s="6"/>
      <c r="AI936" s="45"/>
      <c r="AJ936" s="45"/>
      <c r="AK936" s="40"/>
      <c r="AL936" s="40"/>
      <c r="AM936" s="40"/>
      <c r="AN936" s="45"/>
      <c r="AO936" s="40"/>
    </row>
    <row r="937" spans="2:41" ht="12.75" customHeight="1" x14ac:dyDescent="0.25">
      <c r="B937" s="40"/>
      <c r="C937" s="40"/>
      <c r="D937" s="40"/>
      <c r="E937" s="40"/>
      <c r="F937" s="40"/>
      <c r="G937" s="40"/>
      <c r="H937" s="5"/>
      <c r="Q937" s="40"/>
      <c r="R937" s="40"/>
      <c r="S937" s="40"/>
      <c r="T937" s="40"/>
      <c r="U937" s="40"/>
      <c r="W937" s="40"/>
      <c r="X937" s="40"/>
      <c r="Y937" s="40"/>
      <c r="Z937" s="41"/>
      <c r="AA937" s="41"/>
      <c r="AB937" s="41"/>
      <c r="AC937" s="41"/>
      <c r="AD937" s="41"/>
      <c r="AE937" s="40"/>
      <c r="AF937" s="45"/>
      <c r="AG937" s="5"/>
      <c r="AH937" s="6"/>
      <c r="AI937" s="45"/>
      <c r="AJ937" s="45"/>
      <c r="AK937" s="40"/>
      <c r="AL937" s="40"/>
      <c r="AM937" s="40"/>
      <c r="AN937" s="45"/>
      <c r="AO937" s="40"/>
    </row>
    <row r="938" spans="2:41" ht="12.75" customHeight="1" x14ac:dyDescent="0.25">
      <c r="B938" s="40"/>
      <c r="C938" s="40"/>
      <c r="D938" s="40"/>
      <c r="E938" s="40"/>
      <c r="F938" s="40"/>
      <c r="G938" s="40"/>
      <c r="H938" s="5"/>
      <c r="Q938" s="40"/>
      <c r="R938" s="40"/>
      <c r="S938" s="40"/>
      <c r="T938" s="40"/>
      <c r="U938" s="40"/>
      <c r="W938" s="40"/>
      <c r="X938" s="40"/>
      <c r="Y938" s="40"/>
      <c r="Z938" s="41"/>
      <c r="AA938" s="41"/>
      <c r="AB938" s="41"/>
      <c r="AC938" s="41"/>
      <c r="AD938" s="41"/>
      <c r="AE938" s="40"/>
      <c r="AF938" s="45"/>
      <c r="AG938" s="5"/>
      <c r="AH938" s="6"/>
      <c r="AI938" s="45"/>
      <c r="AJ938" s="45"/>
      <c r="AK938" s="40"/>
      <c r="AL938" s="40"/>
      <c r="AM938" s="40"/>
      <c r="AN938" s="45"/>
      <c r="AO938" s="40"/>
    </row>
    <row r="939" spans="2:41" ht="12.75" customHeight="1" x14ac:dyDescent="0.25">
      <c r="B939" s="40"/>
      <c r="C939" s="40"/>
      <c r="D939" s="40"/>
      <c r="E939" s="40"/>
      <c r="F939" s="40"/>
      <c r="G939" s="40"/>
      <c r="H939" s="5"/>
      <c r="Q939" s="40"/>
      <c r="R939" s="40"/>
      <c r="S939" s="40"/>
      <c r="T939" s="40"/>
      <c r="U939" s="40"/>
      <c r="W939" s="40"/>
      <c r="X939" s="40"/>
      <c r="Y939" s="40"/>
      <c r="Z939" s="41"/>
      <c r="AA939" s="41"/>
      <c r="AB939" s="41"/>
      <c r="AC939" s="41"/>
      <c r="AD939" s="41"/>
      <c r="AE939" s="40"/>
      <c r="AF939" s="45"/>
      <c r="AG939" s="5"/>
      <c r="AH939" s="6"/>
      <c r="AI939" s="45"/>
      <c r="AJ939" s="45"/>
      <c r="AK939" s="40"/>
      <c r="AL939" s="40"/>
      <c r="AM939" s="40"/>
      <c r="AN939" s="45"/>
      <c r="AO939" s="40"/>
    </row>
    <row r="940" spans="2:41" ht="12.75" customHeight="1" x14ac:dyDescent="0.25">
      <c r="B940" s="40"/>
      <c r="C940" s="40"/>
      <c r="D940" s="40"/>
      <c r="E940" s="40"/>
      <c r="F940" s="40"/>
      <c r="G940" s="40"/>
      <c r="H940" s="5"/>
      <c r="Q940" s="40"/>
      <c r="R940" s="40"/>
      <c r="S940" s="40"/>
      <c r="T940" s="40"/>
      <c r="U940" s="40"/>
      <c r="W940" s="40"/>
      <c r="X940" s="40"/>
      <c r="Y940" s="40"/>
      <c r="Z940" s="41"/>
      <c r="AA940" s="41"/>
      <c r="AB940" s="41"/>
      <c r="AC940" s="41"/>
      <c r="AD940" s="41"/>
      <c r="AE940" s="40"/>
      <c r="AF940" s="45"/>
      <c r="AG940" s="5"/>
      <c r="AH940" s="6"/>
      <c r="AI940" s="45"/>
      <c r="AJ940" s="45"/>
      <c r="AK940" s="40"/>
      <c r="AL940" s="40"/>
      <c r="AM940" s="40"/>
      <c r="AN940" s="45"/>
      <c r="AO940" s="40"/>
    </row>
    <row r="941" spans="2:41" ht="12.75" customHeight="1" x14ac:dyDescent="0.25">
      <c r="B941" s="40"/>
      <c r="C941" s="40"/>
      <c r="D941" s="40"/>
      <c r="E941" s="40"/>
      <c r="F941" s="40"/>
      <c r="G941" s="40"/>
      <c r="H941" s="5"/>
      <c r="Q941" s="40"/>
      <c r="R941" s="40"/>
      <c r="S941" s="40"/>
      <c r="T941" s="40"/>
      <c r="U941" s="40"/>
      <c r="W941" s="40"/>
      <c r="X941" s="40"/>
      <c r="Y941" s="40"/>
      <c r="Z941" s="41"/>
      <c r="AA941" s="41"/>
      <c r="AB941" s="41"/>
      <c r="AC941" s="41"/>
      <c r="AD941" s="41"/>
      <c r="AE941" s="40"/>
      <c r="AF941" s="45"/>
      <c r="AG941" s="5"/>
      <c r="AH941" s="6"/>
      <c r="AI941" s="45"/>
      <c r="AJ941" s="45"/>
      <c r="AK941" s="40"/>
      <c r="AL941" s="40"/>
      <c r="AM941" s="40"/>
      <c r="AN941" s="45"/>
      <c r="AO941" s="40"/>
    </row>
    <row r="942" spans="2:41" ht="12.75" customHeight="1" x14ac:dyDescent="0.25">
      <c r="B942" s="40"/>
      <c r="C942" s="40"/>
      <c r="D942" s="40"/>
      <c r="E942" s="40"/>
      <c r="F942" s="40"/>
      <c r="G942" s="40"/>
      <c r="H942" s="5"/>
      <c r="Q942" s="40"/>
      <c r="R942" s="40"/>
      <c r="S942" s="40"/>
      <c r="T942" s="40"/>
      <c r="U942" s="40"/>
      <c r="W942" s="40"/>
      <c r="X942" s="40"/>
      <c r="Y942" s="40"/>
      <c r="Z942" s="41"/>
      <c r="AA942" s="41"/>
      <c r="AB942" s="41"/>
      <c r="AC942" s="41"/>
      <c r="AD942" s="41"/>
      <c r="AE942" s="40"/>
      <c r="AF942" s="45"/>
      <c r="AG942" s="5"/>
      <c r="AH942" s="6"/>
      <c r="AI942" s="45"/>
      <c r="AJ942" s="45"/>
      <c r="AK942" s="40"/>
      <c r="AL942" s="40"/>
      <c r="AM942" s="40"/>
      <c r="AN942" s="45"/>
      <c r="AO942" s="40"/>
    </row>
    <row r="943" spans="2:41" ht="12.75" customHeight="1" x14ac:dyDescent="0.25">
      <c r="B943" s="40"/>
      <c r="C943" s="40"/>
      <c r="D943" s="40"/>
      <c r="E943" s="40"/>
      <c r="F943" s="40"/>
      <c r="G943" s="40"/>
      <c r="H943" s="5"/>
      <c r="Q943" s="40"/>
      <c r="R943" s="40"/>
      <c r="S943" s="40"/>
      <c r="T943" s="40"/>
      <c r="U943" s="40"/>
      <c r="W943" s="40"/>
      <c r="X943" s="40"/>
      <c r="Y943" s="40"/>
      <c r="Z943" s="41"/>
      <c r="AA943" s="41"/>
      <c r="AB943" s="41"/>
      <c r="AC943" s="41"/>
      <c r="AD943" s="41"/>
      <c r="AE943" s="40"/>
      <c r="AF943" s="45"/>
      <c r="AG943" s="5"/>
      <c r="AH943" s="6"/>
      <c r="AI943" s="45"/>
      <c r="AJ943" s="45"/>
      <c r="AK943" s="40"/>
      <c r="AL943" s="40"/>
      <c r="AM943" s="40"/>
      <c r="AN943" s="45"/>
      <c r="AO943" s="40"/>
    </row>
    <row r="944" spans="2:41" ht="12.75" customHeight="1" x14ac:dyDescent="0.25">
      <c r="B944" s="40"/>
      <c r="C944" s="40"/>
      <c r="D944" s="40"/>
      <c r="E944" s="40"/>
      <c r="F944" s="40"/>
      <c r="G944" s="40"/>
      <c r="H944" s="5"/>
      <c r="Q944" s="40"/>
      <c r="R944" s="40"/>
      <c r="S944" s="40"/>
      <c r="T944" s="40"/>
      <c r="U944" s="40"/>
      <c r="W944" s="40"/>
      <c r="X944" s="40"/>
      <c r="Y944" s="40"/>
      <c r="Z944" s="41"/>
      <c r="AA944" s="41"/>
      <c r="AB944" s="41"/>
      <c r="AC944" s="41"/>
      <c r="AD944" s="41"/>
      <c r="AE944" s="40"/>
      <c r="AF944" s="45"/>
      <c r="AG944" s="5"/>
      <c r="AH944" s="6"/>
      <c r="AI944" s="45"/>
      <c r="AJ944" s="45"/>
      <c r="AK944" s="40"/>
      <c r="AL944" s="40"/>
      <c r="AM944" s="40"/>
      <c r="AN944" s="45"/>
      <c r="AO944" s="40"/>
    </row>
    <row r="945" spans="2:41" ht="12.75" customHeight="1" x14ac:dyDescent="0.25">
      <c r="B945" s="40"/>
      <c r="C945" s="40"/>
      <c r="D945" s="40"/>
      <c r="E945" s="40"/>
      <c r="F945" s="40"/>
      <c r="G945" s="40"/>
      <c r="H945" s="5"/>
      <c r="Q945" s="40"/>
      <c r="R945" s="40"/>
      <c r="S945" s="40"/>
      <c r="T945" s="40"/>
      <c r="U945" s="40"/>
      <c r="W945" s="40"/>
      <c r="X945" s="40"/>
      <c r="Y945" s="40"/>
      <c r="Z945" s="41"/>
      <c r="AA945" s="41"/>
      <c r="AB945" s="41"/>
      <c r="AC945" s="41"/>
      <c r="AD945" s="41"/>
      <c r="AE945" s="40"/>
      <c r="AF945" s="45"/>
      <c r="AG945" s="5"/>
      <c r="AH945" s="6"/>
      <c r="AI945" s="45"/>
      <c r="AJ945" s="45"/>
      <c r="AK945" s="40"/>
      <c r="AL945" s="40"/>
      <c r="AM945" s="40"/>
      <c r="AN945" s="45"/>
      <c r="AO945" s="40"/>
    </row>
    <row r="946" spans="2:41" ht="12.75" customHeight="1" x14ac:dyDescent="0.25">
      <c r="B946" s="40"/>
      <c r="C946" s="40"/>
      <c r="D946" s="40"/>
      <c r="E946" s="40"/>
      <c r="F946" s="40"/>
      <c r="G946" s="40"/>
      <c r="H946" s="5"/>
      <c r="Q946" s="40"/>
      <c r="R946" s="40"/>
      <c r="S946" s="40"/>
      <c r="T946" s="40"/>
      <c r="U946" s="40"/>
      <c r="W946" s="40"/>
      <c r="X946" s="40"/>
      <c r="Y946" s="40"/>
      <c r="Z946" s="41"/>
      <c r="AA946" s="41"/>
      <c r="AB946" s="41"/>
      <c r="AC946" s="41"/>
      <c r="AD946" s="41"/>
      <c r="AE946" s="40"/>
      <c r="AF946" s="45"/>
      <c r="AG946" s="5"/>
      <c r="AH946" s="6"/>
      <c r="AI946" s="45"/>
      <c r="AJ946" s="45"/>
      <c r="AK946" s="40"/>
      <c r="AL946" s="40"/>
      <c r="AM946" s="40"/>
      <c r="AN946" s="45"/>
      <c r="AO946" s="40"/>
    </row>
    <row r="947" spans="2:41" ht="12.75" customHeight="1" x14ac:dyDescent="0.25">
      <c r="B947" s="40"/>
      <c r="C947" s="40"/>
      <c r="D947" s="40"/>
      <c r="E947" s="40"/>
      <c r="F947" s="40"/>
      <c r="G947" s="40"/>
      <c r="H947" s="5"/>
      <c r="Q947" s="40"/>
      <c r="R947" s="40"/>
      <c r="S947" s="40"/>
      <c r="T947" s="40"/>
      <c r="U947" s="40"/>
      <c r="W947" s="40"/>
      <c r="X947" s="40"/>
      <c r="Y947" s="40"/>
      <c r="Z947" s="41"/>
      <c r="AA947" s="41"/>
      <c r="AB947" s="41"/>
      <c r="AC947" s="41"/>
      <c r="AD947" s="41"/>
      <c r="AE947" s="40"/>
      <c r="AF947" s="45"/>
      <c r="AG947" s="5"/>
      <c r="AH947" s="6"/>
      <c r="AI947" s="45"/>
      <c r="AJ947" s="45"/>
      <c r="AK947" s="40"/>
      <c r="AL947" s="40"/>
      <c r="AM947" s="40"/>
      <c r="AN947" s="45"/>
      <c r="AO947" s="40"/>
    </row>
    <row r="948" spans="2:41" ht="12.75" customHeight="1" x14ac:dyDescent="0.25">
      <c r="B948" s="40"/>
      <c r="C948" s="40"/>
      <c r="D948" s="40"/>
      <c r="E948" s="40"/>
      <c r="F948" s="40"/>
      <c r="G948" s="40"/>
      <c r="H948" s="5"/>
      <c r="Q948" s="40"/>
      <c r="R948" s="40"/>
      <c r="S948" s="40"/>
      <c r="T948" s="40"/>
      <c r="U948" s="40"/>
      <c r="W948" s="40"/>
      <c r="X948" s="40"/>
      <c r="Y948" s="40"/>
      <c r="Z948" s="41"/>
      <c r="AA948" s="41"/>
      <c r="AB948" s="41"/>
      <c r="AC948" s="41"/>
      <c r="AD948" s="41"/>
      <c r="AE948" s="40"/>
      <c r="AF948" s="45"/>
      <c r="AG948" s="5"/>
      <c r="AH948" s="6"/>
      <c r="AI948" s="45"/>
      <c r="AJ948" s="45"/>
      <c r="AK948" s="40"/>
      <c r="AL948" s="40"/>
      <c r="AM948" s="40"/>
      <c r="AN948" s="45"/>
      <c r="AO948" s="40"/>
    </row>
    <row r="949" spans="2:41" ht="12.75" customHeight="1" x14ac:dyDescent="0.25">
      <c r="B949" s="40"/>
      <c r="C949" s="40"/>
      <c r="D949" s="40"/>
      <c r="E949" s="40"/>
      <c r="F949" s="40"/>
      <c r="G949" s="40"/>
      <c r="H949" s="5"/>
      <c r="Q949" s="40"/>
      <c r="R949" s="40"/>
      <c r="S949" s="40"/>
      <c r="T949" s="40"/>
      <c r="U949" s="40"/>
      <c r="W949" s="40"/>
      <c r="X949" s="40"/>
      <c r="Y949" s="40"/>
      <c r="Z949" s="41"/>
      <c r="AA949" s="41"/>
      <c r="AB949" s="41"/>
      <c r="AC949" s="41"/>
      <c r="AD949" s="41"/>
      <c r="AE949" s="40"/>
      <c r="AF949" s="45"/>
      <c r="AG949" s="5"/>
      <c r="AH949" s="6"/>
      <c r="AI949" s="45"/>
      <c r="AJ949" s="45"/>
      <c r="AK949" s="40"/>
      <c r="AL949" s="40"/>
      <c r="AM949" s="40"/>
      <c r="AN949" s="45"/>
      <c r="AO949" s="40"/>
    </row>
    <row r="950" spans="2:41" ht="12.75" customHeight="1" x14ac:dyDescent="0.25">
      <c r="B950" s="40"/>
      <c r="C950" s="40"/>
      <c r="D950" s="40"/>
      <c r="E950" s="40"/>
      <c r="F950" s="40"/>
      <c r="G950" s="40"/>
      <c r="H950" s="5"/>
      <c r="Q950" s="40"/>
      <c r="R950" s="40"/>
      <c r="S950" s="40"/>
      <c r="T950" s="40"/>
      <c r="U950" s="40"/>
      <c r="W950" s="40"/>
      <c r="X950" s="40"/>
      <c r="Y950" s="40"/>
      <c r="Z950" s="41"/>
      <c r="AA950" s="41"/>
      <c r="AB950" s="41"/>
      <c r="AC950" s="41"/>
      <c r="AD950" s="41"/>
      <c r="AE950" s="40"/>
      <c r="AF950" s="45"/>
      <c r="AG950" s="5"/>
      <c r="AH950" s="6"/>
      <c r="AI950" s="45"/>
      <c r="AJ950" s="45"/>
      <c r="AK950" s="40"/>
      <c r="AL950" s="40"/>
      <c r="AM950" s="40"/>
      <c r="AN950" s="45"/>
      <c r="AO950" s="40"/>
    </row>
    <row r="951" spans="2:41" ht="12.75" customHeight="1" x14ac:dyDescent="0.25">
      <c r="B951" s="40"/>
      <c r="C951" s="40"/>
      <c r="D951" s="40"/>
      <c r="E951" s="40"/>
      <c r="F951" s="40"/>
      <c r="G951" s="40"/>
      <c r="H951" s="5"/>
      <c r="Q951" s="40"/>
      <c r="R951" s="40"/>
      <c r="S951" s="40"/>
      <c r="T951" s="40"/>
      <c r="U951" s="40"/>
      <c r="W951" s="40"/>
      <c r="X951" s="40"/>
      <c r="Y951" s="40"/>
      <c r="Z951" s="41"/>
      <c r="AA951" s="41"/>
      <c r="AB951" s="41"/>
      <c r="AC951" s="41"/>
      <c r="AD951" s="41"/>
      <c r="AE951" s="40"/>
      <c r="AF951" s="45"/>
      <c r="AG951" s="5"/>
      <c r="AH951" s="6"/>
      <c r="AI951" s="45"/>
      <c r="AJ951" s="45"/>
      <c r="AK951" s="40"/>
      <c r="AL951" s="40"/>
      <c r="AM951" s="40"/>
      <c r="AN951" s="45"/>
      <c r="AO951" s="40"/>
    </row>
    <row r="952" spans="2:41" ht="12.75" customHeight="1" x14ac:dyDescent="0.25">
      <c r="B952" s="40"/>
      <c r="C952" s="40"/>
      <c r="D952" s="40"/>
      <c r="E952" s="40"/>
      <c r="F952" s="40"/>
      <c r="G952" s="40"/>
      <c r="H952" s="5"/>
      <c r="Q952" s="40"/>
      <c r="R952" s="40"/>
      <c r="S952" s="40"/>
      <c r="T952" s="40"/>
      <c r="U952" s="40"/>
      <c r="W952" s="40"/>
      <c r="X952" s="40"/>
      <c r="Y952" s="40"/>
      <c r="Z952" s="41"/>
      <c r="AA952" s="41"/>
      <c r="AB952" s="41"/>
      <c r="AC952" s="41"/>
      <c r="AD952" s="41"/>
      <c r="AE952" s="40"/>
      <c r="AF952" s="45"/>
      <c r="AG952" s="5"/>
      <c r="AH952" s="6"/>
      <c r="AI952" s="45"/>
      <c r="AJ952" s="45"/>
      <c r="AK952" s="40"/>
      <c r="AL952" s="40"/>
      <c r="AM952" s="40"/>
      <c r="AN952" s="45"/>
      <c r="AO952" s="40"/>
    </row>
    <row r="953" spans="2:41" ht="12.75" customHeight="1" x14ac:dyDescent="0.25">
      <c r="B953" s="40"/>
      <c r="C953" s="40"/>
      <c r="D953" s="40"/>
      <c r="E953" s="40"/>
      <c r="F953" s="40"/>
      <c r="G953" s="40"/>
      <c r="H953" s="5"/>
      <c r="Q953" s="40"/>
      <c r="R953" s="40"/>
      <c r="S953" s="40"/>
      <c r="T953" s="40"/>
      <c r="U953" s="40"/>
      <c r="W953" s="40"/>
      <c r="X953" s="40"/>
      <c r="Y953" s="40"/>
      <c r="Z953" s="41"/>
      <c r="AA953" s="41"/>
      <c r="AB953" s="41"/>
      <c r="AC953" s="41"/>
      <c r="AD953" s="41"/>
      <c r="AE953" s="40"/>
      <c r="AF953" s="45"/>
      <c r="AG953" s="5"/>
      <c r="AH953" s="6"/>
      <c r="AI953" s="45"/>
      <c r="AJ953" s="45"/>
      <c r="AK953" s="40"/>
      <c r="AL953" s="40"/>
      <c r="AM953" s="40"/>
      <c r="AN953" s="45"/>
      <c r="AO953" s="40"/>
    </row>
    <row r="954" spans="2:41" ht="12.75" customHeight="1" x14ac:dyDescent="0.25">
      <c r="B954" s="40"/>
      <c r="C954" s="40"/>
      <c r="D954" s="40"/>
      <c r="E954" s="40"/>
      <c r="F954" s="40"/>
      <c r="G954" s="40"/>
      <c r="H954" s="5"/>
      <c r="Q954" s="40"/>
      <c r="R954" s="40"/>
      <c r="S954" s="40"/>
      <c r="T954" s="40"/>
      <c r="U954" s="40"/>
      <c r="W954" s="40"/>
      <c r="X954" s="40"/>
      <c r="Y954" s="40"/>
      <c r="Z954" s="41"/>
      <c r="AA954" s="41"/>
      <c r="AB954" s="41"/>
      <c r="AC954" s="41"/>
      <c r="AD954" s="41"/>
      <c r="AE954" s="40"/>
      <c r="AF954" s="45"/>
      <c r="AG954" s="5"/>
      <c r="AH954" s="6"/>
      <c r="AI954" s="45"/>
      <c r="AJ954" s="45"/>
      <c r="AK954" s="40"/>
      <c r="AL954" s="40"/>
      <c r="AM954" s="40"/>
      <c r="AN954" s="45"/>
      <c r="AO954" s="40"/>
    </row>
    <row r="955" spans="2:41" ht="12.75" customHeight="1" x14ac:dyDescent="0.25">
      <c r="B955" s="40"/>
      <c r="C955" s="40"/>
      <c r="D955" s="40"/>
      <c r="E955" s="40"/>
      <c r="F955" s="40"/>
      <c r="G955" s="40"/>
      <c r="H955" s="5"/>
      <c r="Q955" s="40"/>
      <c r="R955" s="40"/>
      <c r="S955" s="40"/>
      <c r="T955" s="40"/>
      <c r="U955" s="40"/>
      <c r="W955" s="40"/>
      <c r="X955" s="40"/>
      <c r="Y955" s="40"/>
      <c r="Z955" s="41"/>
      <c r="AA955" s="41"/>
      <c r="AB955" s="41"/>
      <c r="AC955" s="41"/>
      <c r="AD955" s="41"/>
      <c r="AE955" s="40"/>
      <c r="AF955" s="45"/>
      <c r="AG955" s="5"/>
      <c r="AH955" s="6"/>
      <c r="AI955" s="45"/>
      <c r="AJ955" s="45"/>
      <c r="AK955" s="40"/>
      <c r="AL955" s="40"/>
      <c r="AM955" s="40"/>
      <c r="AN955" s="45"/>
      <c r="AO955" s="40"/>
    </row>
    <row r="956" spans="2:41" ht="12.75" customHeight="1" x14ac:dyDescent="0.25">
      <c r="B956" s="40"/>
      <c r="C956" s="40"/>
      <c r="D956" s="40"/>
      <c r="E956" s="40"/>
      <c r="F956" s="40"/>
      <c r="G956" s="40"/>
      <c r="H956" s="5"/>
      <c r="Q956" s="40"/>
      <c r="R956" s="40"/>
      <c r="S956" s="40"/>
      <c r="T956" s="40"/>
      <c r="U956" s="40"/>
      <c r="W956" s="40"/>
      <c r="X956" s="40"/>
      <c r="Y956" s="40"/>
      <c r="Z956" s="41"/>
      <c r="AA956" s="41"/>
      <c r="AB956" s="41"/>
      <c r="AC956" s="41"/>
      <c r="AD956" s="41"/>
      <c r="AE956" s="40"/>
      <c r="AF956" s="45"/>
      <c r="AG956" s="5"/>
      <c r="AH956" s="6"/>
      <c r="AI956" s="45"/>
      <c r="AJ956" s="45"/>
      <c r="AK956" s="40"/>
      <c r="AL956" s="40"/>
      <c r="AM956" s="40"/>
      <c r="AN956" s="45"/>
      <c r="AO956" s="40"/>
    </row>
  </sheetData>
  <autoFilter ref="A5:AP109" xr:uid="{1AA4AB1A-8AA4-4F2A-894B-B2B279A8148F}">
    <filterColumn colId="1" showButton="0"/>
    <filterColumn colId="8" showButton="0"/>
    <filterColumn colId="10" showButton="0"/>
    <filterColumn colId="12" showButton="0"/>
    <filterColumn colId="14" showButton="0"/>
    <filterColumn colId="31" showButton="0"/>
    <filterColumn colId="32" showButton="0"/>
    <filterColumn colId="33" showButton="0"/>
  </autoFilter>
  <mergeCells count="13">
    <mergeCell ref="AF5:AI5"/>
    <mergeCell ref="AF4:AI4"/>
    <mergeCell ref="I4:J4"/>
    <mergeCell ref="O4:P4"/>
    <mergeCell ref="I5:J5"/>
    <mergeCell ref="O5:P5"/>
    <mergeCell ref="M4:N4"/>
    <mergeCell ref="M5:N5"/>
    <mergeCell ref="X3:AD3"/>
    <mergeCell ref="B4:C4"/>
    <mergeCell ref="B5:C5"/>
    <mergeCell ref="K5:L5"/>
    <mergeCell ref="K4:L4"/>
  </mergeCells>
  <phoneticPr fontId="21" type="noConversion"/>
  <conditionalFormatting sqref="A3">
    <cfRule type="containsText" dxfId="679" priority="492" operator="containsText" text="N/A">
      <formula>NOT(ISERROR(SEARCH("N/A",A3)))</formula>
    </cfRule>
  </conditionalFormatting>
  <conditionalFormatting sqref="A6:A800">
    <cfRule type="expression" dxfId="678" priority="170">
      <formula>ISTEXT(A6)</formula>
    </cfRule>
  </conditionalFormatting>
  <conditionalFormatting sqref="A78:F109">
    <cfRule type="containsText" dxfId="677" priority="169" operator="containsText" text="N/A">
      <formula>NOT(ISERROR(SEARCH("N/A",A78)))</formula>
    </cfRule>
  </conditionalFormatting>
  <conditionalFormatting sqref="A1:XFD77 AQ78:XFD109 A110:XFD1048576 G78:P109">
    <cfRule type="containsText" dxfId="676" priority="588" operator="containsText" text="N/A">
      <formula>NOT(ISERROR(SEARCH("N/A",A1)))</formula>
    </cfRule>
  </conditionalFormatting>
  <conditionalFormatting sqref="B6:B800">
    <cfRule type="expression" dxfId="675" priority="77">
      <formula>ISTEXT(A6)</formula>
    </cfRule>
  </conditionalFormatting>
  <conditionalFormatting sqref="B4:C5">
    <cfRule type="containsText" dxfId="674" priority="493" operator="containsText" text="N/A">
      <formula>NOT(ISERROR(SEARCH("N/A",B4)))</formula>
    </cfRule>
  </conditionalFormatting>
  <conditionalFormatting sqref="B7:C72">
    <cfRule type="containsText" dxfId="673" priority="236" operator="containsText" text="N/A">
      <formula>NOT(ISERROR(SEARCH("N/A",B7)))</formula>
    </cfRule>
  </conditionalFormatting>
  <conditionalFormatting sqref="B74:C96">
    <cfRule type="containsText" dxfId="672" priority="79" operator="containsText" text="N/A">
      <formula>NOT(ISERROR(SEARCH("N/A",B74)))</formula>
    </cfRule>
  </conditionalFormatting>
  <conditionalFormatting sqref="C6:C800">
    <cfRule type="expression" dxfId="671" priority="78">
      <formula>ISTEXT(A6)</formula>
    </cfRule>
  </conditionalFormatting>
  <conditionalFormatting sqref="D6:D800">
    <cfRule type="expression" dxfId="670" priority="76">
      <formula>ISTEXT(A6)</formula>
    </cfRule>
  </conditionalFormatting>
  <conditionalFormatting sqref="D40:D43">
    <cfRule type="containsText" dxfId="669" priority="580" operator="containsText" text="N/A">
      <formula>NOT(ISERROR(SEARCH("N/A",D40)))</formula>
    </cfRule>
  </conditionalFormatting>
  <conditionalFormatting sqref="E6:E800">
    <cfRule type="expression" dxfId="668" priority="75">
      <formula>ISTEXT(A6)</formula>
    </cfRule>
  </conditionalFormatting>
  <conditionalFormatting sqref="F6:F800">
    <cfRule type="expression" dxfId="667" priority="74">
      <formula>ISTEXT(A6)</formula>
    </cfRule>
  </conditionalFormatting>
  <conditionalFormatting sqref="H4">
    <cfRule type="containsText" dxfId="666" priority="437" operator="containsText" text="N/A">
      <formula>NOT(ISERROR(SEARCH("N/A",H4)))</formula>
    </cfRule>
  </conditionalFormatting>
  <conditionalFormatting sqref="H6:H800">
    <cfRule type="expression" dxfId="665" priority="199">
      <formula>ISTEXT(A6)</formula>
    </cfRule>
  </conditionalFormatting>
  <conditionalFormatting sqref="I1:I1048576">
    <cfRule type="cellIs" dxfId="664" priority="206" operator="lessThan">
      <formula>0</formula>
    </cfRule>
  </conditionalFormatting>
  <conditionalFormatting sqref="I4">
    <cfRule type="dataBar" priority="455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{F0F74AE4-A8E9-4B6F-97BB-673FCBB2C7A2}</x14:id>
        </ext>
      </extLst>
    </cfRule>
  </conditionalFormatting>
  <conditionalFormatting sqref="I5">
    <cfRule type="dataBar" priority="453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{DDE8E08D-0175-46FA-8002-B0F35B19A3AD}</x14:id>
        </ext>
      </extLst>
    </cfRule>
  </conditionalFormatting>
  <conditionalFormatting sqref="I6:I800">
    <cfRule type="expression" dxfId="663" priority="198">
      <formula>ISTEXT(A6)</formula>
    </cfRule>
  </conditionalFormatting>
  <conditionalFormatting sqref="J1:J3 J6:J1048576">
    <cfRule type="dataBar" priority="498">
      <dataBar>
        <cfvo type="formula" val="$J$2"/>
        <cfvo type="formula" val="$J$1"/>
        <color rgb="FF4E6D6E"/>
      </dataBar>
      <extLst>
        <ext xmlns:x14="http://schemas.microsoft.com/office/spreadsheetml/2009/9/main" uri="{B025F937-C7B1-47D3-B67F-A62EFF666E3E}">
          <x14:id>{64B20FE8-F7BF-4151-A756-CEBF42376428}</x14:id>
        </ext>
      </extLst>
    </cfRule>
  </conditionalFormatting>
  <conditionalFormatting sqref="J4:J5">
    <cfRule type="dataBar" priority="445">
      <dataBar>
        <cfvo type="formula" val="$J$2"/>
        <cfvo type="formula" val="$J$1"/>
        <color rgb="FF4E6D6E"/>
      </dataBar>
      <extLst>
        <ext xmlns:x14="http://schemas.microsoft.com/office/spreadsheetml/2009/9/main" uri="{B025F937-C7B1-47D3-B67F-A62EFF666E3E}">
          <x14:id>{399B87C0-E591-457B-9DDC-88C3B3EE05E3}</x14:id>
        </ext>
      </extLst>
    </cfRule>
  </conditionalFormatting>
  <conditionalFormatting sqref="J6:J800">
    <cfRule type="expression" dxfId="662" priority="197">
      <formula>ISTEXT(A6)</formula>
    </cfRule>
  </conditionalFormatting>
  <conditionalFormatting sqref="J63:J66 J68 J70">
    <cfRule type="dataBar" priority="414">
      <dataBar>
        <cfvo type="formula" val="$J$2"/>
        <cfvo type="formula" val="$J$1"/>
        <color rgb="FF4E6D6E"/>
      </dataBar>
      <extLst>
        <ext xmlns:x14="http://schemas.microsoft.com/office/spreadsheetml/2009/9/main" uri="{B025F937-C7B1-47D3-B67F-A62EFF666E3E}">
          <x14:id>{D7EAD270-9F70-460B-BA2E-2C0113061F00}</x14:id>
        </ext>
      </extLst>
    </cfRule>
  </conditionalFormatting>
  <conditionalFormatting sqref="J68">
    <cfRule type="dataBar" priority="330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{44B86777-5E58-43E7-868D-D6077CA4127F}</x14:id>
        </ext>
      </extLst>
    </cfRule>
  </conditionalFormatting>
  <conditionalFormatting sqref="K6:K800">
    <cfRule type="expression" dxfId="661" priority="196">
      <formula>ISTEXT(A6)</formula>
    </cfRule>
  </conditionalFormatting>
  <conditionalFormatting sqref="L1:L1048576">
    <cfRule type="dataBar" priority="442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{E31CD4B3-4A95-456D-9ED7-37A0906036B4}</x14:id>
        </ext>
      </extLst>
    </cfRule>
  </conditionalFormatting>
  <conditionalFormatting sqref="L3 Q4:Q5 T4:T5">
    <cfRule type="containsText" dxfId="660" priority="589" operator="containsText" text="N/A">
      <formula>NOT(ISERROR(SEARCH("N/A",L3)))</formula>
    </cfRule>
  </conditionalFormatting>
  <conditionalFormatting sqref="L4:L5">
    <cfRule type="dataBar" priority="446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{216F7229-BD82-46C2-9A1B-DCA27EB5A50F}</x14:id>
        </ext>
      </extLst>
    </cfRule>
  </conditionalFormatting>
  <conditionalFormatting sqref="L6:L899">
    <cfRule type="expression" dxfId="659" priority="195">
      <formula>ISTEXT(A6)</formula>
    </cfRule>
  </conditionalFormatting>
  <conditionalFormatting sqref="L63:L66 L68 L70">
    <cfRule type="dataBar" priority="415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{5604BF76-98CA-40DD-B8C8-61344AA16F77}</x14:id>
        </ext>
      </extLst>
    </cfRule>
  </conditionalFormatting>
  <conditionalFormatting sqref="L68 N68">
    <cfRule type="dataBar" priority="331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{5A31DAF9-25AA-4913-9FFA-A38CF4782880}</x14:id>
        </ext>
      </extLst>
    </cfRule>
  </conditionalFormatting>
  <conditionalFormatting sqref="M6:M800">
    <cfRule type="expression" dxfId="658" priority="194">
      <formula>ISTEXT(A6)</formula>
    </cfRule>
  </conditionalFormatting>
  <conditionalFormatting sqref="N1:N1048576">
    <cfRule type="dataBar" priority="494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{8387D394-C745-48E3-8BDF-A9BEB9F3FF6D}</x14:id>
        </ext>
      </extLst>
    </cfRule>
  </conditionalFormatting>
  <conditionalFormatting sqref="N3">
    <cfRule type="containsText" dxfId="657" priority="496" operator="containsText" text="N/A">
      <formula>NOT(ISERROR(SEARCH("N/A",N3)))</formula>
    </cfRule>
  </conditionalFormatting>
  <conditionalFormatting sqref="N4:N5">
    <cfRule type="dataBar" priority="447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{0A082476-022C-4A5C-8FF2-5748392F056F}</x14:id>
        </ext>
      </extLst>
    </cfRule>
  </conditionalFormatting>
  <conditionalFormatting sqref="N6:N800">
    <cfRule type="expression" dxfId="656" priority="193">
      <formula>ISTEXT(A6)</formula>
    </cfRule>
  </conditionalFormatting>
  <conditionalFormatting sqref="N63:N66 N68 N70">
    <cfRule type="dataBar" priority="416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{BD81F3CA-BA51-42A7-AAD0-9B1128BA6C1A}</x14:id>
        </ext>
      </extLst>
    </cfRule>
  </conditionalFormatting>
  <conditionalFormatting sqref="O4:O5">
    <cfRule type="containsText" dxfId="655" priority="452" operator="containsText" text="N/A">
      <formula>NOT(ISERROR(SEARCH("N/A",O4)))</formula>
    </cfRule>
  </conditionalFormatting>
  <conditionalFormatting sqref="O6:O800">
    <cfRule type="expression" dxfId="654" priority="192">
      <formula>ISTEXT(A6)</formula>
    </cfRule>
  </conditionalFormatting>
  <conditionalFormatting sqref="P1:P3 P6:P1048576">
    <cfRule type="dataBar" priority="658">
      <dataBar>
        <cfvo type="formula" val="$J$2"/>
        <cfvo type="formula" val="$J$1"/>
        <color rgb="FFB3C8C9"/>
      </dataBar>
      <extLst>
        <ext xmlns:x14="http://schemas.microsoft.com/office/spreadsheetml/2009/9/main" uri="{B025F937-C7B1-47D3-B67F-A62EFF666E3E}">
          <x14:id>{55E1C7EB-65E2-48C9-B10F-A3C44431C20D}</x14:id>
        </ext>
      </extLst>
    </cfRule>
  </conditionalFormatting>
  <conditionalFormatting sqref="P4:P5">
    <cfRule type="dataBar" priority="457">
      <dataBar>
        <cfvo type="formula" val="$J$2"/>
        <cfvo type="formula" val="$J$1"/>
        <color rgb="FFB3C8C9"/>
      </dataBar>
      <extLst>
        <ext xmlns:x14="http://schemas.microsoft.com/office/spreadsheetml/2009/9/main" uri="{B025F937-C7B1-47D3-B67F-A62EFF666E3E}">
          <x14:id>{A6901F09-9741-4031-8039-982A05660026}</x14:id>
        </ext>
      </extLst>
    </cfRule>
  </conditionalFormatting>
  <conditionalFormatting sqref="P6:P800">
    <cfRule type="expression" dxfId="653" priority="174">
      <formula>ISTEXT(A6)</formula>
    </cfRule>
  </conditionalFormatting>
  <conditionalFormatting sqref="P63:P66 P68 P70">
    <cfRule type="dataBar" priority="432">
      <dataBar>
        <cfvo type="formula" val="$J$2"/>
        <cfvo type="formula" val="$J$1"/>
        <color rgb="FFB3C8C9"/>
      </dataBar>
      <extLst>
        <ext xmlns:x14="http://schemas.microsoft.com/office/spreadsheetml/2009/9/main" uri="{B025F937-C7B1-47D3-B67F-A62EFF666E3E}">
          <x14:id>{39CEF80D-FDFC-4222-A261-9EFE6E5AFE22}</x14:id>
        </ext>
      </extLst>
    </cfRule>
  </conditionalFormatting>
  <conditionalFormatting sqref="P68">
    <cfRule type="dataBar" priority="348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{04535207-8A4F-47C9-95B7-B96AD1B666D4}</x14:id>
        </ext>
      </extLst>
    </cfRule>
  </conditionalFormatting>
  <conditionalFormatting sqref="P69:P70">
    <cfRule type="dataBar" priority="291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{266DEF02-F925-4C4F-B4F0-42A0FD8A7906}</x14:id>
        </ext>
      </extLst>
    </cfRule>
  </conditionalFormatting>
  <conditionalFormatting sqref="Q6:Q96">
    <cfRule type="expression" dxfId="652" priority="71">
      <formula>ISTEXT(A6)</formula>
    </cfRule>
  </conditionalFormatting>
  <conditionalFormatting sqref="Q110:Q800">
    <cfRule type="expression" dxfId="651" priority="474">
      <formula>ISTEXT(A110)</formula>
    </cfRule>
  </conditionalFormatting>
  <conditionalFormatting sqref="Q58:R65">
    <cfRule type="expression" dxfId="650" priority="475">
      <formula>ISTEXT(B58)</formula>
    </cfRule>
  </conditionalFormatting>
  <conditionalFormatting sqref="Q63:R65">
    <cfRule type="expression" dxfId="649" priority="396">
      <formula>ISTEXT(A63)</formula>
    </cfRule>
  </conditionalFormatting>
  <conditionalFormatting sqref="Q74:R74">
    <cfRule type="expression" dxfId="648" priority="232">
      <formula>ISTEXT(B74)</formula>
    </cfRule>
  </conditionalFormatting>
  <conditionalFormatting sqref="Q97:R109">
    <cfRule type="expression" dxfId="647" priority="65">
      <formula>ISTEXT(A97)</formula>
    </cfRule>
  </conditionalFormatting>
  <conditionalFormatting sqref="Q78:V109">
    <cfRule type="containsText" dxfId="646" priority="72" operator="containsText" text="N/A">
      <formula>NOT(ISERROR(SEARCH("N/A",Q78)))</formula>
    </cfRule>
  </conditionalFormatting>
  <conditionalFormatting sqref="R4">
    <cfRule type="containsText" dxfId="645" priority="365" operator="containsText" text="N/A">
      <formula>NOT(ISERROR(SEARCH("N/A",R4)))</formula>
    </cfRule>
  </conditionalFormatting>
  <conditionalFormatting sqref="R5">
    <cfRule type="containsText" dxfId="644" priority="366" operator="containsText" text="N/A">
      <formula>NOT(ISERROR(SEARCH("N/A",R5)))</formula>
    </cfRule>
    <cfRule type="containsText" dxfId="643" priority="367" operator="containsText" text="N/A">
      <formula>NOT(ISERROR(SEARCH("N/A",R5)))</formula>
    </cfRule>
  </conditionalFormatting>
  <conditionalFormatting sqref="R6:R800">
    <cfRule type="expression" dxfId="642" priority="62">
      <formula>ISTEXT(A6)</formula>
    </cfRule>
  </conditionalFormatting>
  <conditionalFormatting sqref="S68:S70">
    <cfRule type="expression" dxfId="641" priority="257">
      <formula>ISTEXT(A68)</formula>
    </cfRule>
  </conditionalFormatting>
  <conditionalFormatting sqref="S75:S77">
    <cfRule type="expression" dxfId="640" priority="190">
      <formula>ISTEXT(A75)</formula>
    </cfRule>
  </conditionalFormatting>
  <conditionalFormatting sqref="S6:T67">
    <cfRule type="expression" dxfId="639" priority="395">
      <formula>ISTEXT(A6)</formula>
    </cfRule>
  </conditionalFormatting>
  <conditionalFormatting sqref="S71:T74">
    <cfRule type="expression" dxfId="638" priority="473">
      <formula>ISTEXT(A71)</formula>
    </cfRule>
  </conditionalFormatting>
  <conditionalFormatting sqref="S78:T800">
    <cfRule type="expression" dxfId="637" priority="64">
      <formula>ISTEXT(A78)</formula>
    </cfRule>
  </conditionalFormatting>
  <conditionalFormatting sqref="S4:U5">
    <cfRule type="containsText" dxfId="636" priority="448" operator="containsText" text="N/A">
      <formula>NOT(ISERROR(SEARCH("N/A",S4)))</formula>
    </cfRule>
  </conditionalFormatting>
  <conditionalFormatting sqref="T6:T800">
    <cfRule type="expression" dxfId="635" priority="66">
      <formula>ISTEXT(A6)</formula>
    </cfRule>
  </conditionalFormatting>
  <conditionalFormatting sqref="T65">
    <cfRule type="expression" dxfId="634" priority="358">
      <formula>ISTEXT(B65)</formula>
    </cfRule>
  </conditionalFormatting>
  <conditionalFormatting sqref="U6:U800">
    <cfRule type="expression" dxfId="633" priority="63">
      <formula>ISTEXT(A6)</formula>
    </cfRule>
  </conditionalFormatting>
  <conditionalFormatting sqref="U58:U62">
    <cfRule type="expression" dxfId="632" priority="730">
      <formula>ISTEXT(D58)</formula>
    </cfRule>
  </conditionalFormatting>
  <conditionalFormatting sqref="U74">
    <cfRule type="expression" dxfId="631" priority="235">
      <formula>ISTEXT(D74)</formula>
    </cfRule>
  </conditionalFormatting>
  <conditionalFormatting sqref="W4">
    <cfRule type="containsText" dxfId="630" priority="362" operator="containsText" text="N/A">
      <formula>NOT(ISERROR(SEARCH("N/A",W4)))</formula>
    </cfRule>
  </conditionalFormatting>
  <conditionalFormatting sqref="W6:W67 W71:W74 W110:X800">
    <cfRule type="expression" dxfId="629" priority="363">
      <formula>ISTEXT(XFD6)</formula>
    </cfRule>
  </conditionalFormatting>
  <conditionalFormatting sqref="W6:W800">
    <cfRule type="expression" dxfId="628" priority="31">
      <formula>ISTEXT(A6)</formula>
    </cfRule>
  </conditionalFormatting>
  <conditionalFormatting sqref="W78:W109">
    <cfRule type="expression" dxfId="627" priority="32">
      <formula>ISTEXT(XFD78)</formula>
    </cfRule>
  </conditionalFormatting>
  <conditionalFormatting sqref="W4:X4">
    <cfRule type="containsText" dxfId="626" priority="361" operator="containsText" text="N/A">
      <formula>NOT(ISERROR(SEARCH("N/A",W4)))</formula>
    </cfRule>
  </conditionalFormatting>
  <conditionalFormatting sqref="W78:AP96 AF97:AP109 W97:AD109">
    <cfRule type="containsText" dxfId="625" priority="54" operator="containsText" text="N/A">
      <formula>NOT(ISERROR(SEARCH("N/A",W78)))</formula>
    </cfRule>
  </conditionalFormatting>
  <conditionalFormatting sqref="X6:X62 Y58:Y62 X63:Y65 X74:Y74">
    <cfRule type="expression" dxfId="624" priority="471">
      <formula>ISTEXT(A6)</formula>
    </cfRule>
  </conditionalFormatting>
  <conditionalFormatting sqref="X66:X73">
    <cfRule type="expression" dxfId="623" priority="254">
      <formula>ISTEXT(A66)</formula>
    </cfRule>
  </conditionalFormatting>
  <conditionalFormatting sqref="X75:X109">
    <cfRule type="expression" dxfId="622" priority="14">
      <formula>ISTEXT(A75)</formula>
    </cfRule>
  </conditionalFormatting>
  <conditionalFormatting sqref="Y6:Y800">
    <cfRule type="expression" dxfId="621" priority="13">
      <formula>ISTEXT(A6)</formula>
    </cfRule>
  </conditionalFormatting>
  <conditionalFormatting sqref="Y63:Y65 AK63:AK65">
    <cfRule type="expression" dxfId="620" priority="716">
      <formula>ISTEXT(#REF!)</formula>
    </cfRule>
  </conditionalFormatting>
  <conditionalFormatting sqref="Y68:Y70">
    <cfRule type="expression" dxfId="619" priority="292">
      <formula>ISTEXT(#REF!)</formula>
    </cfRule>
  </conditionalFormatting>
  <conditionalFormatting sqref="Z6:Z800">
    <cfRule type="expression" dxfId="618" priority="12">
      <formula>ISTEXT(A6)</formula>
    </cfRule>
  </conditionalFormatting>
  <conditionalFormatting sqref="Z4:AD5">
    <cfRule type="containsText" dxfId="617" priority="368" operator="containsText" text="N/A">
      <formula>NOT(ISERROR(SEARCH("N/A",Z4)))</formula>
    </cfRule>
  </conditionalFormatting>
  <conditionalFormatting sqref="AA6:AA73">
    <cfRule type="expression" dxfId="616" priority="250">
      <formula>ISTEXT(A6)</formula>
    </cfRule>
  </conditionalFormatting>
  <conditionalFormatting sqref="AA75:AA800">
    <cfRule type="expression" dxfId="615" priority="11">
      <formula>ISTEXT(A75)</formula>
    </cfRule>
  </conditionalFormatting>
  <conditionalFormatting sqref="AB6:AB800">
    <cfRule type="expression" dxfId="614" priority="10">
      <formula>ISTEXT(A6)</formula>
    </cfRule>
  </conditionalFormatting>
  <conditionalFormatting sqref="AB58:AD62 AA74:AD74">
    <cfRule type="expression" dxfId="613" priority="467">
      <formula>ISTEXT(A58)</formula>
    </cfRule>
  </conditionalFormatting>
  <conditionalFormatting sqref="AC6:AC800">
    <cfRule type="expression" dxfId="612" priority="9">
      <formula>ISTEXT(A6)</formula>
    </cfRule>
  </conditionalFormatting>
  <conditionalFormatting sqref="AD6:AD800">
    <cfRule type="expression" dxfId="611" priority="8">
      <formula>ISTEXT(A6)</formula>
    </cfRule>
  </conditionalFormatting>
  <conditionalFormatting sqref="AF6:AF800">
    <cfRule type="expression" dxfId="610" priority="7">
      <formula>ISTEXT(A6)</formula>
    </cfRule>
  </conditionalFormatting>
  <conditionalFormatting sqref="AF4:AI4">
    <cfRule type="containsText" dxfId="609" priority="438" operator="containsText" text="N/A">
      <formula>NOT(ISERROR(SEARCH("N/A",AF4)))</formula>
    </cfRule>
  </conditionalFormatting>
  <conditionalFormatting sqref="AG6:AG62 AG65:AG67 AG71:AG74 AG110:AG372">
    <cfRule type="containsText" dxfId="608" priority="608" operator="containsText" text="C">
      <formula>NOT(ISERROR(SEARCH("C",AG6)))</formula>
    </cfRule>
    <cfRule type="containsText" dxfId="607" priority="609" operator="containsText" text="E">
      <formula>NOT(ISERROR(SEARCH("E",AG6)))</formula>
    </cfRule>
    <cfRule type="containsText" dxfId="606" priority="610" operator="containsText" text="F">
      <formula>NOT(ISERROR(SEARCH("F",AG6)))</formula>
    </cfRule>
    <cfRule type="containsText" dxfId="605" priority="611" operator="containsText" text="D">
      <formula>NOT(ISERROR(SEARCH("D",AG6)))</formula>
    </cfRule>
    <cfRule type="containsText" dxfId="604" priority="605" operator="containsText" text="A1">
      <formula>NOT(ISERROR(SEARCH("A1",AG6)))</formula>
    </cfRule>
    <cfRule type="containsText" dxfId="603" priority="606" operator="containsText" text="A2">
      <formula>NOT(ISERROR(SEARCH("A2",AG6)))</formula>
    </cfRule>
    <cfRule type="containsText" dxfId="602" priority="607" operator="containsText" text="B">
      <formula>NOT(ISERROR(SEARCH("B",AG6)))</formula>
    </cfRule>
  </conditionalFormatting>
  <conditionalFormatting sqref="AG63:AG64">
    <cfRule type="containsText" dxfId="601" priority="426" operator="containsText" text="A2">
      <formula>NOT(ISERROR(SEARCH("A2",AG63)))</formula>
    </cfRule>
    <cfRule type="containsText" dxfId="600" priority="430" operator="containsText" text="F">
      <formula>NOT(ISERROR(SEARCH("F",AG63)))</formula>
    </cfRule>
    <cfRule type="containsText" dxfId="599" priority="425" operator="containsText" text="A1">
      <formula>NOT(ISERROR(SEARCH("A1",AG63)))</formula>
    </cfRule>
    <cfRule type="containsText" dxfId="598" priority="429" operator="containsText" text="E">
      <formula>NOT(ISERROR(SEARCH("E",AG63)))</formula>
    </cfRule>
    <cfRule type="containsText" dxfId="597" priority="431" operator="containsText" text="D">
      <formula>NOT(ISERROR(SEARCH("D",AG63)))</formula>
    </cfRule>
    <cfRule type="containsText" dxfId="596" priority="428" operator="containsText" text="C">
      <formula>NOT(ISERROR(SEARCH("C",AG63)))</formula>
    </cfRule>
    <cfRule type="containsText" dxfId="595" priority="427" operator="containsText" text="B">
      <formula>NOT(ISERROR(SEARCH("B",AG63)))</formula>
    </cfRule>
  </conditionalFormatting>
  <conditionalFormatting sqref="AG68:AG70">
    <cfRule type="containsText" dxfId="594" priority="285" operator="containsText" text="B">
      <formula>NOT(ISERROR(SEARCH("B",AG68)))</formula>
    </cfRule>
    <cfRule type="containsText" dxfId="593" priority="288" operator="containsText" text="F">
      <formula>NOT(ISERROR(SEARCH("F",AG68)))</formula>
    </cfRule>
    <cfRule type="containsText" dxfId="592" priority="289" operator="containsText" text="D">
      <formula>NOT(ISERROR(SEARCH("D",AG68)))</formula>
    </cfRule>
    <cfRule type="containsText" dxfId="591" priority="284" operator="containsText" text="A2">
      <formula>NOT(ISERROR(SEARCH("A2",AG68)))</formula>
    </cfRule>
    <cfRule type="containsText" dxfId="590" priority="283" operator="containsText" text="A1">
      <formula>NOT(ISERROR(SEARCH("A1",AG68)))</formula>
    </cfRule>
    <cfRule type="containsText" dxfId="589" priority="286" operator="containsText" text="C">
      <formula>NOT(ISERROR(SEARCH("C",AG68)))</formula>
    </cfRule>
    <cfRule type="containsText" dxfId="588" priority="287" operator="containsText" text="E">
      <formula>NOT(ISERROR(SEARCH("E",AG68)))</formula>
    </cfRule>
  </conditionalFormatting>
  <conditionalFormatting sqref="AG75:AG96">
    <cfRule type="containsText" dxfId="587" priority="57" operator="containsText" text="B">
      <formula>NOT(ISERROR(SEARCH("B",AG75)))</formula>
    </cfRule>
    <cfRule type="containsText" dxfId="586" priority="59" operator="containsText" text="E">
      <formula>NOT(ISERROR(SEARCH("E",AG75)))</formula>
    </cfRule>
    <cfRule type="containsText" dxfId="585" priority="60" operator="containsText" text="F">
      <formula>NOT(ISERROR(SEARCH("F",AG75)))</formula>
    </cfRule>
    <cfRule type="containsText" dxfId="584" priority="55" operator="containsText" text="A1">
      <formula>NOT(ISERROR(SEARCH("A1",AG75)))</formula>
    </cfRule>
    <cfRule type="containsText" dxfId="583" priority="61" operator="containsText" text="D">
      <formula>NOT(ISERROR(SEARCH("D",AG75)))</formula>
    </cfRule>
    <cfRule type="containsText" dxfId="582" priority="56" operator="containsText" text="A2">
      <formula>NOT(ISERROR(SEARCH("A2",AG75)))</formula>
    </cfRule>
    <cfRule type="containsText" dxfId="581" priority="58" operator="containsText" text="C">
      <formula>NOT(ISERROR(SEARCH("C",AG75)))</formula>
    </cfRule>
  </conditionalFormatting>
  <conditionalFormatting sqref="AG97:AG109">
    <cfRule type="containsText" dxfId="580" priority="20" operator="containsText" text="A2">
      <formula>NOT(ISERROR(SEARCH("A2",AG97)))</formula>
    </cfRule>
    <cfRule type="containsText" dxfId="579" priority="16" operator="containsText" text="E">
      <formula>NOT(ISERROR(SEARCH("E",AG97)))</formula>
    </cfRule>
    <cfRule type="containsText" dxfId="578" priority="17" operator="containsText" text="D">
      <formula>NOT(ISERROR(SEARCH("D",AG97)))</formula>
    </cfRule>
    <cfRule type="containsText" dxfId="577" priority="19" operator="containsText" text="B">
      <formula>NOT(ISERROR(SEARCH("B",AG97)))</formula>
    </cfRule>
    <cfRule type="containsText" dxfId="576" priority="18" operator="containsText" text="C">
      <formula>NOT(ISERROR(SEARCH("C",AG97)))</formula>
    </cfRule>
    <cfRule type="containsText" dxfId="575" priority="21" operator="containsText" text="A1">
      <formula>NOT(ISERROR(SEARCH("A1",AG97)))</formula>
    </cfRule>
    <cfRule type="containsText" dxfId="574" priority="15" operator="containsText" text="F">
      <formula>NOT(ISERROR(SEARCH("F",AG97)))</formula>
    </cfRule>
  </conditionalFormatting>
  <conditionalFormatting sqref="AH6:AH156">
    <cfRule type="expression" dxfId="573" priority="22">
      <formula>AG6="F"</formula>
    </cfRule>
    <cfRule type="expression" dxfId="572" priority="26">
      <formula>AG6="B"</formula>
    </cfRule>
    <cfRule type="expression" dxfId="571" priority="23">
      <formula>AG6="E"</formula>
    </cfRule>
    <cfRule type="expression" dxfId="570" priority="28">
      <formula>AG6="A1"</formula>
    </cfRule>
    <cfRule type="expression" dxfId="569" priority="27">
      <formula>AG6="A2"</formula>
    </cfRule>
    <cfRule type="expression" dxfId="568" priority="24">
      <formula>AG6="D"</formula>
    </cfRule>
    <cfRule type="expression" dxfId="567" priority="25">
      <formula>AG6="C"</formula>
    </cfRule>
  </conditionalFormatting>
  <conditionalFormatting sqref="AI6:AI800">
    <cfRule type="expression" dxfId="566" priority="6">
      <formula>ISTEXT(A6)</formula>
    </cfRule>
  </conditionalFormatting>
  <conditionalFormatting sqref="AK6:AK800">
    <cfRule type="expression" dxfId="565" priority="4">
      <formula>ISTEXT(A6)</formula>
    </cfRule>
  </conditionalFormatting>
  <conditionalFormatting sqref="AK58:AK65 AK74">
    <cfRule type="expression" dxfId="564" priority="462">
      <formula>ISTEXT(C58)</formula>
    </cfRule>
  </conditionalFormatting>
  <conditionalFormatting sqref="AL6:AL67">
    <cfRule type="expression" dxfId="563" priority="383">
      <formula>ISTEXT(A6)</formula>
    </cfRule>
  </conditionalFormatting>
  <conditionalFormatting sqref="AL71:AL800">
    <cfRule type="expression" dxfId="562" priority="5">
      <formula>ISTEXT(A71)</formula>
    </cfRule>
  </conditionalFormatting>
  <conditionalFormatting sqref="AM6:AM17">
    <cfRule type="expression" dxfId="561" priority="460">
      <formula>ISTEXT(A6)</formula>
    </cfRule>
  </conditionalFormatting>
  <conditionalFormatting sqref="AM21:AM800">
    <cfRule type="expression" dxfId="560" priority="3">
      <formula>ISTEXT(A21)</formula>
    </cfRule>
  </conditionalFormatting>
  <conditionalFormatting sqref="AO6:AO800">
    <cfRule type="expression" dxfId="559" priority="2">
      <formula>ISTEXT(A6)</formula>
    </cfRule>
  </conditionalFormatting>
  <conditionalFormatting sqref="AO8 AO17:AO20 AO34:AO37">
    <cfRule type="expression" dxfId="558" priority="728">
      <formula>ISTEXT(#REF!)</formula>
    </cfRule>
  </conditionalFormatting>
  <conditionalFormatting sqref="AO27:AO28">
    <cfRule type="containsText" dxfId="557" priority="575" operator="containsText" text="N/A">
      <formula>NOT(ISERROR(SEARCH("N/A",AO27)))</formula>
    </cfRule>
  </conditionalFormatting>
  <conditionalFormatting sqref="AP6:AP800">
    <cfRule type="expression" dxfId="556" priority="1">
      <formula>ISTEXT(A6)</formula>
    </cfRule>
  </conditionalFormatting>
  <conditionalFormatting sqref="AQ1:AQ62 AQ65:AQ67 AQ71:AQ74 AQ78:AQ1048576">
    <cfRule type="containsText" dxfId="555" priority="571" operator="containsText" text="N/A">
      <formula>NOT(ISERROR(SEARCH("N/A",AQ1)))</formula>
    </cfRule>
  </conditionalFormatting>
  <hyperlinks>
    <hyperlink ref="AO10" r:id="rId1" xr:uid="{5D179F3F-90E0-41E3-97D7-FBF7D7BB0FB5}"/>
    <hyperlink ref="AO12" r:id="rId2" xr:uid="{0C9C9DEF-8095-43D8-8B6A-C2A0380562C5}"/>
    <hyperlink ref="Q61" r:id="rId3" display="Produktspecifik" xr:uid="{3506FFC0-6E50-411C-A1CC-ACFEF2053090}"/>
    <hyperlink ref="AO50" r:id="rId4" xr:uid="{D08341B4-BCF6-4333-BC14-A4F6326E65E8}"/>
    <hyperlink ref="AO49" r:id="rId5" xr:uid="{D57A385F-4CE8-48E9-AA92-B3CDDD028637}"/>
    <hyperlink ref="AO48" r:id="rId6" xr:uid="{1FF45937-BD9E-4560-BC6D-BB7AA2CEE9E6}"/>
    <hyperlink ref="AO36" r:id="rId7" xr:uid="{DB6B90CC-DCA0-424A-B05C-1CE31DB488F6}"/>
    <hyperlink ref="Q49" r:id="rId8" display="Produktspecifik" xr:uid="{B39D06B4-5CAA-4769-AE77-DF1BB15AC81E}"/>
    <hyperlink ref="Q48" r:id="rId9" display="Produktspecifik" xr:uid="{A2B49865-1633-4A25-9150-E30941FF453B}"/>
    <hyperlink ref="AO28" r:id="rId10" xr:uid="{943DDF06-2D0F-4640-8533-B963B2AF75F9}"/>
    <hyperlink ref="AO26" r:id="rId11" xr:uid="{81896D87-5351-41DD-B21D-48479162567B}"/>
    <hyperlink ref="AO27" r:id="rId12" xr:uid="{BB3F7DC2-1ABC-4F3F-918B-156DFB7666C8}"/>
    <hyperlink ref="AO29" r:id="rId13" xr:uid="{7E42D832-2BA7-43C0-A98C-D188A8AF15D3}"/>
    <hyperlink ref="AO25" r:id="rId14" xr:uid="{034EFD30-6DAC-489F-B9BF-AA216EE1FB84}"/>
    <hyperlink ref="Q26" r:id="rId15" display="Produktspecifik" xr:uid="{C8263DF2-58A9-49C1-B0FB-E146CA86547B}"/>
    <hyperlink ref="Q25" r:id="rId16" display="Produktspecifik" xr:uid="{117CBAFD-06E7-407C-9595-ECEC9A75EA20}"/>
    <hyperlink ref="Q28" r:id="rId17" display="Produktspecifik" xr:uid="{800D0A74-3F23-407E-86CA-41EE59F5F2DB}"/>
    <hyperlink ref="Q29" r:id="rId18" display="Produktspecifik" xr:uid="{28497042-CDFD-4317-AB13-1F24D4C21713}"/>
    <hyperlink ref="Q24" r:id="rId19" display="Produktspecifik" xr:uid="{FB80ADCD-2423-45C1-95E1-22C6D95CBFFE}"/>
    <hyperlink ref="AO24" r:id="rId20" xr:uid="{D98DB040-6D1A-40D5-B1D5-1054540E111C}"/>
    <hyperlink ref="Q27" r:id="rId21" display="Produktspecifik" xr:uid="{A37AA3F5-981D-48C0-964D-516DE0FC150E}"/>
    <hyperlink ref="AO58" r:id="rId22" xr:uid="{3A9E1168-8DDE-4F38-B5B7-1D6340B76DC8}"/>
    <hyperlink ref="AO58" r:id="rId23" xr:uid="{45ED168E-90CE-413B-ACA7-6B73A1B4A8B6}"/>
    <hyperlink ref="Q58" r:id="rId24" display="Produktspecifik" xr:uid="{7AF0FAFD-E70A-469A-B5C5-6A17487CCA23}"/>
    <hyperlink ref="Q47" r:id="rId25" display="Produktspecifik" xr:uid="{9EA697F2-BE43-4154-9990-93E5C467BFCF}"/>
    <hyperlink ref="AO47" r:id="rId26" xr:uid="{A6C98907-ABB3-41EE-9355-E96B3C925D4A}"/>
    <hyperlink ref="Q50" r:id="rId27" display="Produktspecifik" xr:uid="{C8B81DD5-9B37-4CF7-8358-1C7C3DE637F2}"/>
    <hyperlink ref="E47" r:id="rId28" xr:uid="{9BFDB973-C272-423A-9F87-B7DCAA5391AB}"/>
    <hyperlink ref="E58" r:id="rId29" xr:uid="{7D782218-D1F6-41A1-BF22-8220B0586D97}"/>
    <hyperlink ref="E28" r:id="rId30" xr:uid="{00EF398A-ED0C-442F-A488-807C8D4F621D}"/>
    <hyperlink ref="E29" r:id="rId31" xr:uid="{845B0D00-4BB4-43E3-AE05-2AF3F1F546F4}"/>
    <hyperlink ref="E26" r:id="rId32" xr:uid="{7AB7F913-55D4-43F1-B61A-C0B1B0810D1F}"/>
    <hyperlink ref="E25" r:id="rId33" xr:uid="{13D6FC34-A73E-4477-AA70-5C1C416DF4EA}"/>
    <hyperlink ref="E27" r:id="rId34" xr:uid="{A983B5E0-D840-4EC7-A999-05B3841B998A}"/>
    <hyperlink ref="E24" r:id="rId35" xr:uid="{A7D85C11-4388-4158-A6A0-2975AEBF74D6}"/>
    <hyperlink ref="E36" r:id="rId36" xr:uid="{6BA4D6D7-246E-46E6-9624-0CF6FC987DB9}"/>
    <hyperlink ref="E48" r:id="rId37" xr:uid="{FC045AEF-F483-460C-9C98-A7ADF175F54D}"/>
    <hyperlink ref="E49" r:id="rId38" xr:uid="{A15B7292-2669-4BF7-83A5-310236EF00D2}"/>
    <hyperlink ref="E50" r:id="rId39" xr:uid="{18925FA1-1136-4168-9E28-34A65306013A}"/>
    <hyperlink ref="E38" r:id="rId40" xr:uid="{840AFA8C-FC64-4FEE-AC12-57AA299E90E5}"/>
    <hyperlink ref="E61" r:id="rId41" xr:uid="{DAA13CA5-3704-4BF3-B2BE-7899130AC454}"/>
    <hyperlink ref="Q64" r:id="rId42" display="Produktspecifik" xr:uid="{D44A4510-2EF4-4B99-8F6A-25E38F0D0D7E}"/>
    <hyperlink ref="AO64" r:id="rId43" xr:uid="{71AC180C-CC84-4E07-94A0-6B99C257ADFD}"/>
    <hyperlink ref="Q11" r:id="rId44" xr:uid="{B78DA46C-8BF0-4D8F-BAE2-1D7262406086}"/>
    <hyperlink ref="Q41:Q43" r:id="rId45" display="EPD" xr:uid="{BEA0E32F-BD8D-43F3-B328-75E27BFE1FCA}"/>
    <hyperlink ref="E11" r:id="rId46" xr:uid="{06C6DCE6-469D-45AF-AE46-71C162BD2407}"/>
    <hyperlink ref="E66" r:id="rId47" xr:uid="{666A231D-6AF9-40FB-8BED-8081F54970FF}"/>
    <hyperlink ref="E67" r:id="rId48" xr:uid="{9CA8A7C1-E9DA-428D-A4B2-032BBDF06A3B}"/>
    <hyperlink ref="E35" r:id="rId49" xr:uid="{17042D60-5C58-4545-80D9-4E6405583C30}"/>
    <hyperlink ref="AO11" r:id="rId50" xr:uid="{7D563BCB-C522-409F-ABD9-0DF3CE059A07}"/>
    <hyperlink ref="AO41:AO43" r:id="rId51" display="Link" xr:uid="{9865B32D-9424-46E9-8595-BAAC27FCC4EF}"/>
    <hyperlink ref="AO61" r:id="rId52" xr:uid="{E626F681-5DB9-48F1-99C7-F6C7720B6B6D}"/>
    <hyperlink ref="AO62" r:id="rId53" xr:uid="{6D5D54DD-D6C1-4957-A805-3F3D049B57C4}"/>
    <hyperlink ref="AO39" r:id="rId54" location="about" xr:uid="{04174901-EB57-499C-ADB8-973E48F19E34}"/>
    <hyperlink ref="Q63" r:id="rId55" xr:uid="{FFD2CF75-6F8E-418F-A228-37CD62764F76}"/>
    <hyperlink ref="E63" r:id="rId56" xr:uid="{78FE026E-6E40-40AB-9F6F-3C81A9BAD64D}"/>
    <hyperlink ref="Q15" r:id="rId57" xr:uid="{7FC54E6E-DFDC-4247-97F0-5409E397BE61}"/>
    <hyperlink ref="E15" r:id="rId58" xr:uid="{3DCC877C-BA71-40AE-8B31-DD55DCB83A58}"/>
    <hyperlink ref="Q41" r:id="rId59" xr:uid="{C5B8E036-E663-4A9D-93C6-7A77DAD5AFCB}"/>
    <hyperlink ref="E41" r:id="rId60" xr:uid="{BFD345D9-2F1C-48B9-AABE-515FFF6104C0}"/>
    <hyperlink ref="Q40" r:id="rId61" xr:uid="{D0E2E826-EFBC-46E7-9981-666DE4B1DDA5}"/>
    <hyperlink ref="E40" r:id="rId62" xr:uid="{7DAEAD03-684A-4F82-91A0-9E50AEED2CD1}"/>
    <hyperlink ref="E37" r:id="rId63" xr:uid="{1C4C317C-4C5C-4B6A-B3C0-6358DB97A6AF}"/>
    <hyperlink ref="Q37" r:id="rId64" xr:uid="{48E5ED0C-CC8F-443A-B270-58F16A6A3681}"/>
    <hyperlink ref="Q65" r:id="rId65" xr:uid="{E5A0BE9E-EAAF-4FF7-AFFD-C62095EF8165}"/>
    <hyperlink ref="E65" r:id="rId66" xr:uid="{A9BB6A0D-896D-451F-ABD7-97CFBAEFC8E3}"/>
    <hyperlink ref="Q6" r:id="rId67" xr:uid="{9A98D687-F3AC-4D6D-99E9-5EE96B06E109}"/>
    <hyperlink ref="E6" r:id="rId68" xr:uid="{2FBB593B-86C0-487F-AE59-501D144E982E}"/>
    <hyperlink ref="AO6" r:id="rId69" xr:uid="{58858C03-55ED-4184-A8B8-2420BA59AB14}"/>
    <hyperlink ref="E9" r:id="rId70" xr:uid="{B6D6CB9C-A8A4-48F4-8132-AAE5C5D910B1}"/>
    <hyperlink ref="Q9" r:id="rId71" xr:uid="{33303E7E-746A-448C-9638-672A066B9520}"/>
    <hyperlink ref="AO9" r:id="rId72" xr:uid="{375AA518-068E-47BB-B3EF-21AE3002681E}"/>
    <hyperlink ref="E34" r:id="rId73" xr:uid="{DCEAEC45-8FA8-482C-ADD8-05B9BC5BCB49}"/>
    <hyperlink ref="Q34" r:id="rId74" xr:uid="{F003A1A9-A700-424A-82E3-B0C1E2FB017F}"/>
    <hyperlink ref="AO34" r:id="rId75" xr:uid="{99F76443-064E-4C7B-AB7C-09B3ADA50FD6}"/>
    <hyperlink ref="Q42" r:id="rId76" xr:uid="{49F5C6F1-3875-47C6-A839-C072E49144D9}"/>
    <hyperlink ref="E42" r:id="rId77" xr:uid="{23E74EDE-4C3D-4FD6-A4E6-23E53D4D1448}"/>
    <hyperlink ref="AO42" r:id="rId78" xr:uid="{1DFF3C6C-4021-48B5-B7A3-05F83FFA73E1}"/>
    <hyperlink ref="E45" r:id="rId79" xr:uid="{7A7CDF5A-4D4F-4621-B7C8-DAC93A73AAC1}"/>
    <hyperlink ref="Q45" r:id="rId80" xr:uid="{E282B41F-892F-487A-B4B4-98512853D91B}"/>
    <hyperlink ref="AO45" r:id="rId81" xr:uid="{EC62310F-8A47-4D8E-8F12-8EF5A0E91F2C}"/>
    <hyperlink ref="E46" r:id="rId82" xr:uid="{544AE270-605A-45AC-A7CD-309B039D82BA}"/>
    <hyperlink ref="Q46" r:id="rId83" xr:uid="{50648068-52A1-4E01-8619-C85974CA4BB3}"/>
    <hyperlink ref="AO46" r:id="rId84" xr:uid="{C2B49ED5-5C78-41D6-A154-212C7FE56E29}"/>
    <hyperlink ref="E60" r:id="rId85" xr:uid="{225AB5D5-1ECE-4F2C-88B7-0D189121BDAE}"/>
    <hyperlink ref="Q60" r:id="rId86" xr:uid="{F26BD9DC-0E39-4D7B-80F4-4C5968D67C34}"/>
    <hyperlink ref="AO60" r:id="rId87" xr:uid="{D3400F21-11DA-4518-A3C4-8A51141BADE3}"/>
    <hyperlink ref="AO56" r:id="rId88" xr:uid="{369999E4-DD64-4930-941F-CC8A6A45B269}"/>
    <hyperlink ref="AP56" r:id="rId89" xr:uid="{D0CF8241-4D92-4ECC-9CB9-471A9992465E}"/>
    <hyperlink ref="AO57" r:id="rId90" xr:uid="{A3D0CFC0-B679-4732-A3EF-F45B4DAD0CBA}"/>
    <hyperlink ref="AO53" r:id="rId91" xr:uid="{7EE387DB-CF7E-4A40-BD53-B78BDDB28B57}"/>
    <hyperlink ref="AO54" r:id="rId92" xr:uid="{7CB7B516-5062-472B-8A60-204ECCAEC8F9}"/>
    <hyperlink ref="AO55" r:id="rId93" xr:uid="{E308FADF-B83A-4B49-82CF-A41C6656ABDF}"/>
    <hyperlink ref="AP57" r:id="rId94" xr:uid="{C36FE126-1B6B-43A0-9C68-B71452ACDAB5}"/>
    <hyperlink ref="AP53" r:id="rId95" xr:uid="{ABE37983-56CD-48B4-8981-DAF22BEFE9C1}"/>
    <hyperlink ref="AP54" r:id="rId96" xr:uid="{4C5D1CA6-BE6B-49CA-BB5C-EF86AAEA7E2A}"/>
    <hyperlink ref="AP55" r:id="rId97" xr:uid="{28BCDBF5-7AAE-416B-B33C-D1D8C84F69D9}"/>
    <hyperlink ref="AO13" r:id="rId98" xr:uid="{D6827607-2988-4A17-8CCB-E12C41554F86}"/>
    <hyperlink ref="E13" r:id="rId99" xr:uid="{87BFBAF5-A38B-4FAA-81D0-A3DD3C275705}"/>
    <hyperlink ref="AO14" r:id="rId100" xr:uid="{EEE30AEA-FFD3-4BE3-9249-7D6B9BD04FEB}"/>
    <hyperlink ref="E14" r:id="rId101" xr:uid="{FDE63C66-EEBA-4025-80E8-2BC061BB32B4}"/>
    <hyperlink ref="AO8" r:id="rId102" xr:uid="{4D744E5C-0F75-4BD3-9D92-D2AA2A385801}"/>
    <hyperlink ref="AO38" r:id="rId103" xr:uid="{5B6D5E0D-566E-49A5-ADD7-31CA5BA6845C}"/>
    <hyperlink ref="AO32" r:id="rId104" xr:uid="{A789F46A-0A70-4736-A6A7-835AA18FF71D}"/>
    <hyperlink ref="AO31" r:id="rId105" xr:uid="{5B746F94-6BB6-466A-A2C0-BEBCA1938CBD}"/>
    <hyperlink ref="AO33" r:id="rId106" xr:uid="{4F27D38C-352C-4ACF-8D1A-9CD4E57704E9}"/>
    <hyperlink ref="AO51" r:id="rId107" xr:uid="{BA53DC44-8475-4FC0-A8BA-80F20DC38A8B}"/>
    <hyperlink ref="AO52" r:id="rId108" xr:uid="{00D05632-5CBC-4E53-96A8-F66C337FFA09}"/>
    <hyperlink ref="AO21" r:id="rId109" xr:uid="{E354318B-DD30-45DB-95D9-D656369BFE6B}"/>
    <hyperlink ref="AO30:AO31" r:id="rId110" display="Link" xr:uid="{5EF9F912-8C92-427D-BA24-B0DBC53AD65A}"/>
    <hyperlink ref="AO32:AO33" r:id="rId111" display="Link" xr:uid="{2E2BBA9B-9935-46C8-BA00-D3E7963860DA}"/>
    <hyperlink ref="AO69" r:id="rId112" xr:uid="{03057DA7-96EB-4540-9267-7F7C316E55EF}"/>
    <hyperlink ref="AO71" r:id="rId113" xr:uid="{EA84C22A-082F-40F2-8FC4-5E7A7F6690BA}"/>
    <hyperlink ref="AO68" r:id="rId114" xr:uid="{106EAC91-DCD7-4359-9E0C-E6C3BD7A6D59}"/>
    <hyperlink ref="AO70" r:id="rId115" xr:uid="{78A9A28D-715A-4282-B2BA-BF91F13627EF}"/>
    <hyperlink ref="AO59" r:id="rId116" xr:uid="{71005639-39F7-4E34-9D4E-213C1FFDB327}"/>
    <hyperlink ref="AO63" r:id="rId117" xr:uid="{9E0E951F-4756-4CDB-9110-23A26A4995C2}"/>
    <hyperlink ref="AO46:AO50" r:id="rId118" display="Link" xr:uid="{7179E993-C2D2-4DB3-9816-FB7E190EB717}"/>
    <hyperlink ref="AO30" r:id="rId119" xr:uid="{9B7633F2-A28F-47F9-8885-65DB8AB3DCB2}"/>
    <hyperlink ref="Q16" r:id="rId120" xr:uid="{0402D327-F695-4E9C-9AF5-CDB36A8DB8EF}"/>
    <hyperlink ref="AO16" r:id="rId121" xr:uid="{7FE476DF-512D-43E1-98CB-A9324E3A7FC6}"/>
    <hyperlink ref="Q17" r:id="rId122" xr:uid="{45791400-0B26-415E-95B1-0BCF3FDC397A}"/>
    <hyperlink ref="AO17" r:id="rId123" xr:uid="{A8D7704E-803D-49B9-A512-694D66E349BB}"/>
    <hyperlink ref="Q19" r:id="rId124" xr:uid="{F76BC2E5-31AC-406B-9B67-A607A126E56E}"/>
    <hyperlink ref="AO19" r:id="rId125" xr:uid="{C89B2E9C-213B-4DD0-9FA3-72468A1576C9}"/>
    <hyperlink ref="Q20" r:id="rId126" xr:uid="{95AA1F2A-858E-4500-AEDE-437C42E45723}"/>
    <hyperlink ref="Q18" r:id="rId127" xr:uid="{A6A5B52F-5D6D-4D43-8BC8-4E4FC77BE304}"/>
    <hyperlink ref="AO20" r:id="rId128" xr:uid="{4E8EAB09-E583-4C93-A630-AF433EC3A820}"/>
    <hyperlink ref="AO18" r:id="rId129" xr:uid="{4527B349-5758-44D1-BD88-2CB8E540FF23}"/>
    <hyperlink ref="Q7" r:id="rId130" xr:uid="{0CC427D8-03FE-432F-A330-F3178F85AD95}"/>
    <hyperlink ref="E7" r:id="rId131" xr:uid="{B99F812B-7A88-46B5-B2AE-00554505DB06}"/>
    <hyperlink ref="AO7" r:id="rId132" xr:uid="{72AC8D8D-F4BE-43C0-B933-31E10A94CDA1}"/>
    <hyperlink ref="Q72" r:id="rId133" xr:uid="{09629D87-478F-4225-B0E4-61172A149AC9}"/>
    <hyperlink ref="E72" r:id="rId134" xr:uid="{AE4A413B-BB44-4001-BCA5-1EC849D416C6}"/>
    <hyperlink ref="AO72" r:id="rId135" xr:uid="{5B23885F-0D93-406A-A616-7A35C75BE31D}"/>
    <hyperlink ref="E73" r:id="rId136" xr:uid="{317A0F5B-0FFF-46F7-A467-182CD3770278}"/>
    <hyperlink ref="Q73" r:id="rId137" xr:uid="{37333AC7-4BB8-4DAC-AB29-8DD19EA89DFC}"/>
    <hyperlink ref="AO74" r:id="rId138" xr:uid="{6867D661-7AF5-4552-8B29-83DC88A2AF4D}"/>
    <hyperlink ref="Q74" r:id="rId139" xr:uid="{12D8D0F9-68B1-4D08-AEF5-94BAEE34AA7D}"/>
    <hyperlink ref="Q75" r:id="rId140" xr:uid="{26DD3301-C7A1-49C0-85F4-BB51087EB440}"/>
    <hyperlink ref="E75" r:id="rId141" xr:uid="{2E026BCA-0A37-4498-8287-219D58DC83F0}"/>
    <hyperlink ref="AO75" r:id="rId142" xr:uid="{392F621D-D455-4F0F-8C19-059E54F6358E}"/>
    <hyperlink ref="AP75" r:id="rId143" xr:uid="{397C0D3D-734E-4E95-98A7-D7593E84F35F}"/>
    <hyperlink ref="AO76" r:id="rId144" xr:uid="{08BB228E-4260-4B0F-9953-D37A2B29F34D}"/>
    <hyperlink ref="Q76" r:id="rId145" xr:uid="{D8FB81C0-0039-49D6-AB7A-79548B149285}"/>
    <hyperlink ref="E76" r:id="rId146" xr:uid="{790AAB37-6C4F-4BC4-942B-AEF99B3640AD}"/>
    <hyperlink ref="Q77" r:id="rId147" xr:uid="{70FFD2C9-D20A-47B5-9D31-6745A3D91970}"/>
    <hyperlink ref="E77" r:id="rId148" xr:uid="{4D1EBBAC-D42E-4E75-8AED-3E6DB66ACE05}"/>
    <hyperlink ref="AO77" r:id="rId149" xr:uid="{34D31EEB-955E-46F0-B92F-5910E84E60CB}"/>
    <hyperlink ref="E78" r:id="rId150" xr:uid="{79CAD6E5-5E6E-46F6-A5C4-572A31FDC3C3}"/>
    <hyperlink ref="E85" r:id="rId151" xr:uid="{726F24E4-28E6-4A59-9CA0-DFF03650BEFD}"/>
    <hyperlink ref="E86" r:id="rId152" xr:uid="{DC773270-3AB9-467B-830F-54A47E0EE879}"/>
    <hyperlink ref="E87" r:id="rId153" xr:uid="{AB5A4D96-69E1-43E1-845C-99D9522BCAAE}"/>
    <hyperlink ref="E88" r:id="rId154" xr:uid="{3B4BFC1A-55B7-4D48-B0AE-6EA2323867E9}"/>
    <hyperlink ref="E89" r:id="rId155" xr:uid="{1280B03B-3D18-486D-A9DE-3790BF42E722}"/>
    <hyperlink ref="E90" r:id="rId156" xr:uid="{F4883416-ABB2-485D-901F-DC034207BE94}"/>
    <hyperlink ref="E97" r:id="rId157" xr:uid="{8833FE08-3051-4B83-A5AF-49ACE7EA0948}"/>
    <hyperlink ref="E98" r:id="rId158" xr:uid="{322B406D-6863-4B9C-84AC-3693C32DAB7E}"/>
    <hyperlink ref="E99" r:id="rId159" xr:uid="{2DA9B75A-848A-498F-A659-04C0A159D935}"/>
    <hyperlink ref="E100" r:id="rId160" xr:uid="{10E63741-6D68-4993-BC7D-46174167530B}"/>
    <hyperlink ref="E101" r:id="rId161" xr:uid="{3E5B6471-062D-4F10-A6F3-A5A297396D3D}"/>
    <hyperlink ref="E102" r:id="rId162" xr:uid="{0D95EF3F-34D0-4E98-9749-1B845EDFFE36}"/>
    <hyperlink ref="E103" r:id="rId163" xr:uid="{01F219B9-42DF-4395-903A-D921B5680A6B}"/>
    <hyperlink ref="E104" r:id="rId164" xr:uid="{E9D0647C-F5DA-493D-81BF-742E164372FA}"/>
    <hyperlink ref="E105" r:id="rId165" xr:uid="{DC961438-3EAE-4E6F-9F7B-373682C61058}"/>
    <hyperlink ref="E106" r:id="rId166" xr:uid="{AA5F9A74-A01A-4D1E-A457-024B9391746F}"/>
    <hyperlink ref="E107" r:id="rId167" xr:uid="{F03C84C7-5DAE-4DAC-BD64-706D8170D299}"/>
    <hyperlink ref="E108" r:id="rId168" xr:uid="{DB3FCC18-3AF3-4633-B763-AB3C0142BC1B}"/>
    <hyperlink ref="E109" r:id="rId169" xr:uid="{060E3E56-64DA-4D86-9EB0-B0749FBB105B}"/>
    <hyperlink ref="Q78" r:id="rId170" xr:uid="{72C5EB92-9A69-409F-AFDF-CAAB5EDC166A}"/>
    <hyperlink ref="Q79" r:id="rId171" xr:uid="{99526F85-7471-44B5-822F-582674084194}"/>
    <hyperlink ref="Q80" r:id="rId172" xr:uid="{CA8CC43A-EC83-4D9A-9150-C74D615136C0}"/>
    <hyperlink ref="Q81" r:id="rId173" xr:uid="{D75ED39C-B97B-4293-8D31-3A4B340F5EE6}"/>
    <hyperlink ref="Q82" r:id="rId174" xr:uid="{68EC00E1-2862-473B-8009-4A99E0C9D30B}"/>
    <hyperlink ref="Q83" r:id="rId175" xr:uid="{3924B5DB-B9D3-4D5C-B4BC-DE6448192725}"/>
    <hyperlink ref="Q84" r:id="rId176" xr:uid="{8FB7F35A-4581-41E3-9217-0652EDECB930}"/>
    <hyperlink ref="Q85" r:id="rId177" xr:uid="{D2041584-8E07-4CA3-BE85-F6437FC11032}"/>
    <hyperlink ref="Q86" r:id="rId178" xr:uid="{F439DEB8-A439-416B-ACB4-19234335FE64}"/>
    <hyperlink ref="Q87" r:id="rId179" xr:uid="{59A310F8-18BF-499C-BE5D-0269EA80121D}"/>
    <hyperlink ref="Q88" r:id="rId180" xr:uid="{275A92CF-C22E-4C67-BAE4-BDB974134306}"/>
    <hyperlink ref="Q89" r:id="rId181" xr:uid="{E9F4D116-E6E2-4A33-9C38-447A547E6E70}"/>
    <hyperlink ref="Q90" r:id="rId182" xr:uid="{4B0B844C-E799-4CD5-834C-F5B4226A42DB}"/>
    <hyperlink ref="Q91" r:id="rId183" xr:uid="{2714B515-9F73-4F34-8F1E-30EA37D446D0}"/>
    <hyperlink ref="Q92" r:id="rId184" xr:uid="{4BA5BEC2-FF28-4497-B397-D7AEA2BD2AFF}"/>
    <hyperlink ref="Q93" r:id="rId185" xr:uid="{CC550967-D4F2-4AB2-8F89-EF2AB725C37F}"/>
    <hyperlink ref="Q94" r:id="rId186" xr:uid="{66452A89-22B0-4003-B47E-5749AC70B401}"/>
    <hyperlink ref="Q95" r:id="rId187" xr:uid="{96A702A2-BE4B-4742-96DD-E5A79865CF8B}"/>
    <hyperlink ref="Q96" r:id="rId188" xr:uid="{FFA715F7-B912-461E-B1C7-D866967DBB62}"/>
    <hyperlink ref="Q97" r:id="rId189" xr:uid="{AAFC6BB7-DDCA-4357-9B49-7C7DC6A6D43A}"/>
    <hyperlink ref="Q98" r:id="rId190" xr:uid="{60D67717-1961-4D86-9DAE-A6AF5BA5DDE2}"/>
    <hyperlink ref="Q99" r:id="rId191" xr:uid="{EC71EE27-C404-477C-8D93-3D615AD40086}"/>
    <hyperlink ref="Q100" r:id="rId192" xr:uid="{05076434-6E8A-4CBD-AB79-67CF7C96A70F}"/>
    <hyperlink ref="Q101" r:id="rId193" xr:uid="{D6BB16D6-BB64-49D6-9371-FA24EFC4D28F}"/>
    <hyperlink ref="Q102" r:id="rId194" xr:uid="{44074BE0-EC92-492B-9460-00614FDDF600}"/>
    <hyperlink ref="Q103" r:id="rId195" xr:uid="{F4C400C4-8305-4FCC-AFD6-6F22BA4603B7}"/>
    <hyperlink ref="Q104" r:id="rId196" xr:uid="{44B0C7E9-FAFB-4BC2-BD42-6395E7436363}"/>
    <hyperlink ref="Q105" r:id="rId197" xr:uid="{FF46047E-72F3-47F6-B178-260EE551EF21}"/>
    <hyperlink ref="Q106" r:id="rId198" xr:uid="{398E1DBC-1630-44E5-A238-CED3439ADF1E}"/>
    <hyperlink ref="Q107" r:id="rId199" xr:uid="{C0B00DDB-B343-44C5-834B-272E2DE6A2F0}"/>
    <hyperlink ref="Q108" r:id="rId200" xr:uid="{CEC73CA2-661C-409B-84ED-13AAC8322372}"/>
    <hyperlink ref="Q109" r:id="rId201" xr:uid="{1CF07124-85DB-4852-9393-E65340B34348}"/>
    <hyperlink ref="AO79" r:id="rId202" xr:uid="{7F5541CA-B3C9-4399-B810-0D003A0A359C}"/>
    <hyperlink ref="AO80:AO84" r:id="rId203" display="Link" xr:uid="{72B1DD58-0700-4458-8710-318EE0F0127D}"/>
    <hyperlink ref="AO78" r:id="rId204" xr:uid="{42D6B319-95B1-4976-BDFB-DB2455EDF182}"/>
    <hyperlink ref="AO85" r:id="rId205" xr:uid="{89630A39-ECA9-4341-ADFF-C26FF5622EEE}"/>
    <hyperlink ref="AP85" r:id="rId206" xr:uid="{FB954B5B-7A19-44F2-ADF3-F3640742C4A9}"/>
    <hyperlink ref="AO86" r:id="rId207" xr:uid="{4480BD82-F663-4B4C-99DD-982059845410}"/>
    <hyperlink ref="AP86" r:id="rId208" xr:uid="{281E4E07-998A-4B56-9EF5-071E49C4A119}"/>
    <hyperlink ref="AO87" r:id="rId209" xr:uid="{A611B24B-B4FC-4D8E-A911-2E4AD2BC39DD}"/>
    <hyperlink ref="AO88" r:id="rId210" xr:uid="{84D8BF66-F91F-4454-812A-B65335A60872}"/>
    <hyperlink ref="AP87" r:id="rId211" xr:uid="{764980C4-7ECB-4710-80D5-5A7998F5C26E}"/>
    <hyperlink ref="AP89" r:id="rId212" xr:uid="{B926A876-DA74-42AC-A7DB-2AA141D6D804}"/>
    <hyperlink ref="AO89" r:id="rId213" xr:uid="{63FD366D-270B-480B-9ECB-ED18469CF702}"/>
    <hyperlink ref="AP90" r:id="rId214" xr:uid="{F97FB217-55F5-443B-A3A1-83FD30FD721E}"/>
    <hyperlink ref="AO90" r:id="rId215" xr:uid="{9F4886A2-4C9C-460E-8A1B-36EC15131B07}"/>
    <hyperlink ref="AO91" r:id="rId216" xr:uid="{8A574E36-9DED-47F0-A2B5-31EA2655C35B}"/>
    <hyperlink ref="AO92" r:id="rId217" xr:uid="{FE3A9325-4926-4812-BC31-11071317F526}"/>
    <hyperlink ref="AO93" r:id="rId218" xr:uid="{55B7D78F-A2B7-4358-B0D0-09623EC07FAF}"/>
    <hyperlink ref="AO94" r:id="rId219" xr:uid="{CA3FC75A-9899-4FB9-86C5-7F329E91C60A}"/>
    <hyperlink ref="AO95" r:id="rId220" xr:uid="{0B158B71-65AE-4E16-B905-6DBCCF198784}"/>
    <hyperlink ref="AO96" r:id="rId221" xr:uid="{302F83F6-A4E1-4C37-8AC6-1DFC2C63818B}"/>
    <hyperlink ref="AO97" r:id="rId222" xr:uid="{4AE211FC-A015-45D9-BF2B-A453228A542C}"/>
    <hyperlink ref="AO98" r:id="rId223" xr:uid="{E3714F2E-D0E2-42F4-ADC6-5D5EE10B4AE1}"/>
    <hyperlink ref="AO100" r:id="rId224" xr:uid="{51DF3270-DDE2-47AF-B189-956683ECC50F}"/>
    <hyperlink ref="AO99" r:id="rId225" xr:uid="{2C1A7E8D-4A7C-45E1-8857-802BD62C3F6F}"/>
    <hyperlink ref="AO101" r:id="rId226" xr:uid="{22FE093B-86A3-498B-A588-16A38940F9F3}"/>
    <hyperlink ref="AP97" r:id="rId227" xr:uid="{803EAEAD-16DF-416D-9C72-66B93FF9306D}"/>
    <hyperlink ref="AO102" r:id="rId228" xr:uid="{9DDE3F81-0AFA-44D6-8BBF-087B616B5D84}"/>
    <hyperlink ref="AO103" r:id="rId229" xr:uid="{CC4DE6FA-2FF2-454B-A508-C684DE342D85}"/>
    <hyperlink ref="AO104" r:id="rId230" xr:uid="{1B315DBF-7801-4848-B589-70ECF25E8045}"/>
    <hyperlink ref="AO105" r:id="rId231" xr:uid="{10997E22-E012-4A3C-8117-20DF42F24175}"/>
    <hyperlink ref="AO106" r:id="rId232" xr:uid="{A15F1004-AA45-4809-B6CE-FC14B00227EF}"/>
    <hyperlink ref="AO107" r:id="rId233" xr:uid="{3E476DA7-0213-4471-931A-F1127E072AC3}"/>
    <hyperlink ref="AO108" r:id="rId234" xr:uid="{84F5B350-DAC4-4109-A867-97A581CD752F}"/>
    <hyperlink ref="AO109" r:id="rId235" xr:uid="{B15B1B13-3BB4-4B11-A069-A2FC922DD43B}"/>
  </hyperlinks>
  <pageMargins left="0.7" right="0.7" top="0.75" bottom="0.75" header="0.3" footer="0.3"/>
  <pageSetup paperSize="9" orientation="portrait" r:id="rId236"/>
  <drawing r:id="rId237"/>
  <legacyDrawing r:id="rId23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0F74AE4-A8E9-4B6F-97BB-673FCBB2C7A2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I4</xm:sqref>
        </x14:conditionalFormatting>
        <x14:conditionalFormatting xmlns:xm="http://schemas.microsoft.com/office/excel/2006/main">
          <x14:cfRule type="dataBar" id="{DDE8E08D-0175-46FA-8002-B0F35B19A3AD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I5</xm:sqref>
        </x14:conditionalFormatting>
        <x14:conditionalFormatting xmlns:xm="http://schemas.microsoft.com/office/excel/2006/main">
          <x14:cfRule type="dataBar" id="{64B20FE8-F7BF-4151-A756-CEBF42376428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C6951C"/>
              <x14:axisColor rgb="FF000000"/>
            </x14:dataBar>
          </x14:cfRule>
          <xm:sqref>J1:J3 J6:J1048576</xm:sqref>
        </x14:conditionalFormatting>
        <x14:conditionalFormatting xmlns:xm="http://schemas.microsoft.com/office/excel/2006/main">
          <x14:cfRule type="dataBar" id="{399B87C0-E591-457B-9DDC-88C3B3EE05E3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C6951C"/>
              <x14:axisColor rgb="FF000000"/>
            </x14:dataBar>
          </x14:cfRule>
          <xm:sqref>J4:J5</xm:sqref>
        </x14:conditionalFormatting>
        <x14:conditionalFormatting xmlns:xm="http://schemas.microsoft.com/office/excel/2006/main">
          <x14:cfRule type="dataBar" id="{D7EAD270-9F70-460B-BA2E-2C0113061F00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C6951C"/>
              <x14:axisColor rgb="FF000000"/>
            </x14:dataBar>
          </x14:cfRule>
          <xm:sqref>J63:J66 J68 J70</xm:sqref>
        </x14:conditionalFormatting>
        <x14:conditionalFormatting xmlns:xm="http://schemas.microsoft.com/office/excel/2006/main">
          <x14:cfRule type="dataBar" id="{44B86777-5E58-43E7-868D-D6077CA4127F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J68</xm:sqref>
        </x14:conditionalFormatting>
        <x14:conditionalFormatting xmlns:xm="http://schemas.microsoft.com/office/excel/2006/main">
          <x14:cfRule type="dataBar" id="{E31CD4B3-4A95-456D-9ED7-37A0906036B4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L1:L1048576</xm:sqref>
        </x14:conditionalFormatting>
        <x14:conditionalFormatting xmlns:xm="http://schemas.microsoft.com/office/excel/2006/main">
          <x14:cfRule type="dataBar" id="{216F7229-BD82-46C2-9A1B-DCA27EB5A50F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L4:L5</xm:sqref>
        </x14:conditionalFormatting>
        <x14:conditionalFormatting xmlns:xm="http://schemas.microsoft.com/office/excel/2006/main">
          <x14:cfRule type="dataBar" id="{5604BF76-98CA-40DD-B8C8-61344AA16F77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L63:L66 L68 L70</xm:sqref>
        </x14:conditionalFormatting>
        <x14:conditionalFormatting xmlns:xm="http://schemas.microsoft.com/office/excel/2006/main">
          <x14:cfRule type="dataBar" id="{5A31DAF9-25AA-4913-9FFA-A38CF4782880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L68 N68</xm:sqref>
        </x14:conditionalFormatting>
        <x14:conditionalFormatting xmlns:xm="http://schemas.microsoft.com/office/excel/2006/main">
          <x14:cfRule type="dataBar" id="{8387D394-C745-48E3-8BDF-A9BEB9F3FF6D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N1:N1048576</xm:sqref>
        </x14:conditionalFormatting>
        <x14:conditionalFormatting xmlns:xm="http://schemas.microsoft.com/office/excel/2006/main">
          <x14:cfRule type="dataBar" id="{0A082476-022C-4A5C-8FF2-5748392F056F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N4:N5</xm:sqref>
        </x14:conditionalFormatting>
        <x14:conditionalFormatting xmlns:xm="http://schemas.microsoft.com/office/excel/2006/main">
          <x14:cfRule type="dataBar" id="{BD81F3CA-BA51-42A7-AAD0-9B1128BA6C1A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N63:N66 N68 N70</xm:sqref>
        </x14:conditionalFormatting>
        <x14:conditionalFormatting xmlns:xm="http://schemas.microsoft.com/office/excel/2006/main">
          <x14:cfRule type="dataBar" id="{55E1C7EB-65E2-48C9-B10F-A3C44431C20D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F6E7C2"/>
              <x14:axisColor rgb="FF000000"/>
            </x14:dataBar>
          </x14:cfRule>
          <xm:sqref>P1:P3 P6:P1048576</xm:sqref>
        </x14:conditionalFormatting>
        <x14:conditionalFormatting xmlns:xm="http://schemas.microsoft.com/office/excel/2006/main">
          <x14:cfRule type="dataBar" id="{A6901F09-9741-4031-8039-982A05660026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F6E7C2"/>
              <x14:axisColor rgb="FF000000"/>
            </x14:dataBar>
          </x14:cfRule>
          <xm:sqref>P4:P5</xm:sqref>
        </x14:conditionalFormatting>
        <x14:conditionalFormatting xmlns:xm="http://schemas.microsoft.com/office/excel/2006/main">
          <x14:cfRule type="dataBar" id="{39CEF80D-FDFC-4222-A261-9EFE6E5AFE22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F6E7C2"/>
              <x14:axisColor rgb="FF000000"/>
            </x14:dataBar>
          </x14:cfRule>
          <xm:sqref>P63:P66 P68 P70</xm:sqref>
        </x14:conditionalFormatting>
        <x14:conditionalFormatting xmlns:xm="http://schemas.microsoft.com/office/excel/2006/main">
          <x14:cfRule type="dataBar" id="{04535207-8A4F-47C9-95B7-B96AD1B666D4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P68</xm:sqref>
        </x14:conditionalFormatting>
        <x14:conditionalFormatting xmlns:xm="http://schemas.microsoft.com/office/excel/2006/main">
          <x14:cfRule type="dataBar" id="{266DEF02-F925-4C4F-B4F0-42A0FD8A7906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P69:P70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29E37-E746-44E9-8201-DD701AA31FCF}">
  <sheetPr>
    <tabColor rgb="FF6A9495"/>
  </sheetPr>
  <dimension ref="A1:AS936"/>
  <sheetViews>
    <sheetView showGridLines="0" zoomScale="60" zoomScaleNormal="60" workbookViewId="0">
      <pane xSplit="1" ySplit="5" topLeftCell="C6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14.44140625" defaultRowHeight="14.4" outlineLevelCol="1" x14ac:dyDescent="0.25"/>
  <cols>
    <col min="1" max="1" width="46.6640625" style="17" customWidth="1"/>
    <col min="2" max="2" width="13.33203125" style="16" hidden="1" customWidth="1"/>
    <col min="3" max="3" width="10.109375" style="16" customWidth="1"/>
    <col min="4" max="4" width="20.5546875" style="16" customWidth="1"/>
    <col min="5" max="5" width="19" style="16" customWidth="1"/>
    <col min="6" max="6" width="13.33203125" style="16" customWidth="1"/>
    <col min="7" max="7" width="3.6640625" style="16" customWidth="1"/>
    <col min="8" max="8" width="8.33203125" style="4" customWidth="1"/>
    <col min="9" max="9" width="14.44140625" style="16"/>
    <col min="10" max="10" width="14.44140625" style="144"/>
    <col min="11" max="11" width="14.44140625" style="19"/>
    <col min="12" max="12" width="14.44140625" style="154"/>
    <col min="13" max="13" width="14.44140625" style="19"/>
    <col min="14" max="14" width="14.44140625" style="153"/>
    <col min="15" max="15" width="14.44140625" style="19"/>
    <col min="16" max="16" width="14.44140625" style="144"/>
    <col min="17" max="17" width="7" style="16" customWidth="1"/>
    <col min="18" max="18" width="15.109375" style="16" customWidth="1"/>
    <col min="19" max="19" width="11.109375" style="16" customWidth="1"/>
    <col min="20" max="20" width="17" style="16" customWidth="1"/>
    <col min="21" max="21" width="10.6640625" style="16" customWidth="1"/>
    <col min="22" max="22" width="3.6640625" style="48" hidden="1" customWidth="1" outlineLevel="1"/>
    <col min="23" max="25" width="16.33203125" style="16" hidden="1" customWidth="1" outlineLevel="1"/>
    <col min="26" max="26" width="20.6640625" style="16" hidden="1" customWidth="1" outlineLevel="1"/>
    <col min="27" max="27" width="17" style="19" hidden="1" customWidth="1" outlineLevel="1"/>
    <col min="28" max="28" width="18.33203125" style="19" hidden="1" customWidth="1" outlineLevel="1"/>
    <col min="29" max="29" width="18" style="19" hidden="1" customWidth="1" outlineLevel="1"/>
    <col min="30" max="30" width="23.33203125" style="19" hidden="1" customWidth="1" outlineLevel="1"/>
    <col min="31" max="31" width="3.6640625" style="16" customWidth="1" collapsed="1"/>
    <col min="32" max="32" width="2.33203125" style="9" customWidth="1"/>
    <col min="33" max="34" width="4.44140625" style="4" customWidth="1"/>
    <col min="35" max="35" width="2.33203125" style="16" customWidth="1"/>
    <col min="36" max="36" width="3.6640625" style="16" customWidth="1"/>
    <col min="37" max="37" width="12.33203125" style="16" customWidth="1"/>
    <col min="38" max="38" width="10.5546875" style="16" customWidth="1"/>
    <col min="39" max="39" width="12.33203125" style="16" customWidth="1"/>
    <col min="40" max="40" width="3.6640625" style="48" customWidth="1"/>
    <col min="41" max="42" width="7.6640625" style="16" customWidth="1"/>
    <col min="43" max="43" width="3.6640625" style="17" customWidth="1"/>
    <col min="44" max="44" width="14.44140625" style="17"/>
    <col min="45" max="45" width="14.44140625" style="48"/>
    <col min="46" max="16384" width="14.44140625" style="17"/>
  </cols>
  <sheetData>
    <row r="1" spans="1:43" ht="19.2" hidden="1" customHeight="1" x14ac:dyDescent="0.25">
      <c r="I1" s="44" t="s">
        <v>297</v>
      </c>
      <c r="J1" s="142">
        <f>SUBTOTAL(4,I6:P800)</f>
        <v>1.5318000000000001</v>
      </c>
    </row>
    <row r="2" spans="1:43" ht="28.95" hidden="1" customHeight="1" x14ac:dyDescent="0.25">
      <c r="I2" s="44" t="s">
        <v>298</v>
      </c>
      <c r="J2" s="142">
        <f>SUBTOTAL(5,I6:P800)</f>
        <v>6.510000000000001E-4</v>
      </c>
    </row>
    <row r="3" spans="1:43" ht="49.95" customHeight="1" x14ac:dyDescent="0.25">
      <c r="A3" s="16"/>
      <c r="W3" s="48"/>
      <c r="X3" s="284" t="s">
        <v>372</v>
      </c>
      <c r="Y3" s="284"/>
      <c r="Z3" s="284"/>
      <c r="AA3" s="284"/>
      <c r="AB3" s="284"/>
      <c r="AC3" s="284"/>
      <c r="AD3" s="284"/>
    </row>
    <row r="4" spans="1:43" s="21" customFormat="1" ht="30" customHeight="1" x14ac:dyDescent="0.3">
      <c r="A4" s="60" t="s">
        <v>0</v>
      </c>
      <c r="B4" s="288" t="s">
        <v>207</v>
      </c>
      <c r="C4" s="288"/>
      <c r="D4" s="56" t="s">
        <v>1</v>
      </c>
      <c r="E4" s="56" t="s">
        <v>134</v>
      </c>
      <c r="F4" s="56" t="s">
        <v>2</v>
      </c>
      <c r="G4" s="126"/>
      <c r="H4" s="56" t="s">
        <v>245</v>
      </c>
      <c r="I4" s="291" t="s">
        <v>197</v>
      </c>
      <c r="J4" s="291"/>
      <c r="K4" s="287" t="s">
        <v>198</v>
      </c>
      <c r="L4" s="288"/>
      <c r="M4" s="287" t="s">
        <v>303</v>
      </c>
      <c r="N4" s="288"/>
      <c r="O4" s="291" t="s">
        <v>202</v>
      </c>
      <c r="P4" s="291"/>
      <c r="Q4" s="56" t="s">
        <v>5</v>
      </c>
      <c r="R4" s="20" t="s">
        <v>371</v>
      </c>
      <c r="S4" s="20" t="s">
        <v>242</v>
      </c>
      <c r="T4" s="56" t="s">
        <v>4</v>
      </c>
      <c r="U4" s="20" t="s">
        <v>243</v>
      </c>
      <c r="V4" s="51"/>
      <c r="W4" s="20" t="s">
        <v>525</v>
      </c>
      <c r="X4" s="20" t="s">
        <v>193</v>
      </c>
      <c r="Y4" s="20" t="s">
        <v>246</v>
      </c>
      <c r="Z4" s="20" t="s">
        <v>203</v>
      </c>
      <c r="AA4" s="56" t="s">
        <v>6</v>
      </c>
      <c r="AB4" s="56" t="s">
        <v>7</v>
      </c>
      <c r="AC4" s="56" t="s">
        <v>8</v>
      </c>
      <c r="AD4" s="20" t="s">
        <v>202</v>
      </c>
      <c r="AE4" s="126"/>
      <c r="AF4" s="287" t="s">
        <v>199</v>
      </c>
      <c r="AG4" s="288"/>
      <c r="AH4" s="288"/>
      <c r="AI4" s="288"/>
      <c r="AJ4" s="126"/>
      <c r="AK4" s="20" t="s">
        <v>166</v>
      </c>
      <c r="AL4" s="56" t="s">
        <v>3</v>
      </c>
      <c r="AM4" s="20" t="s">
        <v>201</v>
      </c>
      <c r="AN4" s="128"/>
      <c r="AO4" s="56" t="s">
        <v>186</v>
      </c>
      <c r="AP4" s="56"/>
    </row>
    <row r="5" spans="1:43" s="43" customFormat="1" ht="20.399999999999999" customHeight="1" x14ac:dyDescent="0.3">
      <c r="A5" s="22"/>
      <c r="B5" s="290"/>
      <c r="C5" s="290"/>
      <c r="D5" s="22"/>
      <c r="E5" s="22"/>
      <c r="F5" s="22"/>
      <c r="G5" s="127"/>
      <c r="H5" s="22" t="s">
        <v>288</v>
      </c>
      <c r="I5" s="293" t="s">
        <v>275</v>
      </c>
      <c r="J5" s="293"/>
      <c r="K5" s="289" t="s">
        <v>275</v>
      </c>
      <c r="L5" s="289"/>
      <c r="M5" s="289" t="s">
        <v>275</v>
      </c>
      <c r="N5" s="289"/>
      <c r="O5" s="293" t="s">
        <v>275</v>
      </c>
      <c r="P5" s="293"/>
      <c r="Q5" s="22"/>
      <c r="R5" s="22"/>
      <c r="S5" s="22"/>
      <c r="T5" s="22" t="s">
        <v>194</v>
      </c>
      <c r="U5" s="22" t="s">
        <v>10</v>
      </c>
      <c r="W5" s="22"/>
      <c r="X5" s="22"/>
      <c r="Y5" s="22" t="s">
        <v>206</v>
      </c>
      <c r="Z5" s="22" t="s">
        <v>373</v>
      </c>
      <c r="AA5" s="22" t="s">
        <v>373</v>
      </c>
      <c r="AB5" s="22" t="s">
        <v>373</v>
      </c>
      <c r="AC5" s="22" t="s">
        <v>373</v>
      </c>
      <c r="AD5" s="22" t="s">
        <v>373</v>
      </c>
      <c r="AE5" s="127"/>
      <c r="AF5" s="290" t="s">
        <v>11</v>
      </c>
      <c r="AG5" s="290"/>
      <c r="AH5" s="290"/>
      <c r="AI5" s="290"/>
      <c r="AJ5" s="127"/>
      <c r="AK5" s="22" t="s">
        <v>206</v>
      </c>
      <c r="AL5" s="22" t="s">
        <v>229</v>
      </c>
      <c r="AM5" s="22" t="s">
        <v>9</v>
      </c>
      <c r="AN5" s="127"/>
      <c r="AO5" s="22"/>
      <c r="AP5" s="22"/>
    </row>
    <row r="6" spans="1:43" ht="25.2" customHeight="1" x14ac:dyDescent="0.15">
      <c r="A6" s="25" t="s">
        <v>63</v>
      </c>
      <c r="B6" s="47" t="s">
        <v>208</v>
      </c>
      <c r="C6" s="47"/>
      <c r="D6" s="47" t="s">
        <v>64</v>
      </c>
      <c r="E6" s="82" t="s">
        <v>146</v>
      </c>
      <c r="F6" s="85" t="s">
        <v>168</v>
      </c>
      <c r="G6" s="27"/>
      <c r="H6" s="112">
        <v>1</v>
      </c>
      <c r="I6" s="47" t="str">
        <f>IF(J6="","N/A",J6)</f>
        <v>N/A</v>
      </c>
      <c r="J6" s="143" t="str" cm="1">
        <f t="array" ref="J6">IF(AB6="N/A","",_xlfn.IFS(X6="m2",((Z6/(Y6/AK6))*H6),X6="m3",((Z6/(Y6/AK6))*H6),X6="kg",(((Z6*AL6)/(1/AK6))*H6),X6="ton",(((Z6/1000*AL6)/(1/AK6))*H6),X6="N/A",""))</f>
        <v/>
      </c>
      <c r="K6" s="52" t="str">
        <f>IF(L6="","N/A",L6)</f>
        <v>N/A</v>
      </c>
      <c r="L6" s="155" t="str" cm="1">
        <f t="array" ref="L6">_xlfn.IFS(X6="m2",((AA6/(Y6/AK6))*H6),X6="m3",((AA6/(Y6/AK6))*H6),X6="kg",(((AA6*AL6)/(1/AK6))*H6),X6="ton",(((AA6/1000*AL6)/(1/AK6))*H6),X6="N/A","")</f>
        <v/>
      </c>
      <c r="M6" s="52" t="str">
        <f>IF(N6="","N/A",N6)</f>
        <v>N/A</v>
      </c>
      <c r="N6" s="148" t="str" cm="1">
        <f t="array" ref="N6">IF(AB6="N/A","",_xlfn.IFS(X6="m2",((AB6/(Y6/AK6))*H6),X6="m3",((AB6/(Y6/AK6))*H6),X6="kg",(((AB6*AL6)/(1/AK6))*H6),X6="ton",(((AB6/1000*AL6)/(1/AK6))*H6),X6="N/A",""))</f>
        <v/>
      </c>
      <c r="O6" s="52" t="str">
        <f>IF(P6="","N/A",P6)</f>
        <v>N/A</v>
      </c>
      <c r="P6" s="143" t="str" cm="1">
        <f t="array" ref="P6">IF(AD6="N/A","",_xlfn.IFS(X6="m2",((AD6/(Y6/AK6))*H6),X6="m3",((AD6/(Y6/AK6))*H6),X6="kg",(((AD6*AL6)/(1/AK6))*H6),X6="ton",(((AD6/1000*AL6)/(1/AK6))*H6),X6="N/A",""))</f>
        <v/>
      </c>
      <c r="Q6" s="47" t="s">
        <v>191</v>
      </c>
      <c r="R6" s="47"/>
      <c r="S6" s="47" t="s">
        <v>191</v>
      </c>
      <c r="T6" s="47" t="s">
        <v>191</v>
      </c>
      <c r="U6" s="47" t="s">
        <v>191</v>
      </c>
      <c r="W6" s="47" t="s">
        <v>191</v>
      </c>
      <c r="X6" s="47" t="s">
        <v>191</v>
      </c>
      <c r="Y6" s="47" t="s">
        <v>191</v>
      </c>
      <c r="Z6" s="47" t="str">
        <f>IF(AB6="N/A","N/A",SUM(AA6:AB6))</f>
        <v>N/A</v>
      </c>
      <c r="AA6" s="52" t="s">
        <v>191</v>
      </c>
      <c r="AB6" s="52" t="s">
        <v>191</v>
      </c>
      <c r="AC6" s="52" t="s">
        <v>191</v>
      </c>
      <c r="AD6" s="52" t="s">
        <v>191</v>
      </c>
      <c r="AF6" s="103" t="str">
        <f>AG6&amp;" "&amp;AH6</f>
        <v xml:space="preserve">F </v>
      </c>
      <c r="AG6" s="75" t="s">
        <v>82</v>
      </c>
      <c r="AH6" s="76"/>
      <c r="AI6" s="103"/>
      <c r="AK6" s="47" t="s">
        <v>191</v>
      </c>
      <c r="AL6" s="47" t="s">
        <v>191</v>
      </c>
      <c r="AM6" s="47" t="s">
        <v>191</v>
      </c>
      <c r="AO6" s="265" t="s">
        <v>17</v>
      </c>
      <c r="AP6" s="81"/>
      <c r="AQ6" s="26"/>
    </row>
    <row r="7" spans="1:43" ht="25.2" customHeight="1" x14ac:dyDescent="0.15">
      <c r="A7" s="25" t="s">
        <v>125</v>
      </c>
      <c r="B7" s="47" t="s">
        <v>210</v>
      </c>
      <c r="C7" s="47"/>
      <c r="D7" s="47" t="s">
        <v>57</v>
      </c>
      <c r="E7" s="47" t="s">
        <v>143</v>
      </c>
      <c r="F7" s="47" t="s">
        <v>43</v>
      </c>
      <c r="H7" s="112">
        <v>1</v>
      </c>
      <c r="I7" s="47" t="str">
        <f t="shared" ref="I7:I21" si="0">IF(J7="","N/A",J7)</f>
        <v>N/A</v>
      </c>
      <c r="J7" s="143" t="str" cm="1">
        <f t="array" ref="J7">IF(AB7="N/A","",_xlfn.IFS(X7="m2",((Z7/(Y7/AK7))*H7),X7="m3",((Z7/(Y7/AK7))*H7),X7="kg",(((Z7*AL7)/(1/AK7))*H7),X7="ton",(((Z7/1000*AL7)/(1/AK7))*H7),X7="N/A",""))</f>
        <v/>
      </c>
      <c r="K7" s="52" t="str">
        <f t="shared" ref="K7:K21" si="1">IF(L7="","N/A",L7)</f>
        <v>N/A</v>
      </c>
      <c r="L7" s="155" t="str" cm="1">
        <f t="array" ref="L7">(_xlfn.IFS(X7="m2",((AA7/(Y7/AK7))*H7),X7="m3",((AA7/(Y7/AK7))*H7),X7="kg",(((AA7*AL7)/(1/AK7))*H7),X7="ton",(((AA7/1000*AL7)/(1/AK7))*H7),X7="N/A",""))</f>
        <v/>
      </c>
      <c r="M7" s="52" t="str">
        <f t="shared" ref="M7:M21" si="2">IF(N7="","N/A",N7)</f>
        <v>N/A</v>
      </c>
      <c r="N7" s="148" t="str" cm="1">
        <f t="array" ref="N7">IF(AB7="N/A","",_xlfn.IFS(X7="m2",((AB7/(Y7/AK7))*H7),X7="m3",((AB7/(Y7/AK7))*H7),X7="kg",(((AB7*AL7)/(1/AK7))*H7),X7="ton",(((AB7/1000*AL7)/(1/AK7))*H7),X7="N/A",""))</f>
        <v/>
      </c>
      <c r="O7" s="52" t="str">
        <f t="shared" ref="O7:O21" si="3">IF(P7="","N/A",P7)</f>
        <v>N/A</v>
      </c>
      <c r="P7" s="143" t="str" cm="1">
        <f t="array" ref="P7">IF(AD7="N/A","",_xlfn.IFS(X7="m2",((AD7/(Y7/AK7))*H7),X7="m3",((AD7/(Y7/AK7))*H7),X7="kg",(((AD7*AL7)/(1/AK7))*H7),X7="ton",(((AD7/1000*AL7)/(1/AK7))*H7),X7="N/A",""))</f>
        <v/>
      </c>
      <c r="Q7" s="47" t="s">
        <v>191</v>
      </c>
      <c r="R7" s="47"/>
      <c r="S7" s="47" t="s">
        <v>191</v>
      </c>
      <c r="T7" s="47" t="s">
        <v>191</v>
      </c>
      <c r="U7" s="47" t="s">
        <v>191</v>
      </c>
      <c r="W7" s="47" t="s">
        <v>191</v>
      </c>
      <c r="X7" s="47" t="s">
        <v>191</v>
      </c>
      <c r="Y7" s="47" t="s">
        <v>191</v>
      </c>
      <c r="Z7" s="47" t="str">
        <f t="shared" ref="Z7:Z21" si="4">IF(AB7="N/A","N/A",SUM(AA7:AB7))</f>
        <v>N/A</v>
      </c>
      <c r="AA7" s="52" t="s">
        <v>191</v>
      </c>
      <c r="AB7" s="52" t="s">
        <v>191</v>
      </c>
      <c r="AC7" s="52" t="s">
        <v>191</v>
      </c>
      <c r="AD7" s="52" t="s">
        <v>191</v>
      </c>
      <c r="AF7" s="103" t="str">
        <f t="shared" ref="AF7:AF21" si="5">AG7&amp;" "&amp;AH7</f>
        <v xml:space="preserve">F </v>
      </c>
      <c r="AG7" s="75" t="s">
        <v>82</v>
      </c>
      <c r="AH7" s="76"/>
      <c r="AI7" s="103"/>
      <c r="AK7" s="47" t="s">
        <v>191</v>
      </c>
      <c r="AL7" s="47" t="s">
        <v>191</v>
      </c>
      <c r="AM7" s="47" t="s">
        <v>191</v>
      </c>
      <c r="AO7" s="80" t="s">
        <v>17</v>
      </c>
      <c r="AP7" s="81"/>
      <c r="AQ7" s="26"/>
    </row>
    <row r="8" spans="1:43" ht="25.2" customHeight="1" x14ac:dyDescent="0.15">
      <c r="A8" s="25" t="s">
        <v>124</v>
      </c>
      <c r="B8" s="47" t="s">
        <v>210</v>
      </c>
      <c r="C8" s="47"/>
      <c r="D8" s="47" t="s">
        <v>57</v>
      </c>
      <c r="E8" s="47" t="s">
        <v>143</v>
      </c>
      <c r="F8" s="47" t="s">
        <v>43</v>
      </c>
      <c r="H8" s="112">
        <v>1</v>
      </c>
      <c r="I8" s="47" t="str">
        <f t="shared" si="0"/>
        <v>N/A</v>
      </c>
      <c r="J8" s="143" t="str" cm="1">
        <f t="array" ref="J8">IF(AB8="N/A","",_xlfn.IFS(X8="m2",((Z8/(Y8/AK8))*H8),X8="m3",((Z8/(Y8/AK8))*H8),X8="kg",(((Z8*AL8)/(1/AK8))*H8),X8="ton",(((Z8/1000*AL8)/(1/AK8))*H8),X8="N/A",""))</f>
        <v/>
      </c>
      <c r="K8" s="52" t="str">
        <f t="shared" si="1"/>
        <v>N/A</v>
      </c>
      <c r="L8" s="155" t="str" cm="1">
        <f t="array" ref="L8">(_xlfn.IFS(X8="m2",((AA8/(Y8/AK8))*H8),X8="m3",((AA8/(Y8/AK8))*H8),X8="kg",(((AA8*AL8)/(1/AK8))*H8),X8="ton",(((AA8/1000*AL8)/(1/AK8))*H8),X8="N/A",""))</f>
        <v/>
      </c>
      <c r="M8" s="52" t="str">
        <f t="shared" si="2"/>
        <v>N/A</v>
      </c>
      <c r="N8" s="148" t="str" cm="1">
        <f t="array" ref="N8">IF(AB8="N/A","",_xlfn.IFS(X8="m2",((AB8/(Y8/AK8))*H8),X8="m3",((AB8/(Y8/AK8))*H8),X8="kg",(((AB8*AL8)/(1/AK8))*H8),X8="ton",(((AB8/1000*AL8)/(1/AK8))*H8),X8="N/A",""))</f>
        <v/>
      </c>
      <c r="O8" s="52" t="str">
        <f t="shared" si="3"/>
        <v>N/A</v>
      </c>
      <c r="P8" s="143" t="str" cm="1">
        <f t="array" ref="P8">IF(AD8="N/A","",_xlfn.IFS(X8="m2",((AD8/(Y8/AK8))*H8),X8="m3",((AD8/(Y8/AK8))*H8),X8="kg",(((AD8*AL8)/(1/AK8))*H8),X8="ton",(((AD8/1000*AL8)/(1/AK8))*H8),X8="N/A",""))</f>
        <v/>
      </c>
      <c r="Q8" s="47" t="s">
        <v>191</v>
      </c>
      <c r="R8" s="47"/>
      <c r="S8" s="47" t="s">
        <v>191</v>
      </c>
      <c r="T8" s="47" t="s">
        <v>191</v>
      </c>
      <c r="U8" s="47" t="s">
        <v>191</v>
      </c>
      <c r="W8" s="47" t="s">
        <v>191</v>
      </c>
      <c r="X8" s="47" t="s">
        <v>191</v>
      </c>
      <c r="Y8" s="47" t="s">
        <v>191</v>
      </c>
      <c r="Z8" s="47" t="str">
        <f t="shared" si="4"/>
        <v>N/A</v>
      </c>
      <c r="AA8" s="52" t="s">
        <v>191</v>
      </c>
      <c r="AB8" s="52" t="s">
        <v>191</v>
      </c>
      <c r="AC8" s="52" t="s">
        <v>191</v>
      </c>
      <c r="AD8" s="52" t="s">
        <v>191</v>
      </c>
      <c r="AF8" s="103" t="str">
        <f t="shared" si="5"/>
        <v xml:space="preserve">A1 </v>
      </c>
      <c r="AG8" s="75" t="s">
        <v>58</v>
      </c>
      <c r="AH8" s="76"/>
      <c r="AI8" s="103"/>
      <c r="AK8" s="47" t="s">
        <v>191</v>
      </c>
      <c r="AL8" s="47" t="s">
        <v>191</v>
      </c>
      <c r="AM8" s="47" t="s">
        <v>191</v>
      </c>
      <c r="AO8" s="80" t="s">
        <v>17</v>
      </c>
      <c r="AP8" s="73"/>
      <c r="AQ8" s="26"/>
    </row>
    <row r="9" spans="1:43" ht="25.2" customHeight="1" x14ac:dyDescent="0.15">
      <c r="A9" s="25" t="s">
        <v>126</v>
      </c>
      <c r="B9" s="47" t="s">
        <v>210</v>
      </c>
      <c r="C9" s="47"/>
      <c r="D9" s="47" t="s">
        <v>57</v>
      </c>
      <c r="E9" s="47" t="s">
        <v>143</v>
      </c>
      <c r="F9" s="47" t="s">
        <v>43</v>
      </c>
      <c r="H9" s="112">
        <v>1</v>
      </c>
      <c r="I9" s="47" t="str">
        <f t="shared" si="0"/>
        <v>N/A</v>
      </c>
      <c r="J9" s="143" t="str" cm="1">
        <f t="array" ref="J9">IF(AB9="N/A","",_xlfn.IFS(X9="m2",((Z9/(Y9/AK9))*H9),X9="m3",((Z9/(Y9/AK9))*H9),X9="kg",(((Z9*AL9)/(1/AK9))*H9),X9="ton",(((Z9/1000*AL9)/(1/AK9))*H9),X9="N/A",""))</f>
        <v/>
      </c>
      <c r="K9" s="52" t="str">
        <f t="shared" si="1"/>
        <v>N/A</v>
      </c>
      <c r="L9" s="155" t="str" cm="1">
        <f t="array" ref="L9">(_xlfn.IFS(X9="m2",((AA9/(Y9/AK9))*H9),X9="m3",((AA9/(Y9/AK9))*H9),X9="kg",(((AA9*AL9)/(1/AK9))*H9),X9="ton",(((AA9/1000*AL9)/(1/AK9))*H9),X9="N/A",""))</f>
        <v/>
      </c>
      <c r="M9" s="52" t="str">
        <f t="shared" si="2"/>
        <v>N/A</v>
      </c>
      <c r="N9" s="148" t="str" cm="1">
        <f t="array" ref="N9">IF(AB9="N/A","",_xlfn.IFS(X9="m2",((AB9/(Y9/AK9))*H9),X9="m3",((AB9/(Y9/AK9))*H9),X9="kg",(((AB9*AL9)/(1/AK9))*H9),X9="ton",(((AB9/1000*AL9)/(1/AK9))*H9),X9="N/A",""))</f>
        <v/>
      </c>
      <c r="O9" s="52" t="str">
        <f t="shared" si="3"/>
        <v>N/A</v>
      </c>
      <c r="P9" s="143" t="str" cm="1">
        <f t="array" ref="P9">IF(AD9="N/A","",_xlfn.IFS(X9="m2",((AD9/(Y9/AK9))*H9),X9="m3",((AD9/(Y9/AK9))*H9),X9="kg",(((AD9*AL9)/(1/AK9))*H9),X9="ton",(((AD9/1000*AL9)/(1/AK9))*H9),X9="N/A",""))</f>
        <v/>
      </c>
      <c r="Q9" s="47" t="s">
        <v>191</v>
      </c>
      <c r="R9" s="47"/>
      <c r="S9" s="47" t="s">
        <v>191</v>
      </c>
      <c r="T9" s="47" t="s">
        <v>191</v>
      </c>
      <c r="U9" s="47" t="s">
        <v>191</v>
      </c>
      <c r="W9" s="47" t="s">
        <v>191</v>
      </c>
      <c r="X9" s="47" t="s">
        <v>191</v>
      </c>
      <c r="Y9" s="47" t="s">
        <v>191</v>
      </c>
      <c r="Z9" s="47" t="str">
        <f t="shared" si="4"/>
        <v>N/A</v>
      </c>
      <c r="AA9" s="52" t="s">
        <v>191</v>
      </c>
      <c r="AB9" s="52" t="s">
        <v>191</v>
      </c>
      <c r="AC9" s="52" t="s">
        <v>191</v>
      </c>
      <c r="AD9" s="52" t="s">
        <v>191</v>
      </c>
      <c r="AF9" s="103" t="str">
        <f t="shared" si="5"/>
        <v xml:space="preserve">A1 </v>
      </c>
      <c r="AG9" s="75" t="s">
        <v>58</v>
      </c>
      <c r="AH9" s="76"/>
      <c r="AI9" s="103"/>
      <c r="AK9" s="47" t="s">
        <v>191</v>
      </c>
      <c r="AL9" s="47" t="s">
        <v>191</v>
      </c>
      <c r="AM9" s="47" t="s">
        <v>191</v>
      </c>
      <c r="AO9" s="80" t="s">
        <v>17</v>
      </c>
      <c r="AP9" s="81"/>
      <c r="AQ9" s="26"/>
    </row>
    <row r="10" spans="1:43" ht="25.2" customHeight="1" x14ac:dyDescent="0.15">
      <c r="A10" s="25" t="s">
        <v>247</v>
      </c>
      <c r="B10" s="47" t="s">
        <v>208</v>
      </c>
      <c r="C10" s="47"/>
      <c r="D10" s="47" t="s">
        <v>154</v>
      </c>
      <c r="E10" s="82" t="s">
        <v>147</v>
      </c>
      <c r="F10" s="85" t="s">
        <v>19</v>
      </c>
      <c r="G10" s="27"/>
      <c r="H10" s="112">
        <v>1</v>
      </c>
      <c r="I10" s="47" t="str">
        <f t="shared" si="0"/>
        <v>N/A</v>
      </c>
      <c r="J10" s="143" t="str" cm="1">
        <f t="array" ref="J10">IF(AB10="N/A","",_xlfn.IFS(X10="m2",((Z10/(Y10/AK10))*H10),X10="m3",((Z10/(Y10/AK10))*H10),X10="kg",(((Z10*AL10)/(1/AK10))*H10),X10="ton",(((Z10/1000*AL10)/(1/AK10))*H10),X10="N/A",""))</f>
        <v/>
      </c>
      <c r="K10" s="52">
        <f t="shared" si="1"/>
        <v>0.86940000000000028</v>
      </c>
      <c r="L10" s="155" cm="1">
        <f t="array" ref="L10">(_xlfn.IFS(X10="m2",((AA10/(Y10/AK10))*H10),X10="m3",((AA10/(Y10/AK10))*H10),X10="kg",(((AA10*AL10)/(1/AK10))*H10),X10="ton",(((AA10/1000*AL10)/(1/AK10))*H10),X10="N/A",""))</f>
        <v>0.86940000000000028</v>
      </c>
      <c r="M10" s="52" t="str">
        <f t="shared" si="2"/>
        <v>N/A</v>
      </c>
      <c r="N10" s="148" t="str" cm="1">
        <f t="array" ref="N10">IF(AB10="N/A","",_xlfn.IFS(X10="m2",((AB10/(Y10/AK10))*H10),X10="m3",((AB10/(Y10/AK10))*H10),X10="kg",(((AB10*AL10)/(1/AK10))*H10),X10="ton",(((AB10/1000*AL10)/(1/AK10))*H10),X10="N/A",""))</f>
        <v/>
      </c>
      <c r="O10" s="52">
        <f t="shared" si="3"/>
        <v>7.0200000000000015E-4</v>
      </c>
      <c r="P10" s="143" cm="1">
        <f t="array" ref="P10">IF(AD10="N/A","",_xlfn.IFS(X10="m2",((AD10/(Y10/AK10))*H10),X10="m3",((AD10/(Y10/AK10))*H10),X10="kg",(((AD10*AL10)/(1/AK10))*H10),X10="ton",(((AD10/1000*AL10)/(1/AK10))*H10),X10="N/A",""))</f>
        <v>7.0200000000000015E-4</v>
      </c>
      <c r="Q10" s="82" t="s">
        <v>5</v>
      </c>
      <c r="R10" s="82"/>
      <c r="S10" s="47">
        <v>2026</v>
      </c>
      <c r="T10" s="47" t="s">
        <v>28</v>
      </c>
      <c r="U10" s="47" t="s">
        <v>191</v>
      </c>
      <c r="W10" s="47" t="s">
        <v>609</v>
      </c>
      <c r="X10" s="47" t="s">
        <v>61</v>
      </c>
      <c r="Y10" s="47" t="s">
        <v>191</v>
      </c>
      <c r="Z10" s="47" t="str">
        <f t="shared" si="4"/>
        <v>N/A</v>
      </c>
      <c r="AA10" s="52">
        <f>8.05*10^-1</f>
        <v>0.80500000000000016</v>
      </c>
      <c r="AB10" s="52" t="s">
        <v>191</v>
      </c>
      <c r="AC10" s="52" t="s">
        <v>191</v>
      </c>
      <c r="AD10" s="52">
        <f>6.5*10^-4</f>
        <v>6.5000000000000008E-4</v>
      </c>
      <c r="AF10" s="103" t="str">
        <f t="shared" si="5"/>
        <v xml:space="preserve">A1 </v>
      </c>
      <c r="AG10" s="75" t="s">
        <v>58</v>
      </c>
      <c r="AH10" s="76"/>
      <c r="AI10" s="103"/>
      <c r="AK10" s="47">
        <v>3.0000000000000001E-3</v>
      </c>
      <c r="AL10" s="47">
        <v>360</v>
      </c>
      <c r="AM10" s="47" t="s">
        <v>191</v>
      </c>
      <c r="AO10" s="105" t="s">
        <v>17</v>
      </c>
      <c r="AP10" s="81"/>
      <c r="AQ10" s="26"/>
    </row>
    <row r="11" spans="1:43" ht="25.2" customHeight="1" x14ac:dyDescent="0.15">
      <c r="A11" s="25" t="s">
        <v>250</v>
      </c>
      <c r="B11" s="47" t="s">
        <v>208</v>
      </c>
      <c r="C11" s="47"/>
      <c r="D11" s="47" t="s">
        <v>154</v>
      </c>
      <c r="E11" s="82" t="s">
        <v>147</v>
      </c>
      <c r="F11" s="85" t="s">
        <v>19</v>
      </c>
      <c r="G11" s="27"/>
      <c r="H11" s="112">
        <v>1</v>
      </c>
      <c r="I11" s="47" t="str">
        <f t="shared" si="0"/>
        <v>N/A</v>
      </c>
      <c r="J11" s="143" t="str" cm="1">
        <f t="array" ref="J11">IF(AB11="N/A","",_xlfn.IFS(X11="m2",((Z11/(Y11/AK11))*H11),X11="m3",((Z11/(Y11/AK11))*H11),X11="kg",(((Z11*AL11)/(1/AK11))*H11),X11="ton",(((Z11/1000*AL11)/(1/AK11))*H11),X11="N/A",""))</f>
        <v/>
      </c>
      <c r="K11" s="52">
        <f t="shared" si="1"/>
        <v>1.2266999999999999</v>
      </c>
      <c r="L11" s="155" cm="1">
        <f t="array" ref="L11">(_xlfn.IFS(X11="m2",((AA11/(Y11/AK11))*H11),X11="m3",((AA11/(Y11/AK11))*H11),X11="kg",(((AA11*AL11)/(1/AK11))*H11),X11="ton",(((AA11/1000*AL11)/(1/AK11))*H11),X11="N/A",""))</f>
        <v>1.2266999999999999</v>
      </c>
      <c r="M11" s="52" t="str">
        <f t="shared" si="2"/>
        <v>N/A</v>
      </c>
      <c r="N11" s="148" t="str" cm="1">
        <f t="array" ref="N11">IF(AB11="N/A","",_xlfn.IFS(X11="m2",((AB11/(Y11/AK11))*H11),X11="m3",((AB11/(Y11/AK11))*H11),X11="kg",(((AB11*AL11)/(1/AK11))*H11),X11="ton",(((AB11/1000*AL11)/(1/AK11))*H11),X11="N/A",""))</f>
        <v/>
      </c>
      <c r="O11" s="52">
        <f t="shared" si="3"/>
        <v>9.7290000000000018E-4</v>
      </c>
      <c r="P11" s="143" cm="1">
        <f t="array" ref="P11">IF(AD11="N/A","",_xlfn.IFS(X11="m2",((AD11/(Y11/AK11))*H11),X11="m3",((AD11/(Y11/AK11))*H11),X11="kg",(((AD11*AL11)/(1/AK11))*H11),X11="ton",(((AD11/1000*AL11)/(1/AK11))*H11),X11="N/A",""))</f>
        <v>9.7290000000000018E-4</v>
      </c>
      <c r="Q11" s="82" t="s">
        <v>5</v>
      </c>
      <c r="R11" s="82"/>
      <c r="S11" s="47">
        <v>2026</v>
      </c>
      <c r="T11" s="47" t="s">
        <v>28</v>
      </c>
      <c r="U11" s="47" t="s">
        <v>191</v>
      </c>
      <c r="W11" s="47" t="s">
        <v>609</v>
      </c>
      <c r="X11" s="47" t="s">
        <v>61</v>
      </c>
      <c r="Y11" s="47" t="s">
        <v>191</v>
      </c>
      <c r="Z11" s="47" t="str">
        <f t="shared" si="4"/>
        <v>N/A</v>
      </c>
      <c r="AA11" s="52">
        <v>0.87</v>
      </c>
      <c r="AB11" s="52" t="s">
        <v>191</v>
      </c>
      <c r="AC11" s="52" t="s">
        <v>191</v>
      </c>
      <c r="AD11" s="52">
        <f>6.9*10^-4</f>
        <v>6.9000000000000008E-4</v>
      </c>
      <c r="AF11" s="103" t="str">
        <f t="shared" si="5"/>
        <v xml:space="preserve">A1 </v>
      </c>
      <c r="AG11" s="75" t="s">
        <v>58</v>
      </c>
      <c r="AH11" s="76"/>
      <c r="AI11" s="103"/>
      <c r="AK11" s="47">
        <v>3.0000000000000001E-3</v>
      </c>
      <c r="AL11" s="47">
        <v>470</v>
      </c>
      <c r="AM11" s="47" t="s">
        <v>191</v>
      </c>
      <c r="AO11" s="105" t="s">
        <v>17</v>
      </c>
      <c r="AP11" s="81"/>
      <c r="AQ11" s="26"/>
    </row>
    <row r="12" spans="1:43" ht="25.2" customHeight="1" x14ac:dyDescent="0.15">
      <c r="A12" s="25" t="s">
        <v>251</v>
      </c>
      <c r="B12" s="47" t="s">
        <v>208</v>
      </c>
      <c r="C12" s="47"/>
      <c r="D12" s="47" t="s">
        <v>154</v>
      </c>
      <c r="E12" s="82" t="s">
        <v>147</v>
      </c>
      <c r="F12" s="85" t="s">
        <v>19</v>
      </c>
      <c r="G12" s="27"/>
      <c r="H12" s="112">
        <v>1</v>
      </c>
      <c r="I12" s="47" t="str">
        <f t="shared" si="0"/>
        <v>N/A</v>
      </c>
      <c r="J12" s="143" t="str" cm="1">
        <f t="array" ref="J12">IF(AB12="N/A","",_xlfn.IFS(X12="m2",((Z12/(Y12/AK12))*H12),X12="m3",((Z12/(Y12/AK12))*H12),X12="kg",(((Z12*AL12)/(1/AK12))*H12),X12="ton",(((Z12/1000*AL12)/(1/AK12))*H12),X12="N/A",""))</f>
        <v/>
      </c>
      <c r="K12" s="52">
        <f t="shared" si="1"/>
        <v>0.9972000000000002</v>
      </c>
      <c r="L12" s="155" cm="1">
        <f t="array" ref="L12">(_xlfn.IFS(X12="m2",((AA12/(Y12/AK12))*H12),X12="m3",((AA12/(Y12/AK12))*H12),X12="kg",(((AA12*AL12)/(1/AK12))*H12),X12="ton",(((AA12/1000*AL12)/(1/AK12))*H12),X12="N/A",""))</f>
        <v>0.9972000000000002</v>
      </c>
      <c r="M12" s="52" t="str">
        <f t="shared" si="2"/>
        <v>N/A</v>
      </c>
      <c r="N12" s="148" t="str" cm="1">
        <f t="array" ref="N12">IF(AB12="N/A","",_xlfn.IFS(X12="m2",((AB12/(Y12/AK12))*H12),X12="m3",((AB12/(Y12/AK12))*H12),X12="kg",(((AB12*AL12)/(1/AK12))*H12),X12="ton",(((AB12/1000*AL12)/(1/AK12))*H12),X12="N/A",""))</f>
        <v/>
      </c>
      <c r="O12" s="52">
        <f t="shared" si="3"/>
        <v>8.2560000000000001E-4</v>
      </c>
      <c r="P12" s="143" cm="1">
        <f t="array" ref="P12">IF(AD12="N/A","",_xlfn.IFS(X12="m2",((AD12/(Y12/AK12))*H12),X12="m3",((AD12/(Y12/AK12))*H12),X12="kg",(((AD12*AL12)/(1/AK12))*H12),X12="ton",(((AD12/1000*AL12)/(1/AK12))*H12),X12="N/A",""))</f>
        <v>8.2560000000000001E-4</v>
      </c>
      <c r="Q12" s="82" t="s">
        <v>5</v>
      </c>
      <c r="R12" s="82"/>
      <c r="S12" s="47">
        <v>2026</v>
      </c>
      <c r="T12" s="47" t="s">
        <v>28</v>
      </c>
      <c r="U12" s="47" t="s">
        <v>191</v>
      </c>
      <c r="W12" s="47" t="s">
        <v>609</v>
      </c>
      <c r="X12" s="47" t="s">
        <v>61</v>
      </c>
      <c r="Y12" s="47" t="s">
        <v>191</v>
      </c>
      <c r="Z12" s="47" t="str">
        <f t="shared" si="4"/>
        <v>N/A</v>
      </c>
      <c r="AA12" s="52">
        <f>8.31*10^-1</f>
        <v>0.83100000000000007</v>
      </c>
      <c r="AB12" s="52" t="s">
        <v>191</v>
      </c>
      <c r="AC12" s="52" t="s">
        <v>191</v>
      </c>
      <c r="AD12" s="52">
        <f>6.88*10^-4</f>
        <v>6.8800000000000003E-4</v>
      </c>
      <c r="AF12" s="103" t="str">
        <f t="shared" si="5"/>
        <v xml:space="preserve">A1 </v>
      </c>
      <c r="AG12" s="75" t="s">
        <v>58</v>
      </c>
      <c r="AH12" s="76"/>
      <c r="AI12" s="103"/>
      <c r="AK12" s="47">
        <v>3.0000000000000001E-3</v>
      </c>
      <c r="AL12" s="47">
        <v>400</v>
      </c>
      <c r="AM12" s="47" t="s">
        <v>191</v>
      </c>
      <c r="AO12" s="105" t="s">
        <v>17</v>
      </c>
      <c r="AP12" s="81"/>
      <c r="AQ12" s="26"/>
    </row>
    <row r="13" spans="1:43" ht="25.2" customHeight="1" x14ac:dyDescent="0.15">
      <c r="A13" s="25" t="s">
        <v>252</v>
      </c>
      <c r="B13" s="47" t="s">
        <v>208</v>
      </c>
      <c r="C13" s="47"/>
      <c r="D13" s="47" t="s">
        <v>154</v>
      </c>
      <c r="E13" s="82" t="s">
        <v>147</v>
      </c>
      <c r="F13" s="85" t="s">
        <v>19</v>
      </c>
      <c r="G13" s="27"/>
      <c r="H13" s="112">
        <v>1</v>
      </c>
      <c r="I13" s="47" t="str">
        <f t="shared" si="0"/>
        <v>N/A</v>
      </c>
      <c r="J13" s="143" t="str" cm="1">
        <f t="array" ref="J13">IF(AB13="N/A","",_xlfn.IFS(X13="m2",((Z13/(Y13/AK13))*H13),X13="m3",((Z13/(Y13/AK13))*H13),X13="kg",(((Z13*AL13)/(1/AK13))*H13),X13="ton",(((Z13/1000*AL13)/(1/AK13))*H13),X13="N/A",""))</f>
        <v/>
      </c>
      <c r="K13" s="52">
        <f t="shared" si="1"/>
        <v>1.242</v>
      </c>
      <c r="L13" s="155" cm="1">
        <f t="array" ref="L13">(_xlfn.IFS(X13="m2",((AA13/(Y13/AK13))*H13),X13="m3",((AA13/(Y13/AK13))*H13),X13="kg",(((AA13*AL13)/(1/AK13))*H13),X13="ton",(((AA13/1000*AL13)/(1/AK13))*H13),X13="N/A",""))</f>
        <v>1.242</v>
      </c>
      <c r="M13" s="52" t="str">
        <f t="shared" si="2"/>
        <v>N/A</v>
      </c>
      <c r="N13" s="148" t="str" cm="1">
        <f t="array" ref="N13">IF(AB13="N/A","",_xlfn.IFS(X13="m2",((AB13/(Y13/AK13))*H13),X13="m3",((AB13/(Y13/AK13))*H13),X13="kg",(((AB13*AL13)/(1/AK13))*H13),X13="ton",(((AB13/1000*AL13)/(1/AK13))*H13),X13="N/A",""))</f>
        <v/>
      </c>
      <c r="O13" s="52">
        <f t="shared" si="3"/>
        <v>1.0030499999999999E-3</v>
      </c>
      <c r="P13" s="143" cm="1">
        <f t="array" ref="P13">IF(AD13="N/A","",_xlfn.IFS(X13="m2",((AD13/(Y13/AK13))*H13),X13="m3",((AD13/(Y13/AK13))*H13),X13="kg",(((AD13*AL13)/(1/AK13))*H13),X13="ton",(((AD13/1000*AL13)/(1/AK13))*H13),X13="N/A",""))</f>
        <v>1.0030499999999999E-3</v>
      </c>
      <c r="Q13" s="82" t="s">
        <v>5</v>
      </c>
      <c r="R13" s="82"/>
      <c r="S13" s="47">
        <v>2026</v>
      </c>
      <c r="T13" s="47" t="s">
        <v>28</v>
      </c>
      <c r="U13" s="47" t="s">
        <v>191</v>
      </c>
      <c r="W13" s="47" t="s">
        <v>609</v>
      </c>
      <c r="X13" s="47" t="s">
        <v>61</v>
      </c>
      <c r="Y13" s="47" t="s">
        <v>191</v>
      </c>
      <c r="Z13" s="47" t="str">
        <f t="shared" si="4"/>
        <v>N/A</v>
      </c>
      <c r="AA13" s="52">
        <f>9.2*10^-1</f>
        <v>0.91999999999999993</v>
      </c>
      <c r="AB13" s="52" t="s">
        <v>191</v>
      </c>
      <c r="AC13" s="52" t="s">
        <v>191</v>
      </c>
      <c r="AD13" s="52">
        <f>7.43*10^-4</f>
        <v>7.4299999999999995E-4</v>
      </c>
      <c r="AF13" s="103" t="str">
        <f t="shared" si="5"/>
        <v xml:space="preserve">A1 </v>
      </c>
      <c r="AG13" s="75" t="s">
        <v>58</v>
      </c>
      <c r="AH13" s="76"/>
      <c r="AI13" s="103"/>
      <c r="AK13" s="47">
        <v>3.0000000000000001E-3</v>
      </c>
      <c r="AL13" s="47">
        <v>450</v>
      </c>
      <c r="AM13" s="47" t="s">
        <v>191</v>
      </c>
      <c r="AO13" s="105" t="s">
        <v>17</v>
      </c>
      <c r="AP13" s="81"/>
      <c r="AQ13" s="26"/>
    </row>
    <row r="14" spans="1:43" ht="25.2" customHeight="1" x14ac:dyDescent="0.15">
      <c r="A14" s="25" t="s">
        <v>253</v>
      </c>
      <c r="B14" s="47" t="s">
        <v>208</v>
      </c>
      <c r="C14" s="47"/>
      <c r="D14" s="47" t="s">
        <v>154</v>
      </c>
      <c r="E14" s="82" t="s">
        <v>147</v>
      </c>
      <c r="F14" s="85" t="s">
        <v>19</v>
      </c>
      <c r="G14" s="27"/>
      <c r="H14" s="112">
        <v>1</v>
      </c>
      <c r="I14" s="47" t="str">
        <f t="shared" si="0"/>
        <v>N/A</v>
      </c>
      <c r="J14" s="143" t="str" cm="1">
        <f t="array" ref="J14">IF(AB14="N/A","",_xlfn.IFS(X14="m2",((Z14/(Y14/AK14))*H14),X14="m3",((Z14/(Y14/AK14))*H14),X14="kg",(((Z14*AL14)/(1/AK14))*H14),X14="ton",(((Z14/1000*AL14)/(1/AK14))*H14),X14="N/A",""))</f>
        <v/>
      </c>
      <c r="K14" s="52">
        <f t="shared" si="1"/>
        <v>1.2636000000000001</v>
      </c>
      <c r="L14" s="155" cm="1">
        <f t="array" ref="L14">(_xlfn.IFS(X14="m2",((AA14/(Y14/AK14))*H14),X14="m3",((AA14/(Y14/AK14))*H14),X14="kg",(((AA14*AL14)/(1/AK14))*H14),X14="ton",(((AA14/1000*AL14)/(1/AK14))*H14),X14="N/A",""))</f>
        <v>1.2636000000000001</v>
      </c>
      <c r="M14" s="52" t="str">
        <f t="shared" si="2"/>
        <v>N/A</v>
      </c>
      <c r="N14" s="148" t="str" cm="1">
        <f t="array" ref="N14">IF(AB14="N/A","",_xlfn.IFS(X14="m2",((AB14/(Y14/AK14))*H14),X14="m3",((AB14/(Y14/AK14))*H14),X14="kg",(((AB14*AL14)/(1/AK14))*H14),X14="ton",(((AB14/1000*AL14)/(1/AK14))*H14),X14="N/A",""))</f>
        <v/>
      </c>
      <c r="O14" s="52">
        <f t="shared" si="3"/>
        <v>8.6760000000000006E-4</v>
      </c>
      <c r="P14" s="143" cm="1">
        <f t="array" ref="P14">IF(AD14="N/A","",_xlfn.IFS(X14="m2",((AD14/(Y14/AK14))*H14),X14="m3",((AD14/(Y14/AK14))*H14),X14="kg",(((AD14*AL14)/(1/AK14))*H14),X14="ton",(((AD14/1000*AL14)/(1/AK14))*H14),X14="N/A",""))</f>
        <v>8.6760000000000006E-4</v>
      </c>
      <c r="Q14" s="82" t="s">
        <v>5</v>
      </c>
      <c r="R14" s="82"/>
      <c r="S14" s="47">
        <v>2026</v>
      </c>
      <c r="T14" s="47" t="s">
        <v>28</v>
      </c>
      <c r="U14" s="47" t="s">
        <v>191</v>
      </c>
      <c r="W14" s="47" t="s">
        <v>609</v>
      </c>
      <c r="X14" s="47" t="s">
        <v>61</v>
      </c>
      <c r="Y14" s="47" t="s">
        <v>191</v>
      </c>
      <c r="Z14" s="47" t="str">
        <f t="shared" si="4"/>
        <v>N/A</v>
      </c>
      <c r="AA14" s="52">
        <f>7.02*10^-1</f>
        <v>0.70199999999999996</v>
      </c>
      <c r="AB14" s="52" t="s">
        <v>191</v>
      </c>
      <c r="AC14" s="52" t="s">
        <v>191</v>
      </c>
      <c r="AD14" s="52">
        <f>4.82*10^-4</f>
        <v>4.8200000000000006E-4</v>
      </c>
      <c r="AF14" s="103" t="str">
        <f t="shared" si="5"/>
        <v xml:space="preserve">A1 </v>
      </c>
      <c r="AG14" s="75" t="s">
        <v>58</v>
      </c>
      <c r="AH14" s="76"/>
      <c r="AI14" s="103"/>
      <c r="AK14" s="47">
        <v>3.0000000000000001E-3</v>
      </c>
      <c r="AL14" s="47">
        <v>600</v>
      </c>
      <c r="AM14" s="47" t="s">
        <v>191</v>
      </c>
      <c r="AO14" s="105" t="s">
        <v>17</v>
      </c>
      <c r="AP14" s="81"/>
      <c r="AQ14" s="26"/>
    </row>
    <row r="15" spans="1:43" ht="25.2" customHeight="1" x14ac:dyDescent="0.15">
      <c r="A15" s="25" t="s">
        <v>62</v>
      </c>
      <c r="B15" s="47" t="s">
        <v>210</v>
      </c>
      <c r="C15" s="47"/>
      <c r="D15" s="47" t="s">
        <v>59</v>
      </c>
      <c r="E15" s="82" t="s">
        <v>145</v>
      </c>
      <c r="F15" s="47" t="s">
        <v>60</v>
      </c>
      <c r="H15" s="112">
        <v>1</v>
      </c>
      <c r="I15" s="47" t="str">
        <f t="shared" si="0"/>
        <v>N/A</v>
      </c>
      <c r="J15" s="143" t="str" cm="1">
        <f t="array" ref="J15">IF(AB15="N/A","",_xlfn.IFS(X15="m2",((Z15/(Y15/AK15))*H15),X15="m3",((Z15/(Y15/AK15))*H15),X15="kg",(((Z15*AL15)/(1/AK15))*H15),X15="ton",(((Z15/1000*AL15)/(1/AK15))*H15),X15="N/A",""))</f>
        <v/>
      </c>
      <c r="K15" s="52" t="str">
        <f t="shared" si="1"/>
        <v>N/A</v>
      </c>
      <c r="L15" s="155" t="str" cm="1">
        <f t="array" ref="L15">(_xlfn.IFS(X15="m2",((AA15/(Y15/AK15))*H15),X15="m3",((AA15/(Y15/AK15))*H15),X15="kg",(((AA15*AL15)/(1/AK15))*H15),X15="ton",(((AA15/1000*AL15)/(1/AK15))*H15),X15="N/A",""))</f>
        <v/>
      </c>
      <c r="M15" s="52" t="str">
        <f t="shared" si="2"/>
        <v>N/A</v>
      </c>
      <c r="N15" s="148" t="str" cm="1">
        <f t="array" ref="N15">IF(AB15="N/A","",_xlfn.IFS(X15="m2",((AB15/(Y15/AK15))*H15),X15="m3",((AB15/(Y15/AK15))*H15),X15="kg",(((AB15*AL15)/(1/AK15))*H15),X15="ton",(((AB15/1000*AL15)/(1/AK15))*H15),X15="N/A",""))</f>
        <v/>
      </c>
      <c r="O15" s="52" t="str">
        <f t="shared" si="3"/>
        <v>N/A</v>
      </c>
      <c r="P15" s="143" t="str" cm="1">
        <f t="array" ref="P15">IF(AD15="N/A","",_xlfn.IFS(X15="m2",((AD15/(Y15/AK15))*H15),X15="m3",((AD15/(Y15/AK15))*H15),X15="kg",(((AD15*AL15)/(1/AK15))*H15),X15="ton",(((AD15/1000*AL15)/(1/AK15))*H15),X15="N/A",""))</f>
        <v/>
      </c>
      <c r="Q15" s="104" t="s">
        <v>191</v>
      </c>
      <c r="R15" s="104"/>
      <c r="S15" s="47" t="s">
        <v>191</v>
      </c>
      <c r="T15" s="47" t="s">
        <v>191</v>
      </c>
      <c r="U15" s="47" t="s">
        <v>191</v>
      </c>
      <c r="W15" s="47" t="s">
        <v>191</v>
      </c>
      <c r="X15" s="47" t="s">
        <v>191</v>
      </c>
      <c r="Y15" s="47" t="s">
        <v>191</v>
      </c>
      <c r="Z15" s="47" t="str">
        <f t="shared" si="4"/>
        <v>N/A</v>
      </c>
      <c r="AA15" s="52" t="s">
        <v>191</v>
      </c>
      <c r="AB15" s="52" t="s">
        <v>191</v>
      </c>
      <c r="AC15" s="52" t="s">
        <v>191</v>
      </c>
      <c r="AD15" s="52" t="s">
        <v>191</v>
      </c>
      <c r="AF15" s="103" t="str">
        <f t="shared" si="5"/>
        <v xml:space="preserve">A1 </v>
      </c>
      <c r="AG15" s="75" t="s">
        <v>58</v>
      </c>
      <c r="AH15" s="76"/>
      <c r="AI15" s="103"/>
      <c r="AK15" s="47" t="s">
        <v>191</v>
      </c>
      <c r="AL15" s="47">
        <f>1.37*10^3</f>
        <v>1370</v>
      </c>
      <c r="AM15" s="47" t="s">
        <v>191</v>
      </c>
      <c r="AO15" s="105" t="s">
        <v>17</v>
      </c>
      <c r="AP15" s="81"/>
      <c r="AQ15" s="26"/>
    </row>
    <row r="16" spans="1:43" ht="25.2" customHeight="1" x14ac:dyDescent="0.15">
      <c r="A16" s="25" t="s">
        <v>128</v>
      </c>
      <c r="B16" s="47" t="s">
        <v>210</v>
      </c>
      <c r="C16" s="47"/>
      <c r="D16" s="47" t="s">
        <v>59</v>
      </c>
      <c r="E16" s="82" t="s">
        <v>145</v>
      </c>
      <c r="F16" s="47" t="s">
        <v>60</v>
      </c>
      <c r="H16" s="112">
        <v>1</v>
      </c>
      <c r="I16" s="47" t="str">
        <f t="shared" si="0"/>
        <v>N/A</v>
      </c>
      <c r="J16" s="143" t="str" cm="1">
        <f t="array" ref="J16">IF(AB16="N/A","",_xlfn.IFS(X16="m2",((Z16/(Y16/AK16))*H16),X16="m3",((Z16/(Y16/AK16))*H16),X16="kg",(((Z16*AL16)/(1/AK16))*H16),X16="ton",(((Z16/1000*AL16)/(1/AK16))*H16),X16="N/A",""))</f>
        <v/>
      </c>
      <c r="K16" s="52" t="str">
        <f t="shared" si="1"/>
        <v>N/A</v>
      </c>
      <c r="L16" s="155" t="str" cm="1">
        <f t="array" ref="L16">(_xlfn.IFS(X16="m2",((AA16/(Y16/AK16))*H16),X16="m3",((AA16/(Y16/AK16))*H16),X16="kg",(((AA16*AL16)/(1/AK16))*H16),X16="ton",(((AA16/1000*AL16)/(1/AK16))*H16),X16="N/A",""))</f>
        <v/>
      </c>
      <c r="M16" s="52" t="str">
        <f t="shared" si="2"/>
        <v>N/A</v>
      </c>
      <c r="N16" s="148" t="str" cm="1">
        <f t="array" ref="N16">IF(AB16="N/A","",_xlfn.IFS(X16="m2",((AB16/(Y16/AK16))*H16),X16="m3",((AB16/(Y16/AK16))*H16),X16="kg",(((AB16*AL16)/(1/AK16))*H16),X16="ton",(((AB16/1000*AL16)/(1/AK16))*H16),X16="N/A",""))</f>
        <v/>
      </c>
      <c r="O16" s="52" t="str">
        <f t="shared" si="3"/>
        <v>N/A</v>
      </c>
      <c r="P16" s="143" t="str" cm="1">
        <f t="array" ref="P16">IF(AD16="N/A","",_xlfn.IFS(X16="m2",((AD16/(Y16/AK16))*H16),X16="m3",((AD16/(Y16/AK16))*H16),X16="kg",(((AD16*AL16)/(1/AK16))*H16),X16="ton",(((AD16/1000*AL16)/(1/AK16))*H16),X16="N/A",""))</f>
        <v/>
      </c>
      <c r="Q16" s="104" t="s">
        <v>191</v>
      </c>
      <c r="R16" s="104"/>
      <c r="S16" s="47" t="s">
        <v>191</v>
      </c>
      <c r="T16" s="47" t="s">
        <v>191</v>
      </c>
      <c r="U16" s="47" t="s">
        <v>191</v>
      </c>
      <c r="W16" s="47" t="s">
        <v>191</v>
      </c>
      <c r="X16" s="47" t="s">
        <v>191</v>
      </c>
      <c r="Y16" s="47" t="s">
        <v>191</v>
      </c>
      <c r="Z16" s="47" t="str">
        <f t="shared" si="4"/>
        <v>N/A</v>
      </c>
      <c r="AA16" s="52" t="s">
        <v>191</v>
      </c>
      <c r="AB16" s="52" t="s">
        <v>191</v>
      </c>
      <c r="AC16" s="52" t="s">
        <v>191</v>
      </c>
      <c r="AD16" s="52" t="s">
        <v>191</v>
      </c>
      <c r="AF16" s="103" t="str">
        <f t="shared" si="5"/>
        <v xml:space="preserve">A1 </v>
      </c>
      <c r="AG16" s="75" t="s">
        <v>58</v>
      </c>
      <c r="AH16" s="76"/>
      <c r="AI16" s="103"/>
      <c r="AK16" s="47">
        <v>3.0000000000000001E-3</v>
      </c>
      <c r="AL16" s="47">
        <v>1750</v>
      </c>
      <c r="AM16" s="47" t="s">
        <v>191</v>
      </c>
      <c r="AO16" s="265" t="s">
        <v>17</v>
      </c>
      <c r="AP16" s="81"/>
      <c r="AQ16" s="26"/>
    </row>
    <row r="17" spans="1:43" ht="25.2" customHeight="1" x14ac:dyDescent="0.15">
      <c r="A17" s="25" t="s">
        <v>76</v>
      </c>
      <c r="B17" s="47" t="s">
        <v>210</v>
      </c>
      <c r="C17" s="47"/>
      <c r="D17" s="47" t="s">
        <v>77</v>
      </c>
      <c r="E17" s="47" t="s">
        <v>191</v>
      </c>
      <c r="F17" s="47" t="s">
        <v>43</v>
      </c>
      <c r="H17" s="112">
        <v>1</v>
      </c>
      <c r="I17" s="47" t="str">
        <f t="shared" si="0"/>
        <v>N/A</v>
      </c>
      <c r="J17" s="143" t="str" cm="1">
        <f t="array" ref="J17">IF(AB17="N/A","",_xlfn.IFS(X17="m2",((Z17/(Y17/AK17))*H17),X17="m3",((Z17/(Y17/AK17))*H17),X17="kg",(((Z17*AL17)/(1/AK17))*H17),X17="ton",(((Z17/1000*AL17)/(1/AK17))*H17),X17="N/A",""))</f>
        <v/>
      </c>
      <c r="K17" s="52" t="str">
        <f t="shared" si="1"/>
        <v>N/A</v>
      </c>
      <c r="L17" s="155" t="str" cm="1">
        <f t="array" ref="L17">(_xlfn.IFS(X17="m2",((AA17/(Y17/AK17))*H17),X17="m3",((AA17/(Y17/AK17))*H17),X17="kg",(((AA17*AL17)/(1/AK17))*H17),X17="ton",(((AA17/1000*AL17)/(1/AK17))*H17),X17="N/A",""))</f>
        <v/>
      </c>
      <c r="M17" s="52" t="str">
        <f t="shared" si="2"/>
        <v>N/A</v>
      </c>
      <c r="N17" s="148" t="str" cm="1">
        <f t="array" ref="N17">IF(AB17="N/A","",_xlfn.IFS(X17="m2",((AB17/(Y17/AK17))*H17),X17="m3",((AB17/(Y17/AK17))*H17),X17="kg",(((AB17*AL17)/(1/AK17))*H17),X17="ton",(((AB17/1000*AL17)/(1/AK17))*H17),X17="N/A",""))</f>
        <v/>
      </c>
      <c r="O17" s="52" t="str">
        <f t="shared" si="3"/>
        <v>N/A</v>
      </c>
      <c r="P17" s="143" t="str" cm="1">
        <f t="array" ref="P17">IF(AD17="N/A","",_xlfn.IFS(X17="m2",((AD17/(Y17/AK17))*H17),X17="m3",((AD17/(Y17/AK17))*H17),X17="kg",(((AD17*AL17)/(1/AK17))*H17),X17="ton",(((AD17/1000*AL17)/(1/AK17))*H17),X17="N/A",""))</f>
        <v/>
      </c>
      <c r="Q17" s="47" t="s">
        <v>191</v>
      </c>
      <c r="R17" s="47"/>
      <c r="S17" s="47" t="s">
        <v>191</v>
      </c>
      <c r="T17" s="47" t="s">
        <v>191</v>
      </c>
      <c r="U17" s="47" t="s">
        <v>191</v>
      </c>
      <c r="W17" s="47" t="s">
        <v>191</v>
      </c>
      <c r="X17" s="47" t="s">
        <v>191</v>
      </c>
      <c r="Y17" s="47" t="s">
        <v>191</v>
      </c>
      <c r="Z17" s="47" t="str">
        <f t="shared" si="4"/>
        <v>N/A</v>
      </c>
      <c r="AA17" s="52" t="s">
        <v>191</v>
      </c>
      <c r="AB17" s="52" t="s">
        <v>191</v>
      </c>
      <c r="AC17" s="52" t="s">
        <v>191</v>
      </c>
      <c r="AD17" s="52" t="s">
        <v>191</v>
      </c>
      <c r="AF17" s="103" t="str">
        <f t="shared" si="5"/>
        <v xml:space="preserve">F </v>
      </c>
      <c r="AG17" s="75" t="s">
        <v>82</v>
      </c>
      <c r="AH17" s="76"/>
      <c r="AI17" s="103"/>
      <c r="AK17" s="47" t="s">
        <v>191</v>
      </c>
      <c r="AL17" s="47" t="s">
        <v>191</v>
      </c>
      <c r="AM17" s="47" t="s">
        <v>191</v>
      </c>
      <c r="AO17" s="80" t="s">
        <v>17</v>
      </c>
      <c r="AP17" s="73"/>
      <c r="AQ17" s="26"/>
    </row>
    <row r="18" spans="1:43" ht="25.2" customHeight="1" x14ac:dyDescent="0.15">
      <c r="A18" s="25" t="s">
        <v>169</v>
      </c>
      <c r="B18" s="47" t="s">
        <v>208</v>
      </c>
      <c r="C18" s="47"/>
      <c r="D18" s="47" t="s">
        <v>171</v>
      </c>
      <c r="E18" s="47" t="s">
        <v>152</v>
      </c>
      <c r="F18" s="47" t="s">
        <v>168</v>
      </c>
      <c r="H18" s="112">
        <v>1</v>
      </c>
      <c r="I18" s="47" t="str">
        <f t="shared" si="0"/>
        <v>N/A</v>
      </c>
      <c r="J18" s="143" t="str" cm="1">
        <f t="array" ref="J18">IF(AB18="N/A","",_xlfn.IFS(X18="m2",((Z18/(Y18/AK18))*H18),X18="m3",((Z18/(Y18/AK18))*H18),X18="kg",(((Z18*AL18)/(1/AK18))*H18),X18="ton",(((Z18/1000*AL18)/(1/AK18))*H18),X18="N/A",""))</f>
        <v/>
      </c>
      <c r="K18" s="52" t="str">
        <f t="shared" si="1"/>
        <v>N/A</v>
      </c>
      <c r="L18" s="155" t="str" cm="1">
        <f t="array" ref="L18">(_xlfn.IFS(X18="m2",((AA18/(Y18/AK18))*H18),X18="m3",((AA18/(Y18/AK18))*H18),X18="kg",(((AA18*AL18)/(1/AK18))*H18),X18="ton",(((AA18/1000*AL18)/(1/AK18))*H18),X18="N/A",""))</f>
        <v/>
      </c>
      <c r="M18" s="52" t="str">
        <f t="shared" si="2"/>
        <v>N/A</v>
      </c>
      <c r="N18" s="148" t="str" cm="1">
        <f t="array" ref="N18">IF(AB18="N/A","",_xlfn.IFS(X18="m2",((AB18/(Y18/AK18))*H18),X18="m3",((AB18/(Y18/AK18))*H18),X18="kg",(((AB18*AL18)/(1/AK18))*H18),X18="ton",(((AB18/1000*AL18)/(1/AK18))*H18),X18="N/A",""))</f>
        <v/>
      </c>
      <c r="O18" s="52" t="str">
        <f t="shared" si="3"/>
        <v>N/A</v>
      </c>
      <c r="P18" s="143" t="str" cm="1">
        <f t="array" ref="P18">IF(AD18="N/A","",_xlfn.IFS(X18="m2",((AD18/(Y18/AK18))*H18),X18="m3",((AD18/(Y18/AK18))*H18),X18="kg",(((AD18*AL18)/(1/AK18))*H18),X18="ton",(((AD18/1000*AL18)/(1/AK18))*H18),X18="N/A",""))</f>
        <v/>
      </c>
      <c r="Q18" s="47" t="s">
        <v>191</v>
      </c>
      <c r="R18" s="47"/>
      <c r="S18" s="47" t="s">
        <v>191</v>
      </c>
      <c r="T18" s="47" t="s">
        <v>191</v>
      </c>
      <c r="U18" s="47" t="s">
        <v>191</v>
      </c>
      <c r="W18" s="47" t="s">
        <v>191</v>
      </c>
      <c r="X18" s="47" t="s">
        <v>191</v>
      </c>
      <c r="Y18" s="47" t="s">
        <v>191</v>
      </c>
      <c r="Z18" s="47" t="str">
        <f t="shared" si="4"/>
        <v>N/A</v>
      </c>
      <c r="AA18" s="52" t="s">
        <v>191</v>
      </c>
      <c r="AB18" s="52" t="s">
        <v>191</v>
      </c>
      <c r="AC18" s="52" t="s">
        <v>191</v>
      </c>
      <c r="AD18" s="52" t="s">
        <v>191</v>
      </c>
      <c r="AF18" s="103" t="str">
        <f t="shared" si="5"/>
        <v xml:space="preserve">F </v>
      </c>
      <c r="AG18" s="75" t="s">
        <v>82</v>
      </c>
      <c r="AH18" s="76"/>
      <c r="AI18" s="103"/>
      <c r="AK18" s="47" t="s">
        <v>191</v>
      </c>
      <c r="AL18" s="47" t="s">
        <v>191</v>
      </c>
      <c r="AM18" s="47" t="s">
        <v>191</v>
      </c>
      <c r="AO18" s="105" t="s">
        <v>17</v>
      </c>
      <c r="AP18" s="106" t="s">
        <v>17</v>
      </c>
      <c r="AQ18" s="26"/>
    </row>
    <row r="19" spans="1:43" ht="25.2" customHeight="1" x14ac:dyDescent="0.15">
      <c r="A19" s="25" t="s">
        <v>170</v>
      </c>
      <c r="B19" s="47" t="s">
        <v>208</v>
      </c>
      <c r="C19" s="47"/>
      <c r="D19" s="47" t="s">
        <v>172</v>
      </c>
      <c r="E19" s="47" t="s">
        <v>153</v>
      </c>
      <c r="F19" s="47" t="s">
        <v>168</v>
      </c>
      <c r="H19" s="112">
        <v>1</v>
      </c>
      <c r="I19" s="47" t="str">
        <f t="shared" si="0"/>
        <v>N/A</v>
      </c>
      <c r="J19" s="143" t="str" cm="1">
        <f t="array" ref="J19">IF(AB19="N/A","",_xlfn.IFS(X19="m2",((Z19/(Y19/AK19))*H19),X19="m3",((Z19/(Y19/AK19))*H19),X19="kg",(((Z19*AL19)/(1/AK19))*H19),X19="ton",(((Z19/1000*AL19)/(1/AK19))*H19),X19="N/A",""))</f>
        <v/>
      </c>
      <c r="K19" s="52" t="str">
        <f t="shared" si="1"/>
        <v>N/A</v>
      </c>
      <c r="L19" s="155" t="str" cm="1">
        <f t="array" ref="L19">(_xlfn.IFS(X19="m2",((AA19/(Y19/AK19))*H19),X19="m3",((AA19/(Y19/AK19))*H19),X19="kg",(((AA19*AL19)/(1/AK19))*H19),X19="ton",(((AA19/1000*AL19)/(1/AK19))*H19),X19="N/A",""))</f>
        <v/>
      </c>
      <c r="M19" s="52" t="str">
        <f t="shared" si="2"/>
        <v>N/A</v>
      </c>
      <c r="N19" s="148" t="str" cm="1">
        <f t="array" ref="N19">IF(AB19="N/A","",_xlfn.IFS(X19="m2",((AB19/(Y19/AK19))*H19),X19="m3",((AB19/(Y19/AK19))*H19),X19="kg",(((AB19*AL19)/(1/AK19))*H19),X19="ton",(((AB19/1000*AL19)/(1/AK19))*H19),X19="N/A",""))</f>
        <v/>
      </c>
      <c r="O19" s="52" t="str">
        <f t="shared" si="3"/>
        <v>N/A</v>
      </c>
      <c r="P19" s="143" t="str" cm="1">
        <f t="array" ref="P19">IF(AD19="N/A","",_xlfn.IFS(X19="m2",((AD19/(Y19/AK19))*H19),X19="m3",((AD19/(Y19/AK19))*H19),X19="kg",(((AD19*AL19)/(1/AK19))*H19),X19="ton",(((AD19/1000*AL19)/(1/AK19))*H19),X19="N/A",""))</f>
        <v/>
      </c>
      <c r="Q19" s="47" t="s">
        <v>191</v>
      </c>
      <c r="R19" s="47"/>
      <c r="S19" s="47" t="s">
        <v>191</v>
      </c>
      <c r="T19" s="47" t="s">
        <v>191</v>
      </c>
      <c r="U19" s="47" t="s">
        <v>191</v>
      </c>
      <c r="W19" s="47" t="s">
        <v>191</v>
      </c>
      <c r="X19" s="47" t="s">
        <v>191</v>
      </c>
      <c r="Y19" s="47" t="s">
        <v>191</v>
      </c>
      <c r="Z19" s="47" t="str">
        <f t="shared" si="4"/>
        <v>N/A</v>
      </c>
      <c r="AA19" s="52" t="s">
        <v>191</v>
      </c>
      <c r="AB19" s="52" t="s">
        <v>191</v>
      </c>
      <c r="AC19" s="52" t="s">
        <v>191</v>
      </c>
      <c r="AD19" s="52" t="s">
        <v>191</v>
      </c>
      <c r="AF19" s="103" t="str">
        <f t="shared" si="5"/>
        <v xml:space="preserve">F </v>
      </c>
      <c r="AG19" s="75" t="s">
        <v>82</v>
      </c>
      <c r="AH19" s="76"/>
      <c r="AI19" s="103"/>
      <c r="AK19" s="47" t="s">
        <v>191</v>
      </c>
      <c r="AL19" s="47" t="s">
        <v>191</v>
      </c>
      <c r="AM19" s="47" t="s">
        <v>191</v>
      </c>
      <c r="AO19" s="105" t="s">
        <v>17</v>
      </c>
      <c r="AP19" s="73"/>
      <c r="AQ19" s="26"/>
    </row>
    <row r="20" spans="1:43" ht="25.2" customHeight="1" x14ac:dyDescent="0.15">
      <c r="A20" s="25" t="s">
        <v>277</v>
      </c>
      <c r="B20" s="47" t="s">
        <v>208</v>
      </c>
      <c r="C20" s="47"/>
      <c r="D20" s="47" t="s">
        <v>154</v>
      </c>
      <c r="E20" s="82" t="s">
        <v>147</v>
      </c>
      <c r="F20" s="85" t="s">
        <v>19</v>
      </c>
      <c r="H20" s="112">
        <v>1</v>
      </c>
      <c r="I20" s="47" t="str">
        <f t="shared" si="0"/>
        <v>N/A</v>
      </c>
      <c r="J20" s="143" t="str" cm="1">
        <f t="array" ref="J20">IF(AB20="N/A","",_xlfn.IFS(X20="m2",((Z20/(Y20/AK20))*H20),X20="m3",((Z20/(Y20/AK20))*H20),X20="kg",(((Z20*AL20)/(1/AK20))*H20),X20="ton",(((Z20/1000*AL20)/(1/AK20))*H20),X20="N/A",""))</f>
        <v/>
      </c>
      <c r="K20" s="52">
        <f t="shared" si="1"/>
        <v>1.5318000000000001</v>
      </c>
      <c r="L20" s="155" cm="1">
        <f t="array" ref="L20">(_xlfn.IFS(X20="m2",((AA20/(Y20/AK20))*H20),X20="m3",((AA20/(Y20/AK20))*H20),X20="kg",(((AA20*AL20)/(1/AK20))*H20),X20="ton",(((AA20/1000*AL20)/(1/AK20))*H20),X20="N/A",""))</f>
        <v>1.5318000000000001</v>
      </c>
      <c r="M20" s="52" t="str">
        <f t="shared" si="2"/>
        <v>N/A</v>
      </c>
      <c r="N20" s="148" t="str" cm="1">
        <f t="array" ref="N20">IF(AB20="N/A","",_xlfn.IFS(X20="m2",((AB20/(Y20/AK20))*H20),X20="m3",((AB20/(Y20/AK20))*H20),X20="kg",(((AB20*AL20)/(1/AK20))*H20),X20="ton",(((AB20/1000*AL20)/(1/AK20))*H20),X20="N/A",""))</f>
        <v/>
      </c>
      <c r="O20" s="52">
        <f t="shared" si="3"/>
        <v>1.1844000000000002E-3</v>
      </c>
      <c r="P20" s="143" cm="1">
        <f t="array" ref="P20">IF(AD20="N/A","",_xlfn.IFS(X20="m2",((AD20/(Y20/AK20))*H20),X20="m3",((AD20/(Y20/AK20))*H20),X20="kg",(((AD20*AL20)/(1/AK20))*H20),X20="ton",(((AD20/1000*AL20)/(1/AK20))*H20),X20="N/A",""))</f>
        <v>1.1844000000000002E-3</v>
      </c>
      <c r="Q20" s="82" t="s">
        <v>5</v>
      </c>
      <c r="R20" s="82"/>
      <c r="S20" s="47">
        <v>2026</v>
      </c>
      <c r="T20" s="47" t="s">
        <v>28</v>
      </c>
      <c r="U20" s="47" t="s">
        <v>191</v>
      </c>
      <c r="W20" s="47" t="s">
        <v>609</v>
      </c>
      <c r="X20" s="47" t="s">
        <v>61</v>
      </c>
      <c r="Y20" s="47" t="s">
        <v>191</v>
      </c>
      <c r="Z20" s="47" t="str">
        <f t="shared" si="4"/>
        <v>N/A</v>
      </c>
      <c r="AA20" s="52">
        <f>8.51*10^-1</f>
        <v>0.85099999999999998</v>
      </c>
      <c r="AB20" s="52" t="s">
        <v>191</v>
      </c>
      <c r="AC20" s="52" t="s">
        <v>191</v>
      </c>
      <c r="AD20" s="52">
        <f>6.58*10^-4</f>
        <v>6.5800000000000006E-4</v>
      </c>
      <c r="AF20" s="103" t="str">
        <f t="shared" si="5"/>
        <v xml:space="preserve">A1 </v>
      </c>
      <c r="AG20" s="75" t="s">
        <v>58</v>
      </c>
      <c r="AH20" s="76"/>
      <c r="AI20" s="103"/>
      <c r="AK20" s="47">
        <v>3.0000000000000001E-3</v>
      </c>
      <c r="AL20" s="47">
        <v>600</v>
      </c>
      <c r="AM20" s="47" t="s">
        <v>191</v>
      </c>
      <c r="AO20" s="105" t="s">
        <v>17</v>
      </c>
      <c r="AP20" s="73"/>
      <c r="AQ20" s="26"/>
    </row>
    <row r="21" spans="1:43" ht="25.2" customHeight="1" x14ac:dyDescent="0.15">
      <c r="A21" s="25" t="s">
        <v>276</v>
      </c>
      <c r="B21" s="47" t="s">
        <v>208</v>
      </c>
      <c r="C21" s="47"/>
      <c r="D21" s="47" t="s">
        <v>154</v>
      </c>
      <c r="E21" s="82" t="s">
        <v>147</v>
      </c>
      <c r="F21" s="85" t="s">
        <v>19</v>
      </c>
      <c r="H21" s="112">
        <v>1</v>
      </c>
      <c r="I21" s="47" t="str">
        <f t="shared" si="0"/>
        <v>N/A</v>
      </c>
      <c r="J21" s="143" t="str" cm="1">
        <f t="array" ref="J21">IF(AB21="N/A","",_xlfn.IFS(X21="m2",((Z21/(Y21/AK21))*H21),X21="m3",((Z21/(Y21/AK21))*H21),X21="kg",(((Z21*AL21)/(1/AK21))*H21),X21="ton",(((Z21/1000*AL21)/(1/AK21))*H21),X21="N/A",""))</f>
        <v/>
      </c>
      <c r="K21" s="52">
        <f t="shared" si="1"/>
        <v>0.67125000000000001</v>
      </c>
      <c r="L21" s="155" cm="1">
        <f t="array" ref="L21">(_xlfn.IFS(X21="m2",((AA21/(Y21/AK21))*H21),X21="m3",((AA21/(Y21/AK21))*H21),X21="kg",(((AA21*AL21)/(1/AK21))*H21),X21="ton",(((AA21/1000*AL21)/(1/AK21))*H21),X21="N/A",""))</f>
        <v>0.67125000000000001</v>
      </c>
      <c r="M21" s="52" t="str">
        <f t="shared" si="2"/>
        <v>N/A</v>
      </c>
      <c r="N21" s="148" t="str" cm="1">
        <f t="array" ref="N21">IF(AB21="N/A","",_xlfn.IFS(X21="m2",((AB21/(Y21/AK21))*H21),X21="m3",((AB21/(Y21/AK21))*H21),X21="kg",(((AB21*AL21)/(1/AK21))*H21),X21="ton",(((AB21/1000*AL21)/(1/AK21))*H21),X21="N/A",""))</f>
        <v/>
      </c>
      <c r="O21" s="52">
        <f t="shared" si="3"/>
        <v>6.510000000000001E-4</v>
      </c>
      <c r="P21" s="143" cm="1">
        <f t="array" ref="P21">IF(AD21="N/A","",_xlfn.IFS(X21="m2",((AD21/(Y21/AK21))*H21),X21="m3",((AD21/(Y21/AK21))*H21),X21="kg",(((AD21*AL21)/(1/AK21))*H21),X21="ton",(((AD21/1000*AL21)/(1/AK21))*H21),X21="N/A",""))</f>
        <v>6.510000000000001E-4</v>
      </c>
      <c r="Q21" s="82" t="s">
        <v>5</v>
      </c>
      <c r="R21" s="82"/>
      <c r="S21" s="47">
        <v>2026</v>
      </c>
      <c r="T21" s="47" t="s">
        <v>28</v>
      </c>
      <c r="U21" s="47" t="s">
        <v>191</v>
      </c>
      <c r="W21" s="47" t="s">
        <v>609</v>
      </c>
      <c r="X21" s="47" t="s">
        <v>61</v>
      </c>
      <c r="Y21" s="47" t="s">
        <v>191</v>
      </c>
      <c r="Z21" s="47" t="str">
        <f t="shared" si="4"/>
        <v>N/A</v>
      </c>
      <c r="AA21" s="52">
        <f>8.95*10^-1</f>
        <v>0.89500000000000002</v>
      </c>
      <c r="AB21" s="52" t="s">
        <v>191</v>
      </c>
      <c r="AC21" s="52" t="s">
        <v>191</v>
      </c>
      <c r="AD21" s="52">
        <f>8.68*10^-4</f>
        <v>8.6800000000000006E-4</v>
      </c>
      <c r="AF21" s="103" t="str">
        <f t="shared" si="5"/>
        <v xml:space="preserve">A1 </v>
      </c>
      <c r="AG21" s="75" t="s">
        <v>58</v>
      </c>
      <c r="AH21" s="76"/>
      <c r="AI21" s="103"/>
      <c r="AK21" s="47">
        <v>3.0000000000000001E-3</v>
      </c>
      <c r="AL21" s="47">
        <v>250</v>
      </c>
      <c r="AM21" s="47" t="s">
        <v>191</v>
      </c>
      <c r="AO21" s="105" t="s">
        <v>17</v>
      </c>
      <c r="AP21" s="73"/>
      <c r="AQ21" s="26"/>
    </row>
    <row r="22" spans="1:43" ht="25.2" customHeight="1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158"/>
      <c r="K22" s="25"/>
      <c r="L22" s="158"/>
      <c r="M22" s="25"/>
      <c r="N22" s="158"/>
      <c r="O22" s="25"/>
      <c r="P22" s="158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6"/>
    </row>
    <row r="23" spans="1:43" ht="25.2" customHeight="1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158"/>
      <c r="K23" s="25"/>
      <c r="L23" s="158"/>
      <c r="M23" s="25"/>
      <c r="N23" s="158"/>
      <c r="O23" s="25"/>
      <c r="P23" s="158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6"/>
    </row>
    <row r="24" spans="1:43" ht="25.2" customHeight="1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158"/>
      <c r="K24" s="25"/>
      <c r="L24" s="158"/>
      <c r="M24" s="25"/>
      <c r="N24" s="158"/>
      <c r="O24" s="25"/>
      <c r="P24" s="158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6"/>
    </row>
    <row r="25" spans="1:43" ht="25.2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158"/>
      <c r="K25" s="25"/>
      <c r="L25" s="158"/>
      <c r="M25" s="25"/>
      <c r="N25" s="158"/>
      <c r="O25" s="25"/>
      <c r="P25" s="158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6"/>
    </row>
    <row r="26" spans="1:43" ht="25.2" customHeight="1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158"/>
      <c r="K26" s="25"/>
      <c r="L26" s="158"/>
      <c r="M26" s="25"/>
      <c r="N26" s="158"/>
      <c r="O26" s="25"/>
      <c r="P26" s="158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6"/>
    </row>
    <row r="27" spans="1:43" ht="25.2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158"/>
      <c r="K27" s="25"/>
      <c r="L27" s="158"/>
      <c r="M27" s="25"/>
      <c r="N27" s="158"/>
      <c r="O27" s="25"/>
      <c r="P27" s="158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6"/>
    </row>
    <row r="28" spans="1:43" ht="25.2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158"/>
      <c r="K28" s="25"/>
      <c r="L28" s="158"/>
      <c r="M28" s="25"/>
      <c r="N28" s="158"/>
      <c r="O28" s="25"/>
      <c r="P28" s="158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6"/>
    </row>
    <row r="29" spans="1:43" ht="25.2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158"/>
      <c r="K29" s="25"/>
      <c r="L29" s="158"/>
      <c r="M29" s="25"/>
      <c r="N29" s="158"/>
      <c r="O29" s="25"/>
      <c r="P29" s="158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6"/>
    </row>
    <row r="30" spans="1:43" ht="25.2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158"/>
      <c r="K30" s="25"/>
      <c r="L30" s="158"/>
      <c r="M30" s="25"/>
      <c r="N30" s="158"/>
      <c r="O30" s="25"/>
      <c r="P30" s="158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6"/>
    </row>
    <row r="31" spans="1:43" ht="25.2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158"/>
      <c r="K31" s="25"/>
      <c r="L31" s="158"/>
      <c r="M31" s="25"/>
      <c r="N31" s="158"/>
      <c r="O31" s="25"/>
      <c r="P31" s="158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6"/>
    </row>
    <row r="32" spans="1:43" ht="25.2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158"/>
      <c r="K32" s="25"/>
      <c r="L32" s="158"/>
      <c r="M32" s="25"/>
      <c r="N32" s="158"/>
      <c r="O32" s="25"/>
      <c r="P32" s="158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6"/>
    </row>
    <row r="33" spans="1:43" ht="25.2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158"/>
      <c r="K33" s="25"/>
      <c r="L33" s="158"/>
      <c r="M33" s="25"/>
      <c r="N33" s="158"/>
      <c r="O33" s="25"/>
      <c r="P33" s="158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6"/>
    </row>
    <row r="34" spans="1:43" ht="25.2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158"/>
      <c r="K34" s="25"/>
      <c r="L34" s="158"/>
      <c r="M34" s="25"/>
      <c r="N34" s="158"/>
      <c r="O34" s="25"/>
      <c r="P34" s="158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6"/>
    </row>
    <row r="35" spans="1:43" ht="25.2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158"/>
      <c r="K35" s="25"/>
      <c r="L35" s="158"/>
      <c r="M35" s="25"/>
      <c r="N35" s="158"/>
      <c r="O35" s="25"/>
      <c r="P35" s="158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6"/>
    </row>
    <row r="36" spans="1:43" ht="25.2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158"/>
      <c r="K36" s="25"/>
      <c r="L36" s="158"/>
      <c r="M36" s="25"/>
      <c r="N36" s="158"/>
      <c r="O36" s="25"/>
      <c r="P36" s="158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6"/>
    </row>
    <row r="37" spans="1:43" ht="25.2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158"/>
      <c r="K37" s="25"/>
      <c r="L37" s="158"/>
      <c r="M37" s="25"/>
      <c r="N37" s="158"/>
      <c r="O37" s="25"/>
      <c r="P37" s="158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6"/>
    </row>
    <row r="38" spans="1:43" ht="25.2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158"/>
      <c r="K38" s="25"/>
      <c r="L38" s="158"/>
      <c r="M38" s="25"/>
      <c r="N38" s="158"/>
      <c r="O38" s="25"/>
      <c r="P38" s="158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6"/>
    </row>
    <row r="39" spans="1:43" ht="25.2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158"/>
      <c r="K39" s="25"/>
      <c r="L39" s="158"/>
      <c r="M39" s="25"/>
      <c r="N39" s="158"/>
      <c r="O39" s="25"/>
      <c r="P39" s="158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6"/>
    </row>
    <row r="40" spans="1:43" ht="25.2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158"/>
      <c r="K40" s="25"/>
      <c r="L40" s="158"/>
      <c r="M40" s="25"/>
      <c r="N40" s="158"/>
      <c r="O40" s="25"/>
      <c r="P40" s="158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6"/>
    </row>
    <row r="41" spans="1:43" ht="25.2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158"/>
      <c r="K41" s="25"/>
      <c r="L41" s="158"/>
      <c r="M41" s="25"/>
      <c r="N41" s="158"/>
      <c r="O41" s="25"/>
      <c r="P41" s="158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6"/>
    </row>
    <row r="42" spans="1:43" ht="25.2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158"/>
      <c r="K42" s="25"/>
      <c r="L42" s="158"/>
      <c r="M42" s="25"/>
      <c r="N42" s="158"/>
      <c r="O42" s="25"/>
      <c r="P42" s="158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6"/>
    </row>
    <row r="43" spans="1:43" ht="25.2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158"/>
      <c r="K43" s="25"/>
      <c r="L43" s="158"/>
      <c r="M43" s="25"/>
      <c r="N43" s="158"/>
      <c r="O43" s="25"/>
      <c r="P43" s="158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6"/>
    </row>
    <row r="44" spans="1:43" ht="25.2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158"/>
      <c r="K44" s="25"/>
      <c r="L44" s="158"/>
      <c r="M44" s="25"/>
      <c r="N44" s="158"/>
      <c r="O44" s="25"/>
      <c r="P44" s="158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6"/>
    </row>
    <row r="45" spans="1:43" ht="25.2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158"/>
      <c r="K45" s="25"/>
      <c r="L45" s="158"/>
      <c r="M45" s="25"/>
      <c r="N45" s="158"/>
      <c r="O45" s="25"/>
      <c r="P45" s="158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6"/>
    </row>
    <row r="46" spans="1:43" ht="25.2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158"/>
      <c r="K46" s="25"/>
      <c r="L46" s="158"/>
      <c r="M46" s="25"/>
      <c r="N46" s="158"/>
      <c r="O46" s="25"/>
      <c r="P46" s="158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6"/>
    </row>
    <row r="47" spans="1:43" ht="25.2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158"/>
      <c r="K47" s="25"/>
      <c r="L47" s="158"/>
      <c r="M47" s="25"/>
      <c r="N47" s="158"/>
      <c r="O47" s="25"/>
      <c r="P47" s="158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6"/>
    </row>
    <row r="48" spans="1:43" ht="25.2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158"/>
      <c r="K48" s="25"/>
      <c r="L48" s="158"/>
      <c r="M48" s="25"/>
      <c r="N48" s="158"/>
      <c r="O48" s="25"/>
      <c r="P48" s="158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6"/>
    </row>
    <row r="49" spans="1:43" ht="25.2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158"/>
      <c r="K49" s="25"/>
      <c r="L49" s="158"/>
      <c r="M49" s="25"/>
      <c r="N49" s="158"/>
      <c r="O49" s="25"/>
      <c r="P49" s="158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31"/>
    </row>
    <row r="50" spans="1:43" ht="25.2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158"/>
      <c r="K50" s="25"/>
      <c r="L50" s="158"/>
      <c r="M50" s="25"/>
      <c r="N50" s="158"/>
      <c r="O50" s="25"/>
      <c r="P50" s="158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</row>
    <row r="51" spans="1:43" ht="25.2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158"/>
      <c r="K51" s="25"/>
      <c r="L51" s="158"/>
      <c r="M51" s="25"/>
      <c r="N51" s="158"/>
      <c r="O51" s="25"/>
      <c r="P51" s="158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</row>
    <row r="52" spans="1:43" ht="25.2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158"/>
      <c r="K52" s="25"/>
      <c r="L52" s="158"/>
      <c r="M52" s="25"/>
      <c r="N52" s="158"/>
      <c r="O52" s="25"/>
      <c r="P52" s="158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</row>
    <row r="53" spans="1:43" ht="25.2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158"/>
      <c r="K53" s="25"/>
      <c r="L53" s="158"/>
      <c r="M53" s="25"/>
      <c r="N53" s="158"/>
      <c r="O53" s="25"/>
      <c r="P53" s="158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</row>
    <row r="54" spans="1:43" ht="25.2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158"/>
      <c r="K54" s="25"/>
      <c r="L54" s="158"/>
      <c r="M54" s="25"/>
      <c r="N54" s="158"/>
      <c r="O54" s="25"/>
      <c r="P54" s="158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</row>
    <row r="55" spans="1:43" ht="25.2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158"/>
      <c r="K55" s="25"/>
      <c r="L55" s="158"/>
      <c r="M55" s="25"/>
      <c r="N55" s="158"/>
      <c r="O55" s="25"/>
      <c r="P55" s="158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</row>
    <row r="56" spans="1:43" ht="25.2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158"/>
      <c r="K56" s="25"/>
      <c r="L56" s="158"/>
      <c r="M56" s="25"/>
      <c r="N56" s="158"/>
      <c r="O56" s="25"/>
      <c r="P56" s="158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</row>
    <row r="57" spans="1:43" ht="25.2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158"/>
      <c r="K57" s="25"/>
      <c r="L57" s="158"/>
      <c r="M57" s="25"/>
      <c r="N57" s="158"/>
      <c r="O57" s="25"/>
      <c r="P57" s="158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</row>
    <row r="58" spans="1:43" ht="25.2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158"/>
      <c r="K58" s="25"/>
      <c r="L58" s="158"/>
      <c r="M58" s="25"/>
      <c r="N58" s="158"/>
      <c r="O58" s="25"/>
      <c r="P58" s="158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</row>
    <row r="59" spans="1:43" ht="25.2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158"/>
      <c r="K59" s="25"/>
      <c r="L59" s="158"/>
      <c r="M59" s="25"/>
      <c r="N59" s="158"/>
      <c r="O59" s="25"/>
      <c r="P59" s="158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</row>
    <row r="60" spans="1:43" ht="25.2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158"/>
      <c r="K60" s="25"/>
      <c r="L60" s="158"/>
      <c r="M60" s="25"/>
      <c r="N60" s="158"/>
      <c r="O60" s="25"/>
      <c r="P60" s="158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</row>
    <row r="61" spans="1:43" ht="25.2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158"/>
      <c r="K61" s="25"/>
      <c r="L61" s="158"/>
      <c r="M61" s="25"/>
      <c r="N61" s="158"/>
      <c r="O61" s="25"/>
      <c r="P61" s="158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</row>
    <row r="62" spans="1:43" ht="25.2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158"/>
      <c r="K62" s="25"/>
      <c r="L62" s="158"/>
      <c r="M62" s="25"/>
      <c r="N62" s="158"/>
      <c r="O62" s="25"/>
      <c r="P62" s="158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</row>
    <row r="63" spans="1:43" ht="25.2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158"/>
      <c r="K63" s="25"/>
      <c r="L63" s="158"/>
      <c r="M63" s="25"/>
      <c r="N63" s="158"/>
      <c r="O63" s="25"/>
      <c r="P63" s="158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</row>
    <row r="64" spans="1:43" ht="25.2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158"/>
      <c r="K64" s="25"/>
      <c r="L64" s="158"/>
      <c r="M64" s="25"/>
      <c r="N64" s="158"/>
      <c r="O64" s="25"/>
      <c r="P64" s="158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</row>
    <row r="65" spans="1:42" ht="25.2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158"/>
      <c r="K65" s="25"/>
      <c r="L65" s="158"/>
      <c r="M65" s="25"/>
      <c r="N65" s="158"/>
      <c r="O65" s="25"/>
      <c r="P65" s="158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</row>
    <row r="66" spans="1:42" ht="25.2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158"/>
      <c r="K66" s="25"/>
      <c r="L66" s="158"/>
      <c r="M66" s="25"/>
      <c r="N66" s="158"/>
      <c r="O66" s="25"/>
      <c r="P66" s="158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</row>
    <row r="67" spans="1:42" ht="25.2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158"/>
      <c r="K67" s="25"/>
      <c r="L67" s="158"/>
      <c r="M67" s="25"/>
      <c r="N67" s="158"/>
      <c r="O67" s="25"/>
      <c r="P67" s="158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</row>
    <row r="68" spans="1:42" ht="25.2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158"/>
      <c r="K68" s="25"/>
      <c r="L68" s="158"/>
      <c r="M68" s="25"/>
      <c r="N68" s="158"/>
      <c r="O68" s="25"/>
      <c r="P68" s="158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</row>
    <row r="69" spans="1:42" ht="25.2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158"/>
      <c r="K69" s="25"/>
      <c r="L69" s="158"/>
      <c r="M69" s="25"/>
      <c r="N69" s="158"/>
      <c r="O69" s="25"/>
      <c r="P69" s="158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</row>
    <row r="70" spans="1:42" ht="25.2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158"/>
      <c r="K70" s="25"/>
      <c r="L70" s="158"/>
      <c r="M70" s="25"/>
      <c r="N70" s="158"/>
      <c r="O70" s="25"/>
      <c r="P70" s="158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</row>
    <row r="71" spans="1:42" ht="25.2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158"/>
      <c r="K71" s="25"/>
      <c r="L71" s="158"/>
      <c r="M71" s="25"/>
      <c r="N71" s="158"/>
      <c r="O71" s="25"/>
      <c r="P71" s="158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</row>
    <row r="72" spans="1:42" ht="25.2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158"/>
      <c r="K72" s="25"/>
      <c r="L72" s="158"/>
      <c r="M72" s="25"/>
      <c r="N72" s="158"/>
      <c r="O72" s="25"/>
      <c r="P72" s="158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</row>
    <row r="73" spans="1:42" ht="25.2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158"/>
      <c r="K73" s="25"/>
      <c r="L73" s="158"/>
      <c r="M73" s="25"/>
      <c r="N73" s="158"/>
      <c r="O73" s="25"/>
      <c r="P73" s="158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</row>
    <row r="74" spans="1:42" ht="25.2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158"/>
      <c r="K74" s="25"/>
      <c r="L74" s="158"/>
      <c r="M74" s="25"/>
      <c r="N74" s="158"/>
      <c r="O74" s="25"/>
      <c r="P74" s="158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</row>
    <row r="75" spans="1:42" ht="25.2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158"/>
      <c r="K75" s="25"/>
      <c r="L75" s="158"/>
      <c r="M75" s="25"/>
      <c r="N75" s="158"/>
      <c r="O75" s="25"/>
      <c r="P75" s="158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</row>
    <row r="76" spans="1:42" ht="25.2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158"/>
      <c r="K76" s="25"/>
      <c r="L76" s="158"/>
      <c r="M76" s="25"/>
      <c r="N76" s="158"/>
      <c r="O76" s="25"/>
      <c r="P76" s="158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</row>
    <row r="77" spans="1:42" ht="25.2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158"/>
      <c r="K77" s="25"/>
      <c r="L77" s="158"/>
      <c r="M77" s="25"/>
      <c r="N77" s="158"/>
      <c r="O77" s="25"/>
      <c r="P77" s="158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</row>
    <row r="78" spans="1:42" ht="25.2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158"/>
      <c r="K78" s="25"/>
      <c r="L78" s="158"/>
      <c r="M78" s="25"/>
      <c r="N78" s="158"/>
      <c r="O78" s="25"/>
      <c r="P78" s="158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</row>
    <row r="79" spans="1:42" ht="25.2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158"/>
      <c r="K79" s="25"/>
      <c r="L79" s="158"/>
      <c r="M79" s="25"/>
      <c r="N79" s="158"/>
      <c r="O79" s="25"/>
      <c r="P79" s="158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</row>
    <row r="80" spans="1:42" ht="25.2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158"/>
      <c r="K80" s="25"/>
      <c r="L80" s="158"/>
      <c r="M80" s="25"/>
      <c r="N80" s="158"/>
      <c r="O80" s="25"/>
      <c r="P80" s="158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</row>
    <row r="81" spans="1:42" ht="25.2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158"/>
      <c r="K81" s="25"/>
      <c r="L81" s="158"/>
      <c r="M81" s="25"/>
      <c r="N81" s="158"/>
      <c r="O81" s="25"/>
      <c r="P81" s="158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</row>
    <row r="82" spans="1:42" ht="25.2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158"/>
      <c r="K82" s="25"/>
      <c r="L82" s="158"/>
      <c r="M82" s="25"/>
      <c r="N82" s="158"/>
      <c r="O82" s="25"/>
      <c r="P82" s="158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</row>
    <row r="83" spans="1:42" ht="25.2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158"/>
      <c r="K83" s="25"/>
      <c r="L83" s="158"/>
      <c r="M83" s="25"/>
      <c r="N83" s="158"/>
      <c r="O83" s="25"/>
      <c r="P83" s="158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</row>
    <row r="84" spans="1:42" ht="25.2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158"/>
      <c r="K84" s="25"/>
      <c r="L84" s="158"/>
      <c r="M84" s="25"/>
      <c r="N84" s="158"/>
      <c r="O84" s="25"/>
      <c r="P84" s="158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</row>
    <row r="85" spans="1:42" ht="25.2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158"/>
      <c r="K85" s="25"/>
      <c r="L85" s="158"/>
      <c r="M85" s="25"/>
      <c r="N85" s="158"/>
      <c r="O85" s="25"/>
      <c r="P85" s="158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</row>
    <row r="86" spans="1:42" ht="25.2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158"/>
      <c r="K86" s="25"/>
      <c r="L86" s="158"/>
      <c r="M86" s="25"/>
      <c r="N86" s="158"/>
      <c r="O86" s="25"/>
      <c r="P86" s="158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</row>
    <row r="87" spans="1:42" ht="25.2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158"/>
      <c r="K87" s="25"/>
      <c r="L87" s="158"/>
      <c r="M87" s="25"/>
      <c r="N87" s="158"/>
      <c r="O87" s="25"/>
      <c r="P87" s="158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</row>
    <row r="88" spans="1:42" ht="25.2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158"/>
      <c r="K88" s="25"/>
      <c r="L88" s="158"/>
      <c r="M88" s="25"/>
      <c r="N88" s="158"/>
      <c r="O88" s="25"/>
      <c r="P88" s="158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</row>
    <row r="89" spans="1:42" ht="25.2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158"/>
      <c r="K89" s="25"/>
      <c r="L89" s="158"/>
      <c r="M89" s="25"/>
      <c r="N89" s="158"/>
      <c r="O89" s="25"/>
      <c r="P89" s="158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</row>
    <row r="90" spans="1:42" ht="25.2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158"/>
      <c r="K90" s="25"/>
      <c r="L90" s="158"/>
      <c r="M90" s="25"/>
      <c r="N90" s="158"/>
      <c r="O90" s="25"/>
      <c r="P90" s="158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</row>
    <row r="91" spans="1:42" ht="25.2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158"/>
      <c r="K91" s="25"/>
      <c r="L91" s="158"/>
      <c r="M91" s="25"/>
      <c r="N91" s="158"/>
      <c r="O91" s="25"/>
      <c r="P91" s="158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</row>
    <row r="92" spans="1:42" ht="25.2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158"/>
      <c r="K92" s="25"/>
      <c r="L92" s="158"/>
      <c r="M92" s="25"/>
      <c r="N92" s="158"/>
      <c r="O92" s="25"/>
      <c r="P92" s="158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</row>
    <row r="93" spans="1:42" ht="25.2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158"/>
      <c r="K93" s="25"/>
      <c r="L93" s="158"/>
      <c r="M93" s="25"/>
      <c r="N93" s="158"/>
      <c r="O93" s="25"/>
      <c r="P93" s="158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</row>
    <row r="94" spans="1:42" ht="25.2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158"/>
      <c r="K94" s="25"/>
      <c r="L94" s="158"/>
      <c r="M94" s="25"/>
      <c r="N94" s="158"/>
      <c r="O94" s="25"/>
      <c r="P94" s="158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</row>
    <row r="95" spans="1:42" ht="25.2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158"/>
      <c r="K95" s="25"/>
      <c r="L95" s="158"/>
      <c r="M95" s="25"/>
      <c r="N95" s="158"/>
      <c r="O95" s="25"/>
      <c r="P95" s="158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</row>
    <row r="96" spans="1:42" ht="25.2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158"/>
      <c r="K96" s="25"/>
      <c r="L96" s="158"/>
      <c r="M96" s="25"/>
      <c r="N96" s="158"/>
      <c r="O96" s="25"/>
      <c r="P96" s="158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</row>
    <row r="97" spans="1:42" ht="25.2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158"/>
      <c r="K97" s="25"/>
      <c r="L97" s="158"/>
      <c r="M97" s="25"/>
      <c r="N97" s="158"/>
      <c r="O97" s="25"/>
      <c r="P97" s="158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</row>
    <row r="98" spans="1:42" ht="25.2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158"/>
      <c r="K98" s="25"/>
      <c r="L98" s="158"/>
      <c r="M98" s="25"/>
      <c r="N98" s="158"/>
      <c r="O98" s="25"/>
      <c r="P98" s="158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</row>
    <row r="99" spans="1:42" ht="25.2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158"/>
      <c r="K99" s="25"/>
      <c r="L99" s="158"/>
      <c r="M99" s="25"/>
      <c r="N99" s="158"/>
      <c r="O99" s="25"/>
      <c r="P99" s="158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</row>
    <row r="100" spans="1:42" ht="25.2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158"/>
      <c r="K100" s="25"/>
      <c r="L100" s="158"/>
      <c r="M100" s="25"/>
      <c r="N100" s="158"/>
      <c r="O100" s="25"/>
      <c r="P100" s="158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</row>
    <row r="101" spans="1:42" ht="25.2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158"/>
      <c r="K101" s="25"/>
      <c r="L101" s="158"/>
      <c r="M101" s="25"/>
      <c r="N101" s="158"/>
      <c r="O101" s="25"/>
      <c r="P101" s="158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</row>
    <row r="102" spans="1:42" ht="25.2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158"/>
      <c r="K102" s="25"/>
      <c r="L102" s="158"/>
      <c r="M102" s="25"/>
      <c r="N102" s="158"/>
      <c r="O102" s="25"/>
      <c r="P102" s="158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</row>
    <row r="103" spans="1:42" ht="25.2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158"/>
      <c r="K103" s="25"/>
      <c r="L103" s="158"/>
      <c r="M103" s="25"/>
      <c r="N103" s="158"/>
      <c r="O103" s="25"/>
      <c r="P103" s="158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</row>
    <row r="104" spans="1:42" ht="25.2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158"/>
      <c r="K104" s="25"/>
      <c r="L104" s="158"/>
      <c r="M104" s="25"/>
      <c r="N104" s="158"/>
      <c r="O104" s="25"/>
      <c r="P104" s="158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</row>
    <row r="105" spans="1:42" ht="25.2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158"/>
      <c r="K105" s="25"/>
      <c r="L105" s="158"/>
      <c r="M105" s="25"/>
      <c r="N105" s="158"/>
      <c r="O105" s="25"/>
      <c r="P105" s="158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</row>
    <row r="106" spans="1:42" ht="25.2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158"/>
      <c r="K106" s="25"/>
      <c r="L106" s="158"/>
      <c r="M106" s="25"/>
      <c r="N106" s="158"/>
      <c r="O106" s="25"/>
      <c r="P106" s="158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</row>
    <row r="107" spans="1:42" ht="25.2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158"/>
      <c r="K107" s="25"/>
      <c r="L107" s="158"/>
      <c r="M107" s="25"/>
      <c r="N107" s="158"/>
      <c r="O107" s="25"/>
      <c r="P107" s="158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</row>
    <row r="108" spans="1:42" ht="25.2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158"/>
      <c r="K108" s="25"/>
      <c r="L108" s="158"/>
      <c r="M108" s="25"/>
      <c r="N108" s="158"/>
      <c r="O108" s="25"/>
      <c r="P108" s="158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</row>
    <row r="109" spans="1:42" ht="25.2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158"/>
      <c r="K109" s="25"/>
      <c r="L109" s="158"/>
      <c r="M109" s="25"/>
      <c r="N109" s="158"/>
      <c r="O109" s="25"/>
      <c r="P109" s="158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</row>
    <row r="110" spans="1:42" ht="25.2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158"/>
      <c r="K110" s="25"/>
      <c r="L110" s="158"/>
      <c r="M110" s="25"/>
      <c r="N110" s="158"/>
      <c r="O110" s="25"/>
      <c r="P110" s="158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</row>
    <row r="111" spans="1:42" ht="25.2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158"/>
      <c r="K111" s="25"/>
      <c r="L111" s="158"/>
      <c r="M111" s="25"/>
      <c r="N111" s="158"/>
      <c r="O111" s="25"/>
      <c r="P111" s="158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</row>
    <row r="112" spans="1:42" ht="25.2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158"/>
      <c r="K112" s="25"/>
      <c r="L112" s="158"/>
      <c r="M112" s="25"/>
      <c r="N112" s="158"/>
      <c r="O112" s="25"/>
      <c r="P112" s="158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</row>
    <row r="113" spans="1:42" ht="25.2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158"/>
      <c r="K113" s="25"/>
      <c r="L113" s="158"/>
      <c r="M113" s="25"/>
      <c r="N113" s="158"/>
      <c r="O113" s="25"/>
      <c r="P113" s="158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</row>
    <row r="114" spans="1:42" ht="25.2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158"/>
      <c r="K114" s="25"/>
      <c r="L114" s="158"/>
      <c r="M114" s="25"/>
      <c r="N114" s="158"/>
      <c r="O114" s="25"/>
      <c r="P114" s="158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</row>
    <row r="115" spans="1:42" ht="25.2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158"/>
      <c r="K115" s="25"/>
      <c r="L115" s="158"/>
      <c r="M115" s="25"/>
      <c r="N115" s="158"/>
      <c r="O115" s="25"/>
      <c r="P115" s="158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</row>
    <row r="116" spans="1:42" ht="25.2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158"/>
      <c r="K116" s="25"/>
      <c r="L116" s="158"/>
      <c r="M116" s="25"/>
      <c r="N116" s="158"/>
      <c r="O116" s="25"/>
      <c r="P116" s="158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</row>
    <row r="117" spans="1:42" ht="25.2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158"/>
      <c r="K117" s="25"/>
      <c r="L117" s="158"/>
      <c r="M117" s="25"/>
      <c r="N117" s="158"/>
      <c r="O117" s="25"/>
      <c r="P117" s="158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</row>
    <row r="118" spans="1:42" ht="25.2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158"/>
      <c r="K118" s="25"/>
      <c r="L118" s="158"/>
      <c r="M118" s="25"/>
      <c r="N118" s="158"/>
      <c r="O118" s="25"/>
      <c r="P118" s="158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</row>
    <row r="119" spans="1:42" ht="25.2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158"/>
      <c r="K119" s="25"/>
      <c r="L119" s="158"/>
      <c r="M119" s="25"/>
      <c r="N119" s="158"/>
      <c r="O119" s="25"/>
      <c r="P119" s="158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</row>
    <row r="120" spans="1:42" ht="25.2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158"/>
      <c r="K120" s="25"/>
      <c r="L120" s="158"/>
      <c r="M120" s="25"/>
      <c r="N120" s="158"/>
      <c r="O120" s="25"/>
      <c r="P120" s="158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</row>
    <row r="121" spans="1:42" ht="25.2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158"/>
      <c r="K121" s="25"/>
      <c r="L121" s="158"/>
      <c r="M121" s="25"/>
      <c r="N121" s="158"/>
      <c r="O121" s="25"/>
      <c r="P121" s="158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</row>
    <row r="122" spans="1:42" ht="25.2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158"/>
      <c r="K122" s="25"/>
      <c r="L122" s="158"/>
      <c r="M122" s="25"/>
      <c r="N122" s="158"/>
      <c r="O122" s="25"/>
      <c r="P122" s="158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</row>
    <row r="123" spans="1:42" ht="25.2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158"/>
      <c r="K123" s="25"/>
      <c r="L123" s="158"/>
      <c r="M123" s="25"/>
      <c r="N123" s="158"/>
      <c r="O123" s="25"/>
      <c r="P123" s="158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</row>
    <row r="124" spans="1:42" ht="25.2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158"/>
      <c r="K124" s="25"/>
      <c r="L124" s="158"/>
      <c r="M124" s="25"/>
      <c r="N124" s="158"/>
      <c r="O124" s="25"/>
      <c r="P124" s="158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</row>
    <row r="125" spans="1:42" ht="25.2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158"/>
      <c r="K125" s="25"/>
      <c r="L125" s="158"/>
      <c r="M125" s="25"/>
      <c r="N125" s="158"/>
      <c r="O125" s="25"/>
      <c r="P125" s="158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</row>
    <row r="126" spans="1:42" ht="25.2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158"/>
      <c r="K126" s="25"/>
      <c r="L126" s="158"/>
      <c r="M126" s="25"/>
      <c r="N126" s="158"/>
      <c r="O126" s="25"/>
      <c r="P126" s="158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</row>
    <row r="127" spans="1:42" ht="25.2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158"/>
      <c r="K127" s="25"/>
      <c r="L127" s="158"/>
      <c r="M127" s="25"/>
      <c r="N127" s="158"/>
      <c r="O127" s="25"/>
      <c r="P127" s="158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</row>
    <row r="128" spans="1:42" ht="25.2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158"/>
      <c r="K128" s="25"/>
      <c r="L128" s="158"/>
      <c r="M128" s="25"/>
      <c r="N128" s="158"/>
      <c r="O128" s="25"/>
      <c r="P128" s="158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</row>
    <row r="129" spans="1:42" ht="25.2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158"/>
      <c r="K129" s="25"/>
      <c r="L129" s="158"/>
      <c r="M129" s="25"/>
      <c r="N129" s="158"/>
      <c r="O129" s="25"/>
      <c r="P129" s="158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</row>
    <row r="130" spans="1:42" ht="25.2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158"/>
      <c r="K130" s="25"/>
      <c r="L130" s="158"/>
      <c r="M130" s="25"/>
      <c r="N130" s="158"/>
      <c r="O130" s="25"/>
      <c r="P130" s="158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</row>
    <row r="131" spans="1:42" ht="25.2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158"/>
      <c r="K131" s="25"/>
      <c r="L131" s="158"/>
      <c r="M131" s="25"/>
      <c r="N131" s="158"/>
      <c r="O131" s="25"/>
      <c r="P131" s="158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</row>
    <row r="132" spans="1:42" ht="25.2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158"/>
      <c r="K132" s="25"/>
      <c r="L132" s="158"/>
      <c r="M132" s="25"/>
      <c r="N132" s="158"/>
      <c r="O132" s="25"/>
      <c r="P132" s="158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</row>
    <row r="133" spans="1:42" ht="25.2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158"/>
      <c r="K133" s="25"/>
      <c r="L133" s="158"/>
      <c r="M133" s="25"/>
      <c r="N133" s="158"/>
      <c r="O133" s="25"/>
      <c r="P133" s="158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</row>
    <row r="134" spans="1:42" ht="25.2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158"/>
      <c r="K134" s="25"/>
      <c r="L134" s="158"/>
      <c r="M134" s="25"/>
      <c r="N134" s="158"/>
      <c r="O134" s="25"/>
      <c r="P134" s="158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</row>
    <row r="135" spans="1:42" ht="25.2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158"/>
      <c r="K135" s="25"/>
      <c r="L135" s="158"/>
      <c r="M135" s="25"/>
      <c r="N135" s="158"/>
      <c r="O135" s="25"/>
      <c r="P135" s="158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</row>
    <row r="136" spans="1:42" ht="25.2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158"/>
      <c r="K136" s="25"/>
      <c r="L136" s="158"/>
      <c r="M136" s="25"/>
      <c r="N136" s="158"/>
      <c r="O136" s="25"/>
      <c r="P136" s="158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</row>
    <row r="137" spans="1:42" ht="25.2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158"/>
      <c r="K137" s="25"/>
      <c r="L137" s="158"/>
      <c r="M137" s="25"/>
      <c r="N137" s="158"/>
      <c r="O137" s="25"/>
      <c r="P137" s="158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</row>
    <row r="138" spans="1:42" ht="25.2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158"/>
      <c r="K138" s="25"/>
      <c r="L138" s="158"/>
      <c r="M138" s="25"/>
      <c r="N138" s="158"/>
      <c r="O138" s="25"/>
      <c r="P138" s="158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</row>
    <row r="139" spans="1:42" ht="25.2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158"/>
      <c r="K139" s="25"/>
      <c r="L139" s="158"/>
      <c r="M139" s="25"/>
      <c r="N139" s="158"/>
      <c r="O139" s="25"/>
      <c r="P139" s="158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</row>
    <row r="140" spans="1:42" ht="25.2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158"/>
      <c r="K140" s="25"/>
      <c r="L140" s="158"/>
      <c r="M140" s="25"/>
      <c r="N140" s="158"/>
      <c r="O140" s="25"/>
      <c r="P140" s="158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</row>
    <row r="141" spans="1:42" ht="25.2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158"/>
      <c r="K141" s="25"/>
      <c r="L141" s="158"/>
      <c r="M141" s="25"/>
      <c r="N141" s="158"/>
      <c r="O141" s="25"/>
      <c r="P141" s="158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</row>
    <row r="142" spans="1:42" ht="25.2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158"/>
      <c r="K142" s="25"/>
      <c r="L142" s="158"/>
      <c r="M142" s="25"/>
      <c r="N142" s="158"/>
      <c r="O142" s="25"/>
      <c r="P142" s="158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</row>
    <row r="143" spans="1:42" ht="25.2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158"/>
      <c r="K143" s="25"/>
      <c r="L143" s="158"/>
      <c r="M143" s="25"/>
      <c r="N143" s="158"/>
      <c r="O143" s="25"/>
      <c r="P143" s="158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</row>
    <row r="144" spans="1:42" ht="25.2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158"/>
      <c r="K144" s="25"/>
      <c r="L144" s="158"/>
      <c r="M144" s="25"/>
      <c r="N144" s="158"/>
      <c r="O144" s="25"/>
      <c r="P144" s="158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</row>
    <row r="145" spans="1:42" ht="25.2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158"/>
      <c r="K145" s="25"/>
      <c r="L145" s="158"/>
      <c r="M145" s="25"/>
      <c r="N145" s="158"/>
      <c r="O145" s="25"/>
      <c r="P145" s="158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</row>
    <row r="146" spans="1:42" ht="25.2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158"/>
      <c r="K146" s="25"/>
      <c r="L146" s="158"/>
      <c r="M146" s="25"/>
      <c r="N146" s="158"/>
      <c r="O146" s="25"/>
      <c r="P146" s="158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</row>
    <row r="147" spans="1:42" ht="25.2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158"/>
      <c r="K147" s="25"/>
      <c r="L147" s="158"/>
      <c r="M147" s="25"/>
      <c r="N147" s="158"/>
      <c r="O147" s="25"/>
      <c r="P147" s="158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</row>
    <row r="148" spans="1:42" ht="25.2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158"/>
      <c r="K148" s="25"/>
      <c r="L148" s="158"/>
      <c r="M148" s="25"/>
      <c r="N148" s="158"/>
      <c r="O148" s="25"/>
      <c r="P148" s="158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</row>
    <row r="149" spans="1:42" ht="25.2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158"/>
      <c r="K149" s="25"/>
      <c r="L149" s="158"/>
      <c r="M149" s="25"/>
      <c r="N149" s="158"/>
      <c r="O149" s="25"/>
      <c r="P149" s="158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</row>
    <row r="150" spans="1:42" ht="25.2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158"/>
      <c r="K150" s="25"/>
      <c r="L150" s="158"/>
      <c r="M150" s="25"/>
      <c r="N150" s="158"/>
      <c r="O150" s="25"/>
      <c r="P150" s="158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</row>
    <row r="151" spans="1:42" ht="25.2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158"/>
      <c r="K151" s="25"/>
      <c r="L151" s="158"/>
      <c r="M151" s="25"/>
      <c r="N151" s="158"/>
      <c r="O151" s="25"/>
      <c r="P151" s="158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</row>
    <row r="152" spans="1:42" ht="25.2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158"/>
      <c r="K152" s="25"/>
      <c r="L152" s="158"/>
      <c r="M152" s="25"/>
      <c r="N152" s="158"/>
      <c r="O152" s="25"/>
      <c r="P152" s="158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</row>
    <row r="153" spans="1:42" ht="25.2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158"/>
      <c r="K153" s="25"/>
      <c r="L153" s="158"/>
      <c r="M153" s="25"/>
      <c r="N153" s="158"/>
      <c r="O153" s="25"/>
      <c r="P153" s="158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</row>
    <row r="154" spans="1:42" ht="25.2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158"/>
      <c r="K154" s="25"/>
      <c r="L154" s="158"/>
      <c r="M154" s="25"/>
      <c r="N154" s="158"/>
      <c r="O154" s="25"/>
      <c r="P154" s="158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</row>
    <row r="155" spans="1:42" ht="25.2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158"/>
      <c r="K155" s="25"/>
      <c r="L155" s="158"/>
      <c r="M155" s="25"/>
      <c r="N155" s="158"/>
      <c r="O155" s="25"/>
      <c r="P155" s="158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</row>
    <row r="156" spans="1:42" ht="25.2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158"/>
      <c r="K156" s="25"/>
      <c r="L156" s="158"/>
      <c r="M156" s="25"/>
      <c r="N156" s="158"/>
      <c r="O156" s="25"/>
      <c r="P156" s="158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</row>
    <row r="157" spans="1:42" ht="25.2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158"/>
      <c r="K157" s="25"/>
      <c r="L157" s="158"/>
      <c r="M157" s="25"/>
      <c r="N157" s="158"/>
      <c r="O157" s="25"/>
      <c r="P157" s="158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</row>
    <row r="158" spans="1:42" ht="25.2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158"/>
      <c r="K158" s="25"/>
      <c r="L158" s="158"/>
      <c r="M158" s="25"/>
      <c r="N158" s="158"/>
      <c r="O158" s="25"/>
      <c r="P158" s="158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</row>
    <row r="159" spans="1:42" ht="25.2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158"/>
      <c r="K159" s="25"/>
      <c r="L159" s="158"/>
      <c r="M159" s="25"/>
      <c r="N159" s="158"/>
      <c r="O159" s="25"/>
      <c r="P159" s="158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</row>
    <row r="160" spans="1:42" ht="25.2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158"/>
      <c r="K160" s="25"/>
      <c r="L160" s="158"/>
      <c r="M160" s="25"/>
      <c r="N160" s="158"/>
      <c r="O160" s="25"/>
      <c r="P160" s="158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</row>
    <row r="161" spans="1:42" ht="25.2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158"/>
      <c r="K161" s="25"/>
      <c r="L161" s="158"/>
      <c r="M161" s="25"/>
      <c r="N161" s="158"/>
      <c r="O161" s="25"/>
      <c r="P161" s="158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</row>
    <row r="162" spans="1:42" ht="25.2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158"/>
      <c r="K162" s="25"/>
      <c r="L162" s="158"/>
      <c r="M162" s="25"/>
      <c r="N162" s="158"/>
      <c r="O162" s="25"/>
      <c r="P162" s="158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</row>
    <row r="163" spans="1:42" ht="25.2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158"/>
      <c r="K163" s="25"/>
      <c r="L163" s="158"/>
      <c r="M163" s="25"/>
      <c r="N163" s="158"/>
      <c r="O163" s="25"/>
      <c r="P163" s="158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</row>
    <row r="164" spans="1:42" ht="25.2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158"/>
      <c r="K164" s="25"/>
      <c r="L164" s="158"/>
      <c r="M164" s="25"/>
      <c r="N164" s="158"/>
      <c r="O164" s="25"/>
      <c r="P164" s="158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</row>
    <row r="165" spans="1:42" ht="25.2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158"/>
      <c r="K165" s="25"/>
      <c r="L165" s="158"/>
      <c r="M165" s="25"/>
      <c r="N165" s="158"/>
      <c r="O165" s="25"/>
      <c r="P165" s="158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</row>
    <row r="166" spans="1:42" ht="25.2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158"/>
      <c r="K166" s="25"/>
      <c r="L166" s="158"/>
      <c r="M166" s="25"/>
      <c r="N166" s="158"/>
      <c r="O166" s="25"/>
      <c r="P166" s="158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</row>
    <row r="167" spans="1:42" ht="25.2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158"/>
      <c r="K167" s="25"/>
      <c r="L167" s="158"/>
      <c r="M167" s="25"/>
      <c r="N167" s="158"/>
      <c r="O167" s="25"/>
      <c r="P167" s="158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</row>
    <row r="168" spans="1:42" ht="25.2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158"/>
      <c r="K168" s="25"/>
      <c r="L168" s="158"/>
      <c r="M168" s="25"/>
      <c r="N168" s="158"/>
      <c r="O168" s="25"/>
      <c r="P168" s="158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</row>
    <row r="169" spans="1:42" ht="25.2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158"/>
      <c r="K169" s="25"/>
      <c r="L169" s="158"/>
      <c r="M169" s="25"/>
      <c r="N169" s="158"/>
      <c r="O169" s="25"/>
      <c r="P169" s="158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</row>
    <row r="170" spans="1:42" ht="25.2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158"/>
      <c r="K170" s="25"/>
      <c r="L170" s="158"/>
      <c r="M170" s="25"/>
      <c r="N170" s="158"/>
      <c r="O170" s="25"/>
      <c r="P170" s="158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</row>
    <row r="171" spans="1:42" ht="25.2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158"/>
      <c r="K171" s="25"/>
      <c r="L171" s="158"/>
      <c r="M171" s="25"/>
      <c r="N171" s="158"/>
      <c r="O171" s="25"/>
      <c r="P171" s="158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</row>
    <row r="172" spans="1:42" ht="25.2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158"/>
      <c r="K172" s="25"/>
      <c r="L172" s="158"/>
      <c r="M172" s="25"/>
      <c r="N172" s="158"/>
      <c r="O172" s="25"/>
      <c r="P172" s="158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</row>
    <row r="173" spans="1:42" ht="12.75" customHeight="1" x14ac:dyDescent="0.25">
      <c r="B173" s="40"/>
      <c r="C173" s="40"/>
      <c r="D173" s="40"/>
      <c r="E173" s="40"/>
      <c r="F173" s="40"/>
      <c r="G173" s="40"/>
      <c r="H173" s="5"/>
      <c r="Q173" s="40"/>
      <c r="R173" s="40"/>
      <c r="S173" s="40"/>
      <c r="T173" s="40"/>
      <c r="U173" s="40"/>
      <c r="W173" s="40"/>
      <c r="X173" s="40"/>
      <c r="Y173" s="40"/>
      <c r="Z173" s="40"/>
      <c r="AA173" s="41"/>
      <c r="AB173" s="41"/>
      <c r="AC173" s="41"/>
      <c r="AD173" s="41"/>
      <c r="AE173" s="40"/>
      <c r="AF173" s="42"/>
      <c r="AG173" s="5"/>
      <c r="AH173" s="5"/>
      <c r="AI173" s="40"/>
      <c r="AJ173" s="40"/>
      <c r="AK173" s="40"/>
      <c r="AL173" s="40"/>
      <c r="AM173" s="40"/>
      <c r="AO173" s="40"/>
    </row>
    <row r="174" spans="1:42" ht="12.75" customHeight="1" x14ac:dyDescent="0.25">
      <c r="B174" s="40"/>
      <c r="C174" s="40"/>
      <c r="D174" s="40"/>
      <c r="E174" s="40"/>
      <c r="F174" s="40"/>
      <c r="G174" s="40"/>
      <c r="H174" s="5"/>
      <c r="Q174" s="40"/>
      <c r="R174" s="40"/>
      <c r="S174" s="40"/>
      <c r="T174" s="40"/>
      <c r="U174" s="40"/>
      <c r="W174" s="40"/>
      <c r="X174" s="40"/>
      <c r="Y174" s="40"/>
      <c r="Z174" s="40"/>
      <c r="AA174" s="41"/>
      <c r="AB174" s="41"/>
      <c r="AC174" s="41"/>
      <c r="AD174" s="41"/>
      <c r="AE174" s="40"/>
      <c r="AF174" s="42"/>
      <c r="AG174" s="5"/>
      <c r="AH174" s="5"/>
      <c r="AI174" s="40"/>
      <c r="AJ174" s="40"/>
      <c r="AK174" s="40"/>
      <c r="AL174" s="40"/>
      <c r="AM174" s="40"/>
      <c r="AO174" s="40"/>
    </row>
    <row r="175" spans="1:42" ht="12.75" customHeight="1" x14ac:dyDescent="0.25">
      <c r="B175" s="40"/>
      <c r="C175" s="40"/>
      <c r="D175" s="40"/>
      <c r="E175" s="40"/>
      <c r="F175" s="40"/>
      <c r="G175" s="40"/>
      <c r="H175" s="5"/>
      <c r="Q175" s="40"/>
      <c r="R175" s="40"/>
      <c r="S175" s="40"/>
      <c r="T175" s="40"/>
      <c r="U175" s="40"/>
      <c r="W175" s="40"/>
      <c r="X175" s="40"/>
      <c r="Y175" s="40"/>
      <c r="Z175" s="40"/>
      <c r="AA175" s="41"/>
      <c r="AB175" s="41"/>
      <c r="AC175" s="41"/>
      <c r="AD175" s="41"/>
      <c r="AE175" s="40"/>
      <c r="AF175" s="42"/>
      <c r="AG175" s="5"/>
      <c r="AH175" s="5"/>
      <c r="AI175" s="40"/>
      <c r="AJ175" s="40"/>
      <c r="AK175" s="40"/>
      <c r="AL175" s="40"/>
      <c r="AM175" s="40"/>
      <c r="AO175" s="40"/>
    </row>
    <row r="176" spans="1:42" ht="12.75" customHeight="1" x14ac:dyDescent="0.25">
      <c r="B176" s="40"/>
      <c r="C176" s="40"/>
      <c r="D176" s="40"/>
      <c r="E176" s="40"/>
      <c r="F176" s="40"/>
      <c r="G176" s="40"/>
      <c r="H176" s="5"/>
      <c r="Q176" s="40"/>
      <c r="R176" s="40"/>
      <c r="S176" s="40"/>
      <c r="T176" s="40"/>
      <c r="U176" s="40"/>
      <c r="W176" s="40"/>
      <c r="X176" s="40"/>
      <c r="Y176" s="40"/>
      <c r="Z176" s="40"/>
      <c r="AA176" s="41"/>
      <c r="AB176" s="41"/>
      <c r="AC176" s="41"/>
      <c r="AD176" s="41"/>
      <c r="AE176" s="40"/>
      <c r="AF176" s="42"/>
      <c r="AG176" s="5"/>
      <c r="AH176" s="5"/>
      <c r="AI176" s="40"/>
      <c r="AJ176" s="40"/>
      <c r="AK176" s="40"/>
      <c r="AL176" s="40"/>
      <c r="AM176" s="40"/>
      <c r="AO176" s="40"/>
    </row>
    <row r="177" spans="2:41" ht="12.75" customHeight="1" x14ac:dyDescent="0.25">
      <c r="B177" s="40"/>
      <c r="C177" s="40"/>
      <c r="D177" s="40"/>
      <c r="E177" s="40"/>
      <c r="F177" s="40"/>
      <c r="G177" s="40"/>
      <c r="H177" s="5"/>
      <c r="Q177" s="40"/>
      <c r="R177" s="40"/>
      <c r="S177" s="40"/>
      <c r="T177" s="40"/>
      <c r="U177" s="40"/>
      <c r="W177" s="40"/>
      <c r="X177" s="40"/>
      <c r="Y177" s="40"/>
      <c r="Z177" s="40"/>
      <c r="AA177" s="41"/>
      <c r="AB177" s="41"/>
      <c r="AC177" s="41"/>
      <c r="AD177" s="41"/>
      <c r="AE177" s="40"/>
      <c r="AF177" s="42"/>
      <c r="AG177" s="5"/>
      <c r="AH177" s="5"/>
      <c r="AI177" s="40"/>
      <c r="AJ177" s="40"/>
      <c r="AK177" s="40"/>
      <c r="AL177" s="40"/>
      <c r="AM177" s="40"/>
      <c r="AO177" s="40"/>
    </row>
    <row r="178" spans="2:41" ht="12.75" customHeight="1" x14ac:dyDescent="0.25">
      <c r="B178" s="40"/>
      <c r="C178" s="40"/>
      <c r="D178" s="40"/>
      <c r="E178" s="40"/>
      <c r="F178" s="40"/>
      <c r="G178" s="40"/>
      <c r="H178" s="5"/>
      <c r="Q178" s="40"/>
      <c r="R178" s="40"/>
      <c r="S178" s="40"/>
      <c r="T178" s="40"/>
      <c r="U178" s="40"/>
      <c r="W178" s="40"/>
      <c r="X178" s="40"/>
      <c r="Y178" s="40"/>
      <c r="Z178" s="40"/>
      <c r="AA178" s="41"/>
      <c r="AB178" s="41"/>
      <c r="AC178" s="41"/>
      <c r="AD178" s="41"/>
      <c r="AE178" s="40"/>
      <c r="AF178" s="42"/>
      <c r="AG178" s="5"/>
      <c r="AH178" s="5"/>
      <c r="AI178" s="40"/>
      <c r="AJ178" s="40"/>
      <c r="AK178" s="40"/>
      <c r="AL178" s="40"/>
      <c r="AM178" s="40"/>
      <c r="AO178" s="40"/>
    </row>
    <row r="179" spans="2:41" ht="12.75" customHeight="1" x14ac:dyDescent="0.25">
      <c r="B179" s="40"/>
      <c r="C179" s="40"/>
      <c r="D179" s="40"/>
      <c r="E179" s="40"/>
      <c r="F179" s="40"/>
      <c r="G179" s="40"/>
      <c r="H179" s="5"/>
      <c r="Q179" s="40"/>
      <c r="R179" s="40"/>
      <c r="S179" s="40"/>
      <c r="T179" s="40"/>
      <c r="U179" s="40"/>
      <c r="W179" s="40"/>
      <c r="X179" s="40"/>
      <c r="Y179" s="40"/>
      <c r="Z179" s="40"/>
      <c r="AA179" s="41"/>
      <c r="AB179" s="41"/>
      <c r="AC179" s="41"/>
      <c r="AD179" s="41"/>
      <c r="AE179" s="40"/>
      <c r="AF179" s="42"/>
      <c r="AG179" s="5"/>
      <c r="AH179" s="5"/>
      <c r="AI179" s="40"/>
      <c r="AJ179" s="40"/>
      <c r="AK179" s="40"/>
      <c r="AL179" s="40"/>
      <c r="AM179" s="40"/>
      <c r="AO179" s="40"/>
    </row>
    <row r="180" spans="2:41" ht="12.75" customHeight="1" x14ac:dyDescent="0.25">
      <c r="B180" s="40"/>
      <c r="C180" s="40"/>
      <c r="D180" s="40"/>
      <c r="E180" s="40"/>
      <c r="F180" s="40"/>
      <c r="G180" s="40"/>
      <c r="H180" s="5"/>
      <c r="Q180" s="40"/>
      <c r="R180" s="40"/>
      <c r="S180" s="40"/>
      <c r="T180" s="40"/>
      <c r="U180" s="40"/>
      <c r="W180" s="40"/>
      <c r="X180" s="40"/>
      <c r="Y180" s="40"/>
      <c r="Z180" s="40"/>
      <c r="AA180" s="41"/>
      <c r="AB180" s="41"/>
      <c r="AC180" s="41"/>
      <c r="AD180" s="41"/>
      <c r="AE180" s="40"/>
      <c r="AF180" s="42"/>
      <c r="AG180" s="5"/>
      <c r="AH180" s="5"/>
      <c r="AI180" s="40"/>
      <c r="AJ180" s="40"/>
      <c r="AK180" s="40"/>
      <c r="AL180" s="40"/>
      <c r="AM180" s="40"/>
      <c r="AO180" s="40"/>
    </row>
    <row r="181" spans="2:41" ht="12.75" customHeight="1" x14ac:dyDescent="0.25">
      <c r="B181" s="40"/>
      <c r="C181" s="40"/>
      <c r="D181" s="40"/>
      <c r="E181" s="40"/>
      <c r="F181" s="40"/>
      <c r="G181" s="40"/>
      <c r="H181" s="5"/>
      <c r="Q181" s="40"/>
      <c r="R181" s="40"/>
      <c r="S181" s="40"/>
      <c r="T181" s="40"/>
      <c r="U181" s="40"/>
      <c r="W181" s="40"/>
      <c r="X181" s="40"/>
      <c r="Y181" s="40"/>
      <c r="Z181" s="40"/>
      <c r="AA181" s="41"/>
      <c r="AB181" s="41"/>
      <c r="AC181" s="41"/>
      <c r="AD181" s="41"/>
      <c r="AE181" s="40"/>
      <c r="AF181" s="42"/>
      <c r="AG181" s="5"/>
      <c r="AH181" s="5"/>
      <c r="AI181" s="40"/>
      <c r="AJ181" s="40"/>
      <c r="AK181" s="40"/>
      <c r="AL181" s="40"/>
      <c r="AM181" s="40"/>
      <c r="AO181" s="40"/>
    </row>
    <row r="182" spans="2:41" ht="12.75" customHeight="1" x14ac:dyDescent="0.25">
      <c r="B182" s="40"/>
      <c r="C182" s="40"/>
      <c r="D182" s="40"/>
      <c r="E182" s="40"/>
      <c r="F182" s="40"/>
      <c r="G182" s="40"/>
      <c r="H182" s="5"/>
      <c r="Q182" s="40"/>
      <c r="R182" s="40"/>
      <c r="S182" s="40"/>
      <c r="T182" s="40"/>
      <c r="U182" s="40"/>
      <c r="W182" s="40"/>
      <c r="X182" s="40"/>
      <c r="Y182" s="40"/>
      <c r="Z182" s="40"/>
      <c r="AA182" s="41"/>
      <c r="AB182" s="41"/>
      <c r="AC182" s="41"/>
      <c r="AD182" s="41"/>
      <c r="AE182" s="40"/>
      <c r="AF182" s="42"/>
      <c r="AG182" s="5"/>
      <c r="AH182" s="5"/>
      <c r="AI182" s="40"/>
      <c r="AJ182" s="40"/>
      <c r="AK182" s="40"/>
      <c r="AL182" s="40"/>
      <c r="AM182" s="40"/>
      <c r="AO182" s="40"/>
    </row>
    <row r="183" spans="2:41" ht="12.75" customHeight="1" x14ac:dyDescent="0.25">
      <c r="B183" s="40"/>
      <c r="C183" s="40"/>
      <c r="D183" s="40"/>
      <c r="E183" s="40"/>
      <c r="F183" s="40"/>
      <c r="G183" s="40"/>
      <c r="H183" s="5"/>
      <c r="Q183" s="40"/>
      <c r="R183" s="40"/>
      <c r="S183" s="40"/>
      <c r="T183" s="40"/>
      <c r="U183" s="40"/>
      <c r="W183" s="40"/>
      <c r="X183" s="40"/>
      <c r="Y183" s="40"/>
      <c r="Z183" s="40"/>
      <c r="AA183" s="41"/>
      <c r="AB183" s="41"/>
      <c r="AC183" s="41"/>
      <c r="AD183" s="41"/>
      <c r="AE183" s="40"/>
      <c r="AF183" s="42"/>
      <c r="AG183" s="5"/>
      <c r="AH183" s="5"/>
      <c r="AI183" s="40"/>
      <c r="AJ183" s="40"/>
      <c r="AK183" s="40"/>
      <c r="AL183" s="40"/>
      <c r="AM183" s="40"/>
      <c r="AO183" s="40"/>
    </row>
    <row r="184" spans="2:41" ht="12.75" customHeight="1" x14ac:dyDescent="0.25">
      <c r="B184" s="40"/>
      <c r="C184" s="40"/>
      <c r="D184" s="40"/>
      <c r="E184" s="40"/>
      <c r="F184" s="40"/>
      <c r="G184" s="40"/>
      <c r="H184" s="5"/>
      <c r="Q184" s="40"/>
      <c r="R184" s="40"/>
      <c r="S184" s="40"/>
      <c r="T184" s="40"/>
      <c r="U184" s="40"/>
      <c r="W184" s="40"/>
      <c r="X184" s="40"/>
      <c r="Y184" s="40"/>
      <c r="Z184" s="40"/>
      <c r="AA184" s="41"/>
      <c r="AB184" s="41"/>
      <c r="AC184" s="41"/>
      <c r="AD184" s="41"/>
      <c r="AE184" s="40"/>
      <c r="AF184" s="42"/>
      <c r="AG184" s="5"/>
      <c r="AH184" s="5"/>
      <c r="AI184" s="40"/>
      <c r="AJ184" s="40"/>
      <c r="AK184" s="40"/>
      <c r="AL184" s="40"/>
      <c r="AM184" s="40"/>
      <c r="AO184" s="40"/>
    </row>
    <row r="185" spans="2:41" ht="12.75" customHeight="1" x14ac:dyDescent="0.25">
      <c r="B185" s="40"/>
      <c r="C185" s="40"/>
      <c r="D185" s="40"/>
      <c r="E185" s="40"/>
      <c r="F185" s="40"/>
      <c r="G185" s="40"/>
      <c r="H185" s="5"/>
      <c r="Q185" s="40"/>
      <c r="R185" s="40"/>
      <c r="S185" s="40"/>
      <c r="T185" s="40"/>
      <c r="U185" s="40"/>
      <c r="W185" s="40"/>
      <c r="X185" s="40"/>
      <c r="Y185" s="40"/>
      <c r="Z185" s="40"/>
      <c r="AA185" s="41"/>
      <c r="AB185" s="41"/>
      <c r="AC185" s="41"/>
      <c r="AD185" s="41"/>
      <c r="AE185" s="40"/>
      <c r="AF185" s="42"/>
      <c r="AG185" s="5"/>
      <c r="AH185" s="5"/>
      <c r="AI185" s="40"/>
      <c r="AJ185" s="40"/>
      <c r="AK185" s="40"/>
      <c r="AL185" s="40"/>
      <c r="AM185" s="40"/>
      <c r="AO185" s="40"/>
    </row>
    <row r="186" spans="2:41" ht="12.75" customHeight="1" x14ac:dyDescent="0.25">
      <c r="B186" s="40"/>
      <c r="C186" s="40"/>
      <c r="D186" s="40"/>
      <c r="E186" s="40"/>
      <c r="F186" s="40"/>
      <c r="G186" s="40"/>
      <c r="H186" s="5"/>
      <c r="Q186" s="40"/>
      <c r="R186" s="40"/>
      <c r="S186" s="40"/>
      <c r="T186" s="40"/>
      <c r="U186" s="40"/>
      <c r="W186" s="40"/>
      <c r="X186" s="40"/>
      <c r="Y186" s="40"/>
      <c r="Z186" s="40"/>
      <c r="AA186" s="41"/>
      <c r="AB186" s="41"/>
      <c r="AC186" s="41"/>
      <c r="AD186" s="41"/>
      <c r="AE186" s="40"/>
      <c r="AF186" s="42"/>
      <c r="AG186" s="5"/>
      <c r="AH186" s="5"/>
      <c r="AI186" s="40"/>
      <c r="AJ186" s="40"/>
      <c r="AK186" s="40"/>
      <c r="AL186" s="40"/>
      <c r="AM186" s="40"/>
      <c r="AO186" s="40"/>
    </row>
    <row r="187" spans="2:41" ht="12.75" customHeight="1" x14ac:dyDescent="0.25">
      <c r="B187" s="40"/>
      <c r="C187" s="40"/>
      <c r="D187" s="40"/>
      <c r="E187" s="40"/>
      <c r="F187" s="40"/>
      <c r="G187" s="40"/>
      <c r="H187" s="5"/>
      <c r="Q187" s="40"/>
      <c r="R187" s="40"/>
      <c r="S187" s="40"/>
      <c r="T187" s="40"/>
      <c r="U187" s="40"/>
      <c r="W187" s="40"/>
      <c r="X187" s="40"/>
      <c r="Y187" s="40"/>
      <c r="Z187" s="40"/>
      <c r="AA187" s="41"/>
      <c r="AB187" s="41"/>
      <c r="AC187" s="41"/>
      <c r="AD187" s="41"/>
      <c r="AE187" s="40"/>
      <c r="AF187" s="42"/>
      <c r="AG187" s="5"/>
      <c r="AH187" s="5"/>
      <c r="AI187" s="40"/>
      <c r="AJ187" s="40"/>
      <c r="AK187" s="40"/>
      <c r="AL187" s="40"/>
      <c r="AM187" s="40"/>
      <c r="AO187" s="40"/>
    </row>
    <row r="188" spans="2:41" ht="12.75" customHeight="1" x14ac:dyDescent="0.25">
      <c r="B188" s="40"/>
      <c r="C188" s="40"/>
      <c r="D188" s="40"/>
      <c r="E188" s="40"/>
      <c r="F188" s="40"/>
      <c r="G188" s="40"/>
      <c r="H188" s="5"/>
      <c r="Q188" s="40"/>
      <c r="R188" s="40"/>
      <c r="S188" s="40"/>
      <c r="T188" s="40"/>
      <c r="U188" s="40"/>
      <c r="W188" s="40"/>
      <c r="X188" s="40"/>
      <c r="Y188" s="40"/>
      <c r="Z188" s="40"/>
      <c r="AA188" s="41"/>
      <c r="AB188" s="41"/>
      <c r="AC188" s="41"/>
      <c r="AD188" s="41"/>
      <c r="AE188" s="40"/>
      <c r="AF188" s="42"/>
      <c r="AG188" s="5"/>
      <c r="AH188" s="5"/>
      <c r="AI188" s="40"/>
      <c r="AJ188" s="40"/>
      <c r="AK188" s="40"/>
      <c r="AL188" s="40"/>
      <c r="AM188" s="40"/>
      <c r="AO188" s="40"/>
    </row>
    <row r="189" spans="2:41" ht="12.75" customHeight="1" x14ac:dyDescent="0.25">
      <c r="B189" s="40"/>
      <c r="C189" s="40"/>
      <c r="D189" s="40"/>
      <c r="E189" s="40"/>
      <c r="F189" s="40"/>
      <c r="G189" s="40"/>
      <c r="H189" s="5"/>
      <c r="Q189" s="40"/>
      <c r="R189" s="40"/>
      <c r="S189" s="40"/>
      <c r="T189" s="40"/>
      <c r="U189" s="40"/>
      <c r="W189" s="40"/>
      <c r="X189" s="40"/>
      <c r="Y189" s="40"/>
      <c r="Z189" s="40"/>
      <c r="AA189" s="41"/>
      <c r="AB189" s="41"/>
      <c r="AC189" s="41"/>
      <c r="AD189" s="41"/>
      <c r="AE189" s="40"/>
      <c r="AF189" s="42"/>
      <c r="AG189" s="5"/>
      <c r="AH189" s="5"/>
      <c r="AI189" s="40"/>
      <c r="AJ189" s="40"/>
      <c r="AK189" s="40"/>
      <c r="AL189" s="40"/>
      <c r="AM189" s="40"/>
      <c r="AO189" s="40"/>
    </row>
    <row r="190" spans="2:41" ht="12.75" customHeight="1" x14ac:dyDescent="0.25">
      <c r="B190" s="40"/>
      <c r="C190" s="40"/>
      <c r="D190" s="40"/>
      <c r="E190" s="40"/>
      <c r="F190" s="40"/>
      <c r="G190" s="40"/>
      <c r="H190" s="5"/>
      <c r="Q190" s="40"/>
      <c r="R190" s="40"/>
      <c r="S190" s="40"/>
      <c r="T190" s="40"/>
      <c r="U190" s="40"/>
      <c r="W190" s="40"/>
      <c r="X190" s="40"/>
      <c r="Y190" s="40"/>
      <c r="Z190" s="40"/>
      <c r="AA190" s="41"/>
      <c r="AB190" s="41"/>
      <c r="AC190" s="41"/>
      <c r="AD190" s="41"/>
      <c r="AE190" s="40"/>
      <c r="AF190" s="42"/>
      <c r="AG190" s="5"/>
      <c r="AH190" s="5"/>
      <c r="AI190" s="40"/>
      <c r="AJ190" s="40"/>
      <c r="AK190" s="40"/>
      <c r="AL190" s="40"/>
      <c r="AM190" s="40"/>
      <c r="AO190" s="40"/>
    </row>
    <row r="191" spans="2:41" ht="12.75" customHeight="1" x14ac:dyDescent="0.25">
      <c r="B191" s="40"/>
      <c r="C191" s="40"/>
      <c r="D191" s="40"/>
      <c r="E191" s="40"/>
      <c r="F191" s="40"/>
      <c r="G191" s="40"/>
      <c r="H191" s="5"/>
      <c r="Q191" s="40"/>
      <c r="R191" s="40"/>
      <c r="S191" s="40"/>
      <c r="T191" s="40"/>
      <c r="U191" s="40"/>
      <c r="W191" s="40"/>
      <c r="X191" s="40"/>
      <c r="Y191" s="40"/>
      <c r="Z191" s="40"/>
      <c r="AA191" s="41"/>
      <c r="AB191" s="41"/>
      <c r="AC191" s="41"/>
      <c r="AD191" s="41"/>
      <c r="AE191" s="40"/>
      <c r="AF191" s="42"/>
      <c r="AG191" s="5"/>
      <c r="AH191" s="5"/>
      <c r="AI191" s="40"/>
      <c r="AJ191" s="40"/>
      <c r="AK191" s="40"/>
      <c r="AL191" s="40"/>
      <c r="AM191" s="40"/>
      <c r="AO191" s="40"/>
    </row>
    <row r="192" spans="2:41" ht="12.75" customHeight="1" x14ac:dyDescent="0.25">
      <c r="B192" s="40"/>
      <c r="C192" s="40"/>
      <c r="D192" s="40"/>
      <c r="E192" s="40"/>
      <c r="F192" s="40"/>
      <c r="G192" s="40"/>
      <c r="H192" s="5"/>
      <c r="Q192" s="40"/>
      <c r="R192" s="40"/>
      <c r="S192" s="40"/>
      <c r="T192" s="40"/>
      <c r="U192" s="40"/>
      <c r="W192" s="40"/>
      <c r="X192" s="40"/>
      <c r="Y192" s="40"/>
      <c r="Z192" s="40"/>
      <c r="AA192" s="41"/>
      <c r="AB192" s="41"/>
      <c r="AC192" s="41"/>
      <c r="AD192" s="41"/>
      <c r="AE192" s="40"/>
      <c r="AF192" s="42"/>
      <c r="AG192" s="5"/>
      <c r="AH192" s="5"/>
      <c r="AI192" s="40"/>
      <c r="AJ192" s="40"/>
      <c r="AK192" s="40"/>
      <c r="AL192" s="40"/>
      <c r="AM192" s="40"/>
      <c r="AO192" s="40"/>
    </row>
    <row r="193" spans="2:41" ht="12.75" customHeight="1" x14ac:dyDescent="0.25">
      <c r="B193" s="40"/>
      <c r="C193" s="40"/>
      <c r="D193" s="40"/>
      <c r="E193" s="40"/>
      <c r="F193" s="40"/>
      <c r="G193" s="40"/>
      <c r="H193" s="5"/>
      <c r="Q193" s="40"/>
      <c r="R193" s="40"/>
      <c r="S193" s="40"/>
      <c r="T193" s="40"/>
      <c r="U193" s="40"/>
      <c r="W193" s="40"/>
      <c r="X193" s="40"/>
      <c r="Y193" s="40"/>
      <c r="Z193" s="40"/>
      <c r="AA193" s="41"/>
      <c r="AB193" s="41"/>
      <c r="AC193" s="41"/>
      <c r="AD193" s="41"/>
      <c r="AE193" s="40"/>
      <c r="AF193" s="42"/>
      <c r="AG193" s="5"/>
      <c r="AH193" s="5"/>
      <c r="AI193" s="40"/>
      <c r="AJ193" s="40"/>
      <c r="AK193" s="40"/>
      <c r="AL193" s="40"/>
      <c r="AM193" s="40"/>
      <c r="AO193" s="40"/>
    </row>
    <row r="194" spans="2:41" ht="12.75" customHeight="1" x14ac:dyDescent="0.25">
      <c r="B194" s="40"/>
      <c r="C194" s="40"/>
      <c r="D194" s="40"/>
      <c r="E194" s="40"/>
      <c r="F194" s="40"/>
      <c r="G194" s="40"/>
      <c r="H194" s="5"/>
      <c r="Q194" s="40"/>
      <c r="R194" s="40"/>
      <c r="S194" s="40"/>
      <c r="T194" s="40"/>
      <c r="U194" s="40"/>
      <c r="W194" s="40"/>
      <c r="X194" s="40"/>
      <c r="Y194" s="40"/>
      <c r="Z194" s="40"/>
      <c r="AA194" s="41"/>
      <c r="AB194" s="41"/>
      <c r="AC194" s="41"/>
      <c r="AD194" s="41"/>
      <c r="AE194" s="40"/>
      <c r="AF194" s="42"/>
      <c r="AG194" s="5"/>
      <c r="AH194" s="5"/>
      <c r="AI194" s="40"/>
      <c r="AJ194" s="40"/>
      <c r="AK194" s="40"/>
      <c r="AL194" s="40"/>
      <c r="AM194" s="40"/>
      <c r="AO194" s="40"/>
    </row>
    <row r="195" spans="2:41" ht="12.75" customHeight="1" x14ac:dyDescent="0.25">
      <c r="B195" s="40"/>
      <c r="C195" s="40"/>
      <c r="D195" s="40"/>
      <c r="E195" s="40"/>
      <c r="F195" s="40"/>
      <c r="G195" s="40"/>
      <c r="H195" s="5"/>
      <c r="Q195" s="40"/>
      <c r="R195" s="40"/>
      <c r="S195" s="40"/>
      <c r="T195" s="40"/>
      <c r="U195" s="40"/>
      <c r="W195" s="40"/>
      <c r="X195" s="40"/>
      <c r="Y195" s="40"/>
      <c r="Z195" s="40"/>
      <c r="AA195" s="41"/>
      <c r="AB195" s="41"/>
      <c r="AC195" s="41"/>
      <c r="AD195" s="41"/>
      <c r="AE195" s="40"/>
      <c r="AF195" s="42"/>
      <c r="AG195" s="5"/>
      <c r="AH195" s="5"/>
      <c r="AI195" s="40"/>
      <c r="AJ195" s="40"/>
      <c r="AK195" s="40"/>
      <c r="AL195" s="40"/>
      <c r="AM195" s="40"/>
      <c r="AO195" s="40"/>
    </row>
    <row r="196" spans="2:41" ht="12.75" customHeight="1" x14ac:dyDescent="0.25">
      <c r="B196" s="40"/>
      <c r="C196" s="40"/>
      <c r="D196" s="40"/>
      <c r="E196" s="40"/>
      <c r="F196" s="40"/>
      <c r="G196" s="40"/>
      <c r="H196" s="5"/>
      <c r="Q196" s="40"/>
      <c r="R196" s="40"/>
      <c r="S196" s="40"/>
      <c r="T196" s="40"/>
      <c r="U196" s="40"/>
      <c r="W196" s="40"/>
      <c r="X196" s="40"/>
      <c r="Y196" s="40"/>
      <c r="Z196" s="40"/>
      <c r="AA196" s="41"/>
      <c r="AB196" s="41"/>
      <c r="AC196" s="41"/>
      <c r="AD196" s="41"/>
      <c r="AE196" s="40"/>
      <c r="AF196" s="42"/>
      <c r="AG196" s="5"/>
      <c r="AH196" s="5"/>
      <c r="AI196" s="40"/>
      <c r="AJ196" s="40"/>
      <c r="AK196" s="40"/>
      <c r="AL196" s="40"/>
      <c r="AM196" s="40"/>
      <c r="AO196" s="40"/>
    </row>
    <row r="197" spans="2:41" ht="12.75" customHeight="1" x14ac:dyDescent="0.25">
      <c r="B197" s="40"/>
      <c r="C197" s="40"/>
      <c r="D197" s="40"/>
      <c r="E197" s="40"/>
      <c r="F197" s="40"/>
      <c r="G197" s="40"/>
      <c r="H197" s="5"/>
      <c r="Q197" s="40"/>
      <c r="R197" s="40"/>
      <c r="S197" s="40"/>
      <c r="T197" s="40"/>
      <c r="U197" s="40"/>
      <c r="W197" s="40"/>
      <c r="X197" s="40"/>
      <c r="Y197" s="40"/>
      <c r="Z197" s="40"/>
      <c r="AA197" s="41"/>
      <c r="AB197" s="41"/>
      <c r="AC197" s="41"/>
      <c r="AD197" s="41"/>
      <c r="AE197" s="40"/>
      <c r="AF197" s="42"/>
      <c r="AG197" s="5"/>
      <c r="AH197" s="5"/>
      <c r="AI197" s="40"/>
      <c r="AJ197" s="40"/>
      <c r="AK197" s="40"/>
      <c r="AL197" s="40"/>
      <c r="AM197" s="40"/>
      <c r="AO197" s="40"/>
    </row>
    <row r="198" spans="2:41" ht="12.75" customHeight="1" x14ac:dyDescent="0.25">
      <c r="B198" s="40"/>
      <c r="C198" s="40"/>
      <c r="D198" s="40"/>
      <c r="E198" s="40"/>
      <c r="F198" s="40"/>
      <c r="G198" s="40"/>
      <c r="H198" s="5"/>
      <c r="Q198" s="40"/>
      <c r="R198" s="40"/>
      <c r="S198" s="40"/>
      <c r="T198" s="40"/>
      <c r="U198" s="40"/>
      <c r="W198" s="40"/>
      <c r="X198" s="40"/>
      <c r="Y198" s="40"/>
      <c r="Z198" s="40"/>
      <c r="AA198" s="41"/>
      <c r="AB198" s="41"/>
      <c r="AC198" s="41"/>
      <c r="AD198" s="41"/>
      <c r="AE198" s="40"/>
      <c r="AF198" s="42"/>
      <c r="AG198" s="5"/>
      <c r="AH198" s="5"/>
      <c r="AI198" s="40"/>
      <c r="AJ198" s="40"/>
      <c r="AK198" s="40"/>
      <c r="AL198" s="40"/>
      <c r="AM198" s="40"/>
      <c r="AO198" s="40"/>
    </row>
    <row r="199" spans="2:41" ht="12.75" customHeight="1" x14ac:dyDescent="0.25">
      <c r="B199" s="40"/>
      <c r="C199" s="40"/>
      <c r="D199" s="40"/>
      <c r="E199" s="40"/>
      <c r="F199" s="40"/>
      <c r="G199" s="40"/>
      <c r="H199" s="5"/>
      <c r="Q199" s="40"/>
      <c r="R199" s="40"/>
      <c r="S199" s="40"/>
      <c r="T199" s="40"/>
      <c r="U199" s="40"/>
      <c r="W199" s="40"/>
      <c r="X199" s="40"/>
      <c r="Y199" s="40"/>
      <c r="Z199" s="40"/>
      <c r="AA199" s="41"/>
      <c r="AB199" s="41"/>
      <c r="AC199" s="41"/>
      <c r="AD199" s="41"/>
      <c r="AE199" s="40"/>
      <c r="AF199" s="42"/>
      <c r="AG199" s="5"/>
      <c r="AH199" s="5"/>
      <c r="AI199" s="40"/>
      <c r="AJ199" s="40"/>
      <c r="AK199" s="40"/>
      <c r="AL199" s="40"/>
      <c r="AM199" s="40"/>
      <c r="AO199" s="40"/>
    </row>
    <row r="200" spans="2:41" ht="12.75" customHeight="1" x14ac:dyDescent="0.25">
      <c r="B200" s="40"/>
      <c r="C200" s="40"/>
      <c r="D200" s="40"/>
      <c r="E200" s="40"/>
      <c r="F200" s="40"/>
      <c r="G200" s="40"/>
      <c r="H200" s="5"/>
      <c r="Q200" s="40"/>
      <c r="R200" s="40"/>
      <c r="S200" s="40"/>
      <c r="T200" s="40"/>
      <c r="U200" s="40"/>
      <c r="W200" s="40"/>
      <c r="X200" s="40"/>
      <c r="Y200" s="40"/>
      <c r="Z200" s="40"/>
      <c r="AA200" s="41"/>
      <c r="AB200" s="41"/>
      <c r="AC200" s="41"/>
      <c r="AD200" s="41"/>
      <c r="AE200" s="40"/>
      <c r="AF200" s="42"/>
      <c r="AG200" s="5"/>
      <c r="AH200" s="5"/>
      <c r="AI200" s="40"/>
      <c r="AJ200" s="40"/>
      <c r="AK200" s="40"/>
      <c r="AL200" s="40"/>
      <c r="AM200" s="40"/>
      <c r="AO200" s="40"/>
    </row>
    <row r="201" spans="2:41" ht="12.75" customHeight="1" x14ac:dyDescent="0.25">
      <c r="B201" s="40"/>
      <c r="C201" s="40"/>
      <c r="D201" s="40"/>
      <c r="E201" s="40"/>
      <c r="F201" s="40"/>
      <c r="G201" s="40"/>
      <c r="H201" s="5"/>
      <c r="Q201" s="40"/>
      <c r="R201" s="40"/>
      <c r="S201" s="40"/>
      <c r="T201" s="40"/>
      <c r="U201" s="40"/>
      <c r="W201" s="40"/>
      <c r="X201" s="40"/>
      <c r="Y201" s="40"/>
      <c r="Z201" s="40"/>
      <c r="AA201" s="41"/>
      <c r="AB201" s="41"/>
      <c r="AC201" s="41"/>
      <c r="AD201" s="41"/>
      <c r="AE201" s="40"/>
      <c r="AF201" s="42"/>
      <c r="AG201" s="5"/>
      <c r="AH201" s="5"/>
      <c r="AI201" s="40"/>
      <c r="AJ201" s="40"/>
      <c r="AK201" s="40"/>
      <c r="AL201" s="40"/>
      <c r="AM201" s="40"/>
      <c r="AO201" s="40"/>
    </row>
    <row r="202" spans="2:41" ht="12.75" customHeight="1" x14ac:dyDescent="0.25">
      <c r="B202" s="40"/>
      <c r="C202" s="40"/>
      <c r="D202" s="40"/>
      <c r="E202" s="40"/>
      <c r="F202" s="40"/>
      <c r="G202" s="40"/>
      <c r="H202" s="5"/>
      <c r="Q202" s="40"/>
      <c r="R202" s="40"/>
      <c r="S202" s="40"/>
      <c r="T202" s="40"/>
      <c r="U202" s="40"/>
      <c r="W202" s="40"/>
      <c r="X202" s="40"/>
      <c r="Y202" s="40"/>
      <c r="Z202" s="40"/>
      <c r="AA202" s="41"/>
      <c r="AB202" s="41"/>
      <c r="AC202" s="41"/>
      <c r="AD202" s="41"/>
      <c r="AE202" s="40"/>
      <c r="AF202" s="42"/>
      <c r="AG202" s="5"/>
      <c r="AH202" s="5"/>
      <c r="AI202" s="40"/>
      <c r="AJ202" s="40"/>
      <c r="AK202" s="40"/>
      <c r="AL202" s="40"/>
      <c r="AM202" s="40"/>
      <c r="AO202" s="40"/>
    </row>
    <row r="203" spans="2:41" ht="12.75" customHeight="1" x14ac:dyDescent="0.25">
      <c r="B203" s="40"/>
      <c r="C203" s="40"/>
      <c r="D203" s="40"/>
      <c r="E203" s="40"/>
      <c r="F203" s="40"/>
      <c r="G203" s="40"/>
      <c r="H203" s="5"/>
      <c r="Q203" s="40"/>
      <c r="R203" s="40"/>
      <c r="S203" s="40"/>
      <c r="T203" s="40"/>
      <c r="U203" s="40"/>
      <c r="W203" s="40"/>
      <c r="X203" s="40"/>
      <c r="Y203" s="40"/>
      <c r="Z203" s="40"/>
      <c r="AA203" s="41"/>
      <c r="AB203" s="41"/>
      <c r="AC203" s="41"/>
      <c r="AD203" s="41"/>
      <c r="AE203" s="40"/>
      <c r="AF203" s="42"/>
      <c r="AG203" s="5"/>
      <c r="AH203" s="5"/>
      <c r="AI203" s="40"/>
      <c r="AJ203" s="40"/>
      <c r="AK203" s="40"/>
      <c r="AL203" s="40"/>
      <c r="AM203" s="40"/>
      <c r="AO203" s="40"/>
    </row>
    <row r="204" spans="2:41" ht="12.75" customHeight="1" x14ac:dyDescent="0.25">
      <c r="B204" s="40"/>
      <c r="C204" s="40"/>
      <c r="D204" s="40"/>
      <c r="E204" s="40"/>
      <c r="F204" s="40"/>
      <c r="G204" s="40"/>
      <c r="H204" s="5"/>
      <c r="Q204" s="40"/>
      <c r="R204" s="40"/>
      <c r="S204" s="40"/>
      <c r="T204" s="40"/>
      <c r="U204" s="40"/>
      <c r="W204" s="40"/>
      <c r="X204" s="40"/>
      <c r="Y204" s="40"/>
      <c r="Z204" s="40"/>
      <c r="AA204" s="41"/>
      <c r="AB204" s="41"/>
      <c r="AC204" s="41"/>
      <c r="AD204" s="41"/>
      <c r="AE204" s="40"/>
      <c r="AF204" s="42"/>
      <c r="AG204" s="5"/>
      <c r="AH204" s="5"/>
      <c r="AI204" s="40"/>
      <c r="AJ204" s="40"/>
      <c r="AK204" s="40"/>
      <c r="AL204" s="40"/>
      <c r="AM204" s="40"/>
      <c r="AO204" s="40"/>
    </row>
    <row r="205" spans="2:41" ht="12.75" customHeight="1" x14ac:dyDescent="0.25">
      <c r="B205" s="40"/>
      <c r="C205" s="40"/>
      <c r="D205" s="40"/>
      <c r="E205" s="40"/>
      <c r="F205" s="40"/>
      <c r="G205" s="40"/>
      <c r="H205" s="5"/>
      <c r="Q205" s="40"/>
      <c r="R205" s="40"/>
      <c r="S205" s="40"/>
      <c r="T205" s="40"/>
      <c r="U205" s="40"/>
      <c r="W205" s="40"/>
      <c r="X205" s="40"/>
      <c r="Y205" s="40"/>
      <c r="Z205" s="40"/>
      <c r="AA205" s="41"/>
      <c r="AB205" s="41"/>
      <c r="AC205" s="41"/>
      <c r="AD205" s="41"/>
      <c r="AE205" s="40"/>
      <c r="AF205" s="42"/>
      <c r="AG205" s="5"/>
      <c r="AH205" s="5"/>
      <c r="AI205" s="40"/>
      <c r="AJ205" s="40"/>
      <c r="AK205" s="40"/>
      <c r="AL205" s="40"/>
      <c r="AM205" s="40"/>
      <c r="AO205" s="40"/>
    </row>
    <row r="206" spans="2:41" ht="12.75" customHeight="1" x14ac:dyDescent="0.25">
      <c r="B206" s="40"/>
      <c r="C206" s="40"/>
      <c r="D206" s="40"/>
      <c r="E206" s="40"/>
      <c r="F206" s="40"/>
      <c r="G206" s="40"/>
      <c r="H206" s="5"/>
      <c r="Q206" s="40"/>
      <c r="R206" s="40"/>
      <c r="S206" s="40"/>
      <c r="T206" s="40"/>
      <c r="U206" s="40"/>
      <c r="W206" s="40"/>
      <c r="X206" s="40"/>
      <c r="Y206" s="40"/>
      <c r="Z206" s="40"/>
      <c r="AA206" s="41"/>
      <c r="AB206" s="41"/>
      <c r="AC206" s="41"/>
      <c r="AD206" s="41"/>
      <c r="AE206" s="40"/>
      <c r="AF206" s="42"/>
      <c r="AG206" s="5"/>
      <c r="AH206" s="5"/>
      <c r="AI206" s="40"/>
      <c r="AJ206" s="40"/>
      <c r="AK206" s="40"/>
      <c r="AL206" s="40"/>
      <c r="AM206" s="40"/>
      <c r="AO206" s="40"/>
    </row>
    <row r="207" spans="2:41" ht="12.75" customHeight="1" x14ac:dyDescent="0.25">
      <c r="B207" s="40"/>
      <c r="C207" s="40"/>
      <c r="D207" s="40"/>
      <c r="E207" s="40"/>
      <c r="F207" s="40"/>
      <c r="G207" s="40"/>
      <c r="H207" s="5"/>
      <c r="Q207" s="40"/>
      <c r="R207" s="40"/>
      <c r="S207" s="40"/>
      <c r="T207" s="40"/>
      <c r="U207" s="40"/>
      <c r="W207" s="40"/>
      <c r="X207" s="40"/>
      <c r="Y207" s="40"/>
      <c r="Z207" s="40"/>
      <c r="AA207" s="41"/>
      <c r="AB207" s="41"/>
      <c r="AC207" s="41"/>
      <c r="AD207" s="41"/>
      <c r="AE207" s="40"/>
      <c r="AF207" s="42"/>
      <c r="AG207" s="5"/>
      <c r="AH207" s="5"/>
      <c r="AI207" s="40"/>
      <c r="AJ207" s="40"/>
      <c r="AK207" s="40"/>
      <c r="AL207" s="40"/>
      <c r="AM207" s="40"/>
      <c r="AO207" s="40"/>
    </row>
    <row r="208" spans="2:41" ht="12.75" customHeight="1" x14ac:dyDescent="0.25">
      <c r="B208" s="40"/>
      <c r="C208" s="40"/>
      <c r="D208" s="40"/>
      <c r="E208" s="40"/>
      <c r="F208" s="40"/>
      <c r="G208" s="40"/>
      <c r="H208" s="5"/>
      <c r="Q208" s="40"/>
      <c r="R208" s="40"/>
      <c r="S208" s="40"/>
      <c r="T208" s="40"/>
      <c r="U208" s="40"/>
      <c r="W208" s="40"/>
      <c r="X208" s="40"/>
      <c r="Y208" s="40"/>
      <c r="Z208" s="40"/>
      <c r="AA208" s="41"/>
      <c r="AB208" s="41"/>
      <c r="AC208" s="41"/>
      <c r="AD208" s="41"/>
      <c r="AE208" s="40"/>
      <c r="AF208" s="42"/>
      <c r="AG208" s="5"/>
      <c r="AH208" s="5"/>
      <c r="AI208" s="40"/>
      <c r="AJ208" s="40"/>
      <c r="AK208" s="40"/>
      <c r="AL208" s="40"/>
      <c r="AM208" s="40"/>
      <c r="AO208" s="40"/>
    </row>
    <row r="209" spans="2:41" ht="12.75" customHeight="1" x14ac:dyDescent="0.25">
      <c r="B209" s="40"/>
      <c r="C209" s="40"/>
      <c r="D209" s="40"/>
      <c r="E209" s="40"/>
      <c r="F209" s="40"/>
      <c r="G209" s="40"/>
      <c r="H209" s="5"/>
      <c r="Q209" s="40"/>
      <c r="R209" s="40"/>
      <c r="S209" s="40"/>
      <c r="T209" s="40"/>
      <c r="U209" s="40"/>
      <c r="W209" s="40"/>
      <c r="X209" s="40"/>
      <c r="Y209" s="40"/>
      <c r="Z209" s="40"/>
      <c r="AA209" s="41"/>
      <c r="AB209" s="41"/>
      <c r="AC209" s="41"/>
      <c r="AD209" s="41"/>
      <c r="AE209" s="40"/>
      <c r="AF209" s="42"/>
      <c r="AG209" s="5"/>
      <c r="AH209" s="5"/>
      <c r="AI209" s="40"/>
      <c r="AJ209" s="40"/>
      <c r="AK209" s="40"/>
      <c r="AL209" s="40"/>
      <c r="AM209" s="40"/>
      <c r="AO209" s="40"/>
    </row>
    <row r="210" spans="2:41" ht="12.75" customHeight="1" x14ac:dyDescent="0.25">
      <c r="B210" s="40"/>
      <c r="C210" s="40"/>
      <c r="D210" s="40"/>
      <c r="E210" s="40"/>
      <c r="F210" s="40"/>
      <c r="G210" s="40"/>
      <c r="H210" s="5"/>
      <c r="Q210" s="40"/>
      <c r="R210" s="40"/>
      <c r="S210" s="40"/>
      <c r="T210" s="40"/>
      <c r="U210" s="40"/>
      <c r="W210" s="40"/>
      <c r="X210" s="40"/>
      <c r="Y210" s="40"/>
      <c r="Z210" s="40"/>
      <c r="AA210" s="41"/>
      <c r="AB210" s="41"/>
      <c r="AC210" s="41"/>
      <c r="AD210" s="41"/>
      <c r="AE210" s="40"/>
      <c r="AF210" s="42"/>
      <c r="AG210" s="5"/>
      <c r="AH210" s="5"/>
      <c r="AI210" s="40"/>
      <c r="AJ210" s="40"/>
      <c r="AK210" s="40"/>
      <c r="AL210" s="40"/>
      <c r="AM210" s="40"/>
      <c r="AO210" s="40"/>
    </row>
    <row r="211" spans="2:41" ht="12.75" customHeight="1" x14ac:dyDescent="0.25">
      <c r="B211" s="40"/>
      <c r="C211" s="40"/>
      <c r="D211" s="40"/>
      <c r="E211" s="40"/>
      <c r="F211" s="40"/>
      <c r="G211" s="40"/>
      <c r="H211" s="5"/>
      <c r="Q211" s="40"/>
      <c r="R211" s="40"/>
      <c r="S211" s="40"/>
      <c r="T211" s="40"/>
      <c r="U211" s="40"/>
      <c r="W211" s="40"/>
      <c r="X211" s="40"/>
      <c r="Y211" s="40"/>
      <c r="Z211" s="40"/>
      <c r="AA211" s="41"/>
      <c r="AB211" s="41"/>
      <c r="AC211" s="41"/>
      <c r="AD211" s="41"/>
      <c r="AE211" s="40"/>
      <c r="AF211" s="42"/>
      <c r="AG211" s="5"/>
      <c r="AH211" s="5"/>
      <c r="AI211" s="40"/>
      <c r="AJ211" s="40"/>
      <c r="AK211" s="40"/>
      <c r="AL211" s="40"/>
      <c r="AM211" s="40"/>
      <c r="AO211" s="40"/>
    </row>
    <row r="212" spans="2:41" ht="12.75" customHeight="1" x14ac:dyDescent="0.25">
      <c r="B212" s="40"/>
      <c r="C212" s="40"/>
      <c r="D212" s="40"/>
      <c r="E212" s="40"/>
      <c r="F212" s="40"/>
      <c r="G212" s="40"/>
      <c r="H212" s="5"/>
      <c r="Q212" s="40"/>
      <c r="R212" s="40"/>
      <c r="S212" s="40"/>
      <c r="T212" s="40"/>
      <c r="U212" s="40"/>
      <c r="W212" s="40"/>
      <c r="X212" s="40"/>
      <c r="Y212" s="40"/>
      <c r="Z212" s="40"/>
      <c r="AA212" s="41"/>
      <c r="AB212" s="41"/>
      <c r="AC212" s="41"/>
      <c r="AD212" s="41"/>
      <c r="AE212" s="40"/>
      <c r="AF212" s="42"/>
      <c r="AG212" s="5"/>
      <c r="AH212" s="5"/>
      <c r="AI212" s="40"/>
      <c r="AJ212" s="40"/>
      <c r="AK212" s="40"/>
      <c r="AL212" s="40"/>
      <c r="AM212" s="40"/>
      <c r="AO212" s="40"/>
    </row>
    <row r="213" spans="2:41" ht="12.75" customHeight="1" x14ac:dyDescent="0.25">
      <c r="B213" s="40"/>
      <c r="C213" s="40"/>
      <c r="D213" s="40"/>
      <c r="E213" s="40"/>
      <c r="F213" s="40"/>
      <c r="G213" s="40"/>
      <c r="H213" s="5"/>
      <c r="Q213" s="40"/>
      <c r="R213" s="40"/>
      <c r="S213" s="40"/>
      <c r="T213" s="40"/>
      <c r="U213" s="40"/>
      <c r="W213" s="40"/>
      <c r="X213" s="40"/>
      <c r="Y213" s="40"/>
      <c r="Z213" s="40"/>
      <c r="AA213" s="41"/>
      <c r="AB213" s="41"/>
      <c r="AC213" s="41"/>
      <c r="AD213" s="41"/>
      <c r="AE213" s="40"/>
      <c r="AF213" s="42"/>
      <c r="AG213" s="5"/>
      <c r="AH213" s="5"/>
      <c r="AI213" s="40"/>
      <c r="AJ213" s="40"/>
      <c r="AK213" s="40"/>
      <c r="AL213" s="40"/>
      <c r="AM213" s="40"/>
      <c r="AO213" s="40"/>
    </row>
    <row r="214" spans="2:41" ht="12.75" customHeight="1" x14ac:dyDescent="0.25">
      <c r="B214" s="40"/>
      <c r="C214" s="40"/>
      <c r="D214" s="40"/>
      <c r="E214" s="40"/>
      <c r="F214" s="40"/>
      <c r="G214" s="40"/>
      <c r="H214" s="5"/>
      <c r="Q214" s="40"/>
      <c r="R214" s="40"/>
      <c r="S214" s="40"/>
      <c r="T214" s="40"/>
      <c r="U214" s="40"/>
      <c r="W214" s="40"/>
      <c r="X214" s="40"/>
      <c r="Y214" s="40"/>
      <c r="Z214" s="40"/>
      <c r="AA214" s="41"/>
      <c r="AB214" s="41"/>
      <c r="AC214" s="41"/>
      <c r="AD214" s="41"/>
      <c r="AE214" s="40"/>
      <c r="AF214" s="42"/>
      <c r="AG214" s="5"/>
      <c r="AH214" s="5"/>
      <c r="AI214" s="40"/>
      <c r="AJ214" s="40"/>
      <c r="AK214" s="40"/>
      <c r="AL214" s="40"/>
      <c r="AM214" s="40"/>
      <c r="AO214" s="40"/>
    </row>
    <row r="215" spans="2:41" ht="12.75" customHeight="1" x14ac:dyDescent="0.25">
      <c r="B215" s="40"/>
      <c r="C215" s="40"/>
      <c r="D215" s="40"/>
      <c r="E215" s="40"/>
      <c r="F215" s="40"/>
      <c r="G215" s="40"/>
      <c r="H215" s="5"/>
      <c r="Q215" s="40"/>
      <c r="R215" s="40"/>
      <c r="S215" s="40"/>
      <c r="T215" s="40"/>
      <c r="U215" s="40"/>
      <c r="W215" s="40"/>
      <c r="X215" s="40"/>
      <c r="Y215" s="40"/>
      <c r="Z215" s="40"/>
      <c r="AA215" s="41"/>
      <c r="AB215" s="41"/>
      <c r="AC215" s="41"/>
      <c r="AD215" s="41"/>
      <c r="AE215" s="40"/>
      <c r="AF215" s="42"/>
      <c r="AG215" s="5"/>
      <c r="AH215" s="5"/>
      <c r="AI215" s="40"/>
      <c r="AJ215" s="40"/>
      <c r="AK215" s="40"/>
      <c r="AL215" s="40"/>
      <c r="AM215" s="40"/>
      <c r="AO215" s="40"/>
    </row>
    <row r="216" spans="2:41" ht="12.75" customHeight="1" x14ac:dyDescent="0.25">
      <c r="B216" s="40"/>
      <c r="C216" s="40"/>
      <c r="D216" s="40"/>
      <c r="E216" s="40"/>
      <c r="F216" s="40"/>
      <c r="G216" s="40"/>
      <c r="H216" s="5"/>
      <c r="Q216" s="40"/>
      <c r="R216" s="40"/>
      <c r="S216" s="40"/>
      <c r="T216" s="40"/>
      <c r="U216" s="40"/>
      <c r="W216" s="40"/>
      <c r="X216" s="40"/>
      <c r="Y216" s="40"/>
      <c r="Z216" s="40"/>
      <c r="AA216" s="41"/>
      <c r="AB216" s="41"/>
      <c r="AC216" s="41"/>
      <c r="AD216" s="41"/>
      <c r="AE216" s="40"/>
      <c r="AF216" s="42"/>
      <c r="AG216" s="5"/>
      <c r="AH216" s="5"/>
      <c r="AI216" s="40"/>
      <c r="AJ216" s="40"/>
      <c r="AK216" s="40"/>
      <c r="AL216" s="40"/>
      <c r="AM216" s="40"/>
      <c r="AO216" s="40"/>
    </row>
    <row r="217" spans="2:41" ht="12.75" customHeight="1" x14ac:dyDescent="0.25">
      <c r="B217" s="40"/>
      <c r="C217" s="40"/>
      <c r="D217" s="40"/>
      <c r="E217" s="40"/>
      <c r="F217" s="40"/>
      <c r="G217" s="40"/>
      <c r="H217" s="5"/>
      <c r="Q217" s="40"/>
      <c r="R217" s="40"/>
      <c r="S217" s="40"/>
      <c r="T217" s="40"/>
      <c r="U217" s="40"/>
      <c r="W217" s="40"/>
      <c r="X217" s="40"/>
      <c r="Y217" s="40"/>
      <c r="Z217" s="40"/>
      <c r="AA217" s="41"/>
      <c r="AB217" s="41"/>
      <c r="AC217" s="41"/>
      <c r="AD217" s="41"/>
      <c r="AE217" s="40"/>
      <c r="AF217" s="42"/>
      <c r="AG217" s="5"/>
      <c r="AH217" s="5"/>
      <c r="AI217" s="40"/>
      <c r="AJ217" s="40"/>
      <c r="AK217" s="40"/>
      <c r="AL217" s="40"/>
      <c r="AM217" s="40"/>
      <c r="AO217" s="40"/>
    </row>
    <row r="218" spans="2:41" ht="12.75" customHeight="1" x14ac:dyDescent="0.25">
      <c r="B218" s="40"/>
      <c r="C218" s="40"/>
      <c r="D218" s="40"/>
      <c r="E218" s="40"/>
      <c r="F218" s="40"/>
      <c r="G218" s="40"/>
      <c r="H218" s="5"/>
      <c r="Q218" s="40"/>
      <c r="R218" s="40"/>
      <c r="S218" s="40"/>
      <c r="T218" s="40"/>
      <c r="U218" s="40"/>
      <c r="W218" s="40"/>
      <c r="X218" s="40"/>
      <c r="Y218" s="40"/>
      <c r="Z218" s="40"/>
      <c r="AA218" s="41"/>
      <c r="AB218" s="41"/>
      <c r="AC218" s="41"/>
      <c r="AD218" s="41"/>
      <c r="AE218" s="40"/>
      <c r="AF218" s="42"/>
      <c r="AG218" s="5"/>
      <c r="AH218" s="5"/>
      <c r="AI218" s="40"/>
      <c r="AJ218" s="40"/>
      <c r="AK218" s="40"/>
      <c r="AL218" s="40"/>
      <c r="AM218" s="40"/>
      <c r="AO218" s="40"/>
    </row>
    <row r="219" spans="2:41" ht="12.75" customHeight="1" x14ac:dyDescent="0.25">
      <c r="B219" s="40"/>
      <c r="C219" s="40"/>
      <c r="D219" s="40"/>
      <c r="E219" s="40"/>
      <c r="F219" s="40"/>
      <c r="G219" s="40"/>
      <c r="H219" s="5"/>
      <c r="Q219" s="40"/>
      <c r="R219" s="40"/>
      <c r="S219" s="40"/>
      <c r="T219" s="40"/>
      <c r="U219" s="40"/>
      <c r="W219" s="40"/>
      <c r="X219" s="40"/>
      <c r="Y219" s="40"/>
      <c r="Z219" s="40"/>
      <c r="AA219" s="41"/>
      <c r="AB219" s="41"/>
      <c r="AC219" s="41"/>
      <c r="AD219" s="41"/>
      <c r="AE219" s="40"/>
      <c r="AF219" s="42"/>
      <c r="AG219" s="5"/>
      <c r="AH219" s="5"/>
      <c r="AI219" s="40"/>
      <c r="AJ219" s="40"/>
      <c r="AK219" s="40"/>
      <c r="AL219" s="40"/>
      <c r="AM219" s="40"/>
      <c r="AO219" s="40"/>
    </row>
    <row r="220" spans="2:41" ht="12.75" customHeight="1" x14ac:dyDescent="0.25">
      <c r="B220" s="40"/>
      <c r="C220" s="40"/>
      <c r="D220" s="40"/>
      <c r="E220" s="40"/>
      <c r="F220" s="40"/>
      <c r="G220" s="40"/>
      <c r="H220" s="5"/>
      <c r="Q220" s="40"/>
      <c r="R220" s="40"/>
      <c r="S220" s="40"/>
      <c r="T220" s="40"/>
      <c r="U220" s="40"/>
      <c r="W220" s="40"/>
      <c r="X220" s="40"/>
      <c r="Y220" s="40"/>
      <c r="Z220" s="40"/>
      <c r="AA220" s="41"/>
      <c r="AB220" s="41"/>
      <c r="AC220" s="41"/>
      <c r="AD220" s="41"/>
      <c r="AE220" s="40"/>
      <c r="AF220" s="42"/>
      <c r="AG220" s="5"/>
      <c r="AH220" s="5"/>
      <c r="AI220" s="40"/>
      <c r="AJ220" s="40"/>
      <c r="AK220" s="40"/>
      <c r="AL220" s="40"/>
      <c r="AM220" s="40"/>
      <c r="AO220" s="40"/>
    </row>
    <row r="221" spans="2:41" ht="12.75" customHeight="1" x14ac:dyDescent="0.25">
      <c r="B221" s="40"/>
      <c r="C221" s="40"/>
      <c r="D221" s="40"/>
      <c r="E221" s="40"/>
      <c r="F221" s="40"/>
      <c r="G221" s="40"/>
      <c r="H221" s="5"/>
      <c r="Q221" s="40"/>
      <c r="R221" s="40"/>
      <c r="S221" s="40"/>
      <c r="T221" s="40"/>
      <c r="U221" s="40"/>
      <c r="W221" s="40"/>
      <c r="X221" s="40"/>
      <c r="Y221" s="40"/>
      <c r="Z221" s="40"/>
      <c r="AA221" s="41"/>
      <c r="AB221" s="41"/>
      <c r="AC221" s="41"/>
      <c r="AD221" s="41"/>
      <c r="AE221" s="40"/>
      <c r="AF221" s="42"/>
      <c r="AG221" s="5"/>
      <c r="AH221" s="5"/>
      <c r="AI221" s="40"/>
      <c r="AJ221" s="40"/>
      <c r="AK221" s="40"/>
      <c r="AL221" s="40"/>
      <c r="AM221" s="40"/>
      <c r="AO221" s="40"/>
    </row>
    <row r="222" spans="2:41" ht="12.75" customHeight="1" x14ac:dyDescent="0.25">
      <c r="B222" s="40"/>
      <c r="C222" s="40"/>
      <c r="D222" s="40"/>
      <c r="E222" s="40"/>
      <c r="F222" s="40"/>
      <c r="G222" s="40"/>
      <c r="H222" s="5"/>
      <c r="Q222" s="40"/>
      <c r="R222" s="40"/>
      <c r="S222" s="40"/>
      <c r="T222" s="40"/>
      <c r="U222" s="40"/>
      <c r="W222" s="40"/>
      <c r="X222" s="40"/>
      <c r="Y222" s="40"/>
      <c r="Z222" s="40"/>
      <c r="AA222" s="41"/>
      <c r="AB222" s="41"/>
      <c r="AC222" s="41"/>
      <c r="AD222" s="41"/>
      <c r="AE222" s="40"/>
      <c r="AF222" s="42"/>
      <c r="AG222" s="5"/>
      <c r="AH222" s="5"/>
      <c r="AI222" s="40"/>
      <c r="AJ222" s="40"/>
      <c r="AK222" s="40"/>
      <c r="AL222" s="40"/>
      <c r="AM222" s="40"/>
      <c r="AO222" s="40"/>
    </row>
    <row r="223" spans="2:41" ht="12.75" customHeight="1" x14ac:dyDescent="0.25">
      <c r="B223" s="40"/>
      <c r="C223" s="40"/>
      <c r="D223" s="40"/>
      <c r="E223" s="40"/>
      <c r="F223" s="40"/>
      <c r="G223" s="40"/>
      <c r="H223" s="5"/>
      <c r="Q223" s="40"/>
      <c r="R223" s="40"/>
      <c r="S223" s="40"/>
      <c r="T223" s="40"/>
      <c r="U223" s="40"/>
      <c r="W223" s="40"/>
      <c r="X223" s="40"/>
      <c r="Y223" s="40"/>
      <c r="Z223" s="40"/>
      <c r="AA223" s="41"/>
      <c r="AB223" s="41"/>
      <c r="AC223" s="41"/>
      <c r="AD223" s="41"/>
      <c r="AE223" s="40"/>
      <c r="AF223" s="42"/>
      <c r="AG223" s="5"/>
      <c r="AH223" s="5"/>
      <c r="AI223" s="40"/>
      <c r="AJ223" s="40"/>
      <c r="AK223" s="40"/>
      <c r="AL223" s="40"/>
      <c r="AM223" s="40"/>
      <c r="AO223" s="40"/>
    </row>
    <row r="224" spans="2:41" ht="12.75" customHeight="1" x14ac:dyDescent="0.25">
      <c r="B224" s="40"/>
      <c r="C224" s="40"/>
      <c r="D224" s="40"/>
      <c r="E224" s="40"/>
      <c r="F224" s="40"/>
      <c r="G224" s="40"/>
      <c r="H224" s="5"/>
      <c r="Q224" s="40"/>
      <c r="R224" s="40"/>
      <c r="S224" s="40"/>
      <c r="T224" s="40"/>
      <c r="U224" s="40"/>
      <c r="W224" s="40"/>
      <c r="X224" s="40"/>
      <c r="Y224" s="40"/>
      <c r="Z224" s="40"/>
      <c r="AA224" s="41"/>
      <c r="AB224" s="41"/>
      <c r="AC224" s="41"/>
      <c r="AD224" s="41"/>
      <c r="AE224" s="40"/>
      <c r="AF224" s="42"/>
      <c r="AG224" s="5"/>
      <c r="AH224" s="5"/>
      <c r="AI224" s="40"/>
      <c r="AJ224" s="40"/>
      <c r="AK224" s="40"/>
      <c r="AL224" s="40"/>
      <c r="AM224" s="40"/>
      <c r="AO224" s="40"/>
    </row>
    <row r="225" spans="2:41" ht="12.75" customHeight="1" x14ac:dyDescent="0.25">
      <c r="B225" s="40"/>
      <c r="C225" s="40"/>
      <c r="D225" s="40"/>
      <c r="E225" s="40"/>
      <c r="F225" s="40"/>
      <c r="G225" s="40"/>
      <c r="H225" s="5"/>
      <c r="Q225" s="40"/>
      <c r="R225" s="40"/>
      <c r="S225" s="40"/>
      <c r="T225" s="40"/>
      <c r="U225" s="40"/>
      <c r="W225" s="40"/>
      <c r="X225" s="40"/>
      <c r="Y225" s="40"/>
      <c r="Z225" s="40"/>
      <c r="AA225" s="41"/>
      <c r="AB225" s="41"/>
      <c r="AC225" s="41"/>
      <c r="AD225" s="41"/>
      <c r="AE225" s="40"/>
      <c r="AF225" s="42"/>
      <c r="AG225" s="5"/>
      <c r="AH225" s="5"/>
      <c r="AI225" s="40"/>
      <c r="AJ225" s="40"/>
      <c r="AK225" s="40"/>
      <c r="AL225" s="40"/>
      <c r="AM225" s="40"/>
      <c r="AO225" s="40"/>
    </row>
    <row r="226" spans="2:41" ht="12.75" customHeight="1" x14ac:dyDescent="0.25">
      <c r="B226" s="40"/>
      <c r="C226" s="40"/>
      <c r="D226" s="40"/>
      <c r="E226" s="40"/>
      <c r="F226" s="40"/>
      <c r="G226" s="40"/>
      <c r="H226" s="5"/>
      <c r="Q226" s="40"/>
      <c r="R226" s="40"/>
      <c r="S226" s="40"/>
      <c r="T226" s="40"/>
      <c r="U226" s="40"/>
      <c r="W226" s="40"/>
      <c r="X226" s="40"/>
      <c r="Y226" s="40"/>
      <c r="Z226" s="40"/>
      <c r="AA226" s="41"/>
      <c r="AB226" s="41"/>
      <c r="AC226" s="41"/>
      <c r="AD226" s="41"/>
      <c r="AE226" s="40"/>
      <c r="AF226" s="42"/>
      <c r="AG226" s="5"/>
      <c r="AH226" s="5"/>
      <c r="AI226" s="40"/>
      <c r="AJ226" s="40"/>
      <c r="AK226" s="40"/>
      <c r="AL226" s="40"/>
      <c r="AM226" s="40"/>
      <c r="AO226" s="40"/>
    </row>
    <row r="227" spans="2:41" ht="12.75" customHeight="1" x14ac:dyDescent="0.25">
      <c r="B227" s="40"/>
      <c r="C227" s="40"/>
      <c r="D227" s="40"/>
      <c r="E227" s="40"/>
      <c r="F227" s="40"/>
      <c r="G227" s="40"/>
      <c r="H227" s="5"/>
      <c r="Q227" s="40"/>
      <c r="R227" s="40"/>
      <c r="S227" s="40"/>
      <c r="T227" s="40"/>
      <c r="U227" s="40"/>
      <c r="W227" s="40"/>
      <c r="X227" s="40"/>
      <c r="Y227" s="40"/>
      <c r="Z227" s="40"/>
      <c r="AA227" s="41"/>
      <c r="AB227" s="41"/>
      <c r="AC227" s="41"/>
      <c r="AD227" s="41"/>
      <c r="AE227" s="40"/>
      <c r="AF227" s="42"/>
      <c r="AG227" s="5"/>
      <c r="AH227" s="5"/>
      <c r="AI227" s="40"/>
      <c r="AJ227" s="40"/>
      <c r="AK227" s="40"/>
      <c r="AL227" s="40"/>
      <c r="AM227" s="40"/>
      <c r="AO227" s="40"/>
    </row>
    <row r="228" spans="2:41" ht="12.75" customHeight="1" x14ac:dyDescent="0.25">
      <c r="B228" s="40"/>
      <c r="C228" s="40"/>
      <c r="D228" s="40"/>
      <c r="E228" s="40"/>
      <c r="F228" s="40"/>
      <c r="G228" s="40"/>
      <c r="H228" s="5"/>
      <c r="Q228" s="40"/>
      <c r="R228" s="40"/>
      <c r="S228" s="40"/>
      <c r="T228" s="40"/>
      <c r="U228" s="40"/>
      <c r="W228" s="40"/>
      <c r="X228" s="40"/>
      <c r="Y228" s="40"/>
      <c r="Z228" s="40"/>
      <c r="AA228" s="41"/>
      <c r="AB228" s="41"/>
      <c r="AC228" s="41"/>
      <c r="AD228" s="41"/>
      <c r="AE228" s="40"/>
      <c r="AF228" s="42"/>
      <c r="AG228" s="5"/>
      <c r="AH228" s="5"/>
      <c r="AI228" s="40"/>
      <c r="AJ228" s="40"/>
      <c r="AK228" s="40"/>
      <c r="AL228" s="40"/>
      <c r="AM228" s="40"/>
      <c r="AO228" s="40"/>
    </row>
    <row r="229" spans="2:41" ht="12.75" customHeight="1" x14ac:dyDescent="0.25">
      <c r="B229" s="40"/>
      <c r="C229" s="40"/>
      <c r="D229" s="40"/>
      <c r="E229" s="40"/>
      <c r="F229" s="40"/>
      <c r="G229" s="40"/>
      <c r="H229" s="5"/>
      <c r="Q229" s="40"/>
      <c r="R229" s="40"/>
      <c r="S229" s="40"/>
      <c r="T229" s="40"/>
      <c r="U229" s="40"/>
      <c r="W229" s="40"/>
      <c r="X229" s="40"/>
      <c r="Y229" s="40"/>
      <c r="Z229" s="40"/>
      <c r="AA229" s="41"/>
      <c r="AB229" s="41"/>
      <c r="AC229" s="41"/>
      <c r="AD229" s="41"/>
      <c r="AE229" s="40"/>
      <c r="AF229" s="42"/>
      <c r="AG229" s="5"/>
      <c r="AH229" s="5"/>
      <c r="AI229" s="40"/>
      <c r="AJ229" s="40"/>
      <c r="AK229" s="40"/>
      <c r="AL229" s="40"/>
      <c r="AM229" s="40"/>
      <c r="AO229" s="40"/>
    </row>
    <row r="230" spans="2:41" ht="12.75" customHeight="1" x14ac:dyDescent="0.25">
      <c r="B230" s="40"/>
      <c r="C230" s="40"/>
      <c r="D230" s="40"/>
      <c r="E230" s="40"/>
      <c r="F230" s="40"/>
      <c r="G230" s="40"/>
      <c r="H230" s="5"/>
      <c r="Q230" s="40"/>
      <c r="R230" s="40"/>
      <c r="S230" s="40"/>
      <c r="T230" s="40"/>
      <c r="U230" s="40"/>
      <c r="W230" s="40"/>
      <c r="X230" s="40"/>
      <c r="Y230" s="40"/>
      <c r="Z230" s="40"/>
      <c r="AA230" s="41"/>
      <c r="AB230" s="41"/>
      <c r="AC230" s="41"/>
      <c r="AD230" s="41"/>
      <c r="AE230" s="40"/>
      <c r="AF230" s="42"/>
      <c r="AG230" s="5"/>
      <c r="AH230" s="5"/>
      <c r="AI230" s="40"/>
      <c r="AJ230" s="40"/>
      <c r="AK230" s="40"/>
      <c r="AL230" s="40"/>
      <c r="AM230" s="40"/>
      <c r="AO230" s="40"/>
    </row>
    <row r="231" spans="2:41" ht="12.75" customHeight="1" x14ac:dyDescent="0.25">
      <c r="B231" s="40"/>
      <c r="C231" s="40"/>
      <c r="D231" s="40"/>
      <c r="E231" s="40"/>
      <c r="F231" s="40"/>
      <c r="G231" s="40"/>
      <c r="H231" s="5"/>
      <c r="Q231" s="40"/>
      <c r="R231" s="40"/>
      <c r="S231" s="40"/>
      <c r="T231" s="40"/>
      <c r="U231" s="40"/>
      <c r="W231" s="40"/>
      <c r="X231" s="40"/>
      <c r="Y231" s="40"/>
      <c r="Z231" s="40"/>
      <c r="AA231" s="41"/>
      <c r="AB231" s="41"/>
      <c r="AC231" s="41"/>
      <c r="AD231" s="41"/>
      <c r="AE231" s="40"/>
      <c r="AF231" s="42"/>
      <c r="AG231" s="5"/>
      <c r="AH231" s="5"/>
      <c r="AI231" s="40"/>
      <c r="AJ231" s="40"/>
      <c r="AK231" s="40"/>
      <c r="AL231" s="40"/>
      <c r="AM231" s="40"/>
      <c r="AO231" s="40"/>
    </row>
    <row r="232" spans="2:41" ht="12.75" customHeight="1" x14ac:dyDescent="0.25">
      <c r="B232" s="40"/>
      <c r="C232" s="40"/>
      <c r="D232" s="40"/>
      <c r="E232" s="40"/>
      <c r="F232" s="40"/>
      <c r="G232" s="40"/>
      <c r="H232" s="5"/>
      <c r="Q232" s="40"/>
      <c r="R232" s="40"/>
      <c r="S232" s="40"/>
      <c r="T232" s="40"/>
      <c r="U232" s="40"/>
      <c r="W232" s="40"/>
      <c r="X232" s="40"/>
      <c r="Y232" s="40"/>
      <c r="Z232" s="40"/>
      <c r="AA232" s="41"/>
      <c r="AB232" s="41"/>
      <c r="AC232" s="41"/>
      <c r="AD232" s="41"/>
      <c r="AE232" s="40"/>
      <c r="AF232" s="42"/>
      <c r="AG232" s="5"/>
      <c r="AH232" s="5"/>
      <c r="AI232" s="40"/>
      <c r="AJ232" s="40"/>
      <c r="AK232" s="40"/>
      <c r="AL232" s="40"/>
      <c r="AM232" s="40"/>
      <c r="AO232" s="40"/>
    </row>
    <row r="233" spans="2:41" ht="12.75" customHeight="1" x14ac:dyDescent="0.25">
      <c r="B233" s="40"/>
      <c r="C233" s="40"/>
      <c r="D233" s="40"/>
      <c r="E233" s="40"/>
      <c r="F233" s="40"/>
      <c r="G233" s="40"/>
      <c r="H233" s="5"/>
      <c r="Q233" s="40"/>
      <c r="R233" s="40"/>
      <c r="S233" s="40"/>
      <c r="T233" s="40"/>
      <c r="U233" s="40"/>
      <c r="W233" s="40"/>
      <c r="X233" s="40"/>
      <c r="Y233" s="40"/>
      <c r="Z233" s="40"/>
      <c r="AA233" s="41"/>
      <c r="AB233" s="41"/>
      <c r="AC233" s="41"/>
      <c r="AD233" s="41"/>
      <c r="AE233" s="40"/>
      <c r="AF233" s="42"/>
      <c r="AG233" s="5"/>
      <c r="AH233" s="5"/>
      <c r="AI233" s="40"/>
      <c r="AJ233" s="40"/>
      <c r="AK233" s="40"/>
      <c r="AL233" s="40"/>
      <c r="AM233" s="40"/>
      <c r="AO233" s="40"/>
    </row>
    <row r="234" spans="2:41" ht="12.75" customHeight="1" x14ac:dyDescent="0.25">
      <c r="B234" s="40"/>
      <c r="C234" s="40"/>
      <c r="D234" s="40"/>
      <c r="E234" s="40"/>
      <c r="F234" s="40"/>
      <c r="G234" s="40"/>
      <c r="H234" s="5"/>
      <c r="Q234" s="40"/>
      <c r="R234" s="40"/>
      <c r="S234" s="40"/>
      <c r="T234" s="40"/>
      <c r="U234" s="40"/>
      <c r="W234" s="40"/>
      <c r="X234" s="40"/>
      <c r="Y234" s="40"/>
      <c r="Z234" s="40"/>
      <c r="AA234" s="41"/>
      <c r="AB234" s="41"/>
      <c r="AC234" s="41"/>
      <c r="AD234" s="41"/>
      <c r="AE234" s="40"/>
      <c r="AF234" s="42"/>
      <c r="AG234" s="5"/>
      <c r="AH234" s="5"/>
      <c r="AI234" s="40"/>
      <c r="AJ234" s="40"/>
      <c r="AK234" s="40"/>
      <c r="AL234" s="40"/>
      <c r="AM234" s="40"/>
      <c r="AO234" s="40"/>
    </row>
    <row r="235" spans="2:41" ht="12.75" customHeight="1" x14ac:dyDescent="0.25">
      <c r="B235" s="40"/>
      <c r="C235" s="40"/>
      <c r="D235" s="40"/>
      <c r="E235" s="40"/>
      <c r="F235" s="40"/>
      <c r="G235" s="40"/>
      <c r="H235" s="5"/>
      <c r="Q235" s="40"/>
      <c r="R235" s="40"/>
      <c r="S235" s="40"/>
      <c r="T235" s="40"/>
      <c r="U235" s="40"/>
      <c r="W235" s="40"/>
      <c r="X235" s="40"/>
      <c r="Y235" s="40"/>
      <c r="Z235" s="40"/>
      <c r="AA235" s="41"/>
      <c r="AB235" s="41"/>
      <c r="AC235" s="41"/>
      <c r="AD235" s="41"/>
      <c r="AE235" s="40"/>
      <c r="AF235" s="42"/>
      <c r="AG235" s="5"/>
      <c r="AH235" s="5"/>
      <c r="AI235" s="40"/>
      <c r="AJ235" s="40"/>
      <c r="AK235" s="40"/>
      <c r="AL235" s="40"/>
      <c r="AM235" s="40"/>
      <c r="AO235" s="40"/>
    </row>
    <row r="236" spans="2:41" ht="12.75" customHeight="1" x14ac:dyDescent="0.25">
      <c r="B236" s="40"/>
      <c r="C236" s="40"/>
      <c r="D236" s="40"/>
      <c r="E236" s="40"/>
      <c r="F236" s="40"/>
      <c r="G236" s="40"/>
      <c r="H236" s="5"/>
      <c r="Q236" s="40"/>
      <c r="R236" s="40"/>
      <c r="S236" s="40"/>
      <c r="T236" s="40"/>
      <c r="U236" s="40"/>
      <c r="W236" s="40"/>
      <c r="X236" s="40"/>
      <c r="Y236" s="40"/>
      <c r="Z236" s="40"/>
      <c r="AA236" s="41"/>
      <c r="AB236" s="41"/>
      <c r="AC236" s="41"/>
      <c r="AD236" s="41"/>
      <c r="AE236" s="40"/>
      <c r="AF236" s="42"/>
      <c r="AG236" s="5"/>
      <c r="AH236" s="5"/>
      <c r="AI236" s="40"/>
      <c r="AJ236" s="40"/>
      <c r="AK236" s="40"/>
      <c r="AL236" s="40"/>
      <c r="AM236" s="40"/>
      <c r="AO236" s="40"/>
    </row>
    <row r="237" spans="2:41" ht="12.75" customHeight="1" x14ac:dyDescent="0.25">
      <c r="B237" s="40"/>
      <c r="C237" s="40"/>
      <c r="D237" s="40"/>
      <c r="E237" s="40"/>
      <c r="F237" s="40"/>
      <c r="G237" s="40"/>
      <c r="H237" s="5"/>
      <c r="Q237" s="40"/>
      <c r="R237" s="40"/>
      <c r="S237" s="40"/>
      <c r="T237" s="40"/>
      <c r="U237" s="40"/>
      <c r="W237" s="40"/>
      <c r="X237" s="40"/>
      <c r="Y237" s="40"/>
      <c r="Z237" s="40"/>
      <c r="AA237" s="41"/>
      <c r="AB237" s="41"/>
      <c r="AC237" s="41"/>
      <c r="AD237" s="41"/>
      <c r="AE237" s="40"/>
      <c r="AF237" s="42"/>
      <c r="AG237" s="5"/>
      <c r="AH237" s="5"/>
      <c r="AI237" s="40"/>
      <c r="AJ237" s="40"/>
      <c r="AK237" s="40"/>
      <c r="AL237" s="40"/>
      <c r="AM237" s="40"/>
      <c r="AO237" s="40"/>
    </row>
    <row r="238" spans="2:41" ht="12.75" customHeight="1" x14ac:dyDescent="0.25">
      <c r="B238" s="40"/>
      <c r="C238" s="40"/>
      <c r="D238" s="40"/>
      <c r="E238" s="40"/>
      <c r="F238" s="40"/>
      <c r="G238" s="40"/>
      <c r="H238" s="5"/>
      <c r="Q238" s="40"/>
      <c r="R238" s="40"/>
      <c r="S238" s="40"/>
      <c r="T238" s="40"/>
      <c r="U238" s="40"/>
      <c r="W238" s="40"/>
      <c r="X238" s="40"/>
      <c r="Y238" s="40"/>
      <c r="Z238" s="40"/>
      <c r="AA238" s="41"/>
      <c r="AB238" s="41"/>
      <c r="AC238" s="41"/>
      <c r="AD238" s="41"/>
      <c r="AE238" s="40"/>
      <c r="AF238" s="42"/>
      <c r="AG238" s="5"/>
      <c r="AH238" s="5"/>
      <c r="AI238" s="40"/>
      <c r="AJ238" s="40"/>
      <c r="AK238" s="40"/>
      <c r="AL238" s="40"/>
      <c r="AM238" s="40"/>
      <c r="AO238" s="40"/>
    </row>
    <row r="239" spans="2:41" ht="12.75" customHeight="1" x14ac:dyDescent="0.25">
      <c r="B239" s="40"/>
      <c r="C239" s="40"/>
      <c r="D239" s="40"/>
      <c r="E239" s="40"/>
      <c r="F239" s="40"/>
      <c r="G239" s="40"/>
      <c r="H239" s="5"/>
      <c r="Q239" s="40"/>
      <c r="R239" s="40"/>
      <c r="S239" s="40"/>
      <c r="T239" s="40"/>
      <c r="U239" s="40"/>
      <c r="W239" s="40"/>
      <c r="X239" s="40"/>
      <c r="Y239" s="40"/>
      <c r="Z239" s="40"/>
      <c r="AA239" s="41"/>
      <c r="AB239" s="41"/>
      <c r="AC239" s="41"/>
      <c r="AD239" s="41"/>
      <c r="AE239" s="40"/>
      <c r="AF239" s="42"/>
      <c r="AG239" s="5"/>
      <c r="AH239" s="5"/>
      <c r="AI239" s="40"/>
      <c r="AJ239" s="40"/>
      <c r="AK239" s="40"/>
      <c r="AL239" s="40"/>
      <c r="AM239" s="40"/>
      <c r="AO239" s="40"/>
    </row>
    <row r="240" spans="2:41" ht="12.75" customHeight="1" x14ac:dyDescent="0.25">
      <c r="B240" s="40"/>
      <c r="C240" s="40"/>
      <c r="D240" s="40"/>
      <c r="E240" s="40"/>
      <c r="F240" s="40"/>
      <c r="G240" s="40"/>
      <c r="H240" s="5"/>
      <c r="Q240" s="40"/>
      <c r="R240" s="40"/>
      <c r="S240" s="40"/>
      <c r="T240" s="40"/>
      <c r="U240" s="40"/>
      <c r="W240" s="40"/>
      <c r="X240" s="40"/>
      <c r="Y240" s="40"/>
      <c r="Z240" s="40"/>
      <c r="AA240" s="41"/>
      <c r="AB240" s="41"/>
      <c r="AC240" s="41"/>
      <c r="AD240" s="41"/>
      <c r="AE240" s="40"/>
      <c r="AF240" s="42"/>
      <c r="AG240" s="5"/>
      <c r="AH240" s="5"/>
      <c r="AI240" s="40"/>
      <c r="AJ240" s="40"/>
      <c r="AK240" s="40"/>
      <c r="AL240" s="40"/>
      <c r="AM240" s="40"/>
      <c r="AO240" s="40"/>
    </row>
    <row r="241" spans="2:41" ht="12.75" customHeight="1" x14ac:dyDescent="0.25">
      <c r="B241" s="40"/>
      <c r="C241" s="40"/>
      <c r="D241" s="40"/>
      <c r="E241" s="40"/>
      <c r="F241" s="40"/>
      <c r="G241" s="40"/>
      <c r="H241" s="5"/>
      <c r="Q241" s="40"/>
      <c r="R241" s="40"/>
      <c r="S241" s="40"/>
      <c r="T241" s="40"/>
      <c r="U241" s="40"/>
      <c r="W241" s="40"/>
      <c r="X241" s="40"/>
      <c r="Y241" s="40"/>
      <c r="Z241" s="40"/>
      <c r="AA241" s="41"/>
      <c r="AB241" s="41"/>
      <c r="AC241" s="41"/>
      <c r="AD241" s="41"/>
      <c r="AE241" s="40"/>
      <c r="AF241" s="42"/>
      <c r="AG241" s="5"/>
      <c r="AH241" s="5"/>
      <c r="AI241" s="40"/>
      <c r="AJ241" s="40"/>
      <c r="AK241" s="40"/>
      <c r="AL241" s="40"/>
      <c r="AM241" s="40"/>
      <c r="AO241" s="40"/>
    </row>
    <row r="242" spans="2:41" ht="12.75" customHeight="1" x14ac:dyDescent="0.25">
      <c r="B242" s="40"/>
      <c r="C242" s="40"/>
      <c r="D242" s="40"/>
      <c r="E242" s="40"/>
      <c r="F242" s="40"/>
      <c r="G242" s="40"/>
      <c r="H242" s="5"/>
      <c r="Q242" s="40"/>
      <c r="R242" s="40"/>
      <c r="S242" s="40"/>
      <c r="T242" s="40"/>
      <c r="U242" s="40"/>
      <c r="W242" s="40"/>
      <c r="X242" s="40"/>
      <c r="Y242" s="40"/>
      <c r="Z242" s="40"/>
      <c r="AA242" s="41"/>
      <c r="AB242" s="41"/>
      <c r="AC242" s="41"/>
      <c r="AD242" s="41"/>
      <c r="AE242" s="40"/>
      <c r="AF242" s="42"/>
      <c r="AG242" s="5"/>
      <c r="AH242" s="5"/>
      <c r="AI242" s="40"/>
      <c r="AJ242" s="40"/>
      <c r="AK242" s="40"/>
      <c r="AL242" s="40"/>
      <c r="AM242" s="40"/>
      <c r="AO242" s="40"/>
    </row>
    <row r="243" spans="2:41" ht="12.75" customHeight="1" x14ac:dyDescent="0.25">
      <c r="B243" s="40"/>
      <c r="C243" s="40"/>
      <c r="D243" s="40"/>
      <c r="E243" s="40"/>
      <c r="F243" s="40"/>
      <c r="G243" s="40"/>
      <c r="H243" s="5"/>
      <c r="Q243" s="40"/>
      <c r="R243" s="40"/>
      <c r="S243" s="40"/>
      <c r="T243" s="40"/>
      <c r="U243" s="40"/>
      <c r="W243" s="40"/>
      <c r="X243" s="40"/>
      <c r="Y243" s="40"/>
      <c r="Z243" s="40"/>
      <c r="AA243" s="41"/>
      <c r="AB243" s="41"/>
      <c r="AC243" s="41"/>
      <c r="AD243" s="41"/>
      <c r="AE243" s="40"/>
      <c r="AF243" s="42"/>
      <c r="AG243" s="5"/>
      <c r="AH243" s="5"/>
      <c r="AI243" s="40"/>
      <c r="AJ243" s="40"/>
      <c r="AK243" s="40"/>
      <c r="AL243" s="40"/>
      <c r="AM243" s="40"/>
      <c r="AO243" s="40"/>
    </row>
    <row r="244" spans="2:41" ht="12.75" customHeight="1" x14ac:dyDescent="0.25">
      <c r="B244" s="40"/>
      <c r="C244" s="40"/>
      <c r="D244" s="40"/>
      <c r="E244" s="40"/>
      <c r="F244" s="40"/>
      <c r="G244" s="40"/>
      <c r="H244" s="5"/>
      <c r="Q244" s="40"/>
      <c r="R244" s="40"/>
      <c r="S244" s="40"/>
      <c r="T244" s="40"/>
      <c r="U244" s="40"/>
      <c r="W244" s="40"/>
      <c r="X244" s="40"/>
      <c r="Y244" s="40"/>
      <c r="Z244" s="40"/>
      <c r="AA244" s="41"/>
      <c r="AB244" s="41"/>
      <c r="AC244" s="41"/>
      <c r="AD244" s="41"/>
      <c r="AE244" s="40"/>
      <c r="AF244" s="42"/>
      <c r="AG244" s="5"/>
      <c r="AH244" s="5"/>
      <c r="AI244" s="40"/>
      <c r="AJ244" s="40"/>
      <c r="AK244" s="40"/>
      <c r="AL244" s="40"/>
      <c r="AM244" s="40"/>
      <c r="AO244" s="40"/>
    </row>
    <row r="245" spans="2:41" ht="12.75" customHeight="1" x14ac:dyDescent="0.25">
      <c r="B245" s="40"/>
      <c r="C245" s="40"/>
      <c r="D245" s="40"/>
      <c r="E245" s="40"/>
      <c r="F245" s="40"/>
      <c r="G245" s="40"/>
      <c r="H245" s="5"/>
      <c r="Q245" s="40"/>
      <c r="R245" s="40"/>
      <c r="S245" s="40"/>
      <c r="T245" s="40"/>
      <c r="U245" s="40"/>
      <c r="W245" s="40"/>
      <c r="X245" s="40"/>
      <c r="Y245" s="40"/>
      <c r="Z245" s="40"/>
      <c r="AA245" s="41"/>
      <c r="AB245" s="41"/>
      <c r="AC245" s="41"/>
      <c r="AD245" s="41"/>
      <c r="AE245" s="40"/>
      <c r="AF245" s="42"/>
      <c r="AG245" s="5"/>
      <c r="AH245" s="5"/>
      <c r="AI245" s="40"/>
      <c r="AJ245" s="40"/>
      <c r="AK245" s="40"/>
      <c r="AL245" s="40"/>
      <c r="AM245" s="40"/>
      <c r="AO245" s="40"/>
    </row>
    <row r="246" spans="2:41" ht="12.75" customHeight="1" x14ac:dyDescent="0.25">
      <c r="B246" s="40"/>
      <c r="C246" s="40"/>
      <c r="D246" s="40"/>
      <c r="E246" s="40"/>
      <c r="F246" s="40"/>
      <c r="G246" s="40"/>
      <c r="H246" s="5"/>
      <c r="Q246" s="40"/>
      <c r="R246" s="40"/>
      <c r="S246" s="40"/>
      <c r="T246" s="40"/>
      <c r="U246" s="40"/>
      <c r="W246" s="40"/>
      <c r="X246" s="40"/>
      <c r="Y246" s="40"/>
      <c r="Z246" s="40"/>
      <c r="AA246" s="41"/>
      <c r="AB246" s="41"/>
      <c r="AC246" s="41"/>
      <c r="AD246" s="41"/>
      <c r="AE246" s="40"/>
      <c r="AF246" s="42"/>
      <c r="AG246" s="5"/>
      <c r="AH246" s="5"/>
      <c r="AI246" s="40"/>
      <c r="AJ246" s="40"/>
      <c r="AK246" s="40"/>
      <c r="AL246" s="40"/>
      <c r="AM246" s="40"/>
      <c r="AO246" s="40"/>
    </row>
    <row r="247" spans="2:41" ht="12.75" customHeight="1" x14ac:dyDescent="0.25">
      <c r="B247" s="40"/>
      <c r="C247" s="40"/>
      <c r="D247" s="40"/>
      <c r="E247" s="40"/>
      <c r="F247" s="40"/>
      <c r="G247" s="40"/>
      <c r="H247" s="5"/>
      <c r="Q247" s="40"/>
      <c r="R247" s="40"/>
      <c r="S247" s="40"/>
      <c r="T247" s="40"/>
      <c r="U247" s="40"/>
      <c r="W247" s="40"/>
      <c r="X247" s="40"/>
      <c r="Y247" s="40"/>
      <c r="Z247" s="40"/>
      <c r="AA247" s="41"/>
      <c r="AB247" s="41"/>
      <c r="AC247" s="41"/>
      <c r="AD247" s="41"/>
      <c r="AE247" s="40"/>
      <c r="AF247" s="42"/>
      <c r="AG247" s="5"/>
      <c r="AH247" s="5"/>
      <c r="AI247" s="40"/>
      <c r="AJ247" s="40"/>
      <c r="AK247" s="40"/>
      <c r="AL247" s="40"/>
      <c r="AM247" s="40"/>
      <c r="AO247" s="40"/>
    </row>
    <row r="248" spans="2:41" ht="12.75" customHeight="1" x14ac:dyDescent="0.25">
      <c r="B248" s="40"/>
      <c r="C248" s="40"/>
      <c r="D248" s="40"/>
      <c r="E248" s="40"/>
      <c r="F248" s="40"/>
      <c r="G248" s="40"/>
      <c r="H248" s="5"/>
      <c r="Q248" s="40"/>
      <c r="R248" s="40"/>
      <c r="S248" s="40"/>
      <c r="T248" s="40"/>
      <c r="U248" s="40"/>
      <c r="W248" s="40"/>
      <c r="X248" s="40"/>
      <c r="Y248" s="40"/>
      <c r="Z248" s="40"/>
      <c r="AA248" s="41"/>
      <c r="AB248" s="41"/>
      <c r="AC248" s="41"/>
      <c r="AD248" s="41"/>
      <c r="AE248" s="40"/>
      <c r="AF248" s="42"/>
      <c r="AG248" s="5"/>
      <c r="AH248" s="5"/>
      <c r="AI248" s="40"/>
      <c r="AJ248" s="40"/>
      <c r="AK248" s="40"/>
      <c r="AL248" s="40"/>
      <c r="AM248" s="40"/>
      <c r="AO248" s="40"/>
    </row>
    <row r="249" spans="2:41" ht="12.75" customHeight="1" x14ac:dyDescent="0.25">
      <c r="B249" s="40"/>
      <c r="C249" s="40"/>
      <c r="D249" s="40"/>
      <c r="E249" s="40"/>
      <c r="F249" s="40"/>
      <c r="G249" s="40"/>
      <c r="H249" s="5"/>
      <c r="Q249" s="40"/>
      <c r="R249" s="40"/>
      <c r="S249" s="40"/>
      <c r="T249" s="40"/>
      <c r="U249" s="40"/>
      <c r="W249" s="40"/>
      <c r="X249" s="40"/>
      <c r="Y249" s="40"/>
      <c r="Z249" s="40"/>
      <c r="AA249" s="41"/>
      <c r="AB249" s="41"/>
      <c r="AC249" s="41"/>
      <c r="AD249" s="41"/>
      <c r="AE249" s="40"/>
      <c r="AF249" s="42"/>
      <c r="AG249" s="5"/>
      <c r="AH249" s="5"/>
      <c r="AI249" s="40"/>
      <c r="AJ249" s="40"/>
      <c r="AK249" s="40"/>
      <c r="AL249" s="40"/>
      <c r="AM249" s="40"/>
      <c r="AO249" s="40"/>
    </row>
    <row r="250" spans="2:41" ht="12.75" customHeight="1" x14ac:dyDescent="0.25">
      <c r="B250" s="40"/>
      <c r="C250" s="40"/>
      <c r="D250" s="40"/>
      <c r="E250" s="40"/>
      <c r="F250" s="40"/>
      <c r="G250" s="40"/>
      <c r="H250" s="5"/>
      <c r="Q250" s="40"/>
      <c r="R250" s="40"/>
      <c r="S250" s="40"/>
      <c r="T250" s="40"/>
      <c r="U250" s="40"/>
      <c r="W250" s="40"/>
      <c r="X250" s="40"/>
      <c r="Y250" s="40"/>
      <c r="Z250" s="40"/>
      <c r="AA250" s="41"/>
      <c r="AB250" s="41"/>
      <c r="AC250" s="41"/>
      <c r="AD250" s="41"/>
      <c r="AE250" s="40"/>
      <c r="AF250" s="42"/>
      <c r="AG250" s="5"/>
      <c r="AH250" s="5"/>
      <c r="AI250" s="40"/>
      <c r="AJ250" s="40"/>
      <c r="AK250" s="40"/>
      <c r="AL250" s="40"/>
      <c r="AM250" s="40"/>
      <c r="AO250" s="40"/>
    </row>
    <row r="251" spans="2:41" ht="12.75" customHeight="1" x14ac:dyDescent="0.25">
      <c r="B251" s="40"/>
      <c r="C251" s="40"/>
      <c r="D251" s="40"/>
      <c r="E251" s="40"/>
      <c r="F251" s="40"/>
      <c r="G251" s="40"/>
      <c r="H251" s="5"/>
      <c r="Q251" s="40"/>
      <c r="R251" s="40"/>
      <c r="S251" s="40"/>
      <c r="T251" s="40"/>
      <c r="U251" s="40"/>
      <c r="W251" s="40"/>
      <c r="X251" s="40"/>
      <c r="Y251" s="40"/>
      <c r="Z251" s="40"/>
      <c r="AA251" s="41"/>
      <c r="AB251" s="41"/>
      <c r="AC251" s="41"/>
      <c r="AD251" s="41"/>
      <c r="AE251" s="40"/>
      <c r="AF251" s="42"/>
      <c r="AG251" s="5"/>
      <c r="AH251" s="5"/>
      <c r="AI251" s="40"/>
      <c r="AJ251" s="40"/>
      <c r="AK251" s="40"/>
      <c r="AL251" s="40"/>
      <c r="AM251" s="40"/>
      <c r="AO251" s="40"/>
    </row>
    <row r="252" spans="2:41" ht="12.75" customHeight="1" x14ac:dyDescent="0.25">
      <c r="B252" s="40"/>
      <c r="C252" s="40"/>
      <c r="D252" s="40"/>
      <c r="E252" s="40"/>
      <c r="F252" s="40"/>
      <c r="G252" s="40"/>
      <c r="H252" s="5"/>
      <c r="Q252" s="40"/>
      <c r="R252" s="40"/>
      <c r="S252" s="40"/>
      <c r="T252" s="40"/>
      <c r="U252" s="40"/>
      <c r="W252" s="40"/>
      <c r="X252" s="40"/>
      <c r="Y252" s="40"/>
      <c r="Z252" s="40"/>
      <c r="AA252" s="41"/>
      <c r="AB252" s="41"/>
      <c r="AC252" s="41"/>
      <c r="AD252" s="41"/>
      <c r="AE252" s="40"/>
      <c r="AF252" s="42"/>
      <c r="AG252" s="5"/>
      <c r="AH252" s="5"/>
      <c r="AI252" s="40"/>
      <c r="AJ252" s="40"/>
      <c r="AK252" s="40"/>
      <c r="AL252" s="40"/>
      <c r="AM252" s="40"/>
      <c r="AO252" s="40"/>
    </row>
    <row r="253" spans="2:41" ht="12.75" customHeight="1" x14ac:dyDescent="0.25">
      <c r="B253" s="40"/>
      <c r="C253" s="40"/>
      <c r="D253" s="40"/>
      <c r="E253" s="40"/>
      <c r="F253" s="40"/>
      <c r="G253" s="40"/>
      <c r="H253" s="5"/>
      <c r="Q253" s="40"/>
      <c r="R253" s="40"/>
      <c r="S253" s="40"/>
      <c r="T253" s="40"/>
      <c r="U253" s="40"/>
      <c r="W253" s="40"/>
      <c r="X253" s="40"/>
      <c r="Y253" s="40"/>
      <c r="Z253" s="40"/>
      <c r="AA253" s="41"/>
      <c r="AB253" s="41"/>
      <c r="AC253" s="41"/>
      <c r="AD253" s="41"/>
      <c r="AE253" s="40"/>
      <c r="AF253" s="42"/>
      <c r="AG253" s="5"/>
      <c r="AH253" s="5"/>
      <c r="AI253" s="40"/>
      <c r="AJ253" s="40"/>
      <c r="AK253" s="40"/>
      <c r="AL253" s="40"/>
      <c r="AM253" s="40"/>
      <c r="AO253" s="40"/>
    </row>
    <row r="254" spans="2:41" ht="12.75" customHeight="1" x14ac:dyDescent="0.25">
      <c r="B254" s="40"/>
      <c r="C254" s="40"/>
      <c r="D254" s="40"/>
      <c r="E254" s="40"/>
      <c r="F254" s="40"/>
      <c r="G254" s="40"/>
      <c r="H254" s="5"/>
      <c r="Q254" s="40"/>
      <c r="R254" s="40"/>
      <c r="S254" s="40"/>
      <c r="T254" s="40"/>
      <c r="U254" s="40"/>
      <c r="W254" s="40"/>
      <c r="X254" s="40"/>
      <c r="Y254" s="40"/>
      <c r="Z254" s="40"/>
      <c r="AA254" s="41"/>
      <c r="AB254" s="41"/>
      <c r="AC254" s="41"/>
      <c r="AD254" s="41"/>
      <c r="AE254" s="40"/>
      <c r="AF254" s="42"/>
      <c r="AG254" s="5"/>
      <c r="AH254" s="5"/>
      <c r="AI254" s="40"/>
      <c r="AJ254" s="40"/>
      <c r="AK254" s="40"/>
      <c r="AL254" s="40"/>
      <c r="AM254" s="40"/>
      <c r="AO254" s="40"/>
    </row>
    <row r="255" spans="2:41" ht="12.75" customHeight="1" x14ac:dyDescent="0.25">
      <c r="B255" s="40"/>
      <c r="C255" s="40"/>
      <c r="D255" s="40"/>
      <c r="E255" s="40"/>
      <c r="F255" s="40"/>
      <c r="G255" s="40"/>
      <c r="H255" s="5"/>
      <c r="Q255" s="40"/>
      <c r="R255" s="40"/>
      <c r="S255" s="40"/>
      <c r="T255" s="40"/>
      <c r="U255" s="40"/>
      <c r="W255" s="40"/>
      <c r="X255" s="40"/>
      <c r="Y255" s="40"/>
      <c r="Z255" s="40"/>
      <c r="AA255" s="41"/>
      <c r="AB255" s="41"/>
      <c r="AC255" s="41"/>
      <c r="AD255" s="41"/>
      <c r="AE255" s="40"/>
      <c r="AF255" s="42"/>
      <c r="AG255" s="5"/>
      <c r="AH255" s="5"/>
      <c r="AI255" s="40"/>
      <c r="AJ255" s="40"/>
      <c r="AK255" s="40"/>
      <c r="AL255" s="40"/>
      <c r="AM255" s="40"/>
      <c r="AO255" s="40"/>
    </row>
    <row r="256" spans="2:41" ht="12.75" customHeight="1" x14ac:dyDescent="0.25">
      <c r="B256" s="40"/>
      <c r="C256" s="40"/>
      <c r="D256" s="40"/>
      <c r="E256" s="40"/>
      <c r="F256" s="40"/>
      <c r="G256" s="40"/>
      <c r="H256" s="5"/>
      <c r="Q256" s="40"/>
      <c r="R256" s="40"/>
      <c r="S256" s="40"/>
      <c r="T256" s="40"/>
      <c r="U256" s="40"/>
      <c r="W256" s="40"/>
      <c r="X256" s="40"/>
      <c r="Y256" s="40"/>
      <c r="Z256" s="40"/>
      <c r="AA256" s="41"/>
      <c r="AB256" s="41"/>
      <c r="AC256" s="41"/>
      <c r="AD256" s="41"/>
      <c r="AE256" s="40"/>
      <c r="AF256" s="42"/>
      <c r="AG256" s="5"/>
      <c r="AH256" s="5"/>
      <c r="AI256" s="40"/>
      <c r="AJ256" s="40"/>
      <c r="AK256" s="40"/>
      <c r="AL256" s="40"/>
      <c r="AM256" s="40"/>
      <c r="AO256" s="40"/>
    </row>
    <row r="257" spans="2:41" ht="12.75" customHeight="1" x14ac:dyDescent="0.25">
      <c r="B257" s="40"/>
      <c r="C257" s="40"/>
      <c r="D257" s="40"/>
      <c r="E257" s="40"/>
      <c r="F257" s="40"/>
      <c r="G257" s="40"/>
      <c r="H257" s="5"/>
      <c r="Q257" s="40"/>
      <c r="R257" s="40"/>
      <c r="S257" s="40"/>
      <c r="T257" s="40"/>
      <c r="U257" s="40"/>
      <c r="W257" s="40"/>
      <c r="X257" s="40"/>
      <c r="Y257" s="40"/>
      <c r="Z257" s="40"/>
      <c r="AA257" s="41"/>
      <c r="AB257" s="41"/>
      <c r="AC257" s="41"/>
      <c r="AD257" s="41"/>
      <c r="AE257" s="40"/>
      <c r="AF257" s="42"/>
      <c r="AG257" s="5"/>
      <c r="AH257" s="5"/>
      <c r="AI257" s="40"/>
      <c r="AJ257" s="40"/>
      <c r="AK257" s="40"/>
      <c r="AL257" s="40"/>
      <c r="AM257" s="40"/>
      <c r="AO257" s="40"/>
    </row>
    <row r="258" spans="2:41" ht="12.75" customHeight="1" x14ac:dyDescent="0.25">
      <c r="B258" s="40"/>
      <c r="C258" s="40"/>
      <c r="D258" s="40"/>
      <c r="E258" s="40"/>
      <c r="F258" s="40"/>
      <c r="G258" s="40"/>
      <c r="H258" s="5"/>
      <c r="Q258" s="40"/>
      <c r="R258" s="40"/>
      <c r="S258" s="40"/>
      <c r="T258" s="40"/>
      <c r="U258" s="40"/>
      <c r="W258" s="40"/>
      <c r="X258" s="40"/>
      <c r="Y258" s="40"/>
      <c r="Z258" s="40"/>
      <c r="AA258" s="41"/>
      <c r="AB258" s="41"/>
      <c r="AC258" s="41"/>
      <c r="AD258" s="41"/>
      <c r="AE258" s="40"/>
      <c r="AF258" s="42"/>
      <c r="AG258" s="5"/>
      <c r="AH258" s="5"/>
      <c r="AI258" s="40"/>
      <c r="AJ258" s="40"/>
      <c r="AK258" s="40"/>
      <c r="AL258" s="40"/>
      <c r="AM258" s="40"/>
      <c r="AO258" s="40"/>
    </row>
    <row r="259" spans="2:41" ht="12.75" customHeight="1" x14ac:dyDescent="0.25">
      <c r="B259" s="40"/>
      <c r="C259" s="40"/>
      <c r="D259" s="40"/>
      <c r="E259" s="40"/>
      <c r="F259" s="40"/>
      <c r="G259" s="40"/>
      <c r="H259" s="5"/>
      <c r="Q259" s="40"/>
      <c r="R259" s="40"/>
      <c r="S259" s="40"/>
      <c r="T259" s="40"/>
      <c r="U259" s="40"/>
      <c r="W259" s="40"/>
      <c r="X259" s="40"/>
      <c r="Y259" s="40"/>
      <c r="Z259" s="40"/>
      <c r="AA259" s="41"/>
      <c r="AB259" s="41"/>
      <c r="AC259" s="41"/>
      <c r="AD259" s="41"/>
      <c r="AE259" s="40"/>
      <c r="AF259" s="42"/>
      <c r="AG259" s="5"/>
      <c r="AH259" s="5"/>
      <c r="AI259" s="40"/>
      <c r="AJ259" s="40"/>
      <c r="AK259" s="40"/>
      <c r="AL259" s="40"/>
      <c r="AM259" s="40"/>
      <c r="AO259" s="40"/>
    </row>
    <row r="260" spans="2:41" ht="12.75" customHeight="1" x14ac:dyDescent="0.25">
      <c r="B260" s="40"/>
      <c r="C260" s="40"/>
      <c r="D260" s="40"/>
      <c r="E260" s="40"/>
      <c r="F260" s="40"/>
      <c r="G260" s="40"/>
      <c r="H260" s="5"/>
      <c r="Q260" s="40"/>
      <c r="R260" s="40"/>
      <c r="S260" s="40"/>
      <c r="T260" s="40"/>
      <c r="U260" s="40"/>
      <c r="W260" s="40"/>
      <c r="X260" s="40"/>
      <c r="Y260" s="40"/>
      <c r="Z260" s="40"/>
      <c r="AA260" s="41"/>
      <c r="AB260" s="41"/>
      <c r="AC260" s="41"/>
      <c r="AD260" s="41"/>
      <c r="AE260" s="40"/>
      <c r="AF260" s="42"/>
      <c r="AG260" s="5"/>
      <c r="AH260" s="5"/>
      <c r="AI260" s="40"/>
      <c r="AJ260" s="40"/>
      <c r="AK260" s="40"/>
      <c r="AL260" s="40"/>
      <c r="AM260" s="40"/>
      <c r="AO260" s="40"/>
    </row>
    <row r="261" spans="2:41" ht="12.75" customHeight="1" x14ac:dyDescent="0.25">
      <c r="B261" s="40"/>
      <c r="C261" s="40"/>
      <c r="D261" s="40"/>
      <c r="E261" s="40"/>
      <c r="F261" s="40"/>
      <c r="G261" s="40"/>
      <c r="H261" s="5"/>
      <c r="Q261" s="40"/>
      <c r="R261" s="40"/>
      <c r="S261" s="40"/>
      <c r="T261" s="40"/>
      <c r="U261" s="40"/>
      <c r="W261" s="40"/>
      <c r="X261" s="40"/>
      <c r="Y261" s="40"/>
      <c r="Z261" s="40"/>
      <c r="AA261" s="41"/>
      <c r="AB261" s="41"/>
      <c r="AC261" s="41"/>
      <c r="AD261" s="41"/>
      <c r="AE261" s="40"/>
      <c r="AF261" s="42"/>
      <c r="AG261" s="5"/>
      <c r="AH261" s="5"/>
      <c r="AI261" s="40"/>
      <c r="AJ261" s="40"/>
      <c r="AK261" s="40"/>
      <c r="AL261" s="40"/>
      <c r="AM261" s="40"/>
      <c r="AO261" s="40"/>
    </row>
    <row r="262" spans="2:41" ht="12.75" customHeight="1" x14ac:dyDescent="0.25">
      <c r="B262" s="40"/>
      <c r="C262" s="40"/>
      <c r="D262" s="40"/>
      <c r="E262" s="40"/>
      <c r="F262" s="40"/>
      <c r="G262" s="40"/>
      <c r="H262" s="5"/>
      <c r="Q262" s="40"/>
      <c r="R262" s="40"/>
      <c r="S262" s="40"/>
      <c r="T262" s="40"/>
      <c r="U262" s="40"/>
      <c r="W262" s="40"/>
      <c r="X262" s="40"/>
      <c r="Y262" s="40"/>
      <c r="Z262" s="40"/>
      <c r="AA262" s="41"/>
      <c r="AB262" s="41"/>
      <c r="AC262" s="41"/>
      <c r="AD262" s="41"/>
      <c r="AE262" s="40"/>
      <c r="AF262" s="42"/>
      <c r="AG262" s="5"/>
      <c r="AH262" s="5"/>
      <c r="AI262" s="40"/>
      <c r="AJ262" s="40"/>
      <c r="AK262" s="40"/>
      <c r="AL262" s="40"/>
      <c r="AM262" s="40"/>
      <c r="AO262" s="40"/>
    </row>
    <row r="263" spans="2:41" ht="12.75" customHeight="1" x14ac:dyDescent="0.25">
      <c r="B263" s="40"/>
      <c r="C263" s="40"/>
      <c r="D263" s="40"/>
      <c r="E263" s="40"/>
      <c r="F263" s="40"/>
      <c r="G263" s="40"/>
      <c r="H263" s="5"/>
      <c r="Q263" s="40"/>
      <c r="R263" s="40"/>
      <c r="S263" s="40"/>
      <c r="T263" s="40"/>
      <c r="U263" s="40"/>
      <c r="W263" s="40"/>
      <c r="X263" s="40"/>
      <c r="Y263" s="40"/>
      <c r="Z263" s="40"/>
      <c r="AA263" s="41"/>
      <c r="AB263" s="41"/>
      <c r="AC263" s="41"/>
      <c r="AD263" s="41"/>
      <c r="AE263" s="40"/>
      <c r="AF263" s="42"/>
      <c r="AG263" s="5"/>
      <c r="AH263" s="5"/>
      <c r="AI263" s="40"/>
      <c r="AJ263" s="40"/>
      <c r="AK263" s="40"/>
      <c r="AL263" s="40"/>
      <c r="AM263" s="40"/>
      <c r="AO263" s="40"/>
    </row>
    <row r="264" spans="2:41" ht="12.75" customHeight="1" x14ac:dyDescent="0.25">
      <c r="B264" s="40"/>
      <c r="C264" s="40"/>
      <c r="D264" s="40"/>
      <c r="E264" s="40"/>
      <c r="F264" s="40"/>
      <c r="G264" s="40"/>
      <c r="H264" s="5"/>
      <c r="Q264" s="40"/>
      <c r="R264" s="40"/>
      <c r="S264" s="40"/>
      <c r="T264" s="40"/>
      <c r="U264" s="40"/>
      <c r="W264" s="40"/>
      <c r="X264" s="40"/>
      <c r="Y264" s="40"/>
      <c r="Z264" s="40"/>
      <c r="AA264" s="41"/>
      <c r="AB264" s="41"/>
      <c r="AC264" s="41"/>
      <c r="AD264" s="41"/>
      <c r="AE264" s="40"/>
      <c r="AF264" s="42"/>
      <c r="AG264" s="5"/>
      <c r="AH264" s="5"/>
      <c r="AI264" s="40"/>
      <c r="AJ264" s="40"/>
      <c r="AK264" s="40"/>
      <c r="AL264" s="40"/>
      <c r="AM264" s="40"/>
      <c r="AO264" s="40"/>
    </row>
    <row r="265" spans="2:41" ht="12.75" customHeight="1" x14ac:dyDescent="0.25">
      <c r="B265" s="40"/>
      <c r="C265" s="40"/>
      <c r="D265" s="40"/>
      <c r="E265" s="40"/>
      <c r="F265" s="40"/>
      <c r="G265" s="40"/>
      <c r="H265" s="5"/>
      <c r="Q265" s="40"/>
      <c r="R265" s="40"/>
      <c r="S265" s="40"/>
      <c r="T265" s="40"/>
      <c r="U265" s="40"/>
      <c r="W265" s="40"/>
      <c r="X265" s="40"/>
      <c r="Y265" s="40"/>
      <c r="Z265" s="40"/>
      <c r="AA265" s="41"/>
      <c r="AB265" s="41"/>
      <c r="AC265" s="41"/>
      <c r="AD265" s="41"/>
      <c r="AE265" s="40"/>
      <c r="AF265" s="42"/>
      <c r="AG265" s="5"/>
      <c r="AH265" s="5"/>
      <c r="AI265" s="40"/>
      <c r="AJ265" s="40"/>
      <c r="AK265" s="40"/>
      <c r="AL265" s="40"/>
      <c r="AM265" s="40"/>
      <c r="AO265" s="40"/>
    </row>
    <row r="266" spans="2:41" ht="12.75" customHeight="1" x14ac:dyDescent="0.25">
      <c r="B266" s="40"/>
      <c r="C266" s="40"/>
      <c r="D266" s="40"/>
      <c r="E266" s="40"/>
      <c r="F266" s="40"/>
      <c r="G266" s="40"/>
      <c r="H266" s="5"/>
      <c r="Q266" s="40"/>
      <c r="R266" s="40"/>
      <c r="S266" s="40"/>
      <c r="T266" s="40"/>
      <c r="U266" s="40"/>
      <c r="W266" s="40"/>
      <c r="X266" s="40"/>
      <c r="Y266" s="40"/>
      <c r="Z266" s="40"/>
      <c r="AA266" s="41"/>
      <c r="AB266" s="41"/>
      <c r="AC266" s="41"/>
      <c r="AD266" s="41"/>
      <c r="AE266" s="40"/>
      <c r="AF266" s="42"/>
      <c r="AG266" s="5"/>
      <c r="AH266" s="5"/>
      <c r="AI266" s="40"/>
      <c r="AJ266" s="40"/>
      <c r="AK266" s="40"/>
      <c r="AL266" s="40"/>
      <c r="AM266" s="40"/>
      <c r="AO266" s="40"/>
    </row>
    <row r="267" spans="2:41" ht="12.75" customHeight="1" x14ac:dyDescent="0.25">
      <c r="B267" s="40"/>
      <c r="C267" s="40"/>
      <c r="D267" s="40"/>
      <c r="E267" s="40"/>
      <c r="F267" s="40"/>
      <c r="G267" s="40"/>
      <c r="H267" s="5"/>
      <c r="Q267" s="40"/>
      <c r="R267" s="40"/>
      <c r="S267" s="40"/>
      <c r="T267" s="40"/>
      <c r="U267" s="40"/>
      <c r="W267" s="40"/>
      <c r="X267" s="40"/>
      <c r="Y267" s="40"/>
      <c r="Z267" s="40"/>
      <c r="AA267" s="41"/>
      <c r="AB267" s="41"/>
      <c r="AC267" s="41"/>
      <c r="AD267" s="41"/>
      <c r="AE267" s="40"/>
      <c r="AF267" s="42"/>
      <c r="AG267" s="5"/>
      <c r="AH267" s="5"/>
      <c r="AI267" s="40"/>
      <c r="AJ267" s="40"/>
      <c r="AK267" s="40"/>
      <c r="AL267" s="40"/>
      <c r="AM267" s="40"/>
      <c r="AO267" s="40"/>
    </row>
    <row r="268" spans="2:41" ht="12.75" customHeight="1" x14ac:dyDescent="0.25">
      <c r="B268" s="40"/>
      <c r="C268" s="40"/>
      <c r="D268" s="40"/>
      <c r="E268" s="40"/>
      <c r="F268" s="40"/>
      <c r="G268" s="40"/>
      <c r="H268" s="5"/>
      <c r="Q268" s="40"/>
      <c r="R268" s="40"/>
      <c r="S268" s="40"/>
      <c r="T268" s="40"/>
      <c r="U268" s="40"/>
      <c r="W268" s="40"/>
      <c r="X268" s="40"/>
      <c r="Y268" s="40"/>
      <c r="Z268" s="40"/>
      <c r="AA268" s="41"/>
      <c r="AB268" s="41"/>
      <c r="AC268" s="41"/>
      <c r="AD268" s="41"/>
      <c r="AE268" s="40"/>
      <c r="AF268" s="42"/>
      <c r="AG268" s="5"/>
      <c r="AH268" s="5"/>
      <c r="AI268" s="40"/>
      <c r="AJ268" s="40"/>
      <c r="AK268" s="40"/>
      <c r="AL268" s="40"/>
      <c r="AM268" s="40"/>
      <c r="AO268" s="40"/>
    </row>
    <row r="269" spans="2:41" ht="12.75" customHeight="1" x14ac:dyDescent="0.25">
      <c r="B269" s="40"/>
      <c r="C269" s="40"/>
      <c r="D269" s="40"/>
      <c r="E269" s="40"/>
      <c r="F269" s="40"/>
      <c r="G269" s="40"/>
      <c r="H269" s="5"/>
      <c r="Q269" s="40"/>
      <c r="R269" s="40"/>
      <c r="S269" s="40"/>
      <c r="T269" s="40"/>
      <c r="U269" s="40"/>
      <c r="W269" s="40"/>
      <c r="X269" s="40"/>
      <c r="Y269" s="40"/>
      <c r="Z269" s="40"/>
      <c r="AA269" s="41"/>
      <c r="AB269" s="41"/>
      <c r="AC269" s="41"/>
      <c r="AD269" s="41"/>
      <c r="AE269" s="40"/>
      <c r="AF269" s="42"/>
      <c r="AG269" s="5"/>
      <c r="AH269" s="5"/>
      <c r="AI269" s="40"/>
      <c r="AJ269" s="40"/>
      <c r="AK269" s="40"/>
      <c r="AL269" s="40"/>
      <c r="AM269" s="40"/>
      <c r="AO269" s="40"/>
    </row>
    <row r="270" spans="2:41" ht="12.75" customHeight="1" x14ac:dyDescent="0.25">
      <c r="B270" s="40"/>
      <c r="C270" s="40"/>
      <c r="D270" s="40"/>
      <c r="E270" s="40"/>
      <c r="F270" s="40"/>
      <c r="G270" s="40"/>
      <c r="H270" s="5"/>
      <c r="Q270" s="40"/>
      <c r="R270" s="40"/>
      <c r="S270" s="40"/>
      <c r="T270" s="40"/>
      <c r="U270" s="40"/>
      <c r="W270" s="40"/>
      <c r="X270" s="40"/>
      <c r="Y270" s="40"/>
      <c r="Z270" s="40"/>
      <c r="AA270" s="41"/>
      <c r="AB270" s="41"/>
      <c r="AC270" s="41"/>
      <c r="AD270" s="41"/>
      <c r="AE270" s="40"/>
      <c r="AF270" s="42"/>
      <c r="AG270" s="5"/>
      <c r="AH270" s="5"/>
      <c r="AI270" s="40"/>
      <c r="AJ270" s="40"/>
      <c r="AK270" s="40"/>
      <c r="AL270" s="40"/>
      <c r="AM270" s="40"/>
      <c r="AO270" s="40"/>
    </row>
    <row r="271" spans="2:41" ht="12.75" customHeight="1" x14ac:dyDescent="0.25">
      <c r="B271" s="40"/>
      <c r="C271" s="40"/>
      <c r="D271" s="40"/>
      <c r="E271" s="40"/>
      <c r="F271" s="40"/>
      <c r="G271" s="40"/>
      <c r="H271" s="5"/>
      <c r="Q271" s="40"/>
      <c r="R271" s="40"/>
      <c r="S271" s="40"/>
      <c r="T271" s="40"/>
      <c r="U271" s="40"/>
      <c r="W271" s="40"/>
      <c r="X271" s="40"/>
      <c r="Y271" s="40"/>
      <c r="Z271" s="40"/>
      <c r="AA271" s="41"/>
      <c r="AB271" s="41"/>
      <c r="AC271" s="41"/>
      <c r="AD271" s="41"/>
      <c r="AE271" s="40"/>
      <c r="AF271" s="42"/>
      <c r="AG271" s="5"/>
      <c r="AH271" s="5"/>
      <c r="AI271" s="40"/>
      <c r="AJ271" s="40"/>
      <c r="AK271" s="40"/>
      <c r="AL271" s="40"/>
      <c r="AM271" s="40"/>
      <c r="AO271" s="40"/>
    </row>
    <row r="272" spans="2:41" ht="12.75" customHeight="1" x14ac:dyDescent="0.25">
      <c r="B272" s="40"/>
      <c r="C272" s="40"/>
      <c r="D272" s="40"/>
      <c r="E272" s="40"/>
      <c r="F272" s="40"/>
      <c r="G272" s="40"/>
      <c r="H272" s="5"/>
      <c r="Q272" s="40"/>
      <c r="R272" s="40"/>
      <c r="S272" s="40"/>
      <c r="T272" s="40"/>
      <c r="U272" s="40"/>
      <c r="W272" s="40"/>
      <c r="X272" s="40"/>
      <c r="Y272" s="40"/>
      <c r="Z272" s="40"/>
      <c r="AA272" s="41"/>
      <c r="AB272" s="41"/>
      <c r="AC272" s="41"/>
      <c r="AD272" s="41"/>
      <c r="AE272" s="40"/>
      <c r="AF272" s="42"/>
      <c r="AG272" s="5"/>
      <c r="AH272" s="5"/>
      <c r="AI272" s="40"/>
      <c r="AJ272" s="40"/>
      <c r="AK272" s="40"/>
      <c r="AL272" s="40"/>
      <c r="AM272" s="40"/>
      <c r="AO272" s="40"/>
    </row>
    <row r="273" spans="2:41" ht="12.75" customHeight="1" x14ac:dyDescent="0.25">
      <c r="B273" s="40"/>
      <c r="C273" s="40"/>
      <c r="D273" s="40"/>
      <c r="E273" s="40"/>
      <c r="F273" s="40"/>
      <c r="G273" s="40"/>
      <c r="H273" s="5"/>
      <c r="Q273" s="40"/>
      <c r="R273" s="40"/>
      <c r="S273" s="40"/>
      <c r="T273" s="40"/>
      <c r="U273" s="40"/>
      <c r="W273" s="40"/>
      <c r="X273" s="40"/>
      <c r="Y273" s="40"/>
      <c r="Z273" s="40"/>
      <c r="AA273" s="41"/>
      <c r="AB273" s="41"/>
      <c r="AC273" s="41"/>
      <c r="AD273" s="41"/>
      <c r="AE273" s="40"/>
      <c r="AF273" s="42"/>
      <c r="AG273" s="5"/>
      <c r="AH273" s="5"/>
      <c r="AI273" s="40"/>
      <c r="AJ273" s="40"/>
      <c r="AK273" s="40"/>
      <c r="AL273" s="40"/>
      <c r="AM273" s="40"/>
      <c r="AO273" s="40"/>
    </row>
    <row r="274" spans="2:41" ht="12.75" customHeight="1" x14ac:dyDescent="0.25">
      <c r="B274" s="40"/>
      <c r="C274" s="40"/>
      <c r="D274" s="40"/>
      <c r="E274" s="40"/>
      <c r="F274" s="40"/>
      <c r="G274" s="40"/>
      <c r="H274" s="5"/>
      <c r="Q274" s="40"/>
      <c r="R274" s="40"/>
      <c r="S274" s="40"/>
      <c r="T274" s="40"/>
      <c r="U274" s="40"/>
      <c r="W274" s="40"/>
      <c r="X274" s="40"/>
      <c r="Y274" s="40"/>
      <c r="Z274" s="40"/>
      <c r="AA274" s="41"/>
      <c r="AB274" s="41"/>
      <c r="AC274" s="41"/>
      <c r="AD274" s="41"/>
      <c r="AE274" s="40"/>
      <c r="AF274" s="42"/>
      <c r="AG274" s="5"/>
      <c r="AH274" s="5"/>
      <c r="AI274" s="40"/>
      <c r="AJ274" s="40"/>
      <c r="AK274" s="40"/>
      <c r="AL274" s="40"/>
      <c r="AM274" s="40"/>
      <c r="AO274" s="40"/>
    </row>
    <row r="275" spans="2:41" ht="12.75" customHeight="1" x14ac:dyDescent="0.25">
      <c r="B275" s="40"/>
      <c r="C275" s="40"/>
      <c r="D275" s="40"/>
      <c r="E275" s="40"/>
      <c r="F275" s="40"/>
      <c r="G275" s="40"/>
      <c r="H275" s="5"/>
      <c r="Q275" s="40"/>
      <c r="R275" s="40"/>
      <c r="S275" s="40"/>
      <c r="T275" s="40"/>
      <c r="U275" s="40"/>
      <c r="W275" s="40"/>
      <c r="X275" s="40"/>
      <c r="Y275" s="40"/>
      <c r="Z275" s="40"/>
      <c r="AA275" s="41"/>
      <c r="AB275" s="41"/>
      <c r="AC275" s="41"/>
      <c r="AD275" s="41"/>
      <c r="AE275" s="40"/>
      <c r="AF275" s="42"/>
      <c r="AG275" s="5"/>
      <c r="AH275" s="5"/>
      <c r="AI275" s="40"/>
      <c r="AJ275" s="40"/>
      <c r="AK275" s="40"/>
      <c r="AL275" s="40"/>
      <c r="AM275" s="40"/>
      <c r="AO275" s="40"/>
    </row>
    <row r="276" spans="2:41" ht="12.75" customHeight="1" x14ac:dyDescent="0.25">
      <c r="B276" s="40"/>
      <c r="C276" s="40"/>
      <c r="D276" s="40"/>
      <c r="E276" s="40"/>
      <c r="F276" s="40"/>
      <c r="G276" s="40"/>
      <c r="H276" s="5"/>
      <c r="Q276" s="40"/>
      <c r="R276" s="40"/>
      <c r="S276" s="40"/>
      <c r="T276" s="40"/>
      <c r="U276" s="40"/>
      <c r="W276" s="40"/>
      <c r="X276" s="40"/>
      <c r="Y276" s="40"/>
      <c r="Z276" s="40"/>
      <c r="AA276" s="41"/>
      <c r="AB276" s="41"/>
      <c r="AC276" s="41"/>
      <c r="AD276" s="41"/>
      <c r="AE276" s="40"/>
      <c r="AF276" s="42"/>
      <c r="AG276" s="5"/>
      <c r="AH276" s="5"/>
      <c r="AI276" s="40"/>
      <c r="AJ276" s="40"/>
      <c r="AK276" s="40"/>
      <c r="AL276" s="40"/>
      <c r="AM276" s="40"/>
      <c r="AO276" s="40"/>
    </row>
    <row r="277" spans="2:41" ht="12.75" customHeight="1" x14ac:dyDescent="0.25">
      <c r="B277" s="40"/>
      <c r="C277" s="40"/>
      <c r="D277" s="40"/>
      <c r="E277" s="40"/>
      <c r="F277" s="40"/>
      <c r="G277" s="40"/>
      <c r="H277" s="5"/>
      <c r="Q277" s="40"/>
      <c r="R277" s="40"/>
      <c r="S277" s="40"/>
      <c r="T277" s="40"/>
      <c r="U277" s="40"/>
      <c r="W277" s="40"/>
      <c r="X277" s="40"/>
      <c r="Y277" s="40"/>
      <c r="Z277" s="40"/>
      <c r="AA277" s="41"/>
      <c r="AB277" s="41"/>
      <c r="AC277" s="41"/>
      <c r="AD277" s="41"/>
      <c r="AE277" s="40"/>
      <c r="AF277" s="42"/>
      <c r="AG277" s="5"/>
      <c r="AH277" s="5"/>
      <c r="AI277" s="40"/>
      <c r="AJ277" s="40"/>
      <c r="AK277" s="40"/>
      <c r="AL277" s="40"/>
      <c r="AM277" s="40"/>
      <c r="AO277" s="40"/>
    </row>
    <row r="278" spans="2:41" ht="12.75" customHeight="1" x14ac:dyDescent="0.25">
      <c r="B278" s="40"/>
      <c r="C278" s="40"/>
      <c r="D278" s="40"/>
      <c r="E278" s="40"/>
      <c r="F278" s="40"/>
      <c r="G278" s="40"/>
      <c r="H278" s="5"/>
      <c r="Q278" s="40"/>
      <c r="R278" s="40"/>
      <c r="S278" s="40"/>
      <c r="T278" s="40"/>
      <c r="U278" s="40"/>
      <c r="W278" s="40"/>
      <c r="X278" s="40"/>
      <c r="Y278" s="40"/>
      <c r="Z278" s="40"/>
      <c r="AA278" s="41"/>
      <c r="AB278" s="41"/>
      <c r="AC278" s="41"/>
      <c r="AD278" s="41"/>
      <c r="AE278" s="40"/>
      <c r="AF278" s="42"/>
      <c r="AG278" s="5"/>
      <c r="AH278" s="5"/>
      <c r="AI278" s="40"/>
      <c r="AJ278" s="40"/>
      <c r="AK278" s="40"/>
      <c r="AL278" s="40"/>
      <c r="AM278" s="40"/>
      <c r="AO278" s="40"/>
    </row>
    <row r="279" spans="2:41" ht="12.75" customHeight="1" x14ac:dyDescent="0.25">
      <c r="B279" s="40"/>
      <c r="C279" s="40"/>
      <c r="D279" s="40"/>
      <c r="E279" s="40"/>
      <c r="F279" s="40"/>
      <c r="G279" s="40"/>
      <c r="H279" s="5"/>
      <c r="Q279" s="40"/>
      <c r="R279" s="40"/>
      <c r="S279" s="40"/>
      <c r="T279" s="40"/>
      <c r="U279" s="40"/>
      <c r="W279" s="40"/>
      <c r="X279" s="40"/>
      <c r="Y279" s="40"/>
      <c r="Z279" s="40"/>
      <c r="AA279" s="41"/>
      <c r="AB279" s="41"/>
      <c r="AC279" s="41"/>
      <c r="AD279" s="41"/>
      <c r="AE279" s="40"/>
      <c r="AF279" s="42"/>
      <c r="AG279" s="5"/>
      <c r="AH279" s="5"/>
      <c r="AI279" s="40"/>
      <c r="AJ279" s="40"/>
      <c r="AK279" s="40"/>
      <c r="AL279" s="40"/>
      <c r="AM279" s="40"/>
      <c r="AO279" s="40"/>
    </row>
    <row r="280" spans="2:41" ht="12.75" customHeight="1" x14ac:dyDescent="0.25">
      <c r="B280" s="40"/>
      <c r="C280" s="40"/>
      <c r="D280" s="40"/>
      <c r="E280" s="40"/>
      <c r="F280" s="40"/>
      <c r="G280" s="40"/>
      <c r="H280" s="5"/>
      <c r="Q280" s="40"/>
      <c r="R280" s="40"/>
      <c r="S280" s="40"/>
      <c r="T280" s="40"/>
      <c r="U280" s="40"/>
      <c r="W280" s="40"/>
      <c r="X280" s="40"/>
      <c r="Y280" s="40"/>
      <c r="Z280" s="40"/>
      <c r="AA280" s="41"/>
      <c r="AB280" s="41"/>
      <c r="AC280" s="41"/>
      <c r="AD280" s="41"/>
      <c r="AE280" s="40"/>
      <c r="AF280" s="42"/>
      <c r="AG280" s="5"/>
      <c r="AH280" s="5"/>
      <c r="AI280" s="40"/>
      <c r="AJ280" s="40"/>
      <c r="AK280" s="40"/>
      <c r="AL280" s="40"/>
      <c r="AM280" s="40"/>
      <c r="AO280" s="40"/>
    </row>
    <row r="281" spans="2:41" ht="12.75" customHeight="1" x14ac:dyDescent="0.25">
      <c r="B281" s="40"/>
      <c r="C281" s="40"/>
      <c r="D281" s="40"/>
      <c r="E281" s="40"/>
      <c r="F281" s="40"/>
      <c r="G281" s="40"/>
      <c r="H281" s="5"/>
      <c r="Q281" s="40"/>
      <c r="R281" s="40"/>
      <c r="S281" s="40"/>
      <c r="T281" s="40"/>
      <c r="U281" s="40"/>
      <c r="W281" s="40"/>
      <c r="X281" s="40"/>
      <c r="Y281" s="40"/>
      <c r="Z281" s="40"/>
      <c r="AA281" s="41"/>
      <c r="AB281" s="41"/>
      <c r="AC281" s="41"/>
      <c r="AD281" s="41"/>
      <c r="AE281" s="40"/>
      <c r="AF281" s="42"/>
      <c r="AG281" s="5"/>
      <c r="AH281" s="5"/>
      <c r="AI281" s="40"/>
      <c r="AJ281" s="40"/>
      <c r="AK281" s="40"/>
      <c r="AL281" s="40"/>
      <c r="AM281" s="40"/>
      <c r="AO281" s="40"/>
    </row>
    <row r="282" spans="2:41" ht="12.75" customHeight="1" x14ac:dyDescent="0.25">
      <c r="B282" s="40"/>
      <c r="C282" s="40"/>
      <c r="D282" s="40"/>
      <c r="E282" s="40"/>
      <c r="F282" s="40"/>
      <c r="G282" s="40"/>
      <c r="H282" s="5"/>
      <c r="Q282" s="40"/>
      <c r="R282" s="40"/>
      <c r="S282" s="40"/>
      <c r="T282" s="40"/>
      <c r="U282" s="40"/>
      <c r="W282" s="40"/>
      <c r="X282" s="40"/>
      <c r="Y282" s="40"/>
      <c r="Z282" s="40"/>
      <c r="AA282" s="41"/>
      <c r="AB282" s="41"/>
      <c r="AC282" s="41"/>
      <c r="AD282" s="41"/>
      <c r="AE282" s="40"/>
      <c r="AF282" s="42"/>
      <c r="AG282" s="5"/>
      <c r="AH282" s="5"/>
      <c r="AI282" s="40"/>
      <c r="AJ282" s="40"/>
      <c r="AK282" s="40"/>
      <c r="AL282" s="40"/>
      <c r="AM282" s="40"/>
      <c r="AO282" s="40"/>
    </row>
    <row r="283" spans="2:41" ht="12.75" customHeight="1" x14ac:dyDescent="0.25">
      <c r="B283" s="40"/>
      <c r="C283" s="40"/>
      <c r="D283" s="40"/>
      <c r="E283" s="40"/>
      <c r="F283" s="40"/>
      <c r="G283" s="40"/>
      <c r="H283" s="5"/>
      <c r="Q283" s="40"/>
      <c r="R283" s="40"/>
      <c r="S283" s="40"/>
      <c r="T283" s="40"/>
      <c r="U283" s="40"/>
      <c r="W283" s="40"/>
      <c r="X283" s="40"/>
      <c r="Y283" s="40"/>
      <c r="Z283" s="40"/>
      <c r="AA283" s="41"/>
      <c r="AB283" s="41"/>
      <c r="AC283" s="41"/>
      <c r="AD283" s="41"/>
      <c r="AE283" s="40"/>
      <c r="AF283" s="42"/>
      <c r="AG283" s="5"/>
      <c r="AH283" s="5"/>
      <c r="AI283" s="40"/>
      <c r="AJ283" s="40"/>
      <c r="AK283" s="40"/>
      <c r="AL283" s="40"/>
      <c r="AM283" s="40"/>
      <c r="AO283" s="40"/>
    </row>
    <row r="284" spans="2:41" ht="12.75" customHeight="1" x14ac:dyDescent="0.25">
      <c r="B284" s="40"/>
      <c r="C284" s="40"/>
      <c r="D284" s="40"/>
      <c r="E284" s="40"/>
      <c r="F284" s="40"/>
      <c r="G284" s="40"/>
      <c r="H284" s="5"/>
      <c r="Q284" s="40"/>
      <c r="R284" s="40"/>
      <c r="S284" s="40"/>
      <c r="T284" s="40"/>
      <c r="U284" s="40"/>
      <c r="W284" s="40"/>
      <c r="X284" s="40"/>
      <c r="Y284" s="40"/>
      <c r="Z284" s="40"/>
      <c r="AA284" s="41"/>
      <c r="AB284" s="41"/>
      <c r="AC284" s="41"/>
      <c r="AD284" s="41"/>
      <c r="AE284" s="40"/>
      <c r="AF284" s="42"/>
      <c r="AG284" s="5"/>
      <c r="AH284" s="5"/>
      <c r="AI284" s="40"/>
      <c r="AJ284" s="40"/>
      <c r="AK284" s="40"/>
      <c r="AL284" s="40"/>
      <c r="AM284" s="40"/>
      <c r="AO284" s="40"/>
    </row>
    <row r="285" spans="2:41" ht="12.75" customHeight="1" x14ac:dyDescent="0.25">
      <c r="B285" s="40"/>
      <c r="C285" s="40"/>
      <c r="D285" s="40"/>
      <c r="E285" s="40"/>
      <c r="F285" s="40"/>
      <c r="G285" s="40"/>
      <c r="H285" s="5"/>
      <c r="Q285" s="40"/>
      <c r="R285" s="40"/>
      <c r="S285" s="40"/>
      <c r="T285" s="40"/>
      <c r="U285" s="40"/>
      <c r="W285" s="40"/>
      <c r="X285" s="40"/>
      <c r="Y285" s="40"/>
      <c r="Z285" s="40"/>
      <c r="AA285" s="41"/>
      <c r="AB285" s="41"/>
      <c r="AC285" s="41"/>
      <c r="AD285" s="41"/>
      <c r="AE285" s="40"/>
      <c r="AF285" s="42"/>
      <c r="AG285" s="5"/>
      <c r="AH285" s="5"/>
      <c r="AI285" s="40"/>
      <c r="AJ285" s="40"/>
      <c r="AK285" s="40"/>
      <c r="AL285" s="40"/>
      <c r="AM285" s="40"/>
      <c r="AO285" s="40"/>
    </row>
    <row r="286" spans="2:41" ht="12.75" customHeight="1" x14ac:dyDescent="0.25">
      <c r="B286" s="40"/>
      <c r="C286" s="40"/>
      <c r="D286" s="40"/>
      <c r="E286" s="40"/>
      <c r="F286" s="40"/>
      <c r="G286" s="40"/>
      <c r="H286" s="5"/>
      <c r="Q286" s="40"/>
      <c r="R286" s="40"/>
      <c r="S286" s="40"/>
      <c r="T286" s="40"/>
      <c r="U286" s="40"/>
      <c r="W286" s="40"/>
      <c r="X286" s="40"/>
      <c r="Y286" s="40"/>
      <c r="Z286" s="40"/>
      <c r="AA286" s="41"/>
      <c r="AB286" s="41"/>
      <c r="AC286" s="41"/>
      <c r="AD286" s="41"/>
      <c r="AE286" s="40"/>
      <c r="AF286" s="42"/>
      <c r="AG286" s="5"/>
      <c r="AH286" s="5"/>
      <c r="AI286" s="40"/>
      <c r="AJ286" s="40"/>
      <c r="AK286" s="40"/>
      <c r="AL286" s="40"/>
      <c r="AM286" s="40"/>
      <c r="AO286" s="40"/>
    </row>
    <row r="287" spans="2:41" ht="12.75" customHeight="1" x14ac:dyDescent="0.25">
      <c r="B287" s="40"/>
      <c r="C287" s="40"/>
      <c r="D287" s="40"/>
      <c r="E287" s="40"/>
      <c r="F287" s="40"/>
      <c r="G287" s="40"/>
      <c r="H287" s="5"/>
      <c r="Q287" s="40"/>
      <c r="R287" s="40"/>
      <c r="S287" s="40"/>
      <c r="T287" s="40"/>
      <c r="U287" s="40"/>
      <c r="W287" s="40"/>
      <c r="X287" s="40"/>
      <c r="Y287" s="40"/>
      <c r="Z287" s="40"/>
      <c r="AA287" s="41"/>
      <c r="AB287" s="41"/>
      <c r="AC287" s="41"/>
      <c r="AD287" s="41"/>
      <c r="AE287" s="40"/>
      <c r="AF287" s="42"/>
      <c r="AG287" s="5"/>
      <c r="AH287" s="5"/>
      <c r="AI287" s="40"/>
      <c r="AJ287" s="40"/>
      <c r="AK287" s="40"/>
      <c r="AL287" s="40"/>
      <c r="AM287" s="40"/>
      <c r="AO287" s="40"/>
    </row>
    <row r="288" spans="2:41" ht="12.75" customHeight="1" x14ac:dyDescent="0.25">
      <c r="B288" s="40"/>
      <c r="C288" s="40"/>
      <c r="D288" s="40"/>
      <c r="E288" s="40"/>
      <c r="F288" s="40"/>
      <c r="G288" s="40"/>
      <c r="H288" s="5"/>
      <c r="Q288" s="40"/>
      <c r="R288" s="40"/>
      <c r="S288" s="40"/>
      <c r="T288" s="40"/>
      <c r="U288" s="40"/>
      <c r="W288" s="40"/>
      <c r="X288" s="40"/>
      <c r="Y288" s="40"/>
      <c r="Z288" s="40"/>
      <c r="AA288" s="41"/>
      <c r="AB288" s="41"/>
      <c r="AC288" s="41"/>
      <c r="AD288" s="41"/>
      <c r="AE288" s="40"/>
      <c r="AF288" s="42"/>
      <c r="AG288" s="5"/>
      <c r="AH288" s="5"/>
      <c r="AI288" s="40"/>
      <c r="AJ288" s="40"/>
      <c r="AK288" s="40"/>
      <c r="AL288" s="40"/>
      <c r="AM288" s="40"/>
      <c r="AO288" s="40"/>
    </row>
    <row r="289" spans="2:41" ht="12.75" customHeight="1" x14ac:dyDescent="0.25">
      <c r="B289" s="40"/>
      <c r="C289" s="40"/>
      <c r="D289" s="40"/>
      <c r="E289" s="40"/>
      <c r="F289" s="40"/>
      <c r="G289" s="40"/>
      <c r="H289" s="5"/>
      <c r="Q289" s="40"/>
      <c r="R289" s="40"/>
      <c r="S289" s="40"/>
      <c r="T289" s="40"/>
      <c r="U289" s="40"/>
      <c r="W289" s="40"/>
      <c r="X289" s="40"/>
      <c r="Y289" s="40"/>
      <c r="Z289" s="40"/>
      <c r="AA289" s="41"/>
      <c r="AB289" s="41"/>
      <c r="AC289" s="41"/>
      <c r="AD289" s="41"/>
      <c r="AE289" s="40"/>
      <c r="AF289" s="42"/>
      <c r="AG289" s="5"/>
      <c r="AH289" s="5"/>
      <c r="AI289" s="40"/>
      <c r="AJ289" s="40"/>
      <c r="AK289" s="40"/>
      <c r="AL289" s="40"/>
      <c r="AM289" s="40"/>
      <c r="AO289" s="40"/>
    </row>
    <row r="290" spans="2:41" ht="12.75" customHeight="1" x14ac:dyDescent="0.25">
      <c r="B290" s="40"/>
      <c r="C290" s="40"/>
      <c r="D290" s="40"/>
      <c r="E290" s="40"/>
      <c r="F290" s="40"/>
      <c r="G290" s="40"/>
      <c r="H290" s="5"/>
      <c r="Q290" s="40"/>
      <c r="R290" s="40"/>
      <c r="S290" s="40"/>
      <c r="T290" s="40"/>
      <c r="U290" s="40"/>
      <c r="W290" s="40"/>
      <c r="X290" s="40"/>
      <c r="Y290" s="40"/>
      <c r="Z290" s="40"/>
      <c r="AA290" s="41"/>
      <c r="AB290" s="41"/>
      <c r="AC290" s="41"/>
      <c r="AD290" s="41"/>
      <c r="AE290" s="40"/>
      <c r="AF290" s="42"/>
      <c r="AG290" s="5"/>
      <c r="AH290" s="5"/>
      <c r="AI290" s="40"/>
      <c r="AJ290" s="40"/>
      <c r="AK290" s="40"/>
      <c r="AL290" s="40"/>
      <c r="AM290" s="40"/>
      <c r="AO290" s="40"/>
    </row>
    <row r="291" spans="2:41" ht="12.75" customHeight="1" x14ac:dyDescent="0.25">
      <c r="B291" s="40"/>
      <c r="C291" s="40"/>
      <c r="D291" s="40"/>
      <c r="E291" s="40"/>
      <c r="F291" s="40"/>
      <c r="G291" s="40"/>
      <c r="H291" s="5"/>
      <c r="Q291" s="40"/>
      <c r="R291" s="40"/>
      <c r="S291" s="40"/>
      <c r="T291" s="40"/>
      <c r="U291" s="40"/>
      <c r="W291" s="40"/>
      <c r="X291" s="40"/>
      <c r="Y291" s="40"/>
      <c r="Z291" s="40"/>
      <c r="AA291" s="41"/>
      <c r="AB291" s="41"/>
      <c r="AC291" s="41"/>
      <c r="AD291" s="41"/>
      <c r="AE291" s="40"/>
      <c r="AF291" s="42"/>
      <c r="AG291" s="5"/>
      <c r="AH291" s="5"/>
      <c r="AI291" s="40"/>
      <c r="AJ291" s="40"/>
      <c r="AK291" s="40"/>
      <c r="AL291" s="40"/>
      <c r="AM291" s="40"/>
      <c r="AO291" s="40"/>
    </row>
    <row r="292" spans="2:41" ht="12.75" customHeight="1" x14ac:dyDescent="0.25">
      <c r="B292" s="40"/>
      <c r="C292" s="40"/>
      <c r="D292" s="40"/>
      <c r="E292" s="40"/>
      <c r="F292" s="40"/>
      <c r="G292" s="40"/>
      <c r="H292" s="5"/>
      <c r="Q292" s="40"/>
      <c r="R292" s="40"/>
      <c r="S292" s="40"/>
      <c r="T292" s="40"/>
      <c r="U292" s="40"/>
      <c r="W292" s="40"/>
      <c r="X292" s="40"/>
      <c r="Y292" s="40"/>
      <c r="Z292" s="40"/>
      <c r="AA292" s="41"/>
      <c r="AB292" s="41"/>
      <c r="AC292" s="41"/>
      <c r="AD292" s="41"/>
      <c r="AE292" s="40"/>
      <c r="AF292" s="42"/>
      <c r="AG292" s="5"/>
      <c r="AH292" s="5"/>
      <c r="AI292" s="40"/>
      <c r="AJ292" s="40"/>
      <c r="AK292" s="40"/>
      <c r="AL292" s="40"/>
      <c r="AM292" s="40"/>
      <c r="AO292" s="40"/>
    </row>
    <row r="293" spans="2:41" ht="12.75" customHeight="1" x14ac:dyDescent="0.25">
      <c r="B293" s="40"/>
      <c r="C293" s="40"/>
      <c r="D293" s="40"/>
      <c r="E293" s="40"/>
      <c r="F293" s="40"/>
      <c r="G293" s="40"/>
      <c r="H293" s="5"/>
      <c r="Q293" s="40"/>
      <c r="R293" s="40"/>
      <c r="S293" s="40"/>
      <c r="T293" s="40"/>
      <c r="U293" s="40"/>
      <c r="W293" s="40"/>
      <c r="X293" s="40"/>
      <c r="Y293" s="40"/>
      <c r="Z293" s="40"/>
      <c r="AA293" s="41"/>
      <c r="AB293" s="41"/>
      <c r="AC293" s="41"/>
      <c r="AD293" s="41"/>
      <c r="AE293" s="40"/>
      <c r="AF293" s="42"/>
      <c r="AG293" s="5"/>
      <c r="AH293" s="5"/>
      <c r="AI293" s="40"/>
      <c r="AJ293" s="40"/>
      <c r="AK293" s="40"/>
      <c r="AL293" s="40"/>
      <c r="AM293" s="40"/>
      <c r="AO293" s="40"/>
    </row>
    <row r="294" spans="2:41" ht="12.75" customHeight="1" x14ac:dyDescent="0.25">
      <c r="B294" s="40"/>
      <c r="C294" s="40"/>
      <c r="D294" s="40"/>
      <c r="E294" s="40"/>
      <c r="F294" s="40"/>
      <c r="G294" s="40"/>
      <c r="H294" s="5"/>
      <c r="Q294" s="40"/>
      <c r="R294" s="40"/>
      <c r="S294" s="40"/>
      <c r="T294" s="40"/>
      <c r="U294" s="40"/>
      <c r="W294" s="40"/>
      <c r="X294" s="40"/>
      <c r="Y294" s="40"/>
      <c r="Z294" s="40"/>
      <c r="AA294" s="41"/>
      <c r="AB294" s="41"/>
      <c r="AC294" s="41"/>
      <c r="AD294" s="41"/>
      <c r="AE294" s="40"/>
      <c r="AF294" s="42"/>
      <c r="AG294" s="5"/>
      <c r="AH294" s="5"/>
      <c r="AI294" s="40"/>
      <c r="AJ294" s="40"/>
      <c r="AK294" s="40"/>
      <c r="AL294" s="40"/>
      <c r="AM294" s="40"/>
      <c r="AO294" s="40"/>
    </row>
    <row r="295" spans="2:41" ht="12.75" customHeight="1" x14ac:dyDescent="0.25">
      <c r="B295" s="40"/>
      <c r="C295" s="40"/>
      <c r="D295" s="40"/>
      <c r="E295" s="40"/>
      <c r="F295" s="40"/>
      <c r="G295" s="40"/>
      <c r="H295" s="5"/>
      <c r="Q295" s="40"/>
      <c r="R295" s="40"/>
      <c r="S295" s="40"/>
      <c r="T295" s="40"/>
      <c r="U295" s="40"/>
      <c r="W295" s="40"/>
      <c r="X295" s="40"/>
      <c r="Y295" s="40"/>
      <c r="Z295" s="40"/>
      <c r="AA295" s="41"/>
      <c r="AB295" s="41"/>
      <c r="AC295" s="41"/>
      <c r="AD295" s="41"/>
      <c r="AE295" s="40"/>
      <c r="AF295" s="42"/>
      <c r="AG295" s="5"/>
      <c r="AH295" s="5"/>
      <c r="AI295" s="40"/>
      <c r="AJ295" s="40"/>
      <c r="AK295" s="40"/>
      <c r="AL295" s="40"/>
      <c r="AM295" s="40"/>
      <c r="AO295" s="40"/>
    </row>
    <row r="296" spans="2:41" ht="12.75" customHeight="1" x14ac:dyDescent="0.25">
      <c r="B296" s="40"/>
      <c r="C296" s="40"/>
      <c r="D296" s="40"/>
      <c r="E296" s="40"/>
      <c r="F296" s="40"/>
      <c r="G296" s="40"/>
      <c r="H296" s="5"/>
      <c r="Q296" s="40"/>
      <c r="R296" s="40"/>
      <c r="S296" s="40"/>
      <c r="T296" s="40"/>
      <c r="U296" s="40"/>
      <c r="W296" s="40"/>
      <c r="X296" s="40"/>
      <c r="Y296" s="40"/>
      <c r="Z296" s="40"/>
      <c r="AA296" s="41"/>
      <c r="AB296" s="41"/>
      <c r="AC296" s="41"/>
      <c r="AD296" s="41"/>
      <c r="AE296" s="40"/>
      <c r="AF296" s="42"/>
      <c r="AG296" s="5"/>
      <c r="AH296" s="5"/>
      <c r="AI296" s="40"/>
      <c r="AJ296" s="40"/>
      <c r="AK296" s="40"/>
      <c r="AL296" s="40"/>
      <c r="AM296" s="40"/>
      <c r="AO296" s="40"/>
    </row>
    <row r="297" spans="2:41" ht="12.75" customHeight="1" x14ac:dyDescent="0.25">
      <c r="B297" s="40"/>
      <c r="C297" s="40"/>
      <c r="D297" s="40"/>
      <c r="E297" s="40"/>
      <c r="F297" s="40"/>
      <c r="G297" s="40"/>
      <c r="H297" s="5"/>
      <c r="Q297" s="40"/>
      <c r="R297" s="40"/>
      <c r="S297" s="40"/>
      <c r="T297" s="40"/>
      <c r="U297" s="40"/>
      <c r="W297" s="40"/>
      <c r="X297" s="40"/>
      <c r="Y297" s="40"/>
      <c r="Z297" s="40"/>
      <c r="AA297" s="41"/>
      <c r="AB297" s="41"/>
      <c r="AC297" s="41"/>
      <c r="AD297" s="41"/>
      <c r="AE297" s="40"/>
      <c r="AF297" s="42"/>
      <c r="AG297" s="5"/>
      <c r="AH297" s="5"/>
      <c r="AI297" s="40"/>
      <c r="AJ297" s="40"/>
      <c r="AK297" s="40"/>
      <c r="AL297" s="40"/>
      <c r="AM297" s="40"/>
      <c r="AO297" s="40"/>
    </row>
    <row r="298" spans="2:41" ht="12.75" customHeight="1" x14ac:dyDescent="0.25">
      <c r="B298" s="40"/>
      <c r="C298" s="40"/>
      <c r="D298" s="40"/>
      <c r="E298" s="40"/>
      <c r="F298" s="40"/>
      <c r="G298" s="40"/>
      <c r="H298" s="5"/>
      <c r="Q298" s="40"/>
      <c r="R298" s="40"/>
      <c r="S298" s="40"/>
      <c r="T298" s="40"/>
      <c r="U298" s="40"/>
      <c r="W298" s="40"/>
      <c r="X298" s="40"/>
      <c r="Y298" s="40"/>
      <c r="Z298" s="40"/>
      <c r="AA298" s="41"/>
      <c r="AB298" s="41"/>
      <c r="AC298" s="41"/>
      <c r="AD298" s="41"/>
      <c r="AE298" s="40"/>
      <c r="AF298" s="42"/>
      <c r="AG298" s="5"/>
      <c r="AH298" s="5"/>
      <c r="AI298" s="40"/>
      <c r="AJ298" s="40"/>
      <c r="AK298" s="40"/>
      <c r="AL298" s="40"/>
      <c r="AM298" s="40"/>
      <c r="AO298" s="40"/>
    </row>
    <row r="299" spans="2:41" ht="12.75" customHeight="1" x14ac:dyDescent="0.25">
      <c r="B299" s="40"/>
      <c r="C299" s="40"/>
      <c r="D299" s="40"/>
      <c r="E299" s="40"/>
      <c r="F299" s="40"/>
      <c r="G299" s="40"/>
      <c r="H299" s="5"/>
      <c r="Q299" s="40"/>
      <c r="R299" s="40"/>
      <c r="S299" s="40"/>
      <c r="T299" s="40"/>
      <c r="U299" s="40"/>
      <c r="W299" s="40"/>
      <c r="X299" s="40"/>
      <c r="Y299" s="40"/>
      <c r="Z299" s="40"/>
      <c r="AA299" s="41"/>
      <c r="AB299" s="41"/>
      <c r="AC299" s="41"/>
      <c r="AD299" s="41"/>
      <c r="AE299" s="40"/>
      <c r="AF299" s="42"/>
      <c r="AG299" s="5"/>
      <c r="AH299" s="5"/>
      <c r="AI299" s="40"/>
      <c r="AJ299" s="40"/>
      <c r="AK299" s="40"/>
      <c r="AL299" s="40"/>
      <c r="AM299" s="40"/>
      <c r="AO299" s="40"/>
    </row>
    <row r="300" spans="2:41" ht="12.75" customHeight="1" x14ac:dyDescent="0.25">
      <c r="B300" s="40"/>
      <c r="C300" s="40"/>
      <c r="D300" s="40"/>
      <c r="E300" s="40"/>
      <c r="F300" s="40"/>
      <c r="G300" s="40"/>
      <c r="H300" s="5"/>
      <c r="Q300" s="40"/>
      <c r="R300" s="40"/>
      <c r="S300" s="40"/>
      <c r="T300" s="40"/>
      <c r="U300" s="40"/>
      <c r="W300" s="40"/>
      <c r="X300" s="40"/>
      <c r="Y300" s="40"/>
      <c r="Z300" s="40"/>
      <c r="AA300" s="41"/>
      <c r="AB300" s="41"/>
      <c r="AC300" s="41"/>
      <c r="AD300" s="41"/>
      <c r="AE300" s="40"/>
      <c r="AF300" s="42"/>
      <c r="AG300" s="5"/>
      <c r="AH300" s="5"/>
      <c r="AI300" s="40"/>
      <c r="AJ300" s="40"/>
      <c r="AK300" s="40"/>
      <c r="AL300" s="40"/>
      <c r="AM300" s="40"/>
      <c r="AO300" s="40"/>
    </row>
    <row r="301" spans="2:41" ht="12.75" customHeight="1" x14ac:dyDescent="0.25">
      <c r="B301" s="40"/>
      <c r="C301" s="40"/>
      <c r="D301" s="40"/>
      <c r="E301" s="40"/>
      <c r="F301" s="40"/>
      <c r="G301" s="40"/>
      <c r="H301" s="5"/>
      <c r="Q301" s="40"/>
      <c r="R301" s="40"/>
      <c r="S301" s="40"/>
      <c r="T301" s="40"/>
      <c r="U301" s="40"/>
      <c r="W301" s="40"/>
      <c r="X301" s="40"/>
      <c r="Y301" s="40"/>
      <c r="Z301" s="40"/>
      <c r="AA301" s="41"/>
      <c r="AB301" s="41"/>
      <c r="AC301" s="41"/>
      <c r="AD301" s="41"/>
      <c r="AE301" s="40"/>
      <c r="AF301" s="42"/>
      <c r="AG301" s="5"/>
      <c r="AH301" s="5"/>
      <c r="AI301" s="40"/>
      <c r="AJ301" s="40"/>
      <c r="AK301" s="40"/>
      <c r="AL301" s="40"/>
      <c r="AM301" s="40"/>
      <c r="AO301" s="40"/>
    </row>
    <row r="302" spans="2:41" ht="12.75" customHeight="1" x14ac:dyDescent="0.25">
      <c r="B302" s="40"/>
      <c r="C302" s="40"/>
      <c r="D302" s="40"/>
      <c r="E302" s="40"/>
      <c r="F302" s="40"/>
      <c r="G302" s="40"/>
      <c r="H302" s="5"/>
      <c r="Q302" s="40"/>
      <c r="R302" s="40"/>
      <c r="S302" s="40"/>
      <c r="T302" s="40"/>
      <c r="U302" s="40"/>
      <c r="W302" s="40"/>
      <c r="X302" s="40"/>
      <c r="Y302" s="40"/>
      <c r="Z302" s="40"/>
      <c r="AA302" s="41"/>
      <c r="AB302" s="41"/>
      <c r="AC302" s="41"/>
      <c r="AD302" s="41"/>
      <c r="AE302" s="40"/>
      <c r="AF302" s="42"/>
      <c r="AG302" s="5"/>
      <c r="AH302" s="5"/>
      <c r="AI302" s="40"/>
      <c r="AJ302" s="40"/>
      <c r="AK302" s="40"/>
      <c r="AL302" s="40"/>
      <c r="AM302" s="40"/>
      <c r="AO302" s="40"/>
    </row>
    <row r="303" spans="2:41" ht="12.75" customHeight="1" x14ac:dyDescent="0.25">
      <c r="B303" s="40"/>
      <c r="C303" s="40"/>
      <c r="D303" s="40"/>
      <c r="E303" s="40"/>
      <c r="F303" s="40"/>
      <c r="G303" s="40"/>
      <c r="H303" s="5"/>
      <c r="Q303" s="40"/>
      <c r="R303" s="40"/>
      <c r="S303" s="40"/>
      <c r="T303" s="40"/>
      <c r="U303" s="40"/>
      <c r="W303" s="40"/>
      <c r="X303" s="40"/>
      <c r="Y303" s="40"/>
      <c r="Z303" s="40"/>
      <c r="AA303" s="41"/>
      <c r="AB303" s="41"/>
      <c r="AC303" s="41"/>
      <c r="AD303" s="41"/>
      <c r="AE303" s="40"/>
      <c r="AF303" s="42"/>
      <c r="AG303" s="5"/>
      <c r="AH303" s="5"/>
      <c r="AI303" s="40"/>
      <c r="AJ303" s="40"/>
      <c r="AK303" s="40"/>
      <c r="AL303" s="40"/>
      <c r="AM303" s="40"/>
      <c r="AO303" s="40"/>
    </row>
    <row r="304" spans="2:41" ht="12.75" customHeight="1" x14ac:dyDescent="0.25">
      <c r="B304" s="40"/>
      <c r="C304" s="40"/>
      <c r="D304" s="40"/>
      <c r="E304" s="40"/>
      <c r="F304" s="40"/>
      <c r="G304" s="40"/>
      <c r="H304" s="5"/>
      <c r="Q304" s="40"/>
      <c r="R304" s="40"/>
      <c r="S304" s="40"/>
      <c r="T304" s="40"/>
      <c r="U304" s="40"/>
      <c r="W304" s="40"/>
      <c r="X304" s="40"/>
      <c r="Y304" s="40"/>
      <c r="Z304" s="40"/>
      <c r="AA304" s="41"/>
      <c r="AB304" s="41"/>
      <c r="AC304" s="41"/>
      <c r="AD304" s="41"/>
      <c r="AE304" s="40"/>
      <c r="AF304" s="42"/>
      <c r="AG304" s="5"/>
      <c r="AH304" s="5"/>
      <c r="AI304" s="40"/>
      <c r="AJ304" s="40"/>
      <c r="AK304" s="40"/>
      <c r="AL304" s="40"/>
      <c r="AM304" s="40"/>
      <c r="AO304" s="40"/>
    </row>
    <row r="305" spans="2:41" ht="12.75" customHeight="1" x14ac:dyDescent="0.25">
      <c r="B305" s="40"/>
      <c r="C305" s="40"/>
      <c r="D305" s="40"/>
      <c r="E305" s="40"/>
      <c r="F305" s="40"/>
      <c r="G305" s="40"/>
      <c r="H305" s="5"/>
      <c r="Q305" s="40"/>
      <c r="R305" s="40"/>
      <c r="S305" s="40"/>
      <c r="T305" s="40"/>
      <c r="U305" s="40"/>
      <c r="W305" s="40"/>
      <c r="X305" s="40"/>
      <c r="Y305" s="40"/>
      <c r="Z305" s="40"/>
      <c r="AA305" s="41"/>
      <c r="AB305" s="41"/>
      <c r="AC305" s="41"/>
      <c r="AD305" s="41"/>
      <c r="AE305" s="40"/>
      <c r="AF305" s="42"/>
      <c r="AG305" s="5"/>
      <c r="AH305" s="5"/>
      <c r="AI305" s="40"/>
      <c r="AJ305" s="40"/>
      <c r="AK305" s="40"/>
      <c r="AL305" s="40"/>
      <c r="AM305" s="40"/>
      <c r="AO305" s="40"/>
    </row>
    <row r="306" spans="2:41" ht="12.75" customHeight="1" x14ac:dyDescent="0.25">
      <c r="B306" s="40"/>
      <c r="C306" s="40"/>
      <c r="D306" s="40"/>
      <c r="E306" s="40"/>
      <c r="F306" s="40"/>
      <c r="G306" s="40"/>
      <c r="H306" s="5"/>
      <c r="Q306" s="40"/>
      <c r="R306" s="40"/>
      <c r="S306" s="40"/>
      <c r="T306" s="40"/>
      <c r="U306" s="40"/>
      <c r="W306" s="40"/>
      <c r="X306" s="40"/>
      <c r="Y306" s="40"/>
      <c r="Z306" s="40"/>
      <c r="AA306" s="41"/>
      <c r="AB306" s="41"/>
      <c r="AC306" s="41"/>
      <c r="AD306" s="41"/>
      <c r="AE306" s="40"/>
      <c r="AF306" s="42"/>
      <c r="AG306" s="5"/>
      <c r="AH306" s="5"/>
      <c r="AI306" s="40"/>
      <c r="AJ306" s="40"/>
      <c r="AK306" s="40"/>
      <c r="AL306" s="40"/>
      <c r="AM306" s="40"/>
      <c r="AO306" s="40"/>
    </row>
    <row r="307" spans="2:41" ht="12.75" customHeight="1" x14ac:dyDescent="0.25">
      <c r="B307" s="40"/>
      <c r="C307" s="40"/>
      <c r="D307" s="40"/>
      <c r="E307" s="40"/>
      <c r="F307" s="40"/>
      <c r="G307" s="40"/>
      <c r="H307" s="5"/>
      <c r="Q307" s="40"/>
      <c r="R307" s="40"/>
      <c r="S307" s="40"/>
      <c r="T307" s="40"/>
      <c r="U307" s="40"/>
      <c r="W307" s="40"/>
      <c r="X307" s="40"/>
      <c r="Y307" s="40"/>
      <c r="Z307" s="40"/>
      <c r="AA307" s="41"/>
      <c r="AB307" s="41"/>
      <c r="AC307" s="41"/>
      <c r="AD307" s="41"/>
      <c r="AE307" s="40"/>
      <c r="AF307" s="42"/>
      <c r="AG307" s="5"/>
      <c r="AH307" s="5"/>
      <c r="AI307" s="40"/>
      <c r="AJ307" s="40"/>
      <c r="AK307" s="40"/>
      <c r="AL307" s="40"/>
      <c r="AM307" s="40"/>
      <c r="AO307" s="40"/>
    </row>
    <row r="308" spans="2:41" ht="12.75" customHeight="1" x14ac:dyDescent="0.25">
      <c r="B308" s="40"/>
      <c r="C308" s="40"/>
      <c r="D308" s="40"/>
      <c r="E308" s="40"/>
      <c r="F308" s="40"/>
      <c r="G308" s="40"/>
      <c r="H308" s="5"/>
      <c r="Q308" s="40"/>
      <c r="R308" s="40"/>
      <c r="S308" s="40"/>
      <c r="T308" s="40"/>
      <c r="U308" s="40"/>
      <c r="W308" s="40"/>
      <c r="X308" s="40"/>
      <c r="Y308" s="40"/>
      <c r="Z308" s="40"/>
      <c r="AA308" s="41"/>
      <c r="AB308" s="41"/>
      <c r="AC308" s="41"/>
      <c r="AD308" s="41"/>
      <c r="AE308" s="40"/>
      <c r="AF308" s="42"/>
      <c r="AG308" s="5"/>
      <c r="AH308" s="5"/>
      <c r="AI308" s="40"/>
      <c r="AJ308" s="40"/>
      <c r="AK308" s="40"/>
      <c r="AL308" s="40"/>
      <c r="AM308" s="40"/>
      <c r="AO308" s="40"/>
    </row>
    <row r="309" spans="2:41" ht="12.75" customHeight="1" x14ac:dyDescent="0.25">
      <c r="B309" s="40"/>
      <c r="C309" s="40"/>
      <c r="D309" s="40"/>
      <c r="E309" s="40"/>
      <c r="F309" s="40"/>
      <c r="G309" s="40"/>
      <c r="H309" s="5"/>
      <c r="Q309" s="40"/>
      <c r="R309" s="40"/>
      <c r="S309" s="40"/>
      <c r="T309" s="40"/>
      <c r="U309" s="40"/>
      <c r="W309" s="40"/>
      <c r="X309" s="40"/>
      <c r="Y309" s="40"/>
      <c r="Z309" s="40"/>
      <c r="AA309" s="41"/>
      <c r="AB309" s="41"/>
      <c r="AC309" s="41"/>
      <c r="AD309" s="41"/>
      <c r="AE309" s="40"/>
      <c r="AF309" s="42"/>
      <c r="AG309" s="5"/>
      <c r="AH309" s="5"/>
      <c r="AI309" s="40"/>
      <c r="AJ309" s="40"/>
      <c r="AK309" s="40"/>
      <c r="AL309" s="40"/>
      <c r="AM309" s="40"/>
      <c r="AO309" s="40"/>
    </row>
    <row r="310" spans="2:41" ht="12.75" customHeight="1" x14ac:dyDescent="0.25">
      <c r="B310" s="40"/>
      <c r="C310" s="40"/>
      <c r="D310" s="40"/>
      <c r="E310" s="40"/>
      <c r="F310" s="40"/>
      <c r="G310" s="40"/>
      <c r="H310" s="5"/>
      <c r="Q310" s="40"/>
      <c r="R310" s="40"/>
      <c r="S310" s="40"/>
      <c r="T310" s="40"/>
      <c r="U310" s="40"/>
      <c r="W310" s="40"/>
      <c r="X310" s="40"/>
      <c r="Y310" s="40"/>
      <c r="Z310" s="40"/>
      <c r="AA310" s="41"/>
      <c r="AB310" s="41"/>
      <c r="AC310" s="41"/>
      <c r="AD310" s="41"/>
      <c r="AE310" s="40"/>
      <c r="AF310" s="42"/>
      <c r="AG310" s="5"/>
      <c r="AH310" s="5"/>
      <c r="AI310" s="40"/>
      <c r="AJ310" s="40"/>
      <c r="AK310" s="40"/>
      <c r="AL310" s="40"/>
      <c r="AM310" s="40"/>
      <c r="AO310" s="40"/>
    </row>
    <row r="311" spans="2:41" ht="12.75" customHeight="1" x14ac:dyDescent="0.25">
      <c r="B311" s="40"/>
      <c r="C311" s="40"/>
      <c r="D311" s="40"/>
      <c r="E311" s="40"/>
      <c r="F311" s="40"/>
      <c r="G311" s="40"/>
      <c r="H311" s="5"/>
      <c r="Q311" s="40"/>
      <c r="R311" s="40"/>
      <c r="S311" s="40"/>
      <c r="T311" s="40"/>
      <c r="U311" s="40"/>
      <c r="W311" s="40"/>
      <c r="X311" s="40"/>
      <c r="Y311" s="40"/>
      <c r="Z311" s="40"/>
      <c r="AA311" s="41"/>
      <c r="AB311" s="41"/>
      <c r="AC311" s="41"/>
      <c r="AD311" s="41"/>
      <c r="AE311" s="40"/>
      <c r="AF311" s="42"/>
      <c r="AG311" s="5"/>
      <c r="AH311" s="5"/>
      <c r="AI311" s="40"/>
      <c r="AJ311" s="40"/>
      <c r="AK311" s="40"/>
      <c r="AL311" s="40"/>
      <c r="AM311" s="40"/>
      <c r="AO311" s="40"/>
    </row>
    <row r="312" spans="2:41" ht="12.75" customHeight="1" x14ac:dyDescent="0.25">
      <c r="B312" s="40"/>
      <c r="C312" s="40"/>
      <c r="D312" s="40"/>
      <c r="E312" s="40"/>
      <c r="F312" s="40"/>
      <c r="G312" s="40"/>
      <c r="H312" s="5"/>
      <c r="Q312" s="40"/>
      <c r="R312" s="40"/>
      <c r="S312" s="40"/>
      <c r="T312" s="40"/>
      <c r="U312" s="40"/>
      <c r="W312" s="40"/>
      <c r="X312" s="40"/>
      <c r="Y312" s="40"/>
      <c r="Z312" s="40"/>
      <c r="AA312" s="41"/>
      <c r="AB312" s="41"/>
      <c r="AC312" s="41"/>
      <c r="AD312" s="41"/>
      <c r="AE312" s="40"/>
      <c r="AF312" s="42"/>
      <c r="AG312" s="5"/>
      <c r="AH312" s="5"/>
      <c r="AI312" s="40"/>
      <c r="AJ312" s="40"/>
      <c r="AK312" s="40"/>
      <c r="AL312" s="40"/>
      <c r="AM312" s="40"/>
      <c r="AO312" s="40"/>
    </row>
    <row r="313" spans="2:41" ht="12.75" customHeight="1" x14ac:dyDescent="0.25">
      <c r="B313" s="40"/>
      <c r="C313" s="40"/>
      <c r="D313" s="40"/>
      <c r="E313" s="40"/>
      <c r="F313" s="40"/>
      <c r="G313" s="40"/>
      <c r="H313" s="5"/>
      <c r="Q313" s="40"/>
      <c r="R313" s="40"/>
      <c r="S313" s="40"/>
      <c r="T313" s="40"/>
      <c r="U313" s="40"/>
      <c r="W313" s="40"/>
      <c r="X313" s="40"/>
      <c r="Y313" s="40"/>
      <c r="Z313" s="40"/>
      <c r="AA313" s="41"/>
      <c r="AB313" s="41"/>
      <c r="AC313" s="41"/>
      <c r="AD313" s="41"/>
      <c r="AE313" s="40"/>
      <c r="AF313" s="42"/>
      <c r="AG313" s="5"/>
      <c r="AH313" s="5"/>
      <c r="AI313" s="40"/>
      <c r="AJ313" s="40"/>
      <c r="AK313" s="40"/>
      <c r="AL313" s="40"/>
      <c r="AM313" s="40"/>
      <c r="AO313" s="40"/>
    </row>
    <row r="314" spans="2:41" ht="12.75" customHeight="1" x14ac:dyDescent="0.25">
      <c r="B314" s="40"/>
      <c r="C314" s="40"/>
      <c r="D314" s="40"/>
      <c r="E314" s="40"/>
      <c r="F314" s="40"/>
      <c r="G314" s="40"/>
      <c r="H314" s="5"/>
      <c r="Q314" s="40"/>
      <c r="R314" s="40"/>
      <c r="S314" s="40"/>
      <c r="T314" s="40"/>
      <c r="U314" s="40"/>
      <c r="W314" s="40"/>
      <c r="X314" s="40"/>
      <c r="Y314" s="40"/>
      <c r="Z314" s="40"/>
      <c r="AA314" s="41"/>
      <c r="AB314" s="41"/>
      <c r="AC314" s="41"/>
      <c r="AD314" s="41"/>
      <c r="AE314" s="40"/>
      <c r="AF314" s="42"/>
      <c r="AG314" s="5"/>
      <c r="AH314" s="5"/>
      <c r="AI314" s="40"/>
      <c r="AJ314" s="40"/>
      <c r="AK314" s="40"/>
      <c r="AL314" s="40"/>
      <c r="AM314" s="40"/>
      <c r="AO314" s="40"/>
    </row>
    <row r="315" spans="2:41" ht="12.75" customHeight="1" x14ac:dyDescent="0.25">
      <c r="B315" s="40"/>
      <c r="C315" s="40"/>
      <c r="D315" s="40"/>
      <c r="E315" s="40"/>
      <c r="F315" s="40"/>
      <c r="G315" s="40"/>
      <c r="H315" s="5"/>
      <c r="Q315" s="40"/>
      <c r="R315" s="40"/>
      <c r="S315" s="40"/>
      <c r="T315" s="40"/>
      <c r="U315" s="40"/>
      <c r="W315" s="40"/>
      <c r="X315" s="40"/>
      <c r="Y315" s="40"/>
      <c r="Z315" s="40"/>
      <c r="AA315" s="41"/>
      <c r="AB315" s="41"/>
      <c r="AC315" s="41"/>
      <c r="AD315" s="41"/>
      <c r="AE315" s="40"/>
      <c r="AF315" s="42"/>
      <c r="AG315" s="5"/>
      <c r="AH315" s="5"/>
      <c r="AI315" s="40"/>
      <c r="AJ315" s="40"/>
      <c r="AK315" s="40"/>
      <c r="AL315" s="40"/>
      <c r="AM315" s="40"/>
      <c r="AO315" s="40"/>
    </row>
    <row r="316" spans="2:41" ht="12.75" customHeight="1" x14ac:dyDescent="0.25">
      <c r="B316" s="40"/>
      <c r="C316" s="40"/>
      <c r="D316" s="40"/>
      <c r="E316" s="40"/>
      <c r="F316" s="40"/>
      <c r="G316" s="40"/>
      <c r="H316" s="5"/>
      <c r="Q316" s="40"/>
      <c r="R316" s="40"/>
      <c r="S316" s="40"/>
      <c r="T316" s="40"/>
      <c r="U316" s="40"/>
      <c r="W316" s="40"/>
      <c r="X316" s="40"/>
      <c r="Y316" s="40"/>
      <c r="Z316" s="40"/>
      <c r="AA316" s="41"/>
      <c r="AB316" s="41"/>
      <c r="AC316" s="41"/>
      <c r="AD316" s="41"/>
      <c r="AE316" s="40"/>
      <c r="AF316" s="42"/>
      <c r="AG316" s="5"/>
      <c r="AH316" s="5"/>
      <c r="AI316" s="40"/>
      <c r="AJ316" s="40"/>
      <c r="AK316" s="40"/>
      <c r="AL316" s="40"/>
      <c r="AM316" s="40"/>
      <c r="AO316" s="40"/>
    </row>
    <row r="317" spans="2:41" ht="12.75" customHeight="1" x14ac:dyDescent="0.25">
      <c r="B317" s="40"/>
      <c r="C317" s="40"/>
      <c r="D317" s="40"/>
      <c r="E317" s="40"/>
      <c r="F317" s="40"/>
      <c r="G317" s="40"/>
      <c r="H317" s="5"/>
      <c r="Q317" s="40"/>
      <c r="R317" s="40"/>
      <c r="S317" s="40"/>
      <c r="T317" s="40"/>
      <c r="U317" s="40"/>
      <c r="W317" s="40"/>
      <c r="X317" s="40"/>
      <c r="Y317" s="40"/>
      <c r="Z317" s="40"/>
      <c r="AA317" s="41"/>
      <c r="AB317" s="41"/>
      <c r="AC317" s="41"/>
      <c r="AD317" s="41"/>
      <c r="AE317" s="40"/>
      <c r="AF317" s="42"/>
      <c r="AG317" s="5"/>
      <c r="AH317" s="5"/>
      <c r="AI317" s="40"/>
      <c r="AJ317" s="40"/>
      <c r="AK317" s="40"/>
      <c r="AL317" s="40"/>
      <c r="AM317" s="40"/>
      <c r="AO317" s="40"/>
    </row>
    <row r="318" spans="2:41" ht="12.75" customHeight="1" x14ac:dyDescent="0.25">
      <c r="B318" s="40"/>
      <c r="C318" s="40"/>
      <c r="D318" s="40"/>
      <c r="E318" s="40"/>
      <c r="F318" s="40"/>
      <c r="G318" s="40"/>
      <c r="H318" s="5"/>
      <c r="Q318" s="40"/>
      <c r="R318" s="40"/>
      <c r="S318" s="40"/>
      <c r="T318" s="40"/>
      <c r="U318" s="40"/>
      <c r="W318" s="40"/>
      <c r="X318" s="40"/>
      <c r="Y318" s="40"/>
      <c r="Z318" s="40"/>
      <c r="AA318" s="41"/>
      <c r="AB318" s="41"/>
      <c r="AC318" s="41"/>
      <c r="AD318" s="41"/>
      <c r="AE318" s="40"/>
      <c r="AF318" s="42"/>
      <c r="AG318" s="5"/>
      <c r="AH318" s="5"/>
      <c r="AI318" s="40"/>
      <c r="AJ318" s="40"/>
      <c r="AK318" s="40"/>
      <c r="AL318" s="40"/>
      <c r="AM318" s="40"/>
      <c r="AO318" s="40"/>
    </row>
    <row r="319" spans="2:41" ht="12.75" customHeight="1" x14ac:dyDescent="0.25">
      <c r="B319" s="40"/>
      <c r="C319" s="40"/>
      <c r="D319" s="40"/>
      <c r="E319" s="40"/>
      <c r="F319" s="40"/>
      <c r="G319" s="40"/>
      <c r="H319" s="5"/>
      <c r="Q319" s="40"/>
      <c r="R319" s="40"/>
      <c r="S319" s="40"/>
      <c r="T319" s="40"/>
      <c r="U319" s="40"/>
      <c r="W319" s="40"/>
      <c r="X319" s="40"/>
      <c r="Y319" s="40"/>
      <c r="Z319" s="40"/>
      <c r="AA319" s="41"/>
      <c r="AB319" s="41"/>
      <c r="AC319" s="41"/>
      <c r="AD319" s="41"/>
      <c r="AE319" s="40"/>
      <c r="AF319" s="42"/>
      <c r="AG319" s="5"/>
      <c r="AH319" s="5"/>
      <c r="AI319" s="40"/>
      <c r="AJ319" s="40"/>
      <c r="AK319" s="40"/>
      <c r="AL319" s="40"/>
      <c r="AM319" s="40"/>
      <c r="AO319" s="40"/>
    </row>
    <row r="320" spans="2:41" ht="12.75" customHeight="1" x14ac:dyDescent="0.25">
      <c r="B320" s="40"/>
      <c r="C320" s="40"/>
      <c r="D320" s="40"/>
      <c r="E320" s="40"/>
      <c r="F320" s="40"/>
      <c r="G320" s="40"/>
      <c r="H320" s="5"/>
      <c r="Q320" s="40"/>
      <c r="R320" s="40"/>
      <c r="S320" s="40"/>
      <c r="T320" s="40"/>
      <c r="U320" s="40"/>
      <c r="W320" s="40"/>
      <c r="X320" s="40"/>
      <c r="Y320" s="40"/>
      <c r="Z320" s="40"/>
      <c r="AA320" s="41"/>
      <c r="AB320" s="41"/>
      <c r="AC320" s="41"/>
      <c r="AD320" s="41"/>
      <c r="AE320" s="40"/>
      <c r="AF320" s="42"/>
      <c r="AG320" s="5"/>
      <c r="AH320" s="5"/>
      <c r="AI320" s="40"/>
      <c r="AJ320" s="40"/>
      <c r="AK320" s="40"/>
      <c r="AL320" s="40"/>
      <c r="AM320" s="40"/>
      <c r="AO320" s="40"/>
    </row>
    <row r="321" spans="2:41" ht="12.75" customHeight="1" x14ac:dyDescent="0.25">
      <c r="B321" s="40"/>
      <c r="C321" s="40"/>
      <c r="D321" s="40"/>
      <c r="E321" s="40"/>
      <c r="F321" s="40"/>
      <c r="G321" s="40"/>
      <c r="H321" s="5"/>
      <c r="Q321" s="40"/>
      <c r="R321" s="40"/>
      <c r="S321" s="40"/>
      <c r="T321" s="40"/>
      <c r="U321" s="40"/>
      <c r="W321" s="40"/>
      <c r="X321" s="40"/>
      <c r="Y321" s="40"/>
      <c r="Z321" s="40"/>
      <c r="AA321" s="41"/>
      <c r="AB321" s="41"/>
      <c r="AC321" s="41"/>
      <c r="AD321" s="41"/>
      <c r="AE321" s="40"/>
      <c r="AF321" s="42"/>
      <c r="AG321" s="5"/>
      <c r="AH321" s="5"/>
      <c r="AI321" s="40"/>
      <c r="AJ321" s="40"/>
      <c r="AK321" s="40"/>
      <c r="AL321" s="40"/>
      <c r="AM321" s="40"/>
      <c r="AO321" s="40"/>
    </row>
    <row r="322" spans="2:41" ht="12.75" customHeight="1" x14ac:dyDescent="0.25">
      <c r="B322" s="40"/>
      <c r="C322" s="40"/>
      <c r="D322" s="40"/>
      <c r="E322" s="40"/>
      <c r="F322" s="40"/>
      <c r="G322" s="40"/>
      <c r="H322" s="5"/>
      <c r="Q322" s="40"/>
      <c r="R322" s="40"/>
      <c r="S322" s="40"/>
      <c r="T322" s="40"/>
      <c r="U322" s="40"/>
      <c r="W322" s="40"/>
      <c r="X322" s="40"/>
      <c r="Y322" s="40"/>
      <c r="Z322" s="40"/>
      <c r="AA322" s="41"/>
      <c r="AB322" s="41"/>
      <c r="AC322" s="41"/>
      <c r="AD322" s="41"/>
      <c r="AE322" s="40"/>
      <c r="AF322" s="42"/>
      <c r="AG322" s="5"/>
      <c r="AH322" s="5"/>
      <c r="AI322" s="40"/>
      <c r="AJ322" s="40"/>
      <c r="AK322" s="40"/>
      <c r="AL322" s="40"/>
      <c r="AM322" s="40"/>
      <c r="AO322" s="40"/>
    </row>
    <row r="323" spans="2:41" ht="12.75" customHeight="1" x14ac:dyDescent="0.25">
      <c r="B323" s="40"/>
      <c r="C323" s="40"/>
      <c r="D323" s="40"/>
      <c r="E323" s="40"/>
      <c r="F323" s="40"/>
      <c r="G323" s="40"/>
      <c r="H323" s="5"/>
      <c r="Q323" s="40"/>
      <c r="R323" s="40"/>
      <c r="S323" s="40"/>
      <c r="T323" s="40"/>
      <c r="U323" s="40"/>
      <c r="W323" s="40"/>
      <c r="X323" s="40"/>
      <c r="Y323" s="40"/>
      <c r="Z323" s="40"/>
      <c r="AA323" s="41"/>
      <c r="AB323" s="41"/>
      <c r="AC323" s="41"/>
      <c r="AD323" s="41"/>
      <c r="AE323" s="40"/>
      <c r="AF323" s="42"/>
      <c r="AG323" s="5"/>
      <c r="AH323" s="5"/>
      <c r="AI323" s="40"/>
      <c r="AJ323" s="40"/>
      <c r="AK323" s="40"/>
      <c r="AL323" s="40"/>
      <c r="AM323" s="40"/>
      <c r="AO323" s="40"/>
    </row>
    <row r="324" spans="2:41" ht="12.75" customHeight="1" x14ac:dyDescent="0.25">
      <c r="B324" s="40"/>
      <c r="C324" s="40"/>
      <c r="D324" s="40"/>
      <c r="E324" s="40"/>
      <c r="F324" s="40"/>
      <c r="G324" s="40"/>
      <c r="H324" s="5"/>
      <c r="Q324" s="40"/>
      <c r="R324" s="40"/>
      <c r="S324" s="40"/>
      <c r="T324" s="40"/>
      <c r="U324" s="40"/>
      <c r="W324" s="40"/>
      <c r="X324" s="40"/>
      <c r="Y324" s="40"/>
      <c r="Z324" s="40"/>
      <c r="AA324" s="41"/>
      <c r="AB324" s="41"/>
      <c r="AC324" s="41"/>
      <c r="AD324" s="41"/>
      <c r="AE324" s="40"/>
      <c r="AF324" s="42"/>
      <c r="AG324" s="5"/>
      <c r="AH324" s="5"/>
      <c r="AI324" s="40"/>
      <c r="AJ324" s="40"/>
      <c r="AK324" s="40"/>
      <c r="AL324" s="40"/>
      <c r="AM324" s="40"/>
      <c r="AO324" s="40"/>
    </row>
    <row r="325" spans="2:41" ht="12.75" customHeight="1" x14ac:dyDescent="0.25">
      <c r="B325" s="40"/>
      <c r="C325" s="40"/>
      <c r="D325" s="40"/>
      <c r="E325" s="40"/>
      <c r="F325" s="40"/>
      <c r="G325" s="40"/>
      <c r="H325" s="5"/>
      <c r="Q325" s="40"/>
      <c r="R325" s="40"/>
      <c r="S325" s="40"/>
      <c r="T325" s="40"/>
      <c r="U325" s="40"/>
      <c r="W325" s="40"/>
      <c r="X325" s="40"/>
      <c r="Y325" s="40"/>
      <c r="Z325" s="40"/>
      <c r="AA325" s="41"/>
      <c r="AB325" s="41"/>
      <c r="AC325" s="41"/>
      <c r="AD325" s="41"/>
      <c r="AE325" s="40"/>
      <c r="AF325" s="42"/>
      <c r="AG325" s="5"/>
      <c r="AH325" s="5"/>
      <c r="AI325" s="40"/>
      <c r="AJ325" s="40"/>
      <c r="AK325" s="40"/>
      <c r="AL325" s="40"/>
      <c r="AM325" s="40"/>
      <c r="AO325" s="40"/>
    </row>
    <row r="326" spans="2:41" ht="12.75" customHeight="1" x14ac:dyDescent="0.25">
      <c r="B326" s="40"/>
      <c r="C326" s="40"/>
      <c r="D326" s="40"/>
      <c r="E326" s="40"/>
      <c r="F326" s="40"/>
      <c r="G326" s="40"/>
      <c r="H326" s="5"/>
      <c r="Q326" s="40"/>
      <c r="R326" s="40"/>
      <c r="S326" s="40"/>
      <c r="T326" s="40"/>
      <c r="U326" s="40"/>
      <c r="W326" s="40"/>
      <c r="X326" s="40"/>
      <c r="Y326" s="40"/>
      <c r="Z326" s="40"/>
      <c r="AA326" s="41"/>
      <c r="AB326" s="41"/>
      <c r="AC326" s="41"/>
      <c r="AD326" s="41"/>
      <c r="AE326" s="40"/>
      <c r="AF326" s="42"/>
      <c r="AG326" s="5"/>
      <c r="AH326" s="5"/>
      <c r="AI326" s="40"/>
      <c r="AJ326" s="40"/>
      <c r="AK326" s="40"/>
      <c r="AL326" s="40"/>
      <c r="AM326" s="40"/>
      <c r="AO326" s="40"/>
    </row>
    <row r="327" spans="2:41" ht="12.75" customHeight="1" x14ac:dyDescent="0.25">
      <c r="B327" s="40"/>
      <c r="C327" s="40"/>
      <c r="D327" s="40"/>
      <c r="E327" s="40"/>
      <c r="F327" s="40"/>
      <c r="G327" s="40"/>
      <c r="H327" s="5"/>
      <c r="Q327" s="40"/>
      <c r="R327" s="40"/>
      <c r="S327" s="40"/>
      <c r="T327" s="40"/>
      <c r="U327" s="40"/>
      <c r="W327" s="40"/>
      <c r="X327" s="40"/>
      <c r="Y327" s="40"/>
      <c r="Z327" s="40"/>
      <c r="AA327" s="41"/>
      <c r="AB327" s="41"/>
      <c r="AC327" s="41"/>
      <c r="AD327" s="41"/>
      <c r="AE327" s="40"/>
      <c r="AF327" s="42"/>
      <c r="AG327" s="5"/>
      <c r="AH327" s="5"/>
      <c r="AI327" s="40"/>
      <c r="AJ327" s="40"/>
      <c r="AK327" s="40"/>
      <c r="AL327" s="40"/>
      <c r="AM327" s="40"/>
      <c r="AO327" s="40"/>
    </row>
    <row r="328" spans="2:41" ht="12.75" customHeight="1" x14ac:dyDescent="0.25">
      <c r="B328" s="40"/>
      <c r="C328" s="40"/>
      <c r="D328" s="40"/>
      <c r="E328" s="40"/>
      <c r="F328" s="40"/>
      <c r="G328" s="40"/>
      <c r="H328" s="5"/>
      <c r="Q328" s="40"/>
      <c r="R328" s="40"/>
      <c r="S328" s="40"/>
      <c r="T328" s="40"/>
      <c r="U328" s="40"/>
      <c r="W328" s="40"/>
      <c r="X328" s="40"/>
      <c r="Y328" s="40"/>
      <c r="Z328" s="40"/>
      <c r="AA328" s="41"/>
      <c r="AB328" s="41"/>
      <c r="AC328" s="41"/>
      <c r="AD328" s="41"/>
      <c r="AE328" s="40"/>
      <c r="AF328" s="42"/>
      <c r="AG328" s="5"/>
      <c r="AH328" s="5"/>
      <c r="AI328" s="40"/>
      <c r="AJ328" s="40"/>
      <c r="AK328" s="40"/>
      <c r="AL328" s="40"/>
      <c r="AM328" s="40"/>
      <c r="AO328" s="40"/>
    </row>
    <row r="329" spans="2:41" ht="12.75" customHeight="1" x14ac:dyDescent="0.25">
      <c r="B329" s="40"/>
      <c r="C329" s="40"/>
      <c r="D329" s="40"/>
      <c r="E329" s="40"/>
      <c r="F329" s="40"/>
      <c r="G329" s="40"/>
      <c r="H329" s="5"/>
      <c r="Q329" s="40"/>
      <c r="R329" s="40"/>
      <c r="S329" s="40"/>
      <c r="T329" s="40"/>
      <c r="U329" s="40"/>
      <c r="W329" s="40"/>
      <c r="X329" s="40"/>
      <c r="Y329" s="40"/>
      <c r="Z329" s="40"/>
      <c r="AA329" s="41"/>
      <c r="AB329" s="41"/>
      <c r="AC329" s="41"/>
      <c r="AD329" s="41"/>
      <c r="AE329" s="40"/>
      <c r="AF329" s="42"/>
      <c r="AG329" s="5"/>
      <c r="AH329" s="5"/>
      <c r="AI329" s="40"/>
      <c r="AJ329" s="40"/>
      <c r="AK329" s="40"/>
      <c r="AL329" s="40"/>
      <c r="AM329" s="40"/>
      <c r="AO329" s="40"/>
    </row>
    <row r="330" spans="2:41" ht="12.75" customHeight="1" x14ac:dyDescent="0.25">
      <c r="B330" s="40"/>
      <c r="C330" s="40"/>
      <c r="D330" s="40"/>
      <c r="E330" s="40"/>
      <c r="F330" s="40"/>
      <c r="G330" s="40"/>
      <c r="H330" s="5"/>
      <c r="Q330" s="40"/>
      <c r="R330" s="40"/>
      <c r="S330" s="40"/>
      <c r="T330" s="40"/>
      <c r="U330" s="40"/>
      <c r="W330" s="40"/>
      <c r="X330" s="40"/>
      <c r="Y330" s="40"/>
      <c r="Z330" s="40"/>
      <c r="AA330" s="41"/>
      <c r="AB330" s="41"/>
      <c r="AC330" s="41"/>
      <c r="AD330" s="41"/>
      <c r="AE330" s="40"/>
      <c r="AF330" s="42"/>
      <c r="AG330" s="5"/>
      <c r="AH330" s="5"/>
      <c r="AI330" s="40"/>
      <c r="AJ330" s="40"/>
      <c r="AK330" s="40"/>
      <c r="AL330" s="40"/>
      <c r="AM330" s="40"/>
      <c r="AO330" s="40"/>
    </row>
    <row r="331" spans="2:41" ht="12.75" customHeight="1" x14ac:dyDescent="0.25">
      <c r="B331" s="40"/>
      <c r="C331" s="40"/>
      <c r="D331" s="40"/>
      <c r="E331" s="40"/>
      <c r="F331" s="40"/>
      <c r="G331" s="40"/>
      <c r="H331" s="5"/>
      <c r="Q331" s="40"/>
      <c r="R331" s="40"/>
      <c r="S331" s="40"/>
      <c r="T331" s="40"/>
      <c r="U331" s="40"/>
      <c r="W331" s="40"/>
      <c r="X331" s="40"/>
      <c r="Y331" s="40"/>
      <c r="Z331" s="40"/>
      <c r="AA331" s="41"/>
      <c r="AB331" s="41"/>
      <c r="AC331" s="41"/>
      <c r="AD331" s="41"/>
      <c r="AE331" s="40"/>
      <c r="AF331" s="42"/>
      <c r="AG331" s="5"/>
      <c r="AH331" s="5"/>
      <c r="AI331" s="40"/>
      <c r="AJ331" s="40"/>
      <c r="AK331" s="40"/>
      <c r="AL331" s="40"/>
      <c r="AM331" s="40"/>
      <c r="AO331" s="40"/>
    </row>
    <row r="332" spans="2:41" ht="12.75" customHeight="1" x14ac:dyDescent="0.25">
      <c r="B332" s="40"/>
      <c r="C332" s="40"/>
      <c r="D332" s="40"/>
      <c r="E332" s="40"/>
      <c r="F332" s="40"/>
      <c r="G332" s="40"/>
      <c r="H332" s="5"/>
      <c r="Q332" s="40"/>
      <c r="R332" s="40"/>
      <c r="S332" s="40"/>
      <c r="T332" s="40"/>
      <c r="U332" s="40"/>
      <c r="W332" s="40"/>
      <c r="X332" s="40"/>
      <c r="Y332" s="40"/>
      <c r="Z332" s="40"/>
      <c r="AA332" s="41"/>
      <c r="AB332" s="41"/>
      <c r="AC332" s="41"/>
      <c r="AD332" s="41"/>
      <c r="AE332" s="40"/>
      <c r="AF332" s="42"/>
      <c r="AG332" s="5"/>
      <c r="AH332" s="5"/>
      <c r="AI332" s="40"/>
      <c r="AJ332" s="40"/>
      <c r="AK332" s="40"/>
      <c r="AL332" s="40"/>
      <c r="AM332" s="40"/>
      <c r="AO332" s="40"/>
    </row>
    <row r="333" spans="2:41" ht="12.75" customHeight="1" x14ac:dyDescent="0.25">
      <c r="B333" s="40"/>
      <c r="C333" s="40"/>
      <c r="D333" s="40"/>
      <c r="E333" s="40"/>
      <c r="F333" s="40"/>
      <c r="G333" s="40"/>
      <c r="H333" s="5"/>
      <c r="Q333" s="40"/>
      <c r="R333" s="40"/>
      <c r="S333" s="40"/>
      <c r="T333" s="40"/>
      <c r="U333" s="40"/>
      <c r="W333" s="40"/>
      <c r="X333" s="40"/>
      <c r="Y333" s="40"/>
      <c r="Z333" s="40"/>
      <c r="AA333" s="41"/>
      <c r="AB333" s="41"/>
      <c r="AC333" s="41"/>
      <c r="AD333" s="41"/>
      <c r="AE333" s="40"/>
      <c r="AF333" s="42"/>
      <c r="AG333" s="5"/>
      <c r="AH333" s="5"/>
      <c r="AI333" s="40"/>
      <c r="AJ333" s="40"/>
      <c r="AK333" s="40"/>
      <c r="AL333" s="40"/>
      <c r="AM333" s="40"/>
      <c r="AO333" s="40"/>
    </row>
    <row r="334" spans="2:41" ht="12.75" customHeight="1" x14ac:dyDescent="0.25">
      <c r="B334" s="40"/>
      <c r="C334" s="40"/>
      <c r="D334" s="40"/>
      <c r="E334" s="40"/>
      <c r="F334" s="40"/>
      <c r="G334" s="40"/>
      <c r="H334" s="5"/>
      <c r="Q334" s="40"/>
      <c r="R334" s="40"/>
      <c r="S334" s="40"/>
      <c r="T334" s="40"/>
      <c r="U334" s="40"/>
      <c r="W334" s="40"/>
      <c r="X334" s="40"/>
      <c r="Y334" s="40"/>
      <c r="Z334" s="40"/>
      <c r="AA334" s="41"/>
      <c r="AB334" s="41"/>
      <c r="AC334" s="41"/>
      <c r="AD334" s="41"/>
      <c r="AE334" s="40"/>
      <c r="AF334" s="42"/>
      <c r="AG334" s="5"/>
      <c r="AH334" s="5"/>
      <c r="AI334" s="40"/>
      <c r="AJ334" s="40"/>
      <c r="AK334" s="40"/>
      <c r="AL334" s="40"/>
      <c r="AM334" s="40"/>
      <c r="AO334" s="40"/>
    </row>
    <row r="335" spans="2:41" ht="12.75" customHeight="1" x14ac:dyDescent="0.25">
      <c r="B335" s="40"/>
      <c r="C335" s="40"/>
      <c r="D335" s="40"/>
      <c r="E335" s="40"/>
      <c r="F335" s="40"/>
      <c r="G335" s="40"/>
      <c r="H335" s="5"/>
      <c r="Q335" s="40"/>
      <c r="R335" s="40"/>
      <c r="S335" s="40"/>
      <c r="T335" s="40"/>
      <c r="U335" s="40"/>
      <c r="W335" s="40"/>
      <c r="X335" s="40"/>
      <c r="Y335" s="40"/>
      <c r="Z335" s="40"/>
      <c r="AA335" s="41"/>
      <c r="AB335" s="41"/>
      <c r="AC335" s="41"/>
      <c r="AD335" s="41"/>
      <c r="AE335" s="40"/>
      <c r="AF335" s="42"/>
      <c r="AG335" s="5"/>
      <c r="AH335" s="5"/>
      <c r="AI335" s="40"/>
      <c r="AJ335" s="40"/>
      <c r="AK335" s="40"/>
      <c r="AL335" s="40"/>
      <c r="AM335" s="40"/>
      <c r="AO335" s="40"/>
    </row>
    <row r="336" spans="2:41" ht="12.75" customHeight="1" x14ac:dyDescent="0.25">
      <c r="B336" s="40"/>
      <c r="C336" s="40"/>
      <c r="D336" s="40"/>
      <c r="E336" s="40"/>
      <c r="F336" s="40"/>
      <c r="G336" s="40"/>
      <c r="H336" s="5"/>
      <c r="Q336" s="40"/>
      <c r="R336" s="40"/>
      <c r="S336" s="40"/>
      <c r="T336" s="40"/>
      <c r="U336" s="40"/>
      <c r="W336" s="40"/>
      <c r="X336" s="40"/>
      <c r="Y336" s="40"/>
      <c r="Z336" s="40"/>
      <c r="AA336" s="41"/>
      <c r="AB336" s="41"/>
      <c r="AC336" s="41"/>
      <c r="AD336" s="41"/>
      <c r="AE336" s="40"/>
      <c r="AF336" s="42"/>
      <c r="AG336" s="5"/>
      <c r="AH336" s="5"/>
      <c r="AI336" s="40"/>
      <c r="AJ336" s="40"/>
      <c r="AK336" s="40"/>
      <c r="AL336" s="40"/>
      <c r="AM336" s="40"/>
      <c r="AO336" s="40"/>
    </row>
    <row r="337" spans="2:41" ht="12.75" customHeight="1" x14ac:dyDescent="0.25">
      <c r="B337" s="40"/>
      <c r="C337" s="40"/>
      <c r="D337" s="40"/>
      <c r="E337" s="40"/>
      <c r="F337" s="40"/>
      <c r="G337" s="40"/>
      <c r="H337" s="5"/>
      <c r="Q337" s="40"/>
      <c r="R337" s="40"/>
      <c r="S337" s="40"/>
      <c r="T337" s="40"/>
      <c r="U337" s="40"/>
      <c r="W337" s="40"/>
      <c r="X337" s="40"/>
      <c r="Y337" s="40"/>
      <c r="Z337" s="40"/>
      <c r="AA337" s="41"/>
      <c r="AB337" s="41"/>
      <c r="AC337" s="41"/>
      <c r="AD337" s="41"/>
      <c r="AE337" s="40"/>
      <c r="AF337" s="42"/>
      <c r="AG337" s="5"/>
      <c r="AH337" s="5"/>
      <c r="AI337" s="40"/>
      <c r="AJ337" s="40"/>
      <c r="AK337" s="40"/>
      <c r="AL337" s="40"/>
      <c r="AM337" s="40"/>
      <c r="AO337" s="40"/>
    </row>
    <row r="338" spans="2:41" ht="12.75" customHeight="1" x14ac:dyDescent="0.25">
      <c r="B338" s="40"/>
      <c r="C338" s="40"/>
      <c r="D338" s="40"/>
      <c r="E338" s="40"/>
      <c r="F338" s="40"/>
      <c r="G338" s="40"/>
      <c r="H338" s="5"/>
      <c r="Q338" s="40"/>
      <c r="R338" s="40"/>
      <c r="S338" s="40"/>
      <c r="T338" s="40"/>
      <c r="U338" s="40"/>
      <c r="W338" s="40"/>
      <c r="X338" s="40"/>
      <c r="Y338" s="40"/>
      <c r="Z338" s="40"/>
      <c r="AA338" s="41"/>
      <c r="AB338" s="41"/>
      <c r="AC338" s="41"/>
      <c r="AD338" s="41"/>
      <c r="AE338" s="40"/>
      <c r="AF338" s="42"/>
      <c r="AG338" s="5"/>
      <c r="AH338" s="5"/>
      <c r="AI338" s="40"/>
      <c r="AJ338" s="40"/>
      <c r="AK338" s="40"/>
      <c r="AL338" s="40"/>
      <c r="AM338" s="40"/>
      <c r="AO338" s="40"/>
    </row>
    <row r="339" spans="2:41" ht="12.75" customHeight="1" x14ac:dyDescent="0.25">
      <c r="B339" s="40"/>
      <c r="C339" s="40"/>
      <c r="D339" s="40"/>
      <c r="E339" s="40"/>
      <c r="F339" s="40"/>
      <c r="G339" s="40"/>
      <c r="H339" s="5"/>
      <c r="Q339" s="40"/>
      <c r="R339" s="40"/>
      <c r="S339" s="40"/>
      <c r="T339" s="40"/>
      <c r="U339" s="40"/>
      <c r="W339" s="40"/>
      <c r="X339" s="40"/>
      <c r="Y339" s="40"/>
      <c r="Z339" s="40"/>
      <c r="AA339" s="41"/>
      <c r="AB339" s="41"/>
      <c r="AC339" s="41"/>
      <c r="AD339" s="41"/>
      <c r="AE339" s="40"/>
      <c r="AF339" s="42"/>
      <c r="AG339" s="5"/>
      <c r="AH339" s="5"/>
      <c r="AI339" s="40"/>
      <c r="AJ339" s="40"/>
      <c r="AK339" s="40"/>
      <c r="AL339" s="40"/>
      <c r="AM339" s="40"/>
      <c r="AO339" s="40"/>
    </row>
    <row r="340" spans="2:41" ht="12.75" customHeight="1" x14ac:dyDescent="0.25">
      <c r="B340" s="40"/>
      <c r="C340" s="40"/>
      <c r="D340" s="40"/>
      <c r="E340" s="40"/>
      <c r="F340" s="40"/>
      <c r="G340" s="40"/>
      <c r="H340" s="5"/>
      <c r="Q340" s="40"/>
      <c r="R340" s="40"/>
      <c r="S340" s="40"/>
      <c r="T340" s="40"/>
      <c r="U340" s="40"/>
      <c r="W340" s="40"/>
      <c r="X340" s="40"/>
      <c r="Y340" s="40"/>
      <c r="Z340" s="40"/>
      <c r="AA340" s="41"/>
      <c r="AB340" s="41"/>
      <c r="AC340" s="41"/>
      <c r="AD340" s="41"/>
      <c r="AE340" s="40"/>
      <c r="AF340" s="42"/>
      <c r="AG340" s="5"/>
      <c r="AH340" s="5"/>
      <c r="AI340" s="40"/>
      <c r="AJ340" s="40"/>
      <c r="AK340" s="40"/>
      <c r="AL340" s="40"/>
      <c r="AM340" s="40"/>
      <c r="AO340" s="40"/>
    </row>
    <row r="341" spans="2:41" ht="12.75" customHeight="1" x14ac:dyDescent="0.25">
      <c r="B341" s="40"/>
      <c r="C341" s="40"/>
      <c r="D341" s="40"/>
      <c r="E341" s="40"/>
      <c r="F341" s="40"/>
      <c r="G341" s="40"/>
      <c r="H341" s="5"/>
      <c r="Q341" s="40"/>
      <c r="R341" s="40"/>
      <c r="S341" s="40"/>
      <c r="T341" s="40"/>
      <c r="U341" s="40"/>
      <c r="W341" s="40"/>
      <c r="X341" s="40"/>
      <c r="Y341" s="40"/>
      <c r="Z341" s="40"/>
      <c r="AA341" s="41"/>
      <c r="AB341" s="41"/>
      <c r="AC341" s="41"/>
      <c r="AD341" s="41"/>
      <c r="AE341" s="40"/>
      <c r="AF341" s="42"/>
      <c r="AG341" s="5"/>
      <c r="AH341" s="5"/>
      <c r="AI341" s="40"/>
      <c r="AJ341" s="40"/>
      <c r="AK341" s="40"/>
      <c r="AL341" s="40"/>
      <c r="AM341" s="40"/>
      <c r="AO341" s="40"/>
    </row>
    <row r="342" spans="2:41" ht="12.75" customHeight="1" x14ac:dyDescent="0.25">
      <c r="B342" s="40"/>
      <c r="C342" s="40"/>
      <c r="D342" s="40"/>
      <c r="E342" s="40"/>
      <c r="F342" s="40"/>
      <c r="G342" s="40"/>
      <c r="H342" s="5"/>
      <c r="Q342" s="40"/>
      <c r="R342" s="40"/>
      <c r="S342" s="40"/>
      <c r="T342" s="40"/>
      <c r="U342" s="40"/>
      <c r="W342" s="40"/>
      <c r="X342" s="40"/>
      <c r="Y342" s="40"/>
      <c r="Z342" s="40"/>
      <c r="AA342" s="41"/>
      <c r="AB342" s="41"/>
      <c r="AC342" s="41"/>
      <c r="AD342" s="41"/>
      <c r="AE342" s="40"/>
      <c r="AF342" s="42"/>
      <c r="AG342" s="5"/>
      <c r="AH342" s="5"/>
      <c r="AI342" s="40"/>
      <c r="AJ342" s="40"/>
      <c r="AK342" s="40"/>
      <c r="AL342" s="40"/>
      <c r="AM342" s="40"/>
      <c r="AO342" s="40"/>
    </row>
    <row r="343" spans="2:41" ht="12.75" customHeight="1" x14ac:dyDescent="0.25">
      <c r="B343" s="40"/>
      <c r="C343" s="40"/>
      <c r="D343" s="40"/>
      <c r="E343" s="40"/>
      <c r="F343" s="40"/>
      <c r="G343" s="40"/>
      <c r="H343" s="5"/>
      <c r="Q343" s="40"/>
      <c r="R343" s="40"/>
      <c r="S343" s="40"/>
      <c r="T343" s="40"/>
      <c r="U343" s="40"/>
      <c r="W343" s="40"/>
      <c r="X343" s="40"/>
      <c r="Y343" s="40"/>
      <c r="Z343" s="40"/>
      <c r="AA343" s="41"/>
      <c r="AB343" s="41"/>
      <c r="AC343" s="41"/>
      <c r="AD343" s="41"/>
      <c r="AE343" s="40"/>
      <c r="AF343" s="42"/>
      <c r="AG343" s="5"/>
      <c r="AH343" s="5"/>
      <c r="AI343" s="40"/>
      <c r="AJ343" s="40"/>
      <c r="AK343" s="40"/>
      <c r="AL343" s="40"/>
      <c r="AM343" s="40"/>
      <c r="AO343" s="40"/>
    </row>
    <row r="344" spans="2:41" ht="12.75" customHeight="1" x14ac:dyDescent="0.25">
      <c r="B344" s="40"/>
      <c r="C344" s="40"/>
      <c r="D344" s="40"/>
      <c r="E344" s="40"/>
      <c r="F344" s="40"/>
      <c r="G344" s="40"/>
      <c r="H344" s="5"/>
      <c r="Q344" s="40"/>
      <c r="R344" s="40"/>
      <c r="S344" s="40"/>
      <c r="T344" s="40"/>
      <c r="U344" s="40"/>
      <c r="W344" s="40"/>
      <c r="X344" s="40"/>
      <c r="Y344" s="40"/>
      <c r="Z344" s="40"/>
      <c r="AA344" s="41"/>
      <c r="AB344" s="41"/>
      <c r="AC344" s="41"/>
      <c r="AD344" s="41"/>
      <c r="AE344" s="40"/>
      <c r="AF344" s="42"/>
      <c r="AG344" s="5"/>
      <c r="AH344" s="5"/>
      <c r="AI344" s="40"/>
      <c r="AJ344" s="40"/>
      <c r="AK344" s="40"/>
      <c r="AL344" s="40"/>
      <c r="AM344" s="40"/>
      <c r="AO344" s="40"/>
    </row>
    <row r="345" spans="2:41" ht="12.75" customHeight="1" x14ac:dyDescent="0.25">
      <c r="B345" s="40"/>
      <c r="C345" s="40"/>
      <c r="D345" s="40"/>
      <c r="E345" s="40"/>
      <c r="F345" s="40"/>
      <c r="G345" s="40"/>
      <c r="H345" s="5"/>
      <c r="Q345" s="40"/>
      <c r="R345" s="40"/>
      <c r="S345" s="40"/>
      <c r="T345" s="40"/>
      <c r="U345" s="40"/>
      <c r="W345" s="40"/>
      <c r="X345" s="40"/>
      <c r="Y345" s="40"/>
      <c r="Z345" s="40"/>
      <c r="AA345" s="41"/>
      <c r="AB345" s="41"/>
      <c r="AC345" s="41"/>
      <c r="AD345" s="41"/>
      <c r="AE345" s="40"/>
      <c r="AF345" s="42"/>
      <c r="AG345" s="5"/>
      <c r="AH345" s="5"/>
      <c r="AI345" s="40"/>
      <c r="AJ345" s="40"/>
      <c r="AK345" s="40"/>
      <c r="AL345" s="40"/>
      <c r="AM345" s="40"/>
      <c r="AO345" s="40"/>
    </row>
    <row r="346" spans="2:41" ht="12.75" customHeight="1" x14ac:dyDescent="0.25">
      <c r="B346" s="40"/>
      <c r="C346" s="40"/>
      <c r="D346" s="40"/>
      <c r="E346" s="40"/>
      <c r="F346" s="40"/>
      <c r="G346" s="40"/>
      <c r="H346" s="5"/>
      <c r="Q346" s="40"/>
      <c r="R346" s="40"/>
      <c r="S346" s="40"/>
      <c r="T346" s="40"/>
      <c r="U346" s="40"/>
      <c r="W346" s="40"/>
      <c r="X346" s="40"/>
      <c r="Y346" s="40"/>
      <c r="Z346" s="40"/>
      <c r="AA346" s="41"/>
      <c r="AB346" s="41"/>
      <c r="AC346" s="41"/>
      <c r="AD346" s="41"/>
      <c r="AE346" s="40"/>
      <c r="AF346" s="42"/>
      <c r="AG346" s="5"/>
      <c r="AH346" s="5"/>
      <c r="AI346" s="40"/>
      <c r="AJ346" s="40"/>
      <c r="AK346" s="40"/>
      <c r="AL346" s="40"/>
      <c r="AM346" s="40"/>
      <c r="AO346" s="40"/>
    </row>
    <row r="347" spans="2:41" ht="12.75" customHeight="1" x14ac:dyDescent="0.25">
      <c r="B347" s="40"/>
      <c r="C347" s="40"/>
      <c r="D347" s="40"/>
      <c r="E347" s="40"/>
      <c r="F347" s="40"/>
      <c r="G347" s="40"/>
      <c r="H347" s="5"/>
      <c r="Q347" s="40"/>
      <c r="R347" s="40"/>
      <c r="S347" s="40"/>
      <c r="T347" s="40"/>
      <c r="U347" s="40"/>
      <c r="W347" s="40"/>
      <c r="X347" s="40"/>
      <c r="Y347" s="40"/>
      <c r="Z347" s="40"/>
      <c r="AA347" s="41"/>
      <c r="AB347" s="41"/>
      <c r="AC347" s="41"/>
      <c r="AD347" s="41"/>
      <c r="AE347" s="40"/>
      <c r="AF347" s="42"/>
      <c r="AG347" s="5"/>
      <c r="AH347" s="5"/>
      <c r="AI347" s="40"/>
      <c r="AJ347" s="40"/>
      <c r="AK347" s="40"/>
      <c r="AL347" s="40"/>
      <c r="AM347" s="40"/>
      <c r="AO347" s="40"/>
    </row>
    <row r="348" spans="2:41" ht="12.75" customHeight="1" x14ac:dyDescent="0.25">
      <c r="B348" s="40"/>
      <c r="C348" s="40"/>
      <c r="D348" s="40"/>
      <c r="E348" s="40"/>
      <c r="F348" s="40"/>
      <c r="G348" s="40"/>
      <c r="H348" s="5"/>
      <c r="Q348" s="40"/>
      <c r="R348" s="40"/>
      <c r="S348" s="40"/>
      <c r="T348" s="40"/>
      <c r="U348" s="40"/>
      <c r="W348" s="40"/>
      <c r="X348" s="40"/>
      <c r="Y348" s="40"/>
      <c r="Z348" s="40"/>
      <c r="AA348" s="41"/>
      <c r="AB348" s="41"/>
      <c r="AC348" s="41"/>
      <c r="AD348" s="41"/>
      <c r="AE348" s="40"/>
      <c r="AF348" s="42"/>
      <c r="AG348" s="5"/>
      <c r="AH348" s="5"/>
      <c r="AI348" s="40"/>
      <c r="AJ348" s="40"/>
      <c r="AK348" s="40"/>
      <c r="AL348" s="40"/>
      <c r="AM348" s="40"/>
      <c r="AO348" s="40"/>
    </row>
    <row r="349" spans="2:41" ht="12.75" customHeight="1" x14ac:dyDescent="0.25">
      <c r="B349" s="40"/>
      <c r="C349" s="40"/>
      <c r="D349" s="40"/>
      <c r="E349" s="40"/>
      <c r="F349" s="40"/>
      <c r="G349" s="40"/>
      <c r="H349" s="5"/>
      <c r="Q349" s="40"/>
      <c r="R349" s="40"/>
      <c r="S349" s="40"/>
      <c r="T349" s="40"/>
      <c r="U349" s="40"/>
      <c r="W349" s="40"/>
      <c r="X349" s="40"/>
      <c r="Y349" s="40"/>
      <c r="Z349" s="40"/>
      <c r="AA349" s="41"/>
      <c r="AB349" s="41"/>
      <c r="AC349" s="41"/>
      <c r="AD349" s="41"/>
      <c r="AE349" s="40"/>
      <c r="AF349" s="42"/>
      <c r="AG349" s="5"/>
      <c r="AH349" s="5"/>
      <c r="AI349" s="40"/>
      <c r="AJ349" s="40"/>
      <c r="AK349" s="40"/>
      <c r="AL349" s="40"/>
      <c r="AM349" s="40"/>
      <c r="AO349" s="40"/>
    </row>
    <row r="350" spans="2:41" ht="12.75" customHeight="1" x14ac:dyDescent="0.25">
      <c r="B350" s="40"/>
      <c r="C350" s="40"/>
      <c r="D350" s="40"/>
      <c r="E350" s="40"/>
      <c r="F350" s="40"/>
      <c r="G350" s="40"/>
      <c r="H350" s="5"/>
      <c r="Q350" s="40"/>
      <c r="R350" s="40"/>
      <c r="S350" s="40"/>
      <c r="T350" s="40"/>
      <c r="U350" s="40"/>
      <c r="W350" s="40"/>
      <c r="X350" s="40"/>
      <c r="Y350" s="40"/>
      <c r="Z350" s="40"/>
      <c r="AA350" s="41"/>
      <c r="AB350" s="41"/>
      <c r="AC350" s="41"/>
      <c r="AD350" s="41"/>
      <c r="AE350" s="40"/>
      <c r="AF350" s="42"/>
      <c r="AG350" s="5"/>
      <c r="AH350" s="5"/>
      <c r="AI350" s="40"/>
      <c r="AJ350" s="40"/>
      <c r="AK350" s="40"/>
      <c r="AL350" s="40"/>
      <c r="AM350" s="40"/>
      <c r="AO350" s="40"/>
    </row>
    <row r="351" spans="2:41" ht="12.75" customHeight="1" x14ac:dyDescent="0.25">
      <c r="B351" s="40"/>
      <c r="C351" s="40"/>
      <c r="D351" s="40"/>
      <c r="E351" s="40"/>
      <c r="F351" s="40"/>
      <c r="G351" s="40"/>
      <c r="H351" s="5"/>
      <c r="Q351" s="40"/>
      <c r="R351" s="40"/>
      <c r="S351" s="40"/>
      <c r="T351" s="40"/>
      <c r="U351" s="40"/>
      <c r="W351" s="40"/>
      <c r="X351" s="40"/>
      <c r="Y351" s="40"/>
      <c r="Z351" s="40"/>
      <c r="AA351" s="41"/>
      <c r="AB351" s="41"/>
      <c r="AC351" s="41"/>
      <c r="AD351" s="41"/>
      <c r="AE351" s="40"/>
      <c r="AF351" s="42"/>
      <c r="AG351" s="5"/>
      <c r="AH351" s="5"/>
      <c r="AI351" s="40"/>
      <c r="AJ351" s="40"/>
      <c r="AK351" s="40"/>
      <c r="AL351" s="40"/>
      <c r="AM351" s="40"/>
      <c r="AO351" s="40"/>
    </row>
    <row r="352" spans="2:41" ht="12.75" customHeight="1" x14ac:dyDescent="0.25">
      <c r="B352" s="40"/>
      <c r="C352" s="40"/>
      <c r="D352" s="40"/>
      <c r="E352" s="40"/>
      <c r="F352" s="40"/>
      <c r="G352" s="40"/>
      <c r="H352" s="5"/>
      <c r="Q352" s="40"/>
      <c r="R352" s="40"/>
      <c r="S352" s="40"/>
      <c r="T352" s="40"/>
      <c r="U352" s="40"/>
      <c r="W352" s="40"/>
      <c r="X352" s="40"/>
      <c r="Y352" s="40"/>
      <c r="Z352" s="40"/>
      <c r="AA352" s="41"/>
      <c r="AB352" s="41"/>
      <c r="AC352" s="41"/>
      <c r="AD352" s="41"/>
      <c r="AE352" s="40"/>
      <c r="AF352" s="42"/>
      <c r="AG352" s="5"/>
      <c r="AH352" s="5"/>
      <c r="AI352" s="40"/>
      <c r="AJ352" s="40"/>
      <c r="AK352" s="40"/>
      <c r="AL352" s="40"/>
      <c r="AM352" s="40"/>
      <c r="AO352" s="40"/>
    </row>
    <row r="353" spans="2:41" ht="12.75" customHeight="1" x14ac:dyDescent="0.25">
      <c r="B353" s="40"/>
      <c r="C353" s="40"/>
      <c r="D353" s="40"/>
      <c r="E353" s="40"/>
      <c r="F353" s="40"/>
      <c r="G353" s="40"/>
      <c r="H353" s="5"/>
      <c r="Q353" s="40"/>
      <c r="R353" s="40"/>
      <c r="S353" s="40"/>
      <c r="T353" s="40"/>
      <c r="U353" s="40"/>
      <c r="W353" s="40"/>
      <c r="X353" s="40"/>
      <c r="Y353" s="40"/>
      <c r="Z353" s="40"/>
      <c r="AA353" s="41"/>
      <c r="AB353" s="41"/>
      <c r="AC353" s="41"/>
      <c r="AD353" s="41"/>
      <c r="AE353" s="40"/>
      <c r="AF353" s="42"/>
      <c r="AG353" s="5"/>
      <c r="AH353" s="5"/>
      <c r="AI353" s="40"/>
      <c r="AJ353" s="40"/>
      <c r="AK353" s="40"/>
      <c r="AL353" s="40"/>
      <c r="AM353" s="40"/>
      <c r="AO353" s="40"/>
    </row>
    <row r="354" spans="2:41" ht="12.75" customHeight="1" x14ac:dyDescent="0.25">
      <c r="B354" s="40"/>
      <c r="C354" s="40"/>
      <c r="D354" s="40"/>
      <c r="E354" s="40"/>
      <c r="F354" s="40"/>
      <c r="G354" s="40"/>
      <c r="H354" s="5"/>
      <c r="Q354" s="40"/>
      <c r="R354" s="40"/>
      <c r="S354" s="40"/>
      <c r="T354" s="40"/>
      <c r="U354" s="40"/>
      <c r="W354" s="40"/>
      <c r="X354" s="40"/>
      <c r="Y354" s="40"/>
      <c r="Z354" s="40"/>
      <c r="AA354" s="41"/>
      <c r="AB354" s="41"/>
      <c r="AC354" s="41"/>
      <c r="AD354" s="41"/>
      <c r="AE354" s="40"/>
      <c r="AF354" s="42"/>
      <c r="AG354" s="5"/>
      <c r="AH354" s="5"/>
      <c r="AI354" s="40"/>
      <c r="AJ354" s="40"/>
      <c r="AK354" s="40"/>
      <c r="AL354" s="40"/>
      <c r="AM354" s="40"/>
      <c r="AO354" s="40"/>
    </row>
    <row r="355" spans="2:41" ht="12.75" customHeight="1" x14ac:dyDescent="0.25">
      <c r="B355" s="40"/>
      <c r="C355" s="40"/>
      <c r="D355" s="40"/>
      <c r="E355" s="40"/>
      <c r="F355" s="40"/>
      <c r="G355" s="40"/>
      <c r="H355" s="5"/>
      <c r="Q355" s="40"/>
      <c r="R355" s="40"/>
      <c r="S355" s="40"/>
      <c r="T355" s="40"/>
      <c r="U355" s="40"/>
      <c r="W355" s="40"/>
      <c r="X355" s="40"/>
      <c r="Y355" s="40"/>
      <c r="Z355" s="40"/>
      <c r="AA355" s="41"/>
      <c r="AB355" s="41"/>
      <c r="AC355" s="41"/>
      <c r="AD355" s="41"/>
      <c r="AE355" s="40"/>
      <c r="AF355" s="42"/>
      <c r="AG355" s="5"/>
      <c r="AH355" s="5"/>
      <c r="AI355" s="40"/>
      <c r="AJ355" s="40"/>
      <c r="AK355" s="40"/>
      <c r="AL355" s="40"/>
      <c r="AM355" s="40"/>
      <c r="AO355" s="40"/>
    </row>
    <row r="356" spans="2:41" ht="12.75" customHeight="1" x14ac:dyDescent="0.25">
      <c r="B356" s="40"/>
      <c r="C356" s="40"/>
      <c r="D356" s="40"/>
      <c r="E356" s="40"/>
      <c r="F356" s="40"/>
      <c r="G356" s="40"/>
      <c r="H356" s="5"/>
      <c r="Q356" s="40"/>
      <c r="R356" s="40"/>
      <c r="S356" s="40"/>
      <c r="T356" s="40"/>
      <c r="U356" s="40"/>
      <c r="W356" s="40"/>
      <c r="X356" s="40"/>
      <c r="Y356" s="40"/>
      <c r="Z356" s="40"/>
      <c r="AA356" s="41"/>
      <c r="AB356" s="41"/>
      <c r="AC356" s="41"/>
      <c r="AD356" s="41"/>
      <c r="AE356" s="40"/>
      <c r="AF356" s="42"/>
      <c r="AG356" s="5"/>
      <c r="AH356" s="5"/>
      <c r="AI356" s="40"/>
      <c r="AJ356" s="40"/>
      <c r="AK356" s="40"/>
      <c r="AL356" s="40"/>
      <c r="AM356" s="40"/>
      <c r="AO356" s="40"/>
    </row>
    <row r="357" spans="2:41" ht="12.75" customHeight="1" x14ac:dyDescent="0.25">
      <c r="B357" s="40"/>
      <c r="C357" s="40"/>
      <c r="D357" s="40"/>
      <c r="E357" s="40"/>
      <c r="F357" s="40"/>
      <c r="G357" s="40"/>
      <c r="H357" s="5"/>
      <c r="Q357" s="40"/>
      <c r="R357" s="40"/>
      <c r="S357" s="40"/>
      <c r="T357" s="40"/>
      <c r="U357" s="40"/>
      <c r="W357" s="40"/>
      <c r="X357" s="40"/>
      <c r="Y357" s="40"/>
      <c r="Z357" s="40"/>
      <c r="AA357" s="41"/>
      <c r="AB357" s="41"/>
      <c r="AC357" s="41"/>
      <c r="AD357" s="41"/>
      <c r="AE357" s="40"/>
      <c r="AF357" s="42"/>
      <c r="AG357" s="5"/>
      <c r="AH357" s="5"/>
      <c r="AI357" s="40"/>
      <c r="AJ357" s="40"/>
      <c r="AK357" s="40"/>
      <c r="AL357" s="40"/>
      <c r="AM357" s="40"/>
      <c r="AO357" s="40"/>
    </row>
    <row r="358" spans="2:41" ht="12.75" customHeight="1" x14ac:dyDescent="0.25">
      <c r="B358" s="40"/>
      <c r="C358" s="40"/>
      <c r="D358" s="40"/>
      <c r="E358" s="40"/>
      <c r="F358" s="40"/>
      <c r="G358" s="40"/>
      <c r="H358" s="5"/>
      <c r="Q358" s="40"/>
      <c r="R358" s="40"/>
      <c r="S358" s="40"/>
      <c r="T358" s="40"/>
      <c r="U358" s="40"/>
      <c r="W358" s="40"/>
      <c r="X358" s="40"/>
      <c r="Y358" s="40"/>
      <c r="Z358" s="40"/>
      <c r="AA358" s="41"/>
      <c r="AB358" s="41"/>
      <c r="AC358" s="41"/>
      <c r="AD358" s="41"/>
      <c r="AE358" s="40"/>
      <c r="AF358" s="42"/>
      <c r="AG358" s="5"/>
      <c r="AH358" s="5"/>
      <c r="AI358" s="40"/>
      <c r="AJ358" s="40"/>
      <c r="AK358" s="40"/>
      <c r="AL358" s="40"/>
      <c r="AM358" s="40"/>
      <c r="AO358" s="40"/>
    </row>
    <row r="359" spans="2:41" ht="12.75" customHeight="1" x14ac:dyDescent="0.25">
      <c r="B359" s="40"/>
      <c r="C359" s="40"/>
      <c r="D359" s="40"/>
      <c r="E359" s="40"/>
      <c r="F359" s="40"/>
      <c r="G359" s="40"/>
      <c r="H359" s="5"/>
      <c r="Q359" s="40"/>
      <c r="R359" s="40"/>
      <c r="S359" s="40"/>
      <c r="T359" s="40"/>
      <c r="U359" s="40"/>
      <c r="W359" s="40"/>
      <c r="X359" s="40"/>
      <c r="Y359" s="40"/>
      <c r="Z359" s="40"/>
      <c r="AA359" s="41"/>
      <c r="AB359" s="41"/>
      <c r="AC359" s="41"/>
      <c r="AD359" s="41"/>
      <c r="AE359" s="40"/>
      <c r="AF359" s="42"/>
      <c r="AG359" s="5"/>
      <c r="AH359" s="5"/>
      <c r="AI359" s="40"/>
      <c r="AJ359" s="40"/>
      <c r="AK359" s="40"/>
      <c r="AL359" s="40"/>
      <c r="AM359" s="40"/>
      <c r="AO359" s="40"/>
    </row>
    <row r="360" spans="2:41" ht="12.75" customHeight="1" x14ac:dyDescent="0.25">
      <c r="B360" s="40"/>
      <c r="C360" s="40"/>
      <c r="D360" s="40"/>
      <c r="E360" s="40"/>
      <c r="F360" s="40"/>
      <c r="G360" s="40"/>
      <c r="H360" s="5"/>
      <c r="Q360" s="40"/>
      <c r="R360" s="40"/>
      <c r="S360" s="40"/>
      <c r="T360" s="40"/>
      <c r="U360" s="40"/>
      <c r="W360" s="40"/>
      <c r="X360" s="40"/>
      <c r="Y360" s="40"/>
      <c r="Z360" s="40"/>
      <c r="AA360" s="41"/>
      <c r="AB360" s="41"/>
      <c r="AC360" s="41"/>
      <c r="AD360" s="41"/>
      <c r="AE360" s="40"/>
      <c r="AF360" s="42"/>
      <c r="AG360" s="5"/>
      <c r="AH360" s="5"/>
      <c r="AI360" s="40"/>
      <c r="AJ360" s="40"/>
      <c r="AK360" s="40"/>
      <c r="AL360" s="40"/>
      <c r="AM360" s="40"/>
      <c r="AO360" s="40"/>
    </row>
    <row r="361" spans="2:41" ht="12.75" customHeight="1" x14ac:dyDescent="0.25">
      <c r="B361" s="40"/>
      <c r="C361" s="40"/>
      <c r="D361" s="40"/>
      <c r="E361" s="40"/>
      <c r="F361" s="40"/>
      <c r="G361" s="40"/>
      <c r="H361" s="5"/>
      <c r="Q361" s="40"/>
      <c r="R361" s="40"/>
      <c r="S361" s="40"/>
      <c r="T361" s="40"/>
      <c r="U361" s="40"/>
      <c r="W361" s="40"/>
      <c r="X361" s="40"/>
      <c r="Y361" s="40"/>
      <c r="Z361" s="40"/>
      <c r="AA361" s="41"/>
      <c r="AB361" s="41"/>
      <c r="AC361" s="41"/>
      <c r="AD361" s="41"/>
      <c r="AE361" s="40"/>
      <c r="AF361" s="42"/>
      <c r="AG361" s="5"/>
      <c r="AH361" s="5"/>
      <c r="AI361" s="40"/>
      <c r="AJ361" s="40"/>
      <c r="AK361" s="40"/>
      <c r="AL361" s="40"/>
      <c r="AM361" s="40"/>
      <c r="AO361" s="40"/>
    </row>
    <row r="362" spans="2:41" ht="12.75" customHeight="1" x14ac:dyDescent="0.25">
      <c r="B362" s="40"/>
      <c r="C362" s="40"/>
      <c r="D362" s="40"/>
      <c r="E362" s="40"/>
      <c r="F362" s="40"/>
      <c r="G362" s="40"/>
      <c r="H362" s="5"/>
      <c r="Q362" s="40"/>
      <c r="R362" s="40"/>
      <c r="S362" s="40"/>
      <c r="T362" s="40"/>
      <c r="U362" s="40"/>
      <c r="W362" s="40"/>
      <c r="X362" s="40"/>
      <c r="Y362" s="40"/>
      <c r="Z362" s="40"/>
      <c r="AA362" s="41"/>
      <c r="AB362" s="41"/>
      <c r="AC362" s="41"/>
      <c r="AD362" s="41"/>
      <c r="AE362" s="40"/>
      <c r="AF362" s="42"/>
      <c r="AG362" s="5"/>
      <c r="AH362" s="5"/>
      <c r="AI362" s="40"/>
      <c r="AJ362" s="40"/>
      <c r="AK362" s="40"/>
      <c r="AL362" s="40"/>
      <c r="AM362" s="40"/>
      <c r="AO362" s="40"/>
    </row>
    <row r="363" spans="2:41" ht="12.75" customHeight="1" x14ac:dyDescent="0.25">
      <c r="B363" s="40"/>
      <c r="C363" s="40"/>
      <c r="D363" s="40"/>
      <c r="E363" s="40"/>
      <c r="F363" s="40"/>
      <c r="G363" s="40"/>
      <c r="H363" s="5"/>
      <c r="Q363" s="40"/>
      <c r="R363" s="40"/>
      <c r="S363" s="40"/>
      <c r="T363" s="40"/>
      <c r="U363" s="40"/>
      <c r="W363" s="40"/>
      <c r="X363" s="40"/>
      <c r="Y363" s="40"/>
      <c r="Z363" s="40"/>
      <c r="AA363" s="41"/>
      <c r="AB363" s="41"/>
      <c r="AC363" s="41"/>
      <c r="AD363" s="41"/>
      <c r="AE363" s="40"/>
      <c r="AF363" s="42"/>
      <c r="AG363" s="5"/>
      <c r="AH363" s="5"/>
      <c r="AI363" s="40"/>
      <c r="AJ363" s="40"/>
      <c r="AK363" s="40"/>
      <c r="AL363" s="40"/>
      <c r="AM363" s="40"/>
      <c r="AO363" s="40"/>
    </row>
    <row r="364" spans="2:41" ht="12.75" customHeight="1" x14ac:dyDescent="0.25">
      <c r="B364" s="40"/>
      <c r="C364" s="40"/>
      <c r="D364" s="40"/>
      <c r="E364" s="40"/>
      <c r="F364" s="40"/>
      <c r="G364" s="40"/>
      <c r="H364" s="5"/>
      <c r="Q364" s="40"/>
      <c r="R364" s="40"/>
      <c r="S364" s="40"/>
      <c r="T364" s="40"/>
      <c r="U364" s="40"/>
      <c r="W364" s="40"/>
      <c r="X364" s="40"/>
      <c r="Y364" s="40"/>
      <c r="Z364" s="40"/>
      <c r="AA364" s="41"/>
      <c r="AB364" s="41"/>
      <c r="AC364" s="41"/>
      <c r="AD364" s="41"/>
      <c r="AE364" s="40"/>
      <c r="AF364" s="42"/>
      <c r="AG364" s="5"/>
      <c r="AH364" s="5"/>
      <c r="AI364" s="40"/>
      <c r="AJ364" s="40"/>
      <c r="AK364" s="40"/>
      <c r="AL364" s="40"/>
      <c r="AM364" s="40"/>
      <c r="AO364" s="40"/>
    </row>
    <row r="365" spans="2:41" ht="12.75" customHeight="1" x14ac:dyDescent="0.25">
      <c r="B365" s="40"/>
      <c r="C365" s="40"/>
      <c r="D365" s="40"/>
      <c r="E365" s="40"/>
      <c r="F365" s="40"/>
      <c r="G365" s="40"/>
      <c r="H365" s="5"/>
      <c r="Q365" s="40"/>
      <c r="R365" s="40"/>
      <c r="S365" s="40"/>
      <c r="T365" s="40"/>
      <c r="U365" s="40"/>
      <c r="W365" s="40"/>
      <c r="X365" s="40"/>
      <c r="Y365" s="40"/>
      <c r="Z365" s="40"/>
      <c r="AA365" s="41"/>
      <c r="AB365" s="41"/>
      <c r="AC365" s="41"/>
      <c r="AD365" s="41"/>
      <c r="AE365" s="40"/>
      <c r="AF365" s="42"/>
      <c r="AG365" s="5"/>
      <c r="AH365" s="5"/>
      <c r="AI365" s="40"/>
      <c r="AJ365" s="40"/>
      <c r="AK365" s="40"/>
      <c r="AL365" s="40"/>
      <c r="AM365" s="40"/>
      <c r="AO365" s="40"/>
    </row>
    <row r="366" spans="2:41" ht="12.75" customHeight="1" x14ac:dyDescent="0.25">
      <c r="B366" s="40"/>
      <c r="C366" s="40"/>
      <c r="D366" s="40"/>
      <c r="E366" s="40"/>
      <c r="F366" s="40"/>
      <c r="G366" s="40"/>
      <c r="H366" s="5"/>
      <c r="Q366" s="40"/>
      <c r="R366" s="40"/>
      <c r="S366" s="40"/>
      <c r="T366" s="40"/>
      <c r="U366" s="40"/>
      <c r="W366" s="40"/>
      <c r="X366" s="40"/>
      <c r="Y366" s="40"/>
      <c r="Z366" s="40"/>
      <c r="AA366" s="41"/>
      <c r="AB366" s="41"/>
      <c r="AC366" s="41"/>
      <c r="AD366" s="41"/>
      <c r="AE366" s="40"/>
      <c r="AF366" s="42"/>
      <c r="AG366" s="5"/>
      <c r="AH366" s="5"/>
      <c r="AI366" s="40"/>
      <c r="AJ366" s="40"/>
      <c r="AK366" s="40"/>
      <c r="AL366" s="40"/>
      <c r="AM366" s="40"/>
      <c r="AO366" s="40"/>
    </row>
    <row r="367" spans="2:41" ht="12.75" customHeight="1" x14ac:dyDescent="0.25">
      <c r="B367" s="40"/>
      <c r="C367" s="40"/>
      <c r="D367" s="40"/>
      <c r="E367" s="40"/>
      <c r="F367" s="40"/>
      <c r="G367" s="40"/>
      <c r="H367" s="5"/>
      <c r="Q367" s="40"/>
      <c r="R367" s="40"/>
      <c r="S367" s="40"/>
      <c r="T367" s="40"/>
      <c r="U367" s="40"/>
      <c r="W367" s="40"/>
      <c r="X367" s="40"/>
      <c r="Y367" s="40"/>
      <c r="Z367" s="40"/>
      <c r="AA367" s="41"/>
      <c r="AB367" s="41"/>
      <c r="AC367" s="41"/>
      <c r="AD367" s="41"/>
      <c r="AE367" s="40"/>
      <c r="AF367" s="42"/>
      <c r="AG367" s="5"/>
      <c r="AH367" s="5"/>
      <c r="AI367" s="40"/>
      <c r="AJ367" s="40"/>
      <c r="AK367" s="40"/>
      <c r="AL367" s="40"/>
      <c r="AM367" s="40"/>
      <c r="AO367" s="40"/>
    </row>
    <row r="368" spans="2:41" ht="12.75" customHeight="1" x14ac:dyDescent="0.25">
      <c r="B368" s="40"/>
      <c r="C368" s="40"/>
      <c r="D368" s="40"/>
      <c r="E368" s="40"/>
      <c r="F368" s="40"/>
      <c r="G368" s="40"/>
      <c r="H368" s="5"/>
      <c r="Q368" s="40"/>
      <c r="R368" s="40"/>
      <c r="S368" s="40"/>
      <c r="T368" s="40"/>
      <c r="U368" s="40"/>
      <c r="W368" s="40"/>
      <c r="X368" s="40"/>
      <c r="Y368" s="40"/>
      <c r="Z368" s="40"/>
      <c r="AA368" s="41"/>
      <c r="AB368" s="41"/>
      <c r="AC368" s="41"/>
      <c r="AD368" s="41"/>
      <c r="AE368" s="40"/>
      <c r="AF368" s="42"/>
      <c r="AG368" s="5"/>
      <c r="AH368" s="5"/>
      <c r="AI368" s="40"/>
      <c r="AJ368" s="40"/>
      <c r="AK368" s="40"/>
      <c r="AL368" s="40"/>
      <c r="AM368" s="40"/>
      <c r="AO368" s="40"/>
    </row>
    <row r="369" spans="2:41" ht="12.75" customHeight="1" x14ac:dyDescent="0.25">
      <c r="B369" s="40"/>
      <c r="C369" s="40"/>
      <c r="D369" s="40"/>
      <c r="E369" s="40"/>
      <c r="F369" s="40"/>
      <c r="G369" s="40"/>
      <c r="H369" s="5"/>
      <c r="Q369" s="40"/>
      <c r="R369" s="40"/>
      <c r="S369" s="40"/>
      <c r="T369" s="40"/>
      <c r="U369" s="40"/>
      <c r="W369" s="40"/>
      <c r="X369" s="40"/>
      <c r="Y369" s="40"/>
      <c r="Z369" s="40"/>
      <c r="AA369" s="41"/>
      <c r="AB369" s="41"/>
      <c r="AC369" s="41"/>
      <c r="AD369" s="41"/>
      <c r="AE369" s="40"/>
      <c r="AF369" s="42"/>
      <c r="AG369" s="5"/>
      <c r="AH369" s="5"/>
      <c r="AI369" s="40"/>
      <c r="AJ369" s="40"/>
      <c r="AK369" s="40"/>
      <c r="AL369" s="40"/>
      <c r="AM369" s="40"/>
      <c r="AO369" s="40"/>
    </row>
    <row r="370" spans="2:41" ht="12.75" customHeight="1" x14ac:dyDescent="0.25">
      <c r="B370" s="40"/>
      <c r="C370" s="40"/>
      <c r="D370" s="40"/>
      <c r="E370" s="40"/>
      <c r="F370" s="40"/>
      <c r="G370" s="40"/>
      <c r="H370" s="5"/>
      <c r="Q370" s="40"/>
      <c r="R370" s="40"/>
      <c r="S370" s="40"/>
      <c r="T370" s="40"/>
      <c r="U370" s="40"/>
      <c r="W370" s="40"/>
      <c r="X370" s="40"/>
      <c r="Y370" s="40"/>
      <c r="Z370" s="40"/>
      <c r="AA370" s="41"/>
      <c r="AB370" s="41"/>
      <c r="AC370" s="41"/>
      <c r="AD370" s="41"/>
      <c r="AE370" s="40"/>
      <c r="AF370" s="42"/>
      <c r="AG370" s="5"/>
      <c r="AH370" s="5"/>
      <c r="AI370" s="40"/>
      <c r="AJ370" s="40"/>
      <c r="AK370" s="40"/>
      <c r="AL370" s="40"/>
      <c r="AM370" s="40"/>
      <c r="AO370" s="40"/>
    </row>
    <row r="371" spans="2:41" ht="12.75" customHeight="1" x14ac:dyDescent="0.25">
      <c r="B371" s="40"/>
      <c r="C371" s="40"/>
      <c r="D371" s="40"/>
      <c r="E371" s="40"/>
      <c r="F371" s="40"/>
      <c r="G371" s="40"/>
      <c r="H371" s="5"/>
      <c r="Q371" s="40"/>
      <c r="R371" s="40"/>
      <c r="S371" s="40"/>
      <c r="T371" s="40"/>
      <c r="U371" s="40"/>
      <c r="W371" s="40"/>
      <c r="X371" s="40"/>
      <c r="Y371" s="40"/>
      <c r="Z371" s="40"/>
      <c r="AA371" s="41"/>
      <c r="AB371" s="41"/>
      <c r="AC371" s="41"/>
      <c r="AD371" s="41"/>
      <c r="AE371" s="40"/>
      <c r="AF371" s="42"/>
      <c r="AG371" s="5"/>
      <c r="AH371" s="5"/>
      <c r="AI371" s="40"/>
      <c r="AJ371" s="40"/>
      <c r="AK371" s="40"/>
      <c r="AL371" s="40"/>
      <c r="AM371" s="40"/>
      <c r="AO371" s="40"/>
    </row>
    <row r="372" spans="2:41" ht="12.75" customHeight="1" x14ac:dyDescent="0.25">
      <c r="B372" s="40"/>
      <c r="C372" s="40"/>
      <c r="D372" s="40"/>
      <c r="E372" s="40"/>
      <c r="F372" s="40"/>
      <c r="G372" s="40"/>
      <c r="H372" s="5"/>
      <c r="Q372" s="40"/>
      <c r="R372" s="40"/>
      <c r="S372" s="40"/>
      <c r="T372" s="40"/>
      <c r="U372" s="40"/>
      <c r="W372" s="40"/>
      <c r="X372" s="40"/>
      <c r="Y372" s="40"/>
      <c r="Z372" s="40"/>
      <c r="AA372" s="41"/>
      <c r="AB372" s="41"/>
      <c r="AC372" s="41"/>
      <c r="AD372" s="41"/>
      <c r="AE372" s="40"/>
      <c r="AF372" s="42"/>
      <c r="AG372" s="5"/>
      <c r="AH372" s="5"/>
      <c r="AI372" s="40"/>
      <c r="AJ372" s="40"/>
      <c r="AK372" s="40"/>
      <c r="AL372" s="40"/>
      <c r="AM372" s="40"/>
      <c r="AO372" s="40"/>
    </row>
    <row r="373" spans="2:41" ht="12.75" customHeight="1" x14ac:dyDescent="0.25">
      <c r="B373" s="40"/>
      <c r="C373" s="40"/>
      <c r="D373" s="40"/>
      <c r="E373" s="40"/>
      <c r="F373" s="40"/>
      <c r="G373" s="40"/>
      <c r="H373" s="5"/>
      <c r="Q373" s="40"/>
      <c r="R373" s="40"/>
      <c r="S373" s="40"/>
      <c r="T373" s="40"/>
      <c r="U373" s="40"/>
      <c r="W373" s="40"/>
      <c r="X373" s="40"/>
      <c r="Y373" s="40"/>
      <c r="Z373" s="40"/>
      <c r="AA373" s="41"/>
      <c r="AB373" s="41"/>
      <c r="AC373" s="41"/>
      <c r="AD373" s="41"/>
      <c r="AE373" s="40"/>
      <c r="AF373" s="42"/>
      <c r="AG373" s="5"/>
      <c r="AH373" s="5"/>
      <c r="AI373" s="40"/>
      <c r="AJ373" s="40"/>
      <c r="AK373" s="40"/>
      <c r="AL373" s="40"/>
      <c r="AM373" s="40"/>
      <c r="AO373" s="40"/>
    </row>
    <row r="374" spans="2:41" ht="12.75" customHeight="1" x14ac:dyDescent="0.25">
      <c r="B374" s="40"/>
      <c r="C374" s="40"/>
      <c r="D374" s="40"/>
      <c r="E374" s="40"/>
      <c r="F374" s="40"/>
      <c r="G374" s="40"/>
      <c r="H374" s="5"/>
      <c r="Q374" s="40"/>
      <c r="R374" s="40"/>
      <c r="S374" s="40"/>
      <c r="T374" s="40"/>
      <c r="U374" s="40"/>
      <c r="W374" s="40"/>
      <c r="X374" s="40"/>
      <c r="Y374" s="40"/>
      <c r="Z374" s="40"/>
      <c r="AA374" s="41"/>
      <c r="AB374" s="41"/>
      <c r="AC374" s="41"/>
      <c r="AD374" s="41"/>
      <c r="AE374" s="40"/>
      <c r="AF374" s="42"/>
      <c r="AG374" s="5"/>
      <c r="AH374" s="5"/>
      <c r="AI374" s="40"/>
      <c r="AJ374" s="40"/>
      <c r="AK374" s="40"/>
      <c r="AL374" s="40"/>
      <c r="AM374" s="40"/>
      <c r="AO374" s="40"/>
    </row>
    <row r="375" spans="2:41" ht="12.75" customHeight="1" x14ac:dyDescent="0.25">
      <c r="B375" s="40"/>
      <c r="C375" s="40"/>
      <c r="D375" s="40"/>
      <c r="E375" s="40"/>
      <c r="F375" s="40"/>
      <c r="G375" s="40"/>
      <c r="H375" s="5"/>
      <c r="Q375" s="40"/>
      <c r="R375" s="40"/>
      <c r="S375" s="40"/>
      <c r="T375" s="40"/>
      <c r="U375" s="40"/>
      <c r="W375" s="40"/>
      <c r="X375" s="40"/>
      <c r="Y375" s="40"/>
      <c r="Z375" s="40"/>
      <c r="AA375" s="41"/>
      <c r="AB375" s="41"/>
      <c r="AC375" s="41"/>
      <c r="AD375" s="41"/>
      <c r="AE375" s="40"/>
      <c r="AF375" s="42"/>
      <c r="AG375" s="5"/>
      <c r="AH375" s="5"/>
      <c r="AI375" s="40"/>
      <c r="AJ375" s="40"/>
      <c r="AK375" s="40"/>
      <c r="AL375" s="40"/>
      <c r="AM375" s="40"/>
      <c r="AO375" s="40"/>
    </row>
    <row r="376" spans="2:41" ht="12.75" customHeight="1" x14ac:dyDescent="0.25">
      <c r="B376" s="40"/>
      <c r="C376" s="40"/>
      <c r="D376" s="40"/>
      <c r="E376" s="40"/>
      <c r="F376" s="40"/>
      <c r="G376" s="40"/>
      <c r="H376" s="5"/>
      <c r="Q376" s="40"/>
      <c r="R376" s="40"/>
      <c r="S376" s="40"/>
      <c r="T376" s="40"/>
      <c r="U376" s="40"/>
      <c r="W376" s="40"/>
      <c r="X376" s="40"/>
      <c r="Y376" s="40"/>
      <c r="Z376" s="40"/>
      <c r="AA376" s="41"/>
      <c r="AB376" s="41"/>
      <c r="AC376" s="41"/>
      <c r="AD376" s="41"/>
      <c r="AE376" s="40"/>
      <c r="AF376" s="42"/>
      <c r="AG376" s="5"/>
      <c r="AH376" s="5"/>
      <c r="AI376" s="40"/>
      <c r="AJ376" s="40"/>
      <c r="AK376" s="40"/>
      <c r="AL376" s="40"/>
      <c r="AM376" s="40"/>
      <c r="AO376" s="40"/>
    </row>
    <row r="377" spans="2:41" ht="12.75" customHeight="1" x14ac:dyDescent="0.25">
      <c r="B377" s="40"/>
      <c r="C377" s="40"/>
      <c r="D377" s="40"/>
      <c r="E377" s="40"/>
      <c r="F377" s="40"/>
      <c r="G377" s="40"/>
      <c r="H377" s="5"/>
      <c r="Q377" s="40"/>
      <c r="R377" s="40"/>
      <c r="S377" s="40"/>
      <c r="T377" s="40"/>
      <c r="U377" s="40"/>
      <c r="W377" s="40"/>
      <c r="X377" s="40"/>
      <c r="Y377" s="40"/>
      <c r="Z377" s="40"/>
      <c r="AA377" s="41"/>
      <c r="AB377" s="41"/>
      <c r="AC377" s="41"/>
      <c r="AD377" s="41"/>
      <c r="AE377" s="40"/>
      <c r="AF377" s="42"/>
      <c r="AG377" s="5"/>
      <c r="AH377" s="5"/>
      <c r="AI377" s="40"/>
      <c r="AJ377" s="40"/>
      <c r="AK377" s="40"/>
      <c r="AL377" s="40"/>
      <c r="AM377" s="40"/>
      <c r="AO377" s="40"/>
    </row>
    <row r="378" spans="2:41" ht="12.75" customHeight="1" x14ac:dyDescent="0.25">
      <c r="B378" s="40"/>
      <c r="C378" s="40"/>
      <c r="D378" s="40"/>
      <c r="E378" s="40"/>
      <c r="F378" s="40"/>
      <c r="G378" s="40"/>
      <c r="H378" s="5"/>
      <c r="Q378" s="40"/>
      <c r="R378" s="40"/>
      <c r="S378" s="40"/>
      <c r="T378" s="40"/>
      <c r="U378" s="40"/>
      <c r="W378" s="40"/>
      <c r="X378" s="40"/>
      <c r="Y378" s="40"/>
      <c r="Z378" s="40"/>
      <c r="AA378" s="41"/>
      <c r="AB378" s="41"/>
      <c r="AC378" s="41"/>
      <c r="AD378" s="41"/>
      <c r="AE378" s="40"/>
      <c r="AF378" s="42"/>
      <c r="AG378" s="5"/>
      <c r="AH378" s="5"/>
      <c r="AI378" s="40"/>
      <c r="AJ378" s="40"/>
      <c r="AK378" s="40"/>
      <c r="AL378" s="40"/>
      <c r="AM378" s="40"/>
      <c r="AO378" s="40"/>
    </row>
    <row r="379" spans="2:41" ht="12.75" customHeight="1" x14ac:dyDescent="0.25">
      <c r="B379" s="40"/>
      <c r="C379" s="40"/>
      <c r="D379" s="40"/>
      <c r="E379" s="40"/>
      <c r="F379" s="40"/>
      <c r="G379" s="40"/>
      <c r="H379" s="5"/>
      <c r="Q379" s="40"/>
      <c r="R379" s="40"/>
      <c r="S379" s="40"/>
      <c r="T379" s="40"/>
      <c r="U379" s="40"/>
      <c r="W379" s="40"/>
      <c r="X379" s="40"/>
      <c r="Y379" s="40"/>
      <c r="Z379" s="40"/>
      <c r="AA379" s="41"/>
      <c r="AB379" s="41"/>
      <c r="AC379" s="41"/>
      <c r="AD379" s="41"/>
      <c r="AE379" s="40"/>
      <c r="AF379" s="42"/>
      <c r="AG379" s="5"/>
      <c r="AH379" s="5"/>
      <c r="AI379" s="40"/>
      <c r="AJ379" s="40"/>
      <c r="AK379" s="40"/>
      <c r="AL379" s="40"/>
      <c r="AM379" s="40"/>
      <c r="AO379" s="40"/>
    </row>
    <row r="380" spans="2:41" ht="12.75" customHeight="1" x14ac:dyDescent="0.25">
      <c r="B380" s="40"/>
      <c r="C380" s="40"/>
      <c r="D380" s="40"/>
      <c r="E380" s="40"/>
      <c r="F380" s="40"/>
      <c r="G380" s="40"/>
      <c r="H380" s="5"/>
      <c r="Q380" s="40"/>
      <c r="R380" s="40"/>
      <c r="S380" s="40"/>
      <c r="T380" s="40"/>
      <c r="U380" s="40"/>
      <c r="W380" s="40"/>
      <c r="X380" s="40"/>
      <c r="Y380" s="40"/>
      <c r="Z380" s="40"/>
      <c r="AA380" s="41"/>
      <c r="AB380" s="41"/>
      <c r="AC380" s="41"/>
      <c r="AD380" s="41"/>
      <c r="AE380" s="40"/>
      <c r="AF380" s="42"/>
      <c r="AG380" s="5"/>
      <c r="AH380" s="5"/>
      <c r="AI380" s="40"/>
      <c r="AJ380" s="40"/>
      <c r="AK380" s="40"/>
      <c r="AL380" s="40"/>
      <c r="AM380" s="40"/>
      <c r="AO380" s="40"/>
    </row>
    <row r="381" spans="2:41" ht="12.75" customHeight="1" x14ac:dyDescent="0.25">
      <c r="B381" s="40"/>
      <c r="C381" s="40"/>
      <c r="D381" s="40"/>
      <c r="E381" s="40"/>
      <c r="F381" s="40"/>
      <c r="G381" s="40"/>
      <c r="H381" s="5"/>
      <c r="Q381" s="40"/>
      <c r="R381" s="40"/>
      <c r="S381" s="40"/>
      <c r="T381" s="40"/>
      <c r="U381" s="40"/>
      <c r="W381" s="40"/>
      <c r="X381" s="40"/>
      <c r="Y381" s="40"/>
      <c r="Z381" s="40"/>
      <c r="AA381" s="41"/>
      <c r="AB381" s="41"/>
      <c r="AC381" s="41"/>
      <c r="AD381" s="41"/>
      <c r="AE381" s="40"/>
      <c r="AF381" s="42"/>
      <c r="AG381" s="5"/>
      <c r="AH381" s="5"/>
      <c r="AI381" s="40"/>
      <c r="AJ381" s="40"/>
      <c r="AK381" s="40"/>
      <c r="AL381" s="40"/>
      <c r="AM381" s="40"/>
      <c r="AO381" s="40"/>
    </row>
    <row r="382" spans="2:41" ht="12.75" customHeight="1" x14ac:dyDescent="0.25">
      <c r="B382" s="40"/>
      <c r="C382" s="40"/>
      <c r="D382" s="40"/>
      <c r="E382" s="40"/>
      <c r="F382" s="40"/>
      <c r="G382" s="40"/>
      <c r="H382" s="5"/>
      <c r="Q382" s="40"/>
      <c r="R382" s="40"/>
      <c r="S382" s="40"/>
      <c r="T382" s="40"/>
      <c r="U382" s="40"/>
      <c r="W382" s="40"/>
      <c r="X382" s="40"/>
      <c r="Y382" s="40"/>
      <c r="Z382" s="40"/>
      <c r="AA382" s="41"/>
      <c r="AB382" s="41"/>
      <c r="AC382" s="41"/>
      <c r="AD382" s="41"/>
      <c r="AE382" s="40"/>
      <c r="AF382" s="42"/>
      <c r="AG382" s="5"/>
      <c r="AH382" s="5"/>
      <c r="AI382" s="40"/>
      <c r="AJ382" s="40"/>
      <c r="AK382" s="40"/>
      <c r="AL382" s="40"/>
      <c r="AM382" s="40"/>
      <c r="AO382" s="40"/>
    </row>
    <row r="383" spans="2:41" ht="12.75" customHeight="1" x14ac:dyDescent="0.25">
      <c r="B383" s="40"/>
      <c r="C383" s="40"/>
      <c r="D383" s="40"/>
      <c r="E383" s="40"/>
      <c r="F383" s="40"/>
      <c r="G383" s="40"/>
      <c r="H383" s="5"/>
      <c r="Q383" s="40"/>
      <c r="R383" s="40"/>
      <c r="S383" s="40"/>
      <c r="T383" s="40"/>
      <c r="U383" s="40"/>
      <c r="W383" s="40"/>
      <c r="X383" s="40"/>
      <c r="Y383" s="40"/>
      <c r="Z383" s="40"/>
      <c r="AA383" s="41"/>
      <c r="AB383" s="41"/>
      <c r="AC383" s="41"/>
      <c r="AD383" s="41"/>
      <c r="AE383" s="40"/>
      <c r="AF383" s="42"/>
      <c r="AG383" s="5"/>
      <c r="AH383" s="5"/>
      <c r="AI383" s="40"/>
      <c r="AJ383" s="40"/>
      <c r="AK383" s="40"/>
      <c r="AL383" s="40"/>
      <c r="AM383" s="40"/>
      <c r="AO383" s="40"/>
    </row>
    <row r="384" spans="2:41" ht="12.75" customHeight="1" x14ac:dyDescent="0.25">
      <c r="B384" s="40"/>
      <c r="C384" s="40"/>
      <c r="D384" s="40"/>
      <c r="E384" s="40"/>
      <c r="F384" s="40"/>
      <c r="G384" s="40"/>
      <c r="H384" s="5"/>
      <c r="Q384" s="40"/>
      <c r="R384" s="40"/>
      <c r="S384" s="40"/>
      <c r="T384" s="40"/>
      <c r="U384" s="40"/>
      <c r="W384" s="40"/>
      <c r="X384" s="40"/>
      <c r="Y384" s="40"/>
      <c r="Z384" s="40"/>
      <c r="AA384" s="41"/>
      <c r="AB384" s="41"/>
      <c r="AC384" s="41"/>
      <c r="AD384" s="41"/>
      <c r="AE384" s="40"/>
      <c r="AF384" s="42"/>
      <c r="AG384" s="5"/>
      <c r="AH384" s="5"/>
      <c r="AI384" s="40"/>
      <c r="AJ384" s="40"/>
      <c r="AK384" s="40"/>
      <c r="AL384" s="40"/>
      <c r="AM384" s="40"/>
      <c r="AO384" s="40"/>
    </row>
    <row r="385" spans="2:41" ht="12.75" customHeight="1" x14ac:dyDescent="0.25">
      <c r="B385" s="40"/>
      <c r="C385" s="40"/>
      <c r="D385" s="40"/>
      <c r="E385" s="40"/>
      <c r="F385" s="40"/>
      <c r="G385" s="40"/>
      <c r="H385" s="5"/>
      <c r="Q385" s="40"/>
      <c r="R385" s="40"/>
      <c r="S385" s="40"/>
      <c r="T385" s="40"/>
      <c r="U385" s="40"/>
      <c r="W385" s="40"/>
      <c r="X385" s="40"/>
      <c r="Y385" s="40"/>
      <c r="Z385" s="40"/>
      <c r="AA385" s="41"/>
      <c r="AB385" s="41"/>
      <c r="AC385" s="41"/>
      <c r="AD385" s="41"/>
      <c r="AE385" s="40"/>
      <c r="AF385" s="42"/>
      <c r="AG385" s="5"/>
      <c r="AH385" s="5"/>
      <c r="AI385" s="40"/>
      <c r="AJ385" s="40"/>
      <c r="AK385" s="40"/>
      <c r="AL385" s="40"/>
      <c r="AM385" s="40"/>
      <c r="AO385" s="40"/>
    </row>
    <row r="386" spans="2:41" ht="12.75" customHeight="1" x14ac:dyDescent="0.25">
      <c r="B386" s="40"/>
      <c r="C386" s="40"/>
      <c r="D386" s="40"/>
      <c r="E386" s="40"/>
      <c r="F386" s="40"/>
      <c r="G386" s="40"/>
      <c r="H386" s="5"/>
      <c r="Q386" s="40"/>
      <c r="R386" s="40"/>
      <c r="S386" s="40"/>
      <c r="T386" s="40"/>
      <c r="U386" s="40"/>
      <c r="W386" s="40"/>
      <c r="X386" s="40"/>
      <c r="Y386" s="40"/>
      <c r="Z386" s="40"/>
      <c r="AA386" s="41"/>
      <c r="AB386" s="41"/>
      <c r="AC386" s="41"/>
      <c r="AD386" s="41"/>
      <c r="AE386" s="40"/>
      <c r="AF386" s="42"/>
      <c r="AG386" s="5"/>
      <c r="AH386" s="5"/>
      <c r="AI386" s="40"/>
      <c r="AJ386" s="40"/>
      <c r="AK386" s="40"/>
      <c r="AL386" s="40"/>
      <c r="AM386" s="40"/>
      <c r="AO386" s="40"/>
    </row>
    <row r="387" spans="2:41" ht="12.75" customHeight="1" x14ac:dyDescent="0.25">
      <c r="B387" s="40"/>
      <c r="C387" s="40"/>
      <c r="D387" s="40"/>
      <c r="E387" s="40"/>
      <c r="F387" s="40"/>
      <c r="G387" s="40"/>
      <c r="H387" s="5"/>
      <c r="Q387" s="40"/>
      <c r="R387" s="40"/>
      <c r="S387" s="40"/>
      <c r="T387" s="40"/>
      <c r="U387" s="40"/>
      <c r="W387" s="40"/>
      <c r="X387" s="40"/>
      <c r="Y387" s="40"/>
      <c r="Z387" s="40"/>
      <c r="AA387" s="41"/>
      <c r="AB387" s="41"/>
      <c r="AC387" s="41"/>
      <c r="AD387" s="41"/>
      <c r="AE387" s="40"/>
      <c r="AF387" s="42"/>
      <c r="AG387" s="5"/>
      <c r="AH387" s="5"/>
      <c r="AI387" s="40"/>
      <c r="AJ387" s="40"/>
      <c r="AK387" s="40"/>
      <c r="AL387" s="40"/>
      <c r="AM387" s="40"/>
      <c r="AO387" s="40"/>
    </row>
    <row r="388" spans="2:41" ht="12.75" customHeight="1" x14ac:dyDescent="0.25">
      <c r="B388" s="40"/>
      <c r="C388" s="40"/>
      <c r="D388" s="40"/>
      <c r="E388" s="40"/>
      <c r="F388" s="40"/>
      <c r="G388" s="40"/>
      <c r="H388" s="5"/>
      <c r="Q388" s="40"/>
      <c r="R388" s="40"/>
      <c r="S388" s="40"/>
      <c r="T388" s="40"/>
      <c r="U388" s="40"/>
      <c r="W388" s="40"/>
      <c r="X388" s="40"/>
      <c r="Y388" s="40"/>
      <c r="Z388" s="40"/>
      <c r="AA388" s="41"/>
      <c r="AB388" s="41"/>
      <c r="AC388" s="41"/>
      <c r="AD388" s="41"/>
      <c r="AE388" s="40"/>
      <c r="AF388" s="42"/>
      <c r="AG388" s="5"/>
      <c r="AH388" s="5"/>
      <c r="AI388" s="40"/>
      <c r="AJ388" s="40"/>
      <c r="AK388" s="40"/>
      <c r="AL388" s="40"/>
      <c r="AM388" s="40"/>
      <c r="AO388" s="40"/>
    </row>
    <row r="389" spans="2:41" ht="12.75" customHeight="1" x14ac:dyDescent="0.25">
      <c r="B389" s="40"/>
      <c r="C389" s="40"/>
      <c r="D389" s="40"/>
      <c r="E389" s="40"/>
      <c r="F389" s="40"/>
      <c r="G389" s="40"/>
      <c r="H389" s="5"/>
      <c r="Q389" s="40"/>
      <c r="R389" s="40"/>
      <c r="S389" s="40"/>
      <c r="T389" s="40"/>
      <c r="U389" s="40"/>
      <c r="W389" s="40"/>
      <c r="X389" s="40"/>
      <c r="Y389" s="40"/>
      <c r="Z389" s="40"/>
      <c r="AA389" s="41"/>
      <c r="AB389" s="41"/>
      <c r="AC389" s="41"/>
      <c r="AD389" s="41"/>
      <c r="AE389" s="40"/>
      <c r="AF389" s="42"/>
      <c r="AG389" s="5"/>
      <c r="AH389" s="5"/>
      <c r="AI389" s="40"/>
      <c r="AJ389" s="40"/>
      <c r="AK389" s="40"/>
      <c r="AL389" s="40"/>
      <c r="AM389" s="40"/>
      <c r="AO389" s="40"/>
    </row>
    <row r="390" spans="2:41" ht="12.75" customHeight="1" x14ac:dyDescent="0.25">
      <c r="B390" s="40"/>
      <c r="C390" s="40"/>
      <c r="D390" s="40"/>
      <c r="E390" s="40"/>
      <c r="F390" s="40"/>
      <c r="G390" s="40"/>
      <c r="H390" s="5"/>
      <c r="Q390" s="40"/>
      <c r="R390" s="40"/>
      <c r="S390" s="40"/>
      <c r="T390" s="40"/>
      <c r="U390" s="40"/>
      <c r="W390" s="40"/>
      <c r="X390" s="40"/>
      <c r="Y390" s="40"/>
      <c r="Z390" s="40"/>
      <c r="AA390" s="41"/>
      <c r="AB390" s="41"/>
      <c r="AC390" s="41"/>
      <c r="AD390" s="41"/>
      <c r="AE390" s="40"/>
      <c r="AF390" s="42"/>
      <c r="AG390" s="5"/>
      <c r="AH390" s="5"/>
      <c r="AI390" s="40"/>
      <c r="AJ390" s="40"/>
      <c r="AK390" s="40"/>
      <c r="AL390" s="40"/>
      <c r="AM390" s="40"/>
      <c r="AO390" s="40"/>
    </row>
    <row r="391" spans="2:41" ht="12.75" customHeight="1" x14ac:dyDescent="0.25">
      <c r="B391" s="40"/>
      <c r="C391" s="40"/>
      <c r="D391" s="40"/>
      <c r="E391" s="40"/>
      <c r="F391" s="40"/>
      <c r="G391" s="40"/>
      <c r="H391" s="5"/>
      <c r="Q391" s="40"/>
      <c r="R391" s="40"/>
      <c r="S391" s="40"/>
      <c r="T391" s="40"/>
      <c r="U391" s="40"/>
      <c r="W391" s="40"/>
      <c r="X391" s="40"/>
      <c r="Y391" s="40"/>
      <c r="Z391" s="40"/>
      <c r="AA391" s="41"/>
      <c r="AB391" s="41"/>
      <c r="AC391" s="41"/>
      <c r="AD391" s="41"/>
      <c r="AE391" s="40"/>
      <c r="AF391" s="42"/>
      <c r="AG391" s="5"/>
      <c r="AH391" s="5"/>
      <c r="AI391" s="40"/>
      <c r="AJ391" s="40"/>
      <c r="AK391" s="40"/>
      <c r="AL391" s="40"/>
      <c r="AM391" s="40"/>
      <c r="AO391" s="40"/>
    </row>
    <row r="392" spans="2:41" ht="12.75" customHeight="1" x14ac:dyDescent="0.25">
      <c r="B392" s="40"/>
      <c r="C392" s="40"/>
      <c r="D392" s="40"/>
      <c r="E392" s="40"/>
      <c r="F392" s="40"/>
      <c r="G392" s="40"/>
      <c r="H392" s="5"/>
      <c r="Q392" s="40"/>
      <c r="R392" s="40"/>
      <c r="S392" s="40"/>
      <c r="T392" s="40"/>
      <c r="U392" s="40"/>
      <c r="W392" s="40"/>
      <c r="X392" s="40"/>
      <c r="Y392" s="40"/>
      <c r="Z392" s="40"/>
      <c r="AA392" s="41"/>
      <c r="AB392" s="41"/>
      <c r="AC392" s="41"/>
      <c r="AD392" s="41"/>
      <c r="AE392" s="40"/>
      <c r="AF392" s="42"/>
      <c r="AG392" s="5"/>
      <c r="AH392" s="5"/>
      <c r="AI392" s="40"/>
      <c r="AJ392" s="40"/>
      <c r="AK392" s="40"/>
      <c r="AL392" s="40"/>
      <c r="AM392" s="40"/>
      <c r="AO392" s="40"/>
    </row>
    <row r="393" spans="2:41" ht="12.75" customHeight="1" x14ac:dyDescent="0.25">
      <c r="B393" s="40"/>
      <c r="C393" s="40"/>
      <c r="D393" s="40"/>
      <c r="E393" s="40"/>
      <c r="F393" s="40"/>
      <c r="G393" s="40"/>
      <c r="H393" s="5"/>
      <c r="Q393" s="40"/>
      <c r="R393" s="40"/>
      <c r="S393" s="40"/>
      <c r="T393" s="40"/>
      <c r="U393" s="40"/>
      <c r="W393" s="40"/>
      <c r="X393" s="40"/>
      <c r="Y393" s="40"/>
      <c r="Z393" s="40"/>
      <c r="AA393" s="41"/>
      <c r="AB393" s="41"/>
      <c r="AC393" s="41"/>
      <c r="AD393" s="41"/>
      <c r="AE393" s="40"/>
      <c r="AF393" s="42"/>
      <c r="AG393" s="5"/>
      <c r="AH393" s="5"/>
      <c r="AI393" s="40"/>
      <c r="AJ393" s="40"/>
      <c r="AK393" s="40"/>
      <c r="AL393" s="40"/>
      <c r="AM393" s="40"/>
      <c r="AO393" s="40"/>
    </row>
    <row r="394" spans="2:41" ht="12.75" customHeight="1" x14ac:dyDescent="0.25">
      <c r="B394" s="40"/>
      <c r="C394" s="40"/>
      <c r="D394" s="40"/>
      <c r="E394" s="40"/>
      <c r="F394" s="40"/>
      <c r="G394" s="40"/>
      <c r="H394" s="5"/>
      <c r="Q394" s="40"/>
      <c r="R394" s="40"/>
      <c r="S394" s="40"/>
      <c r="T394" s="40"/>
      <c r="U394" s="40"/>
      <c r="W394" s="40"/>
      <c r="X394" s="40"/>
      <c r="Y394" s="40"/>
      <c r="Z394" s="40"/>
      <c r="AA394" s="41"/>
      <c r="AB394" s="41"/>
      <c r="AC394" s="41"/>
      <c r="AD394" s="41"/>
      <c r="AE394" s="40"/>
      <c r="AF394" s="42"/>
      <c r="AG394" s="5"/>
      <c r="AH394" s="5"/>
      <c r="AI394" s="40"/>
      <c r="AJ394" s="40"/>
      <c r="AK394" s="40"/>
      <c r="AL394" s="40"/>
      <c r="AM394" s="40"/>
      <c r="AO394" s="40"/>
    </row>
    <row r="395" spans="2:41" ht="12.75" customHeight="1" x14ac:dyDescent="0.25">
      <c r="B395" s="40"/>
      <c r="C395" s="40"/>
      <c r="D395" s="40"/>
      <c r="E395" s="40"/>
      <c r="F395" s="40"/>
      <c r="G395" s="40"/>
      <c r="H395" s="5"/>
      <c r="Q395" s="40"/>
      <c r="R395" s="40"/>
      <c r="S395" s="40"/>
      <c r="T395" s="40"/>
      <c r="U395" s="40"/>
      <c r="W395" s="40"/>
      <c r="X395" s="40"/>
      <c r="Y395" s="40"/>
      <c r="Z395" s="40"/>
      <c r="AA395" s="41"/>
      <c r="AB395" s="41"/>
      <c r="AC395" s="41"/>
      <c r="AD395" s="41"/>
      <c r="AE395" s="40"/>
      <c r="AF395" s="42"/>
      <c r="AG395" s="5"/>
      <c r="AH395" s="5"/>
      <c r="AI395" s="40"/>
      <c r="AJ395" s="40"/>
      <c r="AK395" s="40"/>
      <c r="AL395" s="40"/>
      <c r="AM395" s="40"/>
      <c r="AO395" s="40"/>
    </row>
    <row r="396" spans="2:41" ht="12.75" customHeight="1" x14ac:dyDescent="0.25">
      <c r="B396" s="40"/>
      <c r="C396" s="40"/>
      <c r="D396" s="40"/>
      <c r="E396" s="40"/>
      <c r="F396" s="40"/>
      <c r="G396" s="40"/>
      <c r="H396" s="5"/>
      <c r="Q396" s="40"/>
      <c r="R396" s="40"/>
      <c r="S396" s="40"/>
      <c r="T396" s="40"/>
      <c r="U396" s="40"/>
      <c r="W396" s="40"/>
      <c r="X396" s="40"/>
      <c r="Y396" s="40"/>
      <c r="Z396" s="40"/>
      <c r="AA396" s="41"/>
      <c r="AB396" s="41"/>
      <c r="AC396" s="41"/>
      <c r="AD396" s="41"/>
      <c r="AE396" s="40"/>
      <c r="AF396" s="42"/>
      <c r="AG396" s="5"/>
      <c r="AH396" s="5"/>
      <c r="AI396" s="40"/>
      <c r="AJ396" s="40"/>
      <c r="AK396" s="40"/>
      <c r="AL396" s="40"/>
      <c r="AM396" s="40"/>
      <c r="AO396" s="40"/>
    </row>
    <row r="397" spans="2:41" ht="12.75" customHeight="1" x14ac:dyDescent="0.25">
      <c r="B397" s="40"/>
      <c r="C397" s="40"/>
      <c r="D397" s="40"/>
      <c r="E397" s="40"/>
      <c r="F397" s="40"/>
      <c r="G397" s="40"/>
      <c r="H397" s="5"/>
      <c r="Q397" s="40"/>
      <c r="R397" s="40"/>
      <c r="S397" s="40"/>
      <c r="T397" s="40"/>
      <c r="U397" s="40"/>
      <c r="W397" s="40"/>
      <c r="X397" s="40"/>
      <c r="Y397" s="40"/>
      <c r="Z397" s="40"/>
      <c r="AA397" s="41"/>
      <c r="AB397" s="41"/>
      <c r="AC397" s="41"/>
      <c r="AD397" s="41"/>
      <c r="AE397" s="40"/>
      <c r="AF397" s="42"/>
      <c r="AG397" s="5"/>
      <c r="AH397" s="5"/>
      <c r="AI397" s="40"/>
      <c r="AJ397" s="40"/>
      <c r="AK397" s="40"/>
      <c r="AL397" s="40"/>
      <c r="AM397" s="40"/>
      <c r="AO397" s="40"/>
    </row>
    <row r="398" spans="2:41" ht="12.75" customHeight="1" x14ac:dyDescent="0.25">
      <c r="B398" s="40"/>
      <c r="C398" s="40"/>
      <c r="D398" s="40"/>
      <c r="E398" s="40"/>
      <c r="F398" s="40"/>
      <c r="G398" s="40"/>
      <c r="H398" s="5"/>
      <c r="Q398" s="40"/>
      <c r="R398" s="40"/>
      <c r="S398" s="40"/>
      <c r="T398" s="40"/>
      <c r="U398" s="40"/>
      <c r="W398" s="40"/>
      <c r="X398" s="40"/>
      <c r="Y398" s="40"/>
      <c r="Z398" s="40"/>
      <c r="AA398" s="41"/>
      <c r="AB398" s="41"/>
      <c r="AC398" s="41"/>
      <c r="AD398" s="41"/>
      <c r="AE398" s="40"/>
      <c r="AF398" s="42"/>
      <c r="AG398" s="5"/>
      <c r="AH398" s="5"/>
      <c r="AI398" s="40"/>
      <c r="AJ398" s="40"/>
      <c r="AK398" s="40"/>
      <c r="AL398" s="40"/>
      <c r="AM398" s="40"/>
      <c r="AO398" s="40"/>
    </row>
    <row r="399" spans="2:41" ht="12.75" customHeight="1" x14ac:dyDescent="0.25">
      <c r="B399" s="40"/>
      <c r="C399" s="40"/>
      <c r="D399" s="40"/>
      <c r="E399" s="40"/>
      <c r="F399" s="40"/>
      <c r="G399" s="40"/>
      <c r="H399" s="5"/>
      <c r="Q399" s="40"/>
      <c r="R399" s="40"/>
      <c r="S399" s="40"/>
      <c r="T399" s="40"/>
      <c r="U399" s="40"/>
      <c r="W399" s="40"/>
      <c r="X399" s="40"/>
      <c r="Y399" s="40"/>
      <c r="Z399" s="40"/>
      <c r="AA399" s="41"/>
      <c r="AB399" s="41"/>
      <c r="AC399" s="41"/>
      <c r="AD399" s="41"/>
      <c r="AE399" s="40"/>
      <c r="AF399" s="42"/>
      <c r="AG399" s="5"/>
      <c r="AH399" s="5"/>
      <c r="AI399" s="40"/>
      <c r="AJ399" s="40"/>
      <c r="AK399" s="40"/>
      <c r="AL399" s="40"/>
      <c r="AM399" s="40"/>
      <c r="AO399" s="40"/>
    </row>
    <row r="400" spans="2:41" ht="12.75" customHeight="1" x14ac:dyDescent="0.25">
      <c r="B400" s="40"/>
      <c r="C400" s="40"/>
      <c r="D400" s="40"/>
      <c r="E400" s="40"/>
      <c r="F400" s="40"/>
      <c r="G400" s="40"/>
      <c r="H400" s="5"/>
      <c r="Q400" s="40"/>
      <c r="R400" s="40"/>
      <c r="S400" s="40"/>
      <c r="T400" s="40"/>
      <c r="U400" s="40"/>
      <c r="W400" s="40"/>
      <c r="X400" s="40"/>
      <c r="Y400" s="40"/>
      <c r="Z400" s="40"/>
      <c r="AA400" s="41"/>
      <c r="AB400" s="41"/>
      <c r="AC400" s="41"/>
      <c r="AD400" s="41"/>
      <c r="AE400" s="40"/>
      <c r="AF400" s="42"/>
      <c r="AG400" s="5"/>
      <c r="AH400" s="5"/>
      <c r="AI400" s="40"/>
      <c r="AJ400" s="40"/>
      <c r="AK400" s="40"/>
      <c r="AL400" s="40"/>
      <c r="AM400" s="40"/>
      <c r="AO400" s="40"/>
    </row>
    <row r="401" spans="2:41" ht="12.75" customHeight="1" x14ac:dyDescent="0.25">
      <c r="B401" s="40"/>
      <c r="C401" s="40"/>
      <c r="D401" s="40"/>
      <c r="E401" s="40"/>
      <c r="F401" s="40"/>
      <c r="G401" s="40"/>
      <c r="H401" s="5"/>
      <c r="Q401" s="40"/>
      <c r="R401" s="40"/>
      <c r="S401" s="40"/>
      <c r="T401" s="40"/>
      <c r="U401" s="40"/>
      <c r="W401" s="40"/>
      <c r="X401" s="40"/>
      <c r="Y401" s="40"/>
      <c r="Z401" s="40"/>
      <c r="AA401" s="41"/>
      <c r="AB401" s="41"/>
      <c r="AC401" s="41"/>
      <c r="AD401" s="41"/>
      <c r="AE401" s="40"/>
      <c r="AF401" s="42"/>
      <c r="AG401" s="5"/>
      <c r="AH401" s="5"/>
      <c r="AI401" s="40"/>
      <c r="AJ401" s="40"/>
      <c r="AK401" s="40"/>
      <c r="AL401" s="40"/>
      <c r="AM401" s="40"/>
      <c r="AO401" s="40"/>
    </row>
    <row r="402" spans="2:41" ht="12.75" customHeight="1" x14ac:dyDescent="0.25">
      <c r="B402" s="40"/>
      <c r="C402" s="40"/>
      <c r="D402" s="40"/>
      <c r="E402" s="40"/>
      <c r="F402" s="40"/>
      <c r="G402" s="40"/>
      <c r="H402" s="5"/>
      <c r="Q402" s="40"/>
      <c r="R402" s="40"/>
      <c r="S402" s="40"/>
      <c r="T402" s="40"/>
      <c r="U402" s="40"/>
      <c r="W402" s="40"/>
      <c r="X402" s="40"/>
      <c r="Y402" s="40"/>
      <c r="Z402" s="40"/>
      <c r="AA402" s="41"/>
      <c r="AB402" s="41"/>
      <c r="AC402" s="41"/>
      <c r="AD402" s="41"/>
      <c r="AE402" s="40"/>
      <c r="AF402" s="42"/>
      <c r="AG402" s="5"/>
      <c r="AH402" s="5"/>
      <c r="AI402" s="40"/>
      <c r="AJ402" s="40"/>
      <c r="AK402" s="40"/>
      <c r="AL402" s="40"/>
      <c r="AM402" s="40"/>
      <c r="AO402" s="40"/>
    </row>
    <row r="403" spans="2:41" ht="12.75" customHeight="1" x14ac:dyDescent="0.25">
      <c r="B403" s="40"/>
      <c r="C403" s="40"/>
      <c r="D403" s="40"/>
      <c r="E403" s="40"/>
      <c r="F403" s="40"/>
      <c r="G403" s="40"/>
      <c r="H403" s="5"/>
      <c r="Q403" s="40"/>
      <c r="R403" s="40"/>
      <c r="S403" s="40"/>
      <c r="T403" s="40"/>
      <c r="U403" s="40"/>
      <c r="W403" s="40"/>
      <c r="X403" s="40"/>
      <c r="Y403" s="40"/>
      <c r="Z403" s="40"/>
      <c r="AA403" s="41"/>
      <c r="AB403" s="41"/>
      <c r="AC403" s="41"/>
      <c r="AD403" s="41"/>
      <c r="AE403" s="40"/>
      <c r="AF403" s="42"/>
      <c r="AG403" s="5"/>
      <c r="AH403" s="5"/>
      <c r="AI403" s="40"/>
      <c r="AJ403" s="40"/>
      <c r="AK403" s="40"/>
      <c r="AL403" s="40"/>
      <c r="AM403" s="40"/>
      <c r="AO403" s="40"/>
    </row>
    <row r="404" spans="2:41" ht="12.75" customHeight="1" x14ac:dyDescent="0.25">
      <c r="B404" s="40"/>
      <c r="C404" s="40"/>
      <c r="D404" s="40"/>
      <c r="E404" s="40"/>
      <c r="F404" s="40"/>
      <c r="G404" s="40"/>
      <c r="H404" s="5"/>
      <c r="Q404" s="40"/>
      <c r="R404" s="40"/>
      <c r="S404" s="40"/>
      <c r="T404" s="40"/>
      <c r="U404" s="40"/>
      <c r="W404" s="40"/>
      <c r="X404" s="40"/>
      <c r="Y404" s="40"/>
      <c r="Z404" s="40"/>
      <c r="AA404" s="41"/>
      <c r="AB404" s="41"/>
      <c r="AC404" s="41"/>
      <c r="AD404" s="41"/>
      <c r="AE404" s="40"/>
      <c r="AF404" s="42"/>
      <c r="AG404" s="5"/>
      <c r="AH404" s="5"/>
      <c r="AI404" s="40"/>
      <c r="AJ404" s="40"/>
      <c r="AK404" s="40"/>
      <c r="AL404" s="40"/>
      <c r="AM404" s="40"/>
      <c r="AO404" s="40"/>
    </row>
    <row r="405" spans="2:41" ht="12.75" customHeight="1" x14ac:dyDescent="0.25">
      <c r="B405" s="40"/>
      <c r="C405" s="40"/>
      <c r="D405" s="40"/>
      <c r="E405" s="40"/>
      <c r="F405" s="40"/>
      <c r="G405" s="40"/>
      <c r="H405" s="5"/>
      <c r="Q405" s="40"/>
      <c r="R405" s="40"/>
      <c r="S405" s="40"/>
      <c r="T405" s="40"/>
      <c r="U405" s="40"/>
      <c r="W405" s="40"/>
      <c r="X405" s="40"/>
      <c r="Y405" s="40"/>
      <c r="Z405" s="40"/>
      <c r="AA405" s="41"/>
      <c r="AB405" s="41"/>
      <c r="AC405" s="41"/>
      <c r="AD405" s="41"/>
      <c r="AE405" s="40"/>
      <c r="AF405" s="42"/>
      <c r="AG405" s="5"/>
      <c r="AH405" s="5"/>
      <c r="AI405" s="40"/>
      <c r="AJ405" s="40"/>
      <c r="AK405" s="40"/>
      <c r="AL405" s="40"/>
      <c r="AM405" s="40"/>
      <c r="AO405" s="40"/>
    </row>
    <row r="406" spans="2:41" ht="12.75" customHeight="1" x14ac:dyDescent="0.25">
      <c r="B406" s="40"/>
      <c r="C406" s="40"/>
      <c r="D406" s="40"/>
      <c r="E406" s="40"/>
      <c r="F406" s="40"/>
      <c r="G406" s="40"/>
      <c r="H406" s="5"/>
      <c r="Q406" s="40"/>
      <c r="R406" s="40"/>
      <c r="S406" s="40"/>
      <c r="T406" s="40"/>
      <c r="U406" s="40"/>
      <c r="W406" s="40"/>
      <c r="X406" s="40"/>
      <c r="Y406" s="40"/>
      <c r="Z406" s="40"/>
      <c r="AA406" s="41"/>
      <c r="AB406" s="41"/>
      <c r="AC406" s="41"/>
      <c r="AD406" s="41"/>
      <c r="AE406" s="40"/>
      <c r="AF406" s="42"/>
      <c r="AG406" s="5"/>
      <c r="AH406" s="5"/>
      <c r="AI406" s="40"/>
      <c r="AJ406" s="40"/>
      <c r="AK406" s="40"/>
      <c r="AL406" s="40"/>
      <c r="AM406" s="40"/>
      <c r="AO406" s="40"/>
    </row>
    <row r="407" spans="2:41" ht="12.75" customHeight="1" x14ac:dyDescent="0.25">
      <c r="B407" s="40"/>
      <c r="C407" s="40"/>
      <c r="D407" s="40"/>
      <c r="E407" s="40"/>
      <c r="F407" s="40"/>
      <c r="G407" s="40"/>
      <c r="H407" s="5"/>
      <c r="Q407" s="40"/>
      <c r="R407" s="40"/>
      <c r="S407" s="40"/>
      <c r="T407" s="40"/>
      <c r="U407" s="40"/>
      <c r="W407" s="40"/>
      <c r="X407" s="40"/>
      <c r="Y407" s="40"/>
      <c r="Z407" s="40"/>
      <c r="AA407" s="41"/>
      <c r="AB407" s="41"/>
      <c r="AC407" s="41"/>
      <c r="AD407" s="41"/>
      <c r="AE407" s="40"/>
      <c r="AF407" s="42"/>
      <c r="AG407" s="5"/>
      <c r="AH407" s="5"/>
      <c r="AI407" s="40"/>
      <c r="AJ407" s="40"/>
      <c r="AK407" s="40"/>
      <c r="AL407" s="40"/>
      <c r="AM407" s="40"/>
      <c r="AO407" s="40"/>
    </row>
    <row r="408" spans="2:41" ht="12.75" customHeight="1" x14ac:dyDescent="0.25">
      <c r="B408" s="40"/>
      <c r="C408" s="40"/>
      <c r="D408" s="40"/>
      <c r="E408" s="40"/>
      <c r="F408" s="40"/>
      <c r="G408" s="40"/>
      <c r="H408" s="5"/>
      <c r="Q408" s="40"/>
      <c r="R408" s="40"/>
      <c r="S408" s="40"/>
      <c r="T408" s="40"/>
      <c r="U408" s="40"/>
      <c r="W408" s="40"/>
      <c r="X408" s="40"/>
      <c r="Y408" s="40"/>
      <c r="Z408" s="40"/>
      <c r="AA408" s="41"/>
      <c r="AB408" s="41"/>
      <c r="AC408" s="41"/>
      <c r="AD408" s="41"/>
      <c r="AE408" s="40"/>
      <c r="AF408" s="42"/>
      <c r="AG408" s="5"/>
      <c r="AH408" s="5"/>
      <c r="AI408" s="40"/>
      <c r="AJ408" s="40"/>
      <c r="AK408" s="40"/>
      <c r="AL408" s="40"/>
      <c r="AM408" s="40"/>
      <c r="AO408" s="40"/>
    </row>
    <row r="409" spans="2:41" ht="12.75" customHeight="1" x14ac:dyDescent="0.25">
      <c r="B409" s="40"/>
      <c r="C409" s="40"/>
      <c r="D409" s="40"/>
      <c r="E409" s="40"/>
      <c r="F409" s="40"/>
      <c r="G409" s="40"/>
      <c r="H409" s="5"/>
      <c r="Q409" s="40"/>
      <c r="R409" s="40"/>
      <c r="S409" s="40"/>
      <c r="T409" s="40"/>
      <c r="U409" s="40"/>
      <c r="W409" s="40"/>
      <c r="X409" s="40"/>
      <c r="Y409" s="40"/>
      <c r="Z409" s="40"/>
      <c r="AA409" s="41"/>
      <c r="AB409" s="41"/>
      <c r="AC409" s="41"/>
      <c r="AD409" s="41"/>
      <c r="AE409" s="40"/>
      <c r="AF409" s="42"/>
      <c r="AG409" s="5"/>
      <c r="AH409" s="5"/>
      <c r="AI409" s="40"/>
      <c r="AJ409" s="40"/>
      <c r="AK409" s="40"/>
      <c r="AL409" s="40"/>
      <c r="AM409" s="40"/>
      <c r="AO409" s="40"/>
    </row>
    <row r="410" spans="2:41" ht="12.75" customHeight="1" x14ac:dyDescent="0.25">
      <c r="B410" s="40"/>
      <c r="C410" s="40"/>
      <c r="D410" s="40"/>
      <c r="E410" s="40"/>
      <c r="F410" s="40"/>
      <c r="G410" s="40"/>
      <c r="H410" s="5"/>
      <c r="Q410" s="40"/>
      <c r="R410" s="40"/>
      <c r="S410" s="40"/>
      <c r="T410" s="40"/>
      <c r="U410" s="40"/>
      <c r="W410" s="40"/>
      <c r="X410" s="40"/>
      <c r="Y410" s="40"/>
      <c r="Z410" s="40"/>
      <c r="AA410" s="41"/>
      <c r="AB410" s="41"/>
      <c r="AC410" s="41"/>
      <c r="AD410" s="41"/>
      <c r="AE410" s="40"/>
      <c r="AF410" s="42"/>
      <c r="AG410" s="5"/>
      <c r="AH410" s="5"/>
      <c r="AI410" s="40"/>
      <c r="AJ410" s="40"/>
      <c r="AK410" s="40"/>
      <c r="AL410" s="40"/>
      <c r="AM410" s="40"/>
      <c r="AO410" s="40"/>
    </row>
    <row r="411" spans="2:41" ht="12.75" customHeight="1" x14ac:dyDescent="0.25">
      <c r="B411" s="40"/>
      <c r="C411" s="40"/>
      <c r="D411" s="40"/>
      <c r="E411" s="40"/>
      <c r="F411" s="40"/>
      <c r="G411" s="40"/>
      <c r="H411" s="5"/>
      <c r="Q411" s="40"/>
      <c r="R411" s="40"/>
      <c r="S411" s="40"/>
      <c r="T411" s="40"/>
      <c r="U411" s="40"/>
      <c r="W411" s="40"/>
      <c r="X411" s="40"/>
      <c r="Y411" s="40"/>
      <c r="Z411" s="40"/>
      <c r="AA411" s="41"/>
      <c r="AB411" s="41"/>
      <c r="AC411" s="41"/>
      <c r="AD411" s="41"/>
      <c r="AE411" s="40"/>
      <c r="AF411" s="42"/>
      <c r="AG411" s="5"/>
      <c r="AH411" s="5"/>
      <c r="AI411" s="40"/>
      <c r="AJ411" s="40"/>
      <c r="AK411" s="40"/>
      <c r="AL411" s="40"/>
      <c r="AM411" s="40"/>
      <c r="AO411" s="40"/>
    </row>
    <row r="412" spans="2:41" ht="12.75" customHeight="1" x14ac:dyDescent="0.25">
      <c r="B412" s="40"/>
      <c r="C412" s="40"/>
      <c r="D412" s="40"/>
      <c r="E412" s="40"/>
      <c r="F412" s="40"/>
      <c r="G412" s="40"/>
      <c r="H412" s="5"/>
      <c r="Q412" s="40"/>
      <c r="R412" s="40"/>
      <c r="S412" s="40"/>
      <c r="T412" s="40"/>
      <c r="U412" s="40"/>
      <c r="W412" s="40"/>
      <c r="X412" s="40"/>
      <c r="Y412" s="40"/>
      <c r="Z412" s="40"/>
      <c r="AA412" s="41"/>
      <c r="AB412" s="41"/>
      <c r="AC412" s="41"/>
      <c r="AD412" s="41"/>
      <c r="AE412" s="40"/>
      <c r="AF412" s="42"/>
      <c r="AG412" s="5"/>
      <c r="AH412" s="5"/>
      <c r="AI412" s="40"/>
      <c r="AJ412" s="40"/>
      <c r="AK412" s="40"/>
      <c r="AL412" s="40"/>
      <c r="AM412" s="40"/>
      <c r="AO412" s="40"/>
    </row>
    <row r="413" spans="2:41" ht="12.75" customHeight="1" x14ac:dyDescent="0.25">
      <c r="B413" s="40"/>
      <c r="C413" s="40"/>
      <c r="D413" s="40"/>
      <c r="E413" s="40"/>
      <c r="F413" s="40"/>
      <c r="G413" s="40"/>
      <c r="H413" s="5"/>
      <c r="Q413" s="40"/>
      <c r="R413" s="40"/>
      <c r="S413" s="40"/>
      <c r="T413" s="40"/>
      <c r="U413" s="40"/>
      <c r="W413" s="40"/>
      <c r="X413" s="40"/>
      <c r="Y413" s="40"/>
      <c r="Z413" s="40"/>
      <c r="AA413" s="41"/>
      <c r="AB413" s="41"/>
      <c r="AC413" s="41"/>
      <c r="AD413" s="41"/>
      <c r="AE413" s="40"/>
      <c r="AF413" s="42"/>
      <c r="AG413" s="5"/>
      <c r="AH413" s="5"/>
      <c r="AI413" s="40"/>
      <c r="AJ413" s="40"/>
      <c r="AK413" s="40"/>
      <c r="AL413" s="40"/>
      <c r="AM413" s="40"/>
      <c r="AO413" s="40"/>
    </row>
    <row r="414" spans="2:41" ht="12.75" customHeight="1" x14ac:dyDescent="0.25">
      <c r="B414" s="40"/>
      <c r="C414" s="40"/>
      <c r="D414" s="40"/>
      <c r="E414" s="40"/>
      <c r="F414" s="40"/>
      <c r="G414" s="40"/>
      <c r="H414" s="5"/>
      <c r="Q414" s="40"/>
      <c r="R414" s="40"/>
      <c r="S414" s="40"/>
      <c r="T414" s="40"/>
      <c r="U414" s="40"/>
      <c r="W414" s="40"/>
      <c r="X414" s="40"/>
      <c r="Y414" s="40"/>
      <c r="Z414" s="40"/>
      <c r="AA414" s="41"/>
      <c r="AB414" s="41"/>
      <c r="AC414" s="41"/>
      <c r="AD414" s="41"/>
      <c r="AE414" s="40"/>
      <c r="AF414" s="42"/>
      <c r="AG414" s="5"/>
      <c r="AH414" s="5"/>
      <c r="AI414" s="40"/>
      <c r="AJ414" s="40"/>
      <c r="AK414" s="40"/>
      <c r="AL414" s="40"/>
      <c r="AM414" s="40"/>
      <c r="AO414" s="40"/>
    </row>
    <row r="415" spans="2:41" ht="12.75" customHeight="1" x14ac:dyDescent="0.25">
      <c r="B415" s="40"/>
      <c r="C415" s="40"/>
      <c r="D415" s="40"/>
      <c r="E415" s="40"/>
      <c r="F415" s="40"/>
      <c r="G415" s="40"/>
      <c r="H415" s="5"/>
      <c r="Q415" s="40"/>
      <c r="R415" s="40"/>
      <c r="S415" s="40"/>
      <c r="T415" s="40"/>
      <c r="U415" s="40"/>
      <c r="W415" s="40"/>
      <c r="X415" s="40"/>
      <c r="Y415" s="40"/>
      <c r="Z415" s="40"/>
      <c r="AA415" s="41"/>
      <c r="AB415" s="41"/>
      <c r="AC415" s="41"/>
      <c r="AD415" s="41"/>
      <c r="AE415" s="40"/>
      <c r="AF415" s="42"/>
      <c r="AG415" s="5"/>
      <c r="AH415" s="5"/>
      <c r="AI415" s="40"/>
      <c r="AJ415" s="40"/>
      <c r="AK415" s="40"/>
      <c r="AL415" s="40"/>
      <c r="AM415" s="40"/>
      <c r="AO415" s="40"/>
    </row>
    <row r="416" spans="2:41" ht="12.75" customHeight="1" x14ac:dyDescent="0.25">
      <c r="B416" s="40"/>
      <c r="C416" s="40"/>
      <c r="D416" s="40"/>
      <c r="E416" s="40"/>
      <c r="F416" s="40"/>
      <c r="G416" s="40"/>
      <c r="H416" s="5"/>
      <c r="Q416" s="40"/>
      <c r="R416" s="40"/>
      <c r="S416" s="40"/>
      <c r="T416" s="40"/>
      <c r="U416" s="40"/>
      <c r="W416" s="40"/>
      <c r="X416" s="40"/>
      <c r="Y416" s="40"/>
      <c r="Z416" s="40"/>
      <c r="AA416" s="41"/>
      <c r="AB416" s="41"/>
      <c r="AC416" s="41"/>
      <c r="AD416" s="41"/>
      <c r="AE416" s="40"/>
      <c r="AF416" s="42"/>
      <c r="AG416" s="5"/>
      <c r="AH416" s="5"/>
      <c r="AI416" s="40"/>
      <c r="AJ416" s="40"/>
      <c r="AK416" s="40"/>
      <c r="AL416" s="40"/>
      <c r="AM416" s="40"/>
      <c r="AO416" s="40"/>
    </row>
    <row r="417" spans="2:41" ht="12.75" customHeight="1" x14ac:dyDescent="0.25">
      <c r="B417" s="40"/>
      <c r="C417" s="40"/>
      <c r="D417" s="40"/>
      <c r="E417" s="40"/>
      <c r="F417" s="40"/>
      <c r="G417" s="40"/>
      <c r="H417" s="5"/>
      <c r="Q417" s="40"/>
      <c r="R417" s="40"/>
      <c r="S417" s="40"/>
      <c r="T417" s="40"/>
      <c r="U417" s="40"/>
      <c r="W417" s="40"/>
      <c r="X417" s="40"/>
      <c r="Y417" s="40"/>
      <c r="Z417" s="40"/>
      <c r="AA417" s="41"/>
      <c r="AB417" s="41"/>
      <c r="AC417" s="41"/>
      <c r="AD417" s="41"/>
      <c r="AE417" s="40"/>
      <c r="AF417" s="42"/>
      <c r="AG417" s="5"/>
      <c r="AH417" s="5"/>
      <c r="AI417" s="40"/>
      <c r="AJ417" s="40"/>
      <c r="AK417" s="40"/>
      <c r="AL417" s="40"/>
      <c r="AM417" s="40"/>
      <c r="AO417" s="40"/>
    </row>
    <row r="418" spans="2:41" ht="12.75" customHeight="1" x14ac:dyDescent="0.25">
      <c r="B418" s="40"/>
      <c r="C418" s="40"/>
      <c r="D418" s="40"/>
      <c r="E418" s="40"/>
      <c r="F418" s="40"/>
      <c r="G418" s="40"/>
      <c r="H418" s="5"/>
      <c r="Q418" s="40"/>
      <c r="R418" s="40"/>
      <c r="S418" s="40"/>
      <c r="T418" s="40"/>
      <c r="U418" s="40"/>
      <c r="W418" s="40"/>
      <c r="X418" s="40"/>
      <c r="Y418" s="40"/>
      <c r="Z418" s="40"/>
      <c r="AA418" s="41"/>
      <c r="AB418" s="41"/>
      <c r="AC418" s="41"/>
      <c r="AD418" s="41"/>
      <c r="AE418" s="40"/>
      <c r="AF418" s="42"/>
      <c r="AG418" s="5"/>
      <c r="AH418" s="5"/>
      <c r="AI418" s="40"/>
      <c r="AJ418" s="40"/>
      <c r="AK418" s="40"/>
      <c r="AL418" s="40"/>
      <c r="AM418" s="40"/>
      <c r="AO418" s="40"/>
    </row>
    <row r="419" spans="2:41" ht="12.75" customHeight="1" x14ac:dyDescent="0.25">
      <c r="B419" s="40"/>
      <c r="C419" s="40"/>
      <c r="D419" s="40"/>
      <c r="E419" s="40"/>
      <c r="F419" s="40"/>
      <c r="G419" s="40"/>
      <c r="H419" s="5"/>
      <c r="Q419" s="40"/>
      <c r="R419" s="40"/>
      <c r="S419" s="40"/>
      <c r="T419" s="40"/>
      <c r="U419" s="40"/>
      <c r="W419" s="40"/>
      <c r="X419" s="40"/>
      <c r="Y419" s="40"/>
      <c r="Z419" s="40"/>
      <c r="AA419" s="41"/>
      <c r="AB419" s="41"/>
      <c r="AC419" s="41"/>
      <c r="AD419" s="41"/>
      <c r="AE419" s="40"/>
      <c r="AF419" s="42"/>
      <c r="AG419" s="5"/>
      <c r="AH419" s="5"/>
      <c r="AI419" s="40"/>
      <c r="AJ419" s="40"/>
      <c r="AK419" s="40"/>
      <c r="AL419" s="40"/>
      <c r="AM419" s="40"/>
      <c r="AO419" s="40"/>
    </row>
    <row r="420" spans="2:41" ht="12.75" customHeight="1" x14ac:dyDescent="0.25">
      <c r="B420" s="40"/>
      <c r="C420" s="40"/>
      <c r="D420" s="40"/>
      <c r="E420" s="40"/>
      <c r="F420" s="40"/>
      <c r="G420" s="40"/>
      <c r="H420" s="5"/>
      <c r="Q420" s="40"/>
      <c r="R420" s="40"/>
      <c r="S420" s="40"/>
      <c r="T420" s="40"/>
      <c r="U420" s="40"/>
      <c r="W420" s="40"/>
      <c r="X420" s="40"/>
      <c r="Y420" s="40"/>
      <c r="Z420" s="40"/>
      <c r="AA420" s="41"/>
      <c r="AB420" s="41"/>
      <c r="AC420" s="41"/>
      <c r="AD420" s="41"/>
      <c r="AE420" s="40"/>
      <c r="AF420" s="42"/>
      <c r="AG420" s="5"/>
      <c r="AH420" s="5"/>
      <c r="AI420" s="40"/>
      <c r="AJ420" s="40"/>
      <c r="AK420" s="40"/>
      <c r="AL420" s="40"/>
      <c r="AM420" s="40"/>
      <c r="AO420" s="40"/>
    </row>
    <row r="421" spans="2:41" ht="12.75" customHeight="1" x14ac:dyDescent="0.25">
      <c r="B421" s="40"/>
      <c r="C421" s="40"/>
      <c r="D421" s="40"/>
      <c r="E421" s="40"/>
      <c r="F421" s="40"/>
      <c r="G421" s="40"/>
      <c r="H421" s="5"/>
      <c r="Q421" s="40"/>
      <c r="R421" s="40"/>
      <c r="S421" s="40"/>
      <c r="T421" s="40"/>
      <c r="U421" s="40"/>
      <c r="W421" s="40"/>
      <c r="X421" s="40"/>
      <c r="Y421" s="40"/>
      <c r="Z421" s="40"/>
      <c r="AA421" s="41"/>
      <c r="AB421" s="41"/>
      <c r="AC421" s="41"/>
      <c r="AD421" s="41"/>
      <c r="AE421" s="40"/>
      <c r="AF421" s="42"/>
      <c r="AG421" s="5"/>
      <c r="AH421" s="5"/>
      <c r="AI421" s="40"/>
      <c r="AJ421" s="40"/>
      <c r="AK421" s="40"/>
      <c r="AL421" s="40"/>
      <c r="AM421" s="40"/>
      <c r="AO421" s="40"/>
    </row>
    <row r="422" spans="2:41" ht="12.75" customHeight="1" x14ac:dyDescent="0.25">
      <c r="B422" s="40"/>
      <c r="C422" s="40"/>
      <c r="D422" s="40"/>
      <c r="E422" s="40"/>
      <c r="F422" s="40"/>
      <c r="G422" s="40"/>
      <c r="H422" s="5"/>
      <c r="Q422" s="40"/>
      <c r="R422" s="40"/>
      <c r="S422" s="40"/>
      <c r="T422" s="40"/>
      <c r="U422" s="40"/>
      <c r="W422" s="40"/>
      <c r="X422" s="40"/>
      <c r="Y422" s="40"/>
      <c r="Z422" s="40"/>
      <c r="AA422" s="41"/>
      <c r="AB422" s="41"/>
      <c r="AC422" s="41"/>
      <c r="AD422" s="41"/>
      <c r="AE422" s="40"/>
      <c r="AF422" s="42"/>
      <c r="AG422" s="5"/>
      <c r="AH422" s="5"/>
      <c r="AI422" s="40"/>
      <c r="AJ422" s="40"/>
      <c r="AK422" s="40"/>
      <c r="AL422" s="40"/>
      <c r="AM422" s="40"/>
      <c r="AO422" s="40"/>
    </row>
    <row r="423" spans="2:41" ht="12.75" customHeight="1" x14ac:dyDescent="0.25">
      <c r="B423" s="40"/>
      <c r="C423" s="40"/>
      <c r="D423" s="40"/>
      <c r="E423" s="40"/>
      <c r="F423" s="40"/>
      <c r="G423" s="40"/>
      <c r="H423" s="5"/>
      <c r="Q423" s="40"/>
      <c r="R423" s="40"/>
      <c r="S423" s="40"/>
      <c r="T423" s="40"/>
      <c r="U423" s="40"/>
      <c r="W423" s="40"/>
      <c r="X423" s="40"/>
      <c r="Y423" s="40"/>
      <c r="Z423" s="40"/>
      <c r="AA423" s="41"/>
      <c r="AB423" s="41"/>
      <c r="AC423" s="41"/>
      <c r="AD423" s="41"/>
      <c r="AE423" s="40"/>
      <c r="AF423" s="42"/>
      <c r="AG423" s="5"/>
      <c r="AH423" s="5"/>
      <c r="AI423" s="40"/>
      <c r="AJ423" s="40"/>
      <c r="AK423" s="40"/>
      <c r="AL423" s="40"/>
      <c r="AM423" s="40"/>
      <c r="AO423" s="40"/>
    </row>
    <row r="424" spans="2:41" ht="12.75" customHeight="1" x14ac:dyDescent="0.25">
      <c r="B424" s="40"/>
      <c r="C424" s="40"/>
      <c r="D424" s="40"/>
      <c r="E424" s="40"/>
      <c r="F424" s="40"/>
      <c r="G424" s="40"/>
      <c r="H424" s="5"/>
      <c r="Q424" s="40"/>
      <c r="R424" s="40"/>
      <c r="S424" s="40"/>
      <c r="T424" s="40"/>
      <c r="U424" s="40"/>
      <c r="W424" s="40"/>
      <c r="X424" s="40"/>
      <c r="Y424" s="40"/>
      <c r="Z424" s="40"/>
      <c r="AA424" s="41"/>
      <c r="AB424" s="41"/>
      <c r="AC424" s="41"/>
      <c r="AD424" s="41"/>
      <c r="AE424" s="40"/>
      <c r="AF424" s="42"/>
      <c r="AG424" s="5"/>
      <c r="AH424" s="5"/>
      <c r="AI424" s="40"/>
      <c r="AJ424" s="40"/>
      <c r="AK424" s="40"/>
      <c r="AL424" s="40"/>
      <c r="AM424" s="40"/>
      <c r="AO424" s="40"/>
    </row>
    <row r="425" spans="2:41" ht="12.75" customHeight="1" x14ac:dyDescent="0.25">
      <c r="B425" s="40"/>
      <c r="C425" s="40"/>
      <c r="D425" s="40"/>
      <c r="E425" s="40"/>
      <c r="F425" s="40"/>
      <c r="G425" s="40"/>
      <c r="H425" s="5"/>
      <c r="Q425" s="40"/>
      <c r="R425" s="40"/>
      <c r="S425" s="40"/>
      <c r="T425" s="40"/>
      <c r="U425" s="40"/>
      <c r="W425" s="40"/>
      <c r="X425" s="40"/>
      <c r="Y425" s="40"/>
      <c r="Z425" s="40"/>
      <c r="AA425" s="41"/>
      <c r="AB425" s="41"/>
      <c r="AC425" s="41"/>
      <c r="AD425" s="41"/>
      <c r="AE425" s="40"/>
      <c r="AF425" s="42"/>
      <c r="AG425" s="5"/>
      <c r="AH425" s="5"/>
      <c r="AI425" s="40"/>
      <c r="AJ425" s="40"/>
      <c r="AK425" s="40"/>
      <c r="AL425" s="40"/>
      <c r="AM425" s="40"/>
      <c r="AO425" s="40"/>
    </row>
    <row r="426" spans="2:41" ht="12.75" customHeight="1" x14ac:dyDescent="0.25">
      <c r="B426" s="40"/>
      <c r="C426" s="40"/>
      <c r="D426" s="40"/>
      <c r="E426" s="40"/>
      <c r="F426" s="40"/>
      <c r="G426" s="40"/>
      <c r="H426" s="5"/>
      <c r="Q426" s="40"/>
      <c r="R426" s="40"/>
      <c r="S426" s="40"/>
      <c r="T426" s="40"/>
      <c r="U426" s="40"/>
      <c r="W426" s="40"/>
      <c r="X426" s="40"/>
      <c r="Y426" s="40"/>
      <c r="Z426" s="40"/>
      <c r="AA426" s="41"/>
      <c r="AB426" s="41"/>
      <c r="AC426" s="41"/>
      <c r="AD426" s="41"/>
      <c r="AE426" s="40"/>
      <c r="AF426" s="42"/>
      <c r="AG426" s="5"/>
      <c r="AH426" s="5"/>
      <c r="AI426" s="40"/>
      <c r="AJ426" s="40"/>
      <c r="AK426" s="40"/>
      <c r="AL426" s="40"/>
      <c r="AM426" s="40"/>
      <c r="AO426" s="40"/>
    </row>
    <row r="427" spans="2:41" ht="12.75" customHeight="1" x14ac:dyDescent="0.25">
      <c r="B427" s="40"/>
      <c r="C427" s="40"/>
      <c r="D427" s="40"/>
      <c r="E427" s="40"/>
      <c r="F427" s="40"/>
      <c r="G427" s="40"/>
      <c r="H427" s="5"/>
      <c r="Q427" s="40"/>
      <c r="R427" s="40"/>
      <c r="S427" s="40"/>
      <c r="T427" s="40"/>
      <c r="U427" s="40"/>
      <c r="W427" s="40"/>
      <c r="X427" s="40"/>
      <c r="Y427" s="40"/>
      <c r="Z427" s="40"/>
      <c r="AA427" s="41"/>
      <c r="AB427" s="41"/>
      <c r="AC427" s="41"/>
      <c r="AD427" s="41"/>
      <c r="AE427" s="40"/>
      <c r="AF427" s="42"/>
      <c r="AG427" s="5"/>
      <c r="AH427" s="5"/>
      <c r="AI427" s="40"/>
      <c r="AJ427" s="40"/>
      <c r="AK427" s="40"/>
      <c r="AL427" s="40"/>
      <c r="AM427" s="40"/>
      <c r="AO427" s="40"/>
    </row>
    <row r="428" spans="2:41" ht="12.75" customHeight="1" x14ac:dyDescent="0.25">
      <c r="B428" s="40"/>
      <c r="C428" s="40"/>
      <c r="D428" s="40"/>
      <c r="E428" s="40"/>
      <c r="F428" s="40"/>
      <c r="G428" s="40"/>
      <c r="H428" s="5"/>
      <c r="Q428" s="40"/>
      <c r="R428" s="40"/>
      <c r="S428" s="40"/>
      <c r="T428" s="40"/>
      <c r="U428" s="40"/>
      <c r="W428" s="40"/>
      <c r="X428" s="40"/>
      <c r="Y428" s="40"/>
      <c r="Z428" s="40"/>
      <c r="AA428" s="41"/>
      <c r="AB428" s="41"/>
      <c r="AC428" s="41"/>
      <c r="AD428" s="41"/>
      <c r="AE428" s="40"/>
      <c r="AF428" s="42"/>
      <c r="AG428" s="5"/>
      <c r="AH428" s="5"/>
      <c r="AI428" s="40"/>
      <c r="AJ428" s="40"/>
      <c r="AK428" s="40"/>
      <c r="AL428" s="40"/>
      <c r="AM428" s="40"/>
      <c r="AO428" s="40"/>
    </row>
    <row r="429" spans="2:41" ht="12.75" customHeight="1" x14ac:dyDescent="0.25">
      <c r="B429" s="40"/>
      <c r="C429" s="40"/>
      <c r="D429" s="40"/>
      <c r="E429" s="40"/>
      <c r="F429" s="40"/>
      <c r="G429" s="40"/>
      <c r="H429" s="5"/>
      <c r="Q429" s="40"/>
      <c r="R429" s="40"/>
      <c r="S429" s="40"/>
      <c r="T429" s="40"/>
      <c r="U429" s="40"/>
      <c r="W429" s="40"/>
      <c r="X429" s="40"/>
      <c r="Y429" s="40"/>
      <c r="Z429" s="40"/>
      <c r="AA429" s="41"/>
      <c r="AB429" s="41"/>
      <c r="AC429" s="41"/>
      <c r="AD429" s="41"/>
      <c r="AE429" s="40"/>
      <c r="AF429" s="42"/>
      <c r="AG429" s="5"/>
      <c r="AH429" s="5"/>
      <c r="AI429" s="40"/>
      <c r="AJ429" s="40"/>
      <c r="AK429" s="40"/>
      <c r="AL429" s="40"/>
      <c r="AM429" s="40"/>
      <c r="AO429" s="40"/>
    </row>
    <row r="430" spans="2:41" ht="12.75" customHeight="1" x14ac:dyDescent="0.25">
      <c r="B430" s="40"/>
      <c r="C430" s="40"/>
      <c r="D430" s="40"/>
      <c r="E430" s="40"/>
      <c r="F430" s="40"/>
      <c r="G430" s="40"/>
      <c r="H430" s="5"/>
      <c r="Q430" s="40"/>
      <c r="R430" s="40"/>
      <c r="S430" s="40"/>
      <c r="T430" s="40"/>
      <c r="U430" s="40"/>
      <c r="W430" s="40"/>
      <c r="X430" s="40"/>
      <c r="Y430" s="40"/>
      <c r="Z430" s="40"/>
      <c r="AA430" s="41"/>
      <c r="AB430" s="41"/>
      <c r="AC430" s="41"/>
      <c r="AD430" s="41"/>
      <c r="AE430" s="40"/>
      <c r="AF430" s="42"/>
      <c r="AG430" s="5"/>
      <c r="AH430" s="5"/>
      <c r="AI430" s="40"/>
      <c r="AJ430" s="40"/>
      <c r="AK430" s="40"/>
      <c r="AL430" s="40"/>
      <c r="AM430" s="40"/>
      <c r="AO430" s="40"/>
    </row>
    <row r="431" spans="2:41" ht="12.75" customHeight="1" x14ac:dyDescent="0.25">
      <c r="B431" s="40"/>
      <c r="C431" s="40"/>
      <c r="D431" s="40"/>
      <c r="E431" s="40"/>
      <c r="F431" s="40"/>
      <c r="G431" s="40"/>
      <c r="H431" s="5"/>
      <c r="Q431" s="40"/>
      <c r="R431" s="40"/>
      <c r="S431" s="40"/>
      <c r="T431" s="40"/>
      <c r="U431" s="40"/>
      <c r="W431" s="40"/>
      <c r="X431" s="40"/>
      <c r="Y431" s="40"/>
      <c r="Z431" s="40"/>
      <c r="AA431" s="41"/>
      <c r="AB431" s="41"/>
      <c r="AC431" s="41"/>
      <c r="AD431" s="41"/>
      <c r="AE431" s="40"/>
      <c r="AF431" s="42"/>
      <c r="AG431" s="5"/>
      <c r="AH431" s="5"/>
      <c r="AI431" s="40"/>
      <c r="AJ431" s="40"/>
      <c r="AK431" s="40"/>
      <c r="AL431" s="40"/>
      <c r="AM431" s="40"/>
      <c r="AO431" s="40"/>
    </row>
    <row r="432" spans="2:41" ht="12.75" customHeight="1" x14ac:dyDescent="0.25">
      <c r="B432" s="40"/>
      <c r="C432" s="40"/>
      <c r="D432" s="40"/>
      <c r="E432" s="40"/>
      <c r="F432" s="40"/>
      <c r="G432" s="40"/>
      <c r="H432" s="5"/>
      <c r="Q432" s="40"/>
      <c r="R432" s="40"/>
      <c r="S432" s="40"/>
      <c r="T432" s="40"/>
      <c r="U432" s="40"/>
      <c r="W432" s="40"/>
      <c r="X432" s="40"/>
      <c r="Y432" s="40"/>
      <c r="Z432" s="40"/>
      <c r="AA432" s="41"/>
      <c r="AB432" s="41"/>
      <c r="AC432" s="41"/>
      <c r="AD432" s="41"/>
      <c r="AE432" s="40"/>
      <c r="AF432" s="42"/>
      <c r="AG432" s="5"/>
      <c r="AH432" s="5"/>
      <c r="AI432" s="40"/>
      <c r="AJ432" s="40"/>
      <c r="AK432" s="40"/>
      <c r="AL432" s="40"/>
      <c r="AM432" s="40"/>
      <c r="AO432" s="40"/>
    </row>
    <row r="433" spans="2:41" ht="12.75" customHeight="1" x14ac:dyDescent="0.25">
      <c r="B433" s="40"/>
      <c r="C433" s="40"/>
      <c r="D433" s="40"/>
      <c r="E433" s="40"/>
      <c r="F433" s="40"/>
      <c r="G433" s="40"/>
      <c r="H433" s="5"/>
      <c r="Q433" s="40"/>
      <c r="R433" s="40"/>
      <c r="S433" s="40"/>
      <c r="T433" s="40"/>
      <c r="U433" s="40"/>
      <c r="W433" s="40"/>
      <c r="X433" s="40"/>
      <c r="Y433" s="40"/>
      <c r="Z433" s="40"/>
      <c r="AA433" s="41"/>
      <c r="AB433" s="41"/>
      <c r="AC433" s="41"/>
      <c r="AD433" s="41"/>
      <c r="AE433" s="40"/>
      <c r="AF433" s="42"/>
      <c r="AG433" s="5"/>
      <c r="AH433" s="5"/>
      <c r="AI433" s="40"/>
      <c r="AJ433" s="40"/>
      <c r="AK433" s="40"/>
      <c r="AL433" s="40"/>
      <c r="AM433" s="40"/>
      <c r="AO433" s="40"/>
    </row>
    <row r="434" spans="2:41" ht="12.75" customHeight="1" x14ac:dyDescent="0.25">
      <c r="B434" s="40"/>
      <c r="C434" s="40"/>
      <c r="D434" s="40"/>
      <c r="E434" s="40"/>
      <c r="F434" s="40"/>
      <c r="G434" s="40"/>
      <c r="H434" s="5"/>
      <c r="Q434" s="40"/>
      <c r="R434" s="40"/>
      <c r="S434" s="40"/>
      <c r="T434" s="40"/>
      <c r="U434" s="40"/>
      <c r="W434" s="40"/>
      <c r="X434" s="40"/>
      <c r="Y434" s="40"/>
      <c r="Z434" s="40"/>
      <c r="AA434" s="41"/>
      <c r="AB434" s="41"/>
      <c r="AC434" s="41"/>
      <c r="AD434" s="41"/>
      <c r="AE434" s="40"/>
      <c r="AF434" s="42"/>
      <c r="AG434" s="5"/>
      <c r="AH434" s="5"/>
      <c r="AI434" s="40"/>
      <c r="AJ434" s="40"/>
      <c r="AK434" s="40"/>
      <c r="AL434" s="40"/>
      <c r="AM434" s="40"/>
      <c r="AO434" s="40"/>
    </row>
    <row r="435" spans="2:41" ht="12.75" customHeight="1" x14ac:dyDescent="0.25">
      <c r="B435" s="40"/>
      <c r="C435" s="40"/>
      <c r="D435" s="40"/>
      <c r="E435" s="40"/>
      <c r="F435" s="40"/>
      <c r="G435" s="40"/>
      <c r="H435" s="5"/>
      <c r="Q435" s="40"/>
      <c r="R435" s="40"/>
      <c r="S435" s="40"/>
      <c r="T435" s="40"/>
      <c r="U435" s="40"/>
      <c r="W435" s="40"/>
      <c r="X435" s="40"/>
      <c r="Y435" s="40"/>
      <c r="Z435" s="40"/>
      <c r="AA435" s="41"/>
      <c r="AB435" s="41"/>
      <c r="AC435" s="41"/>
      <c r="AD435" s="41"/>
      <c r="AE435" s="40"/>
      <c r="AF435" s="42"/>
      <c r="AG435" s="5"/>
      <c r="AH435" s="5"/>
      <c r="AI435" s="40"/>
      <c r="AJ435" s="40"/>
      <c r="AK435" s="40"/>
      <c r="AL435" s="40"/>
      <c r="AM435" s="40"/>
      <c r="AO435" s="40"/>
    </row>
    <row r="436" spans="2:41" ht="12.75" customHeight="1" x14ac:dyDescent="0.25">
      <c r="B436" s="40"/>
      <c r="C436" s="40"/>
      <c r="D436" s="40"/>
      <c r="E436" s="40"/>
      <c r="F436" s="40"/>
      <c r="G436" s="40"/>
      <c r="H436" s="5"/>
      <c r="Q436" s="40"/>
      <c r="R436" s="40"/>
      <c r="S436" s="40"/>
      <c r="T436" s="40"/>
      <c r="U436" s="40"/>
      <c r="W436" s="40"/>
      <c r="X436" s="40"/>
      <c r="Y436" s="40"/>
      <c r="Z436" s="40"/>
      <c r="AA436" s="41"/>
      <c r="AB436" s="41"/>
      <c r="AC436" s="41"/>
      <c r="AD436" s="41"/>
      <c r="AE436" s="40"/>
      <c r="AF436" s="42"/>
      <c r="AG436" s="5"/>
      <c r="AH436" s="5"/>
      <c r="AI436" s="40"/>
      <c r="AJ436" s="40"/>
      <c r="AK436" s="40"/>
      <c r="AL436" s="40"/>
      <c r="AM436" s="40"/>
      <c r="AO436" s="40"/>
    </row>
    <row r="437" spans="2:41" ht="12.75" customHeight="1" x14ac:dyDescent="0.25">
      <c r="B437" s="40"/>
      <c r="C437" s="40"/>
      <c r="D437" s="40"/>
      <c r="E437" s="40"/>
      <c r="F437" s="40"/>
      <c r="G437" s="40"/>
      <c r="H437" s="5"/>
      <c r="Q437" s="40"/>
      <c r="R437" s="40"/>
      <c r="S437" s="40"/>
      <c r="T437" s="40"/>
      <c r="U437" s="40"/>
      <c r="W437" s="40"/>
      <c r="X437" s="40"/>
      <c r="Y437" s="40"/>
      <c r="Z437" s="40"/>
      <c r="AA437" s="41"/>
      <c r="AB437" s="41"/>
      <c r="AC437" s="41"/>
      <c r="AD437" s="41"/>
      <c r="AE437" s="40"/>
      <c r="AF437" s="42"/>
      <c r="AG437" s="5"/>
      <c r="AH437" s="5"/>
      <c r="AI437" s="40"/>
      <c r="AJ437" s="40"/>
      <c r="AK437" s="40"/>
      <c r="AL437" s="40"/>
      <c r="AM437" s="40"/>
      <c r="AO437" s="40"/>
    </row>
    <row r="438" spans="2:41" ht="12.75" customHeight="1" x14ac:dyDescent="0.25">
      <c r="B438" s="40"/>
      <c r="C438" s="40"/>
      <c r="D438" s="40"/>
      <c r="E438" s="40"/>
      <c r="F438" s="40"/>
      <c r="G438" s="40"/>
      <c r="H438" s="5"/>
      <c r="Q438" s="40"/>
      <c r="R438" s="40"/>
      <c r="S438" s="40"/>
      <c r="T438" s="40"/>
      <c r="U438" s="40"/>
      <c r="W438" s="40"/>
      <c r="X438" s="40"/>
      <c r="Y438" s="40"/>
      <c r="Z438" s="40"/>
      <c r="AA438" s="41"/>
      <c r="AB438" s="41"/>
      <c r="AC438" s="41"/>
      <c r="AD438" s="41"/>
      <c r="AE438" s="40"/>
      <c r="AF438" s="42"/>
      <c r="AG438" s="5"/>
      <c r="AH438" s="5"/>
      <c r="AI438" s="40"/>
      <c r="AJ438" s="40"/>
      <c r="AK438" s="40"/>
      <c r="AL438" s="40"/>
      <c r="AM438" s="40"/>
      <c r="AO438" s="40"/>
    </row>
    <row r="439" spans="2:41" ht="12.75" customHeight="1" x14ac:dyDescent="0.25">
      <c r="B439" s="40"/>
      <c r="C439" s="40"/>
      <c r="D439" s="40"/>
      <c r="E439" s="40"/>
      <c r="F439" s="40"/>
      <c r="G439" s="40"/>
      <c r="H439" s="5"/>
      <c r="Q439" s="40"/>
      <c r="R439" s="40"/>
      <c r="S439" s="40"/>
      <c r="T439" s="40"/>
      <c r="U439" s="40"/>
      <c r="W439" s="40"/>
      <c r="X439" s="40"/>
      <c r="Y439" s="40"/>
      <c r="Z439" s="40"/>
      <c r="AA439" s="41"/>
      <c r="AB439" s="41"/>
      <c r="AC439" s="41"/>
      <c r="AD439" s="41"/>
      <c r="AE439" s="40"/>
      <c r="AF439" s="42"/>
      <c r="AG439" s="5"/>
      <c r="AH439" s="5"/>
      <c r="AI439" s="40"/>
      <c r="AJ439" s="40"/>
      <c r="AK439" s="40"/>
      <c r="AL439" s="40"/>
      <c r="AM439" s="40"/>
      <c r="AO439" s="40"/>
    </row>
    <row r="440" spans="2:41" ht="12.75" customHeight="1" x14ac:dyDescent="0.25">
      <c r="B440" s="40"/>
      <c r="C440" s="40"/>
      <c r="D440" s="40"/>
      <c r="E440" s="40"/>
      <c r="F440" s="40"/>
      <c r="G440" s="40"/>
      <c r="H440" s="5"/>
      <c r="Q440" s="40"/>
      <c r="R440" s="40"/>
      <c r="S440" s="40"/>
      <c r="T440" s="40"/>
      <c r="U440" s="40"/>
      <c r="W440" s="40"/>
      <c r="X440" s="40"/>
      <c r="Y440" s="40"/>
      <c r="Z440" s="40"/>
      <c r="AA440" s="41"/>
      <c r="AB440" s="41"/>
      <c r="AC440" s="41"/>
      <c r="AD440" s="41"/>
      <c r="AE440" s="40"/>
      <c r="AF440" s="42"/>
      <c r="AG440" s="5"/>
      <c r="AH440" s="5"/>
      <c r="AI440" s="40"/>
      <c r="AJ440" s="40"/>
      <c r="AK440" s="40"/>
      <c r="AL440" s="40"/>
      <c r="AM440" s="40"/>
      <c r="AO440" s="40"/>
    </row>
    <row r="441" spans="2:41" ht="12.75" customHeight="1" x14ac:dyDescent="0.25">
      <c r="B441" s="40"/>
      <c r="C441" s="40"/>
      <c r="D441" s="40"/>
      <c r="E441" s="40"/>
      <c r="F441" s="40"/>
      <c r="G441" s="40"/>
      <c r="H441" s="5"/>
      <c r="Q441" s="40"/>
      <c r="R441" s="40"/>
      <c r="S441" s="40"/>
      <c r="T441" s="40"/>
      <c r="U441" s="40"/>
      <c r="W441" s="40"/>
      <c r="X441" s="40"/>
      <c r="Y441" s="40"/>
      <c r="Z441" s="40"/>
      <c r="AA441" s="41"/>
      <c r="AB441" s="41"/>
      <c r="AC441" s="41"/>
      <c r="AD441" s="41"/>
      <c r="AE441" s="40"/>
      <c r="AF441" s="42"/>
      <c r="AG441" s="5"/>
      <c r="AH441" s="5"/>
      <c r="AI441" s="40"/>
      <c r="AJ441" s="40"/>
      <c r="AK441" s="40"/>
      <c r="AL441" s="40"/>
      <c r="AM441" s="40"/>
      <c r="AO441" s="40"/>
    </row>
    <row r="442" spans="2:41" ht="12.75" customHeight="1" x14ac:dyDescent="0.25">
      <c r="B442" s="40"/>
      <c r="C442" s="40"/>
      <c r="D442" s="40"/>
      <c r="E442" s="40"/>
      <c r="F442" s="40"/>
      <c r="G442" s="40"/>
      <c r="H442" s="5"/>
      <c r="Q442" s="40"/>
      <c r="R442" s="40"/>
      <c r="S442" s="40"/>
      <c r="T442" s="40"/>
      <c r="U442" s="40"/>
      <c r="W442" s="40"/>
      <c r="X442" s="40"/>
      <c r="Y442" s="40"/>
      <c r="Z442" s="40"/>
      <c r="AA442" s="41"/>
      <c r="AB442" s="41"/>
      <c r="AC442" s="41"/>
      <c r="AD442" s="41"/>
      <c r="AE442" s="40"/>
      <c r="AF442" s="42"/>
      <c r="AG442" s="5"/>
      <c r="AH442" s="5"/>
      <c r="AI442" s="40"/>
      <c r="AJ442" s="40"/>
      <c r="AK442" s="40"/>
      <c r="AL442" s="40"/>
      <c r="AM442" s="40"/>
      <c r="AO442" s="40"/>
    </row>
    <row r="443" spans="2:41" ht="12.75" customHeight="1" x14ac:dyDescent="0.25">
      <c r="B443" s="40"/>
      <c r="C443" s="40"/>
      <c r="D443" s="40"/>
      <c r="E443" s="40"/>
      <c r="F443" s="40"/>
      <c r="G443" s="40"/>
      <c r="H443" s="5"/>
      <c r="Q443" s="40"/>
      <c r="R443" s="40"/>
      <c r="S443" s="40"/>
      <c r="T443" s="40"/>
      <c r="U443" s="40"/>
      <c r="W443" s="40"/>
      <c r="X443" s="40"/>
      <c r="Y443" s="40"/>
      <c r="Z443" s="40"/>
      <c r="AA443" s="41"/>
      <c r="AB443" s="41"/>
      <c r="AC443" s="41"/>
      <c r="AD443" s="41"/>
      <c r="AE443" s="40"/>
      <c r="AF443" s="42"/>
      <c r="AG443" s="5"/>
      <c r="AH443" s="5"/>
      <c r="AI443" s="40"/>
      <c r="AJ443" s="40"/>
      <c r="AK443" s="40"/>
      <c r="AL443" s="40"/>
      <c r="AM443" s="40"/>
      <c r="AO443" s="40"/>
    </row>
    <row r="444" spans="2:41" ht="12.75" customHeight="1" x14ac:dyDescent="0.25">
      <c r="B444" s="40"/>
      <c r="C444" s="40"/>
      <c r="D444" s="40"/>
      <c r="E444" s="40"/>
      <c r="F444" s="40"/>
      <c r="G444" s="40"/>
      <c r="H444" s="5"/>
      <c r="Q444" s="40"/>
      <c r="R444" s="40"/>
      <c r="S444" s="40"/>
      <c r="T444" s="40"/>
      <c r="U444" s="40"/>
      <c r="W444" s="40"/>
      <c r="X444" s="40"/>
      <c r="Y444" s="40"/>
      <c r="Z444" s="40"/>
      <c r="AA444" s="41"/>
      <c r="AB444" s="41"/>
      <c r="AC444" s="41"/>
      <c r="AD444" s="41"/>
      <c r="AE444" s="40"/>
      <c r="AF444" s="42"/>
      <c r="AG444" s="5"/>
      <c r="AH444" s="5"/>
      <c r="AI444" s="40"/>
      <c r="AJ444" s="40"/>
      <c r="AK444" s="40"/>
      <c r="AL444" s="40"/>
      <c r="AM444" s="40"/>
      <c r="AO444" s="40"/>
    </row>
    <row r="445" spans="2:41" ht="12.75" customHeight="1" x14ac:dyDescent="0.25">
      <c r="B445" s="40"/>
      <c r="C445" s="40"/>
      <c r="D445" s="40"/>
      <c r="E445" s="40"/>
      <c r="F445" s="40"/>
      <c r="G445" s="40"/>
      <c r="H445" s="5"/>
      <c r="Q445" s="40"/>
      <c r="R445" s="40"/>
      <c r="S445" s="40"/>
      <c r="T445" s="40"/>
      <c r="U445" s="40"/>
      <c r="W445" s="40"/>
      <c r="X445" s="40"/>
      <c r="Y445" s="40"/>
      <c r="Z445" s="40"/>
      <c r="AA445" s="41"/>
      <c r="AB445" s="41"/>
      <c r="AC445" s="41"/>
      <c r="AD445" s="41"/>
      <c r="AE445" s="40"/>
      <c r="AF445" s="42"/>
      <c r="AG445" s="5"/>
      <c r="AH445" s="5"/>
      <c r="AI445" s="40"/>
      <c r="AJ445" s="40"/>
      <c r="AK445" s="40"/>
      <c r="AL445" s="40"/>
      <c r="AM445" s="40"/>
      <c r="AO445" s="40"/>
    </row>
    <row r="446" spans="2:41" ht="12.75" customHeight="1" x14ac:dyDescent="0.25">
      <c r="B446" s="40"/>
      <c r="C446" s="40"/>
      <c r="D446" s="40"/>
      <c r="E446" s="40"/>
      <c r="F446" s="40"/>
      <c r="G446" s="40"/>
      <c r="H446" s="5"/>
      <c r="Q446" s="40"/>
      <c r="R446" s="40"/>
      <c r="S446" s="40"/>
      <c r="T446" s="40"/>
      <c r="U446" s="40"/>
      <c r="W446" s="40"/>
      <c r="X446" s="40"/>
      <c r="Y446" s="40"/>
      <c r="Z446" s="40"/>
      <c r="AA446" s="41"/>
      <c r="AB446" s="41"/>
      <c r="AC446" s="41"/>
      <c r="AD446" s="41"/>
      <c r="AE446" s="40"/>
      <c r="AF446" s="42"/>
      <c r="AG446" s="5"/>
      <c r="AH446" s="5"/>
      <c r="AI446" s="40"/>
      <c r="AJ446" s="40"/>
      <c r="AK446" s="40"/>
      <c r="AL446" s="40"/>
      <c r="AM446" s="40"/>
      <c r="AO446" s="40"/>
    </row>
    <row r="447" spans="2:41" ht="12.75" customHeight="1" x14ac:dyDescent="0.25">
      <c r="B447" s="40"/>
      <c r="C447" s="40"/>
      <c r="D447" s="40"/>
      <c r="E447" s="40"/>
      <c r="F447" s="40"/>
      <c r="G447" s="40"/>
      <c r="H447" s="5"/>
      <c r="Q447" s="40"/>
      <c r="R447" s="40"/>
      <c r="S447" s="40"/>
      <c r="T447" s="40"/>
      <c r="U447" s="40"/>
      <c r="W447" s="40"/>
      <c r="X447" s="40"/>
      <c r="Y447" s="40"/>
      <c r="Z447" s="40"/>
      <c r="AA447" s="41"/>
      <c r="AB447" s="41"/>
      <c r="AC447" s="41"/>
      <c r="AD447" s="41"/>
      <c r="AE447" s="40"/>
      <c r="AF447" s="42"/>
      <c r="AG447" s="5"/>
      <c r="AH447" s="5"/>
      <c r="AI447" s="40"/>
      <c r="AJ447" s="40"/>
      <c r="AK447" s="40"/>
      <c r="AL447" s="40"/>
      <c r="AM447" s="40"/>
      <c r="AO447" s="40"/>
    </row>
    <row r="448" spans="2:41" ht="12.75" customHeight="1" x14ac:dyDescent="0.25">
      <c r="B448" s="40"/>
      <c r="C448" s="40"/>
      <c r="D448" s="40"/>
      <c r="E448" s="40"/>
      <c r="F448" s="40"/>
      <c r="G448" s="40"/>
      <c r="H448" s="5"/>
      <c r="Q448" s="40"/>
      <c r="R448" s="40"/>
      <c r="S448" s="40"/>
      <c r="T448" s="40"/>
      <c r="U448" s="40"/>
      <c r="W448" s="40"/>
      <c r="X448" s="40"/>
      <c r="Y448" s="40"/>
      <c r="Z448" s="40"/>
      <c r="AA448" s="41"/>
      <c r="AB448" s="41"/>
      <c r="AC448" s="41"/>
      <c r="AD448" s="41"/>
      <c r="AE448" s="40"/>
      <c r="AF448" s="42"/>
      <c r="AG448" s="5"/>
      <c r="AH448" s="5"/>
      <c r="AI448" s="40"/>
      <c r="AJ448" s="40"/>
      <c r="AK448" s="40"/>
      <c r="AL448" s="40"/>
      <c r="AM448" s="40"/>
      <c r="AO448" s="40"/>
    </row>
    <row r="449" spans="2:41" ht="12.75" customHeight="1" x14ac:dyDescent="0.25">
      <c r="B449" s="40"/>
      <c r="C449" s="40"/>
      <c r="D449" s="40"/>
      <c r="E449" s="40"/>
      <c r="F449" s="40"/>
      <c r="G449" s="40"/>
      <c r="H449" s="5"/>
      <c r="Q449" s="40"/>
      <c r="R449" s="40"/>
      <c r="S449" s="40"/>
      <c r="T449" s="40"/>
      <c r="U449" s="40"/>
      <c r="W449" s="40"/>
      <c r="X449" s="40"/>
      <c r="Y449" s="40"/>
      <c r="Z449" s="40"/>
      <c r="AA449" s="41"/>
      <c r="AB449" s="41"/>
      <c r="AC449" s="41"/>
      <c r="AD449" s="41"/>
      <c r="AE449" s="40"/>
      <c r="AF449" s="42"/>
      <c r="AG449" s="5"/>
      <c r="AH449" s="5"/>
      <c r="AI449" s="40"/>
      <c r="AJ449" s="40"/>
      <c r="AK449" s="40"/>
      <c r="AL449" s="40"/>
      <c r="AM449" s="40"/>
      <c r="AO449" s="40"/>
    </row>
    <row r="450" spans="2:41" ht="12.75" customHeight="1" x14ac:dyDescent="0.25">
      <c r="B450" s="40"/>
      <c r="C450" s="40"/>
      <c r="D450" s="40"/>
      <c r="E450" s="40"/>
      <c r="F450" s="40"/>
      <c r="G450" s="40"/>
      <c r="H450" s="5"/>
      <c r="Q450" s="40"/>
      <c r="R450" s="40"/>
      <c r="S450" s="40"/>
      <c r="T450" s="40"/>
      <c r="U450" s="40"/>
      <c r="W450" s="40"/>
      <c r="X450" s="40"/>
      <c r="Y450" s="40"/>
      <c r="Z450" s="40"/>
      <c r="AA450" s="41"/>
      <c r="AB450" s="41"/>
      <c r="AC450" s="41"/>
      <c r="AD450" s="41"/>
      <c r="AE450" s="40"/>
      <c r="AF450" s="42"/>
      <c r="AG450" s="5"/>
      <c r="AH450" s="5"/>
      <c r="AI450" s="40"/>
      <c r="AJ450" s="40"/>
      <c r="AK450" s="40"/>
      <c r="AL450" s="40"/>
      <c r="AM450" s="40"/>
      <c r="AO450" s="40"/>
    </row>
    <row r="451" spans="2:41" ht="12.75" customHeight="1" x14ac:dyDescent="0.25">
      <c r="B451" s="40"/>
      <c r="C451" s="40"/>
      <c r="D451" s="40"/>
      <c r="E451" s="40"/>
      <c r="F451" s="40"/>
      <c r="G451" s="40"/>
      <c r="H451" s="5"/>
      <c r="Q451" s="40"/>
      <c r="R451" s="40"/>
      <c r="S451" s="40"/>
      <c r="T451" s="40"/>
      <c r="U451" s="40"/>
      <c r="W451" s="40"/>
      <c r="X451" s="40"/>
      <c r="Y451" s="40"/>
      <c r="Z451" s="40"/>
      <c r="AA451" s="41"/>
      <c r="AB451" s="41"/>
      <c r="AC451" s="41"/>
      <c r="AD451" s="41"/>
      <c r="AE451" s="40"/>
      <c r="AF451" s="42"/>
      <c r="AG451" s="5"/>
      <c r="AH451" s="5"/>
      <c r="AI451" s="40"/>
      <c r="AJ451" s="40"/>
      <c r="AK451" s="40"/>
      <c r="AL451" s="40"/>
      <c r="AM451" s="40"/>
      <c r="AO451" s="40"/>
    </row>
    <row r="452" spans="2:41" ht="12.75" customHeight="1" x14ac:dyDescent="0.25">
      <c r="B452" s="40"/>
      <c r="C452" s="40"/>
      <c r="D452" s="40"/>
      <c r="E452" s="40"/>
      <c r="F452" s="40"/>
      <c r="G452" s="40"/>
      <c r="H452" s="5"/>
      <c r="Q452" s="40"/>
      <c r="R452" s="40"/>
      <c r="S452" s="40"/>
      <c r="T452" s="40"/>
      <c r="U452" s="40"/>
      <c r="W452" s="40"/>
      <c r="X452" s="40"/>
      <c r="Y452" s="40"/>
      <c r="Z452" s="40"/>
      <c r="AA452" s="41"/>
      <c r="AB452" s="41"/>
      <c r="AC452" s="41"/>
      <c r="AD452" s="41"/>
      <c r="AE452" s="40"/>
      <c r="AF452" s="42"/>
      <c r="AG452" s="5"/>
      <c r="AH452" s="5"/>
      <c r="AI452" s="40"/>
      <c r="AJ452" s="40"/>
      <c r="AK452" s="40"/>
      <c r="AL452" s="40"/>
      <c r="AM452" s="40"/>
      <c r="AO452" s="40"/>
    </row>
    <row r="453" spans="2:41" ht="12.75" customHeight="1" x14ac:dyDescent="0.25">
      <c r="B453" s="40"/>
      <c r="C453" s="40"/>
      <c r="D453" s="40"/>
      <c r="E453" s="40"/>
      <c r="F453" s="40"/>
      <c r="G453" s="40"/>
      <c r="H453" s="5"/>
      <c r="Q453" s="40"/>
      <c r="R453" s="40"/>
      <c r="S453" s="40"/>
      <c r="T453" s="40"/>
      <c r="U453" s="40"/>
      <c r="W453" s="40"/>
      <c r="X453" s="40"/>
      <c r="Y453" s="40"/>
      <c r="Z453" s="40"/>
      <c r="AA453" s="41"/>
      <c r="AB453" s="41"/>
      <c r="AC453" s="41"/>
      <c r="AD453" s="41"/>
      <c r="AE453" s="40"/>
      <c r="AF453" s="42"/>
      <c r="AG453" s="5"/>
      <c r="AH453" s="5"/>
      <c r="AI453" s="40"/>
      <c r="AJ453" s="40"/>
      <c r="AK453" s="40"/>
      <c r="AL453" s="40"/>
      <c r="AM453" s="40"/>
      <c r="AO453" s="40"/>
    </row>
    <row r="454" spans="2:41" ht="12.75" customHeight="1" x14ac:dyDescent="0.25">
      <c r="B454" s="40"/>
      <c r="C454" s="40"/>
      <c r="D454" s="40"/>
      <c r="E454" s="40"/>
      <c r="F454" s="40"/>
      <c r="G454" s="40"/>
      <c r="H454" s="5"/>
      <c r="Q454" s="40"/>
      <c r="R454" s="40"/>
      <c r="S454" s="40"/>
      <c r="T454" s="40"/>
      <c r="U454" s="40"/>
      <c r="W454" s="40"/>
      <c r="X454" s="40"/>
      <c r="Y454" s="40"/>
      <c r="Z454" s="40"/>
      <c r="AA454" s="41"/>
      <c r="AB454" s="41"/>
      <c r="AC454" s="41"/>
      <c r="AD454" s="41"/>
      <c r="AE454" s="40"/>
      <c r="AF454" s="42"/>
      <c r="AG454" s="5"/>
      <c r="AH454" s="5"/>
      <c r="AI454" s="40"/>
      <c r="AJ454" s="40"/>
      <c r="AK454" s="40"/>
      <c r="AL454" s="40"/>
      <c r="AM454" s="40"/>
      <c r="AO454" s="40"/>
    </row>
    <row r="455" spans="2:41" ht="12.75" customHeight="1" x14ac:dyDescent="0.25">
      <c r="B455" s="40"/>
      <c r="C455" s="40"/>
      <c r="D455" s="40"/>
      <c r="E455" s="40"/>
      <c r="F455" s="40"/>
      <c r="G455" s="40"/>
      <c r="H455" s="5"/>
      <c r="Q455" s="40"/>
      <c r="R455" s="40"/>
      <c r="S455" s="40"/>
      <c r="T455" s="40"/>
      <c r="U455" s="40"/>
      <c r="W455" s="40"/>
      <c r="X455" s="40"/>
      <c r="Y455" s="40"/>
      <c r="Z455" s="40"/>
      <c r="AA455" s="41"/>
      <c r="AB455" s="41"/>
      <c r="AC455" s="41"/>
      <c r="AD455" s="41"/>
      <c r="AE455" s="40"/>
      <c r="AF455" s="42"/>
      <c r="AG455" s="5"/>
      <c r="AH455" s="5"/>
      <c r="AI455" s="40"/>
      <c r="AJ455" s="40"/>
      <c r="AK455" s="40"/>
      <c r="AL455" s="40"/>
      <c r="AM455" s="40"/>
      <c r="AO455" s="40"/>
    </row>
    <row r="456" spans="2:41" ht="12.75" customHeight="1" x14ac:dyDescent="0.25">
      <c r="B456" s="40"/>
      <c r="C456" s="40"/>
      <c r="D456" s="40"/>
      <c r="E456" s="40"/>
      <c r="F456" s="40"/>
      <c r="G456" s="40"/>
      <c r="H456" s="5"/>
      <c r="Q456" s="40"/>
      <c r="R456" s="40"/>
      <c r="S456" s="40"/>
      <c r="T456" s="40"/>
      <c r="U456" s="40"/>
      <c r="W456" s="40"/>
      <c r="X456" s="40"/>
      <c r="Y456" s="40"/>
      <c r="Z456" s="40"/>
      <c r="AA456" s="41"/>
      <c r="AB456" s="41"/>
      <c r="AC456" s="41"/>
      <c r="AD456" s="41"/>
      <c r="AE456" s="40"/>
      <c r="AF456" s="42"/>
      <c r="AG456" s="5"/>
      <c r="AH456" s="5"/>
      <c r="AI456" s="40"/>
      <c r="AJ456" s="40"/>
      <c r="AK456" s="40"/>
      <c r="AL456" s="40"/>
      <c r="AM456" s="40"/>
      <c r="AO456" s="40"/>
    </row>
    <row r="457" spans="2:41" ht="12.75" customHeight="1" x14ac:dyDescent="0.25">
      <c r="B457" s="40"/>
      <c r="C457" s="40"/>
      <c r="D457" s="40"/>
      <c r="E457" s="40"/>
      <c r="F457" s="40"/>
      <c r="G457" s="40"/>
      <c r="H457" s="5"/>
      <c r="Q457" s="40"/>
      <c r="R457" s="40"/>
      <c r="S457" s="40"/>
      <c r="T457" s="40"/>
      <c r="U457" s="40"/>
      <c r="W457" s="40"/>
      <c r="X457" s="40"/>
      <c r="Y457" s="40"/>
      <c r="Z457" s="40"/>
      <c r="AA457" s="41"/>
      <c r="AB457" s="41"/>
      <c r="AC457" s="41"/>
      <c r="AD457" s="41"/>
      <c r="AE457" s="40"/>
      <c r="AF457" s="42"/>
      <c r="AG457" s="5"/>
      <c r="AH457" s="5"/>
      <c r="AI457" s="40"/>
      <c r="AJ457" s="40"/>
      <c r="AK457" s="40"/>
      <c r="AL457" s="40"/>
      <c r="AM457" s="40"/>
      <c r="AO457" s="40"/>
    </row>
    <row r="458" spans="2:41" ht="12.75" customHeight="1" x14ac:dyDescent="0.25">
      <c r="B458" s="40"/>
      <c r="C458" s="40"/>
      <c r="D458" s="40"/>
      <c r="E458" s="40"/>
      <c r="F458" s="40"/>
      <c r="G458" s="40"/>
      <c r="H458" s="5"/>
      <c r="Q458" s="40"/>
      <c r="R458" s="40"/>
      <c r="S458" s="40"/>
      <c r="T458" s="40"/>
      <c r="U458" s="40"/>
      <c r="W458" s="40"/>
      <c r="X458" s="40"/>
      <c r="Y458" s="40"/>
      <c r="Z458" s="40"/>
      <c r="AA458" s="41"/>
      <c r="AB458" s="41"/>
      <c r="AC458" s="41"/>
      <c r="AD458" s="41"/>
      <c r="AE458" s="40"/>
      <c r="AF458" s="42"/>
      <c r="AG458" s="5"/>
      <c r="AH458" s="5"/>
      <c r="AI458" s="40"/>
      <c r="AJ458" s="40"/>
      <c r="AK458" s="40"/>
      <c r="AL458" s="40"/>
      <c r="AM458" s="40"/>
      <c r="AO458" s="40"/>
    </row>
    <row r="459" spans="2:41" ht="12.75" customHeight="1" x14ac:dyDescent="0.25">
      <c r="B459" s="40"/>
      <c r="C459" s="40"/>
      <c r="D459" s="40"/>
      <c r="E459" s="40"/>
      <c r="F459" s="40"/>
      <c r="G459" s="40"/>
      <c r="H459" s="5"/>
      <c r="Q459" s="40"/>
      <c r="R459" s="40"/>
      <c r="S459" s="40"/>
      <c r="T459" s="40"/>
      <c r="U459" s="40"/>
      <c r="W459" s="40"/>
      <c r="X459" s="40"/>
      <c r="Y459" s="40"/>
      <c r="Z459" s="40"/>
      <c r="AA459" s="41"/>
      <c r="AB459" s="41"/>
      <c r="AC459" s="41"/>
      <c r="AD459" s="41"/>
      <c r="AE459" s="40"/>
      <c r="AF459" s="42"/>
      <c r="AG459" s="5"/>
      <c r="AH459" s="5"/>
      <c r="AI459" s="40"/>
      <c r="AJ459" s="40"/>
      <c r="AK459" s="40"/>
      <c r="AL459" s="40"/>
      <c r="AM459" s="40"/>
      <c r="AO459" s="40"/>
    </row>
    <row r="460" spans="2:41" ht="12.75" customHeight="1" x14ac:dyDescent="0.25">
      <c r="B460" s="40"/>
      <c r="C460" s="40"/>
      <c r="D460" s="40"/>
      <c r="E460" s="40"/>
      <c r="F460" s="40"/>
      <c r="G460" s="40"/>
      <c r="H460" s="5"/>
      <c r="Q460" s="40"/>
      <c r="R460" s="40"/>
      <c r="S460" s="40"/>
      <c r="T460" s="40"/>
      <c r="U460" s="40"/>
      <c r="W460" s="40"/>
      <c r="X460" s="40"/>
      <c r="Y460" s="40"/>
      <c r="Z460" s="40"/>
      <c r="AA460" s="41"/>
      <c r="AB460" s="41"/>
      <c r="AC460" s="41"/>
      <c r="AD460" s="41"/>
      <c r="AE460" s="40"/>
      <c r="AF460" s="42"/>
      <c r="AG460" s="5"/>
      <c r="AH460" s="5"/>
      <c r="AI460" s="40"/>
      <c r="AJ460" s="40"/>
      <c r="AK460" s="40"/>
      <c r="AL460" s="40"/>
      <c r="AM460" s="40"/>
      <c r="AO460" s="40"/>
    </row>
    <row r="461" spans="2:41" ht="12.75" customHeight="1" x14ac:dyDescent="0.25">
      <c r="B461" s="40"/>
      <c r="C461" s="40"/>
      <c r="D461" s="40"/>
      <c r="E461" s="40"/>
      <c r="F461" s="40"/>
      <c r="G461" s="40"/>
      <c r="H461" s="5"/>
      <c r="Q461" s="40"/>
      <c r="R461" s="40"/>
      <c r="S461" s="40"/>
      <c r="T461" s="40"/>
      <c r="U461" s="40"/>
      <c r="W461" s="40"/>
      <c r="X461" s="40"/>
      <c r="Y461" s="40"/>
      <c r="Z461" s="40"/>
      <c r="AA461" s="41"/>
      <c r="AB461" s="41"/>
      <c r="AC461" s="41"/>
      <c r="AD461" s="41"/>
      <c r="AE461" s="40"/>
      <c r="AF461" s="42"/>
      <c r="AG461" s="5"/>
      <c r="AH461" s="5"/>
      <c r="AI461" s="40"/>
      <c r="AJ461" s="40"/>
      <c r="AK461" s="40"/>
      <c r="AL461" s="40"/>
      <c r="AM461" s="40"/>
      <c r="AO461" s="40"/>
    </row>
    <row r="462" spans="2:41" ht="12.75" customHeight="1" x14ac:dyDescent="0.25">
      <c r="B462" s="40"/>
      <c r="C462" s="40"/>
      <c r="D462" s="40"/>
      <c r="E462" s="40"/>
      <c r="F462" s="40"/>
      <c r="G462" s="40"/>
      <c r="H462" s="5"/>
      <c r="Q462" s="40"/>
      <c r="R462" s="40"/>
      <c r="S462" s="40"/>
      <c r="T462" s="40"/>
      <c r="U462" s="40"/>
      <c r="W462" s="40"/>
      <c r="X462" s="40"/>
      <c r="Y462" s="40"/>
      <c r="Z462" s="40"/>
      <c r="AA462" s="41"/>
      <c r="AB462" s="41"/>
      <c r="AC462" s="41"/>
      <c r="AD462" s="41"/>
      <c r="AE462" s="40"/>
      <c r="AF462" s="42"/>
      <c r="AG462" s="5"/>
      <c r="AH462" s="5"/>
      <c r="AI462" s="40"/>
      <c r="AJ462" s="40"/>
      <c r="AK462" s="40"/>
      <c r="AL462" s="40"/>
      <c r="AM462" s="40"/>
      <c r="AO462" s="40"/>
    </row>
    <row r="463" spans="2:41" ht="12.75" customHeight="1" x14ac:dyDescent="0.25">
      <c r="B463" s="40"/>
      <c r="C463" s="40"/>
      <c r="D463" s="40"/>
      <c r="E463" s="40"/>
      <c r="F463" s="40"/>
      <c r="G463" s="40"/>
      <c r="H463" s="5"/>
      <c r="Q463" s="40"/>
      <c r="R463" s="40"/>
      <c r="S463" s="40"/>
      <c r="T463" s="40"/>
      <c r="U463" s="40"/>
      <c r="W463" s="40"/>
      <c r="X463" s="40"/>
      <c r="Y463" s="40"/>
      <c r="Z463" s="40"/>
      <c r="AA463" s="41"/>
      <c r="AB463" s="41"/>
      <c r="AC463" s="41"/>
      <c r="AD463" s="41"/>
      <c r="AE463" s="40"/>
      <c r="AF463" s="42"/>
      <c r="AG463" s="5"/>
      <c r="AH463" s="5"/>
      <c r="AI463" s="40"/>
      <c r="AJ463" s="40"/>
      <c r="AK463" s="40"/>
      <c r="AL463" s="40"/>
      <c r="AM463" s="40"/>
      <c r="AO463" s="40"/>
    </row>
    <row r="464" spans="2:41" ht="12.75" customHeight="1" x14ac:dyDescent="0.25">
      <c r="B464" s="40"/>
      <c r="C464" s="40"/>
      <c r="D464" s="40"/>
      <c r="E464" s="40"/>
      <c r="F464" s="40"/>
      <c r="G464" s="40"/>
      <c r="H464" s="5"/>
      <c r="Q464" s="40"/>
      <c r="R464" s="40"/>
      <c r="S464" s="40"/>
      <c r="T464" s="40"/>
      <c r="U464" s="40"/>
      <c r="W464" s="40"/>
      <c r="X464" s="40"/>
      <c r="Y464" s="40"/>
      <c r="Z464" s="40"/>
      <c r="AA464" s="41"/>
      <c r="AB464" s="41"/>
      <c r="AC464" s="41"/>
      <c r="AD464" s="41"/>
      <c r="AE464" s="40"/>
      <c r="AF464" s="42"/>
      <c r="AG464" s="5"/>
      <c r="AH464" s="5"/>
      <c r="AI464" s="40"/>
      <c r="AJ464" s="40"/>
      <c r="AK464" s="40"/>
      <c r="AL464" s="40"/>
      <c r="AM464" s="40"/>
      <c r="AO464" s="40"/>
    </row>
    <row r="465" spans="2:41" ht="12.75" customHeight="1" x14ac:dyDescent="0.25">
      <c r="B465" s="40"/>
      <c r="C465" s="40"/>
      <c r="D465" s="40"/>
      <c r="E465" s="40"/>
      <c r="F465" s="40"/>
      <c r="G465" s="40"/>
      <c r="H465" s="5"/>
      <c r="Q465" s="40"/>
      <c r="R465" s="40"/>
      <c r="S465" s="40"/>
      <c r="T465" s="40"/>
      <c r="U465" s="40"/>
      <c r="W465" s="40"/>
      <c r="X465" s="40"/>
      <c r="Y465" s="40"/>
      <c r="Z465" s="40"/>
      <c r="AA465" s="41"/>
      <c r="AB465" s="41"/>
      <c r="AC465" s="41"/>
      <c r="AD465" s="41"/>
      <c r="AE465" s="40"/>
      <c r="AF465" s="42"/>
      <c r="AG465" s="5"/>
      <c r="AH465" s="5"/>
      <c r="AI465" s="40"/>
      <c r="AJ465" s="40"/>
      <c r="AK465" s="40"/>
      <c r="AL465" s="40"/>
      <c r="AM465" s="40"/>
      <c r="AO465" s="40"/>
    </row>
    <row r="466" spans="2:41" ht="12.75" customHeight="1" x14ac:dyDescent="0.25">
      <c r="B466" s="40"/>
      <c r="C466" s="40"/>
      <c r="D466" s="40"/>
      <c r="E466" s="40"/>
      <c r="F466" s="40"/>
      <c r="G466" s="40"/>
      <c r="H466" s="5"/>
      <c r="Q466" s="40"/>
      <c r="R466" s="40"/>
      <c r="S466" s="40"/>
      <c r="T466" s="40"/>
      <c r="U466" s="40"/>
      <c r="W466" s="40"/>
      <c r="X466" s="40"/>
      <c r="Y466" s="40"/>
      <c r="Z466" s="40"/>
      <c r="AA466" s="41"/>
      <c r="AB466" s="41"/>
      <c r="AC466" s="41"/>
      <c r="AD466" s="41"/>
      <c r="AE466" s="40"/>
      <c r="AF466" s="42"/>
      <c r="AG466" s="5"/>
      <c r="AH466" s="5"/>
      <c r="AI466" s="40"/>
      <c r="AJ466" s="40"/>
      <c r="AK466" s="40"/>
      <c r="AL466" s="40"/>
      <c r="AM466" s="40"/>
      <c r="AO466" s="40"/>
    </row>
    <row r="467" spans="2:41" ht="12.75" customHeight="1" x14ac:dyDescent="0.25">
      <c r="B467" s="40"/>
      <c r="C467" s="40"/>
      <c r="D467" s="40"/>
      <c r="E467" s="40"/>
      <c r="F467" s="40"/>
      <c r="G467" s="40"/>
      <c r="H467" s="5"/>
      <c r="Q467" s="40"/>
      <c r="R467" s="40"/>
      <c r="S467" s="40"/>
      <c r="T467" s="40"/>
      <c r="U467" s="40"/>
      <c r="W467" s="40"/>
      <c r="X467" s="40"/>
      <c r="Y467" s="40"/>
      <c r="Z467" s="40"/>
      <c r="AA467" s="41"/>
      <c r="AB467" s="41"/>
      <c r="AC467" s="41"/>
      <c r="AD467" s="41"/>
      <c r="AE467" s="40"/>
      <c r="AF467" s="42"/>
      <c r="AG467" s="5"/>
      <c r="AH467" s="5"/>
      <c r="AI467" s="40"/>
      <c r="AJ467" s="40"/>
      <c r="AK467" s="40"/>
      <c r="AL467" s="40"/>
      <c r="AM467" s="40"/>
      <c r="AO467" s="40"/>
    </row>
    <row r="468" spans="2:41" ht="12.75" customHeight="1" x14ac:dyDescent="0.25">
      <c r="B468" s="40"/>
      <c r="C468" s="40"/>
      <c r="D468" s="40"/>
      <c r="E468" s="40"/>
      <c r="F468" s="40"/>
      <c r="G468" s="40"/>
      <c r="H468" s="5"/>
      <c r="Q468" s="40"/>
      <c r="R468" s="40"/>
      <c r="S468" s="40"/>
      <c r="T468" s="40"/>
      <c r="U468" s="40"/>
      <c r="W468" s="40"/>
      <c r="X468" s="40"/>
      <c r="Y468" s="40"/>
      <c r="Z468" s="40"/>
      <c r="AA468" s="41"/>
      <c r="AB468" s="41"/>
      <c r="AC468" s="41"/>
      <c r="AD468" s="41"/>
      <c r="AE468" s="40"/>
      <c r="AF468" s="42"/>
      <c r="AG468" s="5"/>
      <c r="AH468" s="5"/>
      <c r="AI468" s="40"/>
      <c r="AJ468" s="40"/>
      <c r="AK468" s="40"/>
      <c r="AL468" s="40"/>
      <c r="AM468" s="40"/>
      <c r="AO468" s="40"/>
    </row>
    <row r="469" spans="2:41" ht="12.75" customHeight="1" x14ac:dyDescent="0.25">
      <c r="B469" s="40"/>
      <c r="C469" s="40"/>
      <c r="D469" s="40"/>
      <c r="E469" s="40"/>
      <c r="F469" s="40"/>
      <c r="G469" s="40"/>
      <c r="H469" s="5"/>
      <c r="Q469" s="40"/>
      <c r="R469" s="40"/>
      <c r="S469" s="40"/>
      <c r="T469" s="40"/>
      <c r="U469" s="40"/>
      <c r="W469" s="40"/>
      <c r="X469" s="40"/>
      <c r="Y469" s="40"/>
      <c r="Z469" s="40"/>
      <c r="AA469" s="41"/>
      <c r="AB469" s="41"/>
      <c r="AC469" s="41"/>
      <c r="AD469" s="41"/>
      <c r="AE469" s="40"/>
      <c r="AF469" s="42"/>
      <c r="AG469" s="5"/>
      <c r="AH469" s="5"/>
      <c r="AI469" s="40"/>
      <c r="AJ469" s="40"/>
      <c r="AK469" s="40"/>
      <c r="AL469" s="40"/>
      <c r="AM469" s="40"/>
      <c r="AO469" s="40"/>
    </row>
    <row r="470" spans="2:41" ht="12.75" customHeight="1" x14ac:dyDescent="0.25">
      <c r="B470" s="40"/>
      <c r="C470" s="40"/>
      <c r="D470" s="40"/>
      <c r="E470" s="40"/>
      <c r="F470" s="40"/>
      <c r="G470" s="40"/>
      <c r="H470" s="5"/>
      <c r="Q470" s="40"/>
      <c r="R470" s="40"/>
      <c r="S470" s="40"/>
      <c r="T470" s="40"/>
      <c r="U470" s="40"/>
      <c r="W470" s="40"/>
      <c r="X470" s="40"/>
      <c r="Y470" s="40"/>
      <c r="Z470" s="40"/>
      <c r="AA470" s="41"/>
      <c r="AB470" s="41"/>
      <c r="AC470" s="41"/>
      <c r="AD470" s="41"/>
      <c r="AE470" s="40"/>
      <c r="AF470" s="42"/>
      <c r="AG470" s="5"/>
      <c r="AH470" s="5"/>
      <c r="AI470" s="40"/>
      <c r="AJ470" s="40"/>
      <c r="AK470" s="40"/>
      <c r="AL470" s="40"/>
      <c r="AM470" s="40"/>
      <c r="AO470" s="40"/>
    </row>
    <row r="471" spans="2:41" ht="12.75" customHeight="1" x14ac:dyDescent="0.25">
      <c r="B471" s="40"/>
      <c r="C471" s="40"/>
      <c r="D471" s="40"/>
      <c r="E471" s="40"/>
      <c r="F471" s="40"/>
      <c r="G471" s="40"/>
      <c r="H471" s="5"/>
      <c r="Q471" s="40"/>
      <c r="R471" s="40"/>
      <c r="S471" s="40"/>
      <c r="T471" s="40"/>
      <c r="U471" s="40"/>
      <c r="W471" s="40"/>
      <c r="X471" s="40"/>
      <c r="Y471" s="40"/>
      <c r="Z471" s="40"/>
      <c r="AA471" s="41"/>
      <c r="AB471" s="41"/>
      <c r="AC471" s="41"/>
      <c r="AD471" s="41"/>
      <c r="AE471" s="40"/>
      <c r="AF471" s="42"/>
      <c r="AG471" s="5"/>
      <c r="AH471" s="5"/>
      <c r="AI471" s="40"/>
      <c r="AJ471" s="40"/>
      <c r="AK471" s="40"/>
      <c r="AL471" s="40"/>
      <c r="AM471" s="40"/>
      <c r="AO471" s="40"/>
    </row>
    <row r="472" spans="2:41" ht="12.75" customHeight="1" x14ac:dyDescent="0.25">
      <c r="B472" s="40"/>
      <c r="C472" s="40"/>
      <c r="D472" s="40"/>
      <c r="E472" s="40"/>
      <c r="F472" s="40"/>
      <c r="G472" s="40"/>
      <c r="H472" s="5"/>
      <c r="Q472" s="40"/>
      <c r="R472" s="40"/>
      <c r="S472" s="40"/>
      <c r="T472" s="40"/>
      <c r="U472" s="40"/>
      <c r="W472" s="40"/>
      <c r="X472" s="40"/>
      <c r="Y472" s="40"/>
      <c r="Z472" s="40"/>
      <c r="AA472" s="41"/>
      <c r="AB472" s="41"/>
      <c r="AC472" s="41"/>
      <c r="AD472" s="41"/>
      <c r="AE472" s="40"/>
      <c r="AF472" s="42"/>
      <c r="AG472" s="5"/>
      <c r="AH472" s="5"/>
      <c r="AI472" s="40"/>
      <c r="AJ472" s="40"/>
      <c r="AK472" s="40"/>
      <c r="AL472" s="40"/>
      <c r="AM472" s="40"/>
      <c r="AO472" s="40"/>
    </row>
    <row r="473" spans="2:41" ht="12.75" customHeight="1" x14ac:dyDescent="0.25">
      <c r="B473" s="40"/>
      <c r="C473" s="40"/>
      <c r="D473" s="40"/>
      <c r="E473" s="40"/>
      <c r="F473" s="40"/>
      <c r="G473" s="40"/>
      <c r="H473" s="5"/>
      <c r="Q473" s="40"/>
      <c r="R473" s="40"/>
      <c r="S473" s="40"/>
      <c r="T473" s="40"/>
      <c r="U473" s="40"/>
      <c r="W473" s="40"/>
      <c r="X473" s="40"/>
      <c r="Y473" s="40"/>
      <c r="Z473" s="40"/>
      <c r="AA473" s="41"/>
      <c r="AB473" s="41"/>
      <c r="AC473" s="41"/>
      <c r="AD473" s="41"/>
      <c r="AE473" s="40"/>
      <c r="AF473" s="42"/>
      <c r="AG473" s="5"/>
      <c r="AH473" s="5"/>
      <c r="AI473" s="40"/>
      <c r="AJ473" s="40"/>
      <c r="AK473" s="40"/>
      <c r="AL473" s="40"/>
      <c r="AM473" s="40"/>
      <c r="AO473" s="40"/>
    </row>
    <row r="474" spans="2:41" ht="12.75" customHeight="1" x14ac:dyDescent="0.25">
      <c r="B474" s="40"/>
      <c r="C474" s="40"/>
      <c r="D474" s="40"/>
      <c r="E474" s="40"/>
      <c r="F474" s="40"/>
      <c r="G474" s="40"/>
      <c r="H474" s="5"/>
      <c r="Q474" s="40"/>
      <c r="R474" s="40"/>
      <c r="S474" s="40"/>
      <c r="T474" s="40"/>
      <c r="U474" s="40"/>
      <c r="W474" s="40"/>
      <c r="X474" s="40"/>
      <c r="Y474" s="40"/>
      <c r="Z474" s="40"/>
      <c r="AA474" s="41"/>
      <c r="AB474" s="41"/>
      <c r="AC474" s="41"/>
      <c r="AD474" s="41"/>
      <c r="AE474" s="40"/>
      <c r="AF474" s="42"/>
      <c r="AG474" s="5"/>
      <c r="AH474" s="5"/>
      <c r="AI474" s="40"/>
      <c r="AJ474" s="40"/>
      <c r="AK474" s="40"/>
      <c r="AL474" s="40"/>
      <c r="AM474" s="40"/>
      <c r="AO474" s="40"/>
    </row>
    <row r="475" spans="2:41" ht="12.75" customHeight="1" x14ac:dyDescent="0.25">
      <c r="B475" s="40"/>
      <c r="C475" s="40"/>
      <c r="D475" s="40"/>
      <c r="E475" s="40"/>
      <c r="F475" s="40"/>
      <c r="G475" s="40"/>
      <c r="H475" s="5"/>
      <c r="Q475" s="40"/>
      <c r="R475" s="40"/>
      <c r="S475" s="40"/>
      <c r="T475" s="40"/>
      <c r="U475" s="40"/>
      <c r="W475" s="40"/>
      <c r="X475" s="40"/>
      <c r="Y475" s="40"/>
      <c r="Z475" s="40"/>
      <c r="AA475" s="41"/>
      <c r="AB475" s="41"/>
      <c r="AC475" s="41"/>
      <c r="AD475" s="41"/>
      <c r="AE475" s="40"/>
      <c r="AF475" s="42"/>
      <c r="AG475" s="5"/>
      <c r="AH475" s="5"/>
      <c r="AI475" s="40"/>
      <c r="AJ475" s="40"/>
      <c r="AK475" s="40"/>
      <c r="AL475" s="40"/>
      <c r="AM475" s="40"/>
      <c r="AO475" s="40"/>
    </row>
    <row r="476" spans="2:41" ht="12.75" customHeight="1" x14ac:dyDescent="0.25">
      <c r="B476" s="40"/>
      <c r="C476" s="40"/>
      <c r="D476" s="40"/>
      <c r="E476" s="40"/>
      <c r="F476" s="40"/>
      <c r="G476" s="40"/>
      <c r="H476" s="5"/>
      <c r="Q476" s="40"/>
      <c r="R476" s="40"/>
      <c r="S476" s="40"/>
      <c r="T476" s="40"/>
      <c r="U476" s="40"/>
      <c r="W476" s="40"/>
      <c r="X476" s="40"/>
      <c r="Y476" s="40"/>
      <c r="Z476" s="40"/>
      <c r="AA476" s="41"/>
      <c r="AB476" s="41"/>
      <c r="AC476" s="41"/>
      <c r="AD476" s="41"/>
      <c r="AE476" s="40"/>
      <c r="AF476" s="42"/>
      <c r="AG476" s="5"/>
      <c r="AH476" s="5"/>
      <c r="AI476" s="40"/>
      <c r="AJ476" s="40"/>
      <c r="AK476" s="40"/>
      <c r="AL476" s="40"/>
      <c r="AM476" s="40"/>
      <c r="AO476" s="40"/>
    </row>
    <row r="477" spans="2:41" ht="12.75" customHeight="1" x14ac:dyDescent="0.25">
      <c r="B477" s="40"/>
      <c r="C477" s="40"/>
      <c r="D477" s="40"/>
      <c r="E477" s="40"/>
      <c r="F477" s="40"/>
      <c r="G477" s="40"/>
      <c r="H477" s="5"/>
      <c r="Q477" s="40"/>
      <c r="R477" s="40"/>
      <c r="S477" s="40"/>
      <c r="T477" s="40"/>
      <c r="U477" s="40"/>
      <c r="W477" s="40"/>
      <c r="X477" s="40"/>
      <c r="Y477" s="40"/>
      <c r="Z477" s="40"/>
      <c r="AA477" s="41"/>
      <c r="AB477" s="41"/>
      <c r="AC477" s="41"/>
      <c r="AD477" s="41"/>
      <c r="AE477" s="40"/>
      <c r="AF477" s="42"/>
      <c r="AG477" s="5"/>
      <c r="AH477" s="5"/>
      <c r="AI477" s="40"/>
      <c r="AJ477" s="40"/>
      <c r="AK477" s="40"/>
      <c r="AL477" s="40"/>
      <c r="AM477" s="40"/>
      <c r="AO477" s="40"/>
    </row>
    <row r="478" spans="2:41" ht="12.75" customHeight="1" x14ac:dyDescent="0.25">
      <c r="B478" s="40"/>
      <c r="C478" s="40"/>
      <c r="D478" s="40"/>
      <c r="E478" s="40"/>
      <c r="F478" s="40"/>
      <c r="G478" s="40"/>
      <c r="H478" s="5"/>
      <c r="Q478" s="40"/>
      <c r="R478" s="40"/>
      <c r="S478" s="40"/>
      <c r="T478" s="40"/>
      <c r="U478" s="40"/>
      <c r="W478" s="40"/>
      <c r="X478" s="40"/>
      <c r="Y478" s="40"/>
      <c r="Z478" s="40"/>
      <c r="AA478" s="41"/>
      <c r="AB478" s="41"/>
      <c r="AC478" s="41"/>
      <c r="AD478" s="41"/>
      <c r="AE478" s="40"/>
      <c r="AF478" s="42"/>
      <c r="AG478" s="5"/>
      <c r="AH478" s="5"/>
      <c r="AI478" s="40"/>
      <c r="AJ478" s="40"/>
      <c r="AK478" s="40"/>
      <c r="AL478" s="40"/>
      <c r="AM478" s="40"/>
      <c r="AO478" s="40"/>
    </row>
    <row r="479" spans="2:41" ht="12.75" customHeight="1" x14ac:dyDescent="0.25">
      <c r="B479" s="40"/>
      <c r="C479" s="40"/>
      <c r="D479" s="40"/>
      <c r="E479" s="40"/>
      <c r="F479" s="40"/>
      <c r="G479" s="40"/>
      <c r="H479" s="5"/>
      <c r="Q479" s="40"/>
      <c r="R479" s="40"/>
      <c r="S479" s="40"/>
      <c r="T479" s="40"/>
      <c r="U479" s="40"/>
      <c r="W479" s="40"/>
      <c r="X479" s="40"/>
      <c r="Y479" s="40"/>
      <c r="Z479" s="40"/>
      <c r="AA479" s="41"/>
      <c r="AB479" s="41"/>
      <c r="AC479" s="41"/>
      <c r="AD479" s="41"/>
      <c r="AE479" s="40"/>
      <c r="AF479" s="42"/>
      <c r="AG479" s="5"/>
      <c r="AH479" s="5"/>
      <c r="AI479" s="40"/>
      <c r="AJ479" s="40"/>
      <c r="AK479" s="40"/>
      <c r="AL479" s="40"/>
      <c r="AM479" s="40"/>
      <c r="AO479" s="40"/>
    </row>
    <row r="480" spans="2:41" ht="12.75" customHeight="1" x14ac:dyDescent="0.25">
      <c r="B480" s="40"/>
      <c r="C480" s="40"/>
      <c r="D480" s="40"/>
      <c r="E480" s="40"/>
      <c r="F480" s="40"/>
      <c r="G480" s="40"/>
      <c r="H480" s="5"/>
      <c r="Q480" s="40"/>
      <c r="R480" s="40"/>
      <c r="S480" s="40"/>
      <c r="T480" s="40"/>
      <c r="U480" s="40"/>
      <c r="W480" s="40"/>
      <c r="X480" s="40"/>
      <c r="Y480" s="40"/>
      <c r="Z480" s="40"/>
      <c r="AA480" s="41"/>
      <c r="AB480" s="41"/>
      <c r="AC480" s="41"/>
      <c r="AD480" s="41"/>
      <c r="AE480" s="40"/>
      <c r="AF480" s="42"/>
      <c r="AG480" s="5"/>
      <c r="AH480" s="5"/>
      <c r="AI480" s="40"/>
      <c r="AJ480" s="40"/>
      <c r="AK480" s="40"/>
      <c r="AL480" s="40"/>
      <c r="AM480" s="40"/>
      <c r="AO480" s="40"/>
    </row>
    <row r="481" spans="2:41" ht="12.75" customHeight="1" x14ac:dyDescent="0.25">
      <c r="B481" s="40"/>
      <c r="C481" s="40"/>
      <c r="D481" s="40"/>
      <c r="E481" s="40"/>
      <c r="F481" s="40"/>
      <c r="G481" s="40"/>
      <c r="H481" s="5"/>
      <c r="Q481" s="40"/>
      <c r="R481" s="40"/>
      <c r="S481" s="40"/>
      <c r="T481" s="40"/>
      <c r="U481" s="40"/>
      <c r="W481" s="40"/>
      <c r="X481" s="40"/>
      <c r="Y481" s="40"/>
      <c r="Z481" s="40"/>
      <c r="AA481" s="41"/>
      <c r="AB481" s="41"/>
      <c r="AC481" s="41"/>
      <c r="AD481" s="41"/>
      <c r="AE481" s="40"/>
      <c r="AF481" s="42"/>
      <c r="AG481" s="5"/>
      <c r="AH481" s="5"/>
      <c r="AI481" s="40"/>
      <c r="AJ481" s="40"/>
      <c r="AK481" s="40"/>
      <c r="AL481" s="40"/>
      <c r="AM481" s="40"/>
      <c r="AO481" s="40"/>
    </row>
    <row r="482" spans="2:41" ht="12.75" customHeight="1" x14ac:dyDescent="0.25">
      <c r="B482" s="40"/>
      <c r="C482" s="40"/>
      <c r="D482" s="40"/>
      <c r="E482" s="40"/>
      <c r="F482" s="40"/>
      <c r="G482" s="40"/>
      <c r="H482" s="5"/>
      <c r="Q482" s="40"/>
      <c r="R482" s="40"/>
      <c r="S482" s="40"/>
      <c r="T482" s="40"/>
      <c r="U482" s="40"/>
      <c r="W482" s="40"/>
      <c r="X482" s="40"/>
      <c r="Y482" s="40"/>
      <c r="Z482" s="40"/>
      <c r="AA482" s="41"/>
      <c r="AB482" s="41"/>
      <c r="AC482" s="41"/>
      <c r="AD482" s="41"/>
      <c r="AE482" s="40"/>
      <c r="AF482" s="42"/>
      <c r="AG482" s="5"/>
      <c r="AH482" s="5"/>
      <c r="AI482" s="40"/>
      <c r="AJ482" s="40"/>
      <c r="AK482" s="40"/>
      <c r="AL482" s="40"/>
      <c r="AM482" s="40"/>
      <c r="AO482" s="40"/>
    </row>
    <row r="483" spans="2:41" ht="12.75" customHeight="1" x14ac:dyDescent="0.25">
      <c r="B483" s="40"/>
      <c r="C483" s="40"/>
      <c r="D483" s="40"/>
      <c r="E483" s="40"/>
      <c r="F483" s="40"/>
      <c r="G483" s="40"/>
      <c r="H483" s="5"/>
      <c r="Q483" s="40"/>
      <c r="R483" s="40"/>
      <c r="S483" s="40"/>
      <c r="T483" s="40"/>
      <c r="U483" s="40"/>
      <c r="W483" s="40"/>
      <c r="X483" s="40"/>
      <c r="Y483" s="40"/>
      <c r="Z483" s="40"/>
      <c r="AA483" s="41"/>
      <c r="AB483" s="41"/>
      <c r="AC483" s="41"/>
      <c r="AD483" s="41"/>
      <c r="AE483" s="40"/>
      <c r="AF483" s="42"/>
      <c r="AG483" s="5"/>
      <c r="AH483" s="5"/>
      <c r="AI483" s="40"/>
      <c r="AJ483" s="40"/>
      <c r="AK483" s="40"/>
      <c r="AL483" s="40"/>
      <c r="AM483" s="40"/>
      <c r="AO483" s="40"/>
    </row>
    <row r="484" spans="2:41" ht="12.75" customHeight="1" x14ac:dyDescent="0.25">
      <c r="B484" s="40"/>
      <c r="C484" s="40"/>
      <c r="D484" s="40"/>
      <c r="E484" s="40"/>
      <c r="F484" s="40"/>
      <c r="G484" s="40"/>
      <c r="H484" s="5"/>
      <c r="Q484" s="40"/>
      <c r="R484" s="40"/>
      <c r="S484" s="40"/>
      <c r="T484" s="40"/>
      <c r="U484" s="40"/>
      <c r="W484" s="40"/>
      <c r="X484" s="40"/>
      <c r="Y484" s="40"/>
      <c r="Z484" s="40"/>
      <c r="AA484" s="41"/>
      <c r="AB484" s="41"/>
      <c r="AC484" s="41"/>
      <c r="AD484" s="41"/>
      <c r="AE484" s="40"/>
      <c r="AF484" s="42"/>
      <c r="AG484" s="5"/>
      <c r="AH484" s="5"/>
      <c r="AI484" s="40"/>
      <c r="AJ484" s="40"/>
      <c r="AK484" s="40"/>
      <c r="AL484" s="40"/>
      <c r="AM484" s="40"/>
      <c r="AO484" s="40"/>
    </row>
    <row r="485" spans="2:41" ht="12.75" customHeight="1" x14ac:dyDescent="0.25">
      <c r="B485" s="40"/>
      <c r="C485" s="40"/>
      <c r="D485" s="40"/>
      <c r="E485" s="40"/>
      <c r="F485" s="40"/>
      <c r="G485" s="40"/>
      <c r="H485" s="5"/>
      <c r="Q485" s="40"/>
      <c r="R485" s="40"/>
      <c r="S485" s="40"/>
      <c r="T485" s="40"/>
      <c r="U485" s="40"/>
      <c r="W485" s="40"/>
      <c r="X485" s="40"/>
      <c r="Y485" s="40"/>
      <c r="Z485" s="40"/>
      <c r="AA485" s="41"/>
      <c r="AB485" s="41"/>
      <c r="AC485" s="41"/>
      <c r="AD485" s="41"/>
      <c r="AE485" s="40"/>
      <c r="AF485" s="42"/>
      <c r="AG485" s="5"/>
      <c r="AH485" s="5"/>
      <c r="AI485" s="40"/>
      <c r="AJ485" s="40"/>
      <c r="AK485" s="40"/>
      <c r="AL485" s="40"/>
      <c r="AM485" s="40"/>
      <c r="AO485" s="40"/>
    </row>
    <row r="486" spans="2:41" ht="12.75" customHeight="1" x14ac:dyDescent="0.25">
      <c r="B486" s="40"/>
      <c r="C486" s="40"/>
      <c r="D486" s="40"/>
      <c r="E486" s="40"/>
      <c r="F486" s="40"/>
      <c r="G486" s="40"/>
      <c r="H486" s="5"/>
      <c r="Q486" s="40"/>
      <c r="R486" s="40"/>
      <c r="S486" s="40"/>
      <c r="T486" s="40"/>
      <c r="U486" s="40"/>
      <c r="W486" s="40"/>
      <c r="X486" s="40"/>
      <c r="Y486" s="40"/>
      <c r="Z486" s="40"/>
      <c r="AA486" s="41"/>
      <c r="AB486" s="41"/>
      <c r="AC486" s="41"/>
      <c r="AD486" s="41"/>
      <c r="AE486" s="40"/>
      <c r="AF486" s="42"/>
      <c r="AG486" s="5"/>
      <c r="AH486" s="5"/>
      <c r="AI486" s="40"/>
      <c r="AJ486" s="40"/>
      <c r="AK486" s="40"/>
      <c r="AL486" s="40"/>
      <c r="AM486" s="40"/>
      <c r="AO486" s="40"/>
    </row>
    <row r="487" spans="2:41" ht="12.75" customHeight="1" x14ac:dyDescent="0.25">
      <c r="B487" s="40"/>
      <c r="C487" s="40"/>
      <c r="D487" s="40"/>
      <c r="E487" s="40"/>
      <c r="F487" s="40"/>
      <c r="G487" s="40"/>
      <c r="H487" s="5"/>
      <c r="Q487" s="40"/>
      <c r="R487" s="40"/>
      <c r="S487" s="40"/>
      <c r="T487" s="40"/>
      <c r="U487" s="40"/>
      <c r="W487" s="40"/>
      <c r="X487" s="40"/>
      <c r="Y487" s="40"/>
      <c r="Z487" s="40"/>
      <c r="AA487" s="41"/>
      <c r="AB487" s="41"/>
      <c r="AC487" s="41"/>
      <c r="AD487" s="41"/>
      <c r="AE487" s="40"/>
      <c r="AF487" s="42"/>
      <c r="AG487" s="5"/>
      <c r="AH487" s="5"/>
      <c r="AI487" s="40"/>
      <c r="AJ487" s="40"/>
      <c r="AK487" s="40"/>
      <c r="AL487" s="40"/>
      <c r="AM487" s="40"/>
      <c r="AO487" s="40"/>
    </row>
    <row r="488" spans="2:41" ht="12.75" customHeight="1" x14ac:dyDescent="0.25">
      <c r="B488" s="40"/>
      <c r="C488" s="40"/>
      <c r="D488" s="40"/>
      <c r="E488" s="40"/>
      <c r="F488" s="40"/>
      <c r="G488" s="40"/>
      <c r="H488" s="5"/>
      <c r="Q488" s="40"/>
      <c r="R488" s="40"/>
      <c r="S488" s="40"/>
      <c r="T488" s="40"/>
      <c r="U488" s="40"/>
      <c r="W488" s="40"/>
      <c r="X488" s="40"/>
      <c r="Y488" s="40"/>
      <c r="Z488" s="40"/>
      <c r="AA488" s="41"/>
      <c r="AB488" s="41"/>
      <c r="AC488" s="41"/>
      <c r="AD488" s="41"/>
      <c r="AE488" s="40"/>
      <c r="AF488" s="42"/>
      <c r="AG488" s="5"/>
      <c r="AH488" s="5"/>
      <c r="AI488" s="40"/>
      <c r="AJ488" s="40"/>
      <c r="AK488" s="40"/>
      <c r="AL488" s="40"/>
      <c r="AM488" s="40"/>
      <c r="AO488" s="40"/>
    </row>
    <row r="489" spans="2:41" ht="12.75" customHeight="1" x14ac:dyDescent="0.25">
      <c r="B489" s="40"/>
      <c r="C489" s="40"/>
      <c r="D489" s="40"/>
      <c r="E489" s="40"/>
      <c r="F489" s="40"/>
      <c r="G489" s="40"/>
      <c r="H489" s="5"/>
      <c r="Q489" s="40"/>
      <c r="R489" s="40"/>
      <c r="S489" s="40"/>
      <c r="T489" s="40"/>
      <c r="U489" s="40"/>
      <c r="W489" s="40"/>
      <c r="X489" s="40"/>
      <c r="Y489" s="40"/>
      <c r="Z489" s="40"/>
      <c r="AA489" s="41"/>
      <c r="AB489" s="41"/>
      <c r="AC489" s="41"/>
      <c r="AD489" s="41"/>
      <c r="AE489" s="40"/>
      <c r="AF489" s="42"/>
      <c r="AG489" s="5"/>
      <c r="AH489" s="5"/>
      <c r="AI489" s="40"/>
      <c r="AJ489" s="40"/>
      <c r="AK489" s="40"/>
      <c r="AL489" s="40"/>
      <c r="AM489" s="40"/>
      <c r="AO489" s="40"/>
    </row>
    <row r="490" spans="2:41" ht="12.75" customHeight="1" x14ac:dyDescent="0.25">
      <c r="B490" s="40"/>
      <c r="C490" s="40"/>
      <c r="D490" s="40"/>
      <c r="E490" s="40"/>
      <c r="F490" s="40"/>
      <c r="G490" s="40"/>
      <c r="H490" s="5"/>
      <c r="Q490" s="40"/>
      <c r="R490" s="40"/>
      <c r="S490" s="40"/>
      <c r="T490" s="40"/>
      <c r="U490" s="40"/>
      <c r="W490" s="40"/>
      <c r="X490" s="40"/>
      <c r="Y490" s="40"/>
      <c r="Z490" s="40"/>
      <c r="AA490" s="41"/>
      <c r="AB490" s="41"/>
      <c r="AC490" s="41"/>
      <c r="AD490" s="41"/>
      <c r="AE490" s="40"/>
      <c r="AF490" s="42"/>
      <c r="AG490" s="5"/>
      <c r="AH490" s="5"/>
      <c r="AI490" s="40"/>
      <c r="AJ490" s="40"/>
      <c r="AK490" s="40"/>
      <c r="AL490" s="40"/>
      <c r="AM490" s="40"/>
      <c r="AO490" s="40"/>
    </row>
    <row r="491" spans="2:41" ht="12.75" customHeight="1" x14ac:dyDescent="0.25">
      <c r="B491" s="40"/>
      <c r="C491" s="40"/>
      <c r="D491" s="40"/>
      <c r="E491" s="40"/>
      <c r="F491" s="40"/>
      <c r="G491" s="40"/>
      <c r="H491" s="5"/>
      <c r="Q491" s="40"/>
      <c r="R491" s="40"/>
      <c r="S491" s="40"/>
      <c r="T491" s="40"/>
      <c r="U491" s="40"/>
      <c r="W491" s="40"/>
      <c r="X491" s="40"/>
      <c r="Y491" s="40"/>
      <c r="Z491" s="40"/>
      <c r="AA491" s="41"/>
      <c r="AB491" s="41"/>
      <c r="AC491" s="41"/>
      <c r="AD491" s="41"/>
      <c r="AE491" s="40"/>
      <c r="AF491" s="42"/>
      <c r="AG491" s="5"/>
      <c r="AH491" s="5"/>
      <c r="AI491" s="40"/>
      <c r="AJ491" s="40"/>
      <c r="AK491" s="40"/>
      <c r="AL491" s="40"/>
      <c r="AM491" s="40"/>
      <c r="AO491" s="40"/>
    </row>
    <row r="492" spans="2:41" ht="12.75" customHeight="1" x14ac:dyDescent="0.25">
      <c r="B492" s="40"/>
      <c r="C492" s="40"/>
      <c r="D492" s="40"/>
      <c r="E492" s="40"/>
      <c r="F492" s="40"/>
      <c r="G492" s="40"/>
      <c r="H492" s="5"/>
      <c r="Q492" s="40"/>
      <c r="R492" s="40"/>
      <c r="S492" s="40"/>
      <c r="T492" s="40"/>
      <c r="U492" s="40"/>
      <c r="W492" s="40"/>
      <c r="X492" s="40"/>
      <c r="Y492" s="40"/>
      <c r="Z492" s="40"/>
      <c r="AA492" s="41"/>
      <c r="AB492" s="41"/>
      <c r="AC492" s="41"/>
      <c r="AD492" s="41"/>
      <c r="AE492" s="40"/>
      <c r="AF492" s="42"/>
      <c r="AG492" s="5"/>
      <c r="AH492" s="5"/>
      <c r="AI492" s="40"/>
      <c r="AJ492" s="40"/>
      <c r="AK492" s="40"/>
      <c r="AL492" s="40"/>
      <c r="AM492" s="40"/>
      <c r="AO492" s="40"/>
    </row>
    <row r="493" spans="2:41" ht="12.75" customHeight="1" x14ac:dyDescent="0.25">
      <c r="B493" s="40"/>
      <c r="C493" s="40"/>
      <c r="D493" s="40"/>
      <c r="E493" s="40"/>
      <c r="F493" s="40"/>
      <c r="G493" s="40"/>
      <c r="H493" s="5"/>
      <c r="Q493" s="40"/>
      <c r="R493" s="40"/>
      <c r="S493" s="40"/>
      <c r="T493" s="40"/>
      <c r="U493" s="40"/>
      <c r="W493" s="40"/>
      <c r="X493" s="40"/>
      <c r="Y493" s="40"/>
      <c r="Z493" s="40"/>
      <c r="AA493" s="41"/>
      <c r="AB493" s="41"/>
      <c r="AC493" s="41"/>
      <c r="AD493" s="41"/>
      <c r="AE493" s="40"/>
      <c r="AF493" s="42"/>
      <c r="AG493" s="5"/>
      <c r="AH493" s="5"/>
      <c r="AI493" s="40"/>
      <c r="AJ493" s="40"/>
      <c r="AK493" s="40"/>
      <c r="AL493" s="40"/>
      <c r="AM493" s="40"/>
      <c r="AO493" s="40"/>
    </row>
    <row r="494" spans="2:41" ht="12.75" customHeight="1" x14ac:dyDescent="0.25">
      <c r="B494" s="40"/>
      <c r="C494" s="40"/>
      <c r="D494" s="40"/>
      <c r="E494" s="40"/>
      <c r="F494" s="40"/>
      <c r="G494" s="40"/>
      <c r="H494" s="5"/>
      <c r="Q494" s="40"/>
      <c r="R494" s="40"/>
      <c r="S494" s="40"/>
      <c r="T494" s="40"/>
      <c r="U494" s="40"/>
      <c r="W494" s="40"/>
      <c r="X494" s="40"/>
      <c r="Y494" s="40"/>
      <c r="Z494" s="40"/>
      <c r="AA494" s="41"/>
      <c r="AB494" s="41"/>
      <c r="AC494" s="41"/>
      <c r="AD494" s="41"/>
      <c r="AE494" s="40"/>
      <c r="AF494" s="42"/>
      <c r="AG494" s="5"/>
      <c r="AH494" s="5"/>
      <c r="AI494" s="40"/>
      <c r="AJ494" s="40"/>
      <c r="AK494" s="40"/>
      <c r="AL494" s="40"/>
      <c r="AM494" s="40"/>
      <c r="AO494" s="40"/>
    </row>
    <row r="495" spans="2:41" ht="12.75" customHeight="1" x14ac:dyDescent="0.25">
      <c r="B495" s="40"/>
      <c r="C495" s="40"/>
      <c r="D495" s="40"/>
      <c r="E495" s="40"/>
      <c r="F495" s="40"/>
      <c r="G495" s="40"/>
      <c r="H495" s="5"/>
      <c r="Q495" s="40"/>
      <c r="R495" s="40"/>
      <c r="S495" s="40"/>
      <c r="T495" s="40"/>
      <c r="U495" s="40"/>
      <c r="W495" s="40"/>
      <c r="X495" s="40"/>
      <c r="Y495" s="40"/>
      <c r="Z495" s="40"/>
      <c r="AA495" s="41"/>
      <c r="AB495" s="41"/>
      <c r="AC495" s="41"/>
      <c r="AD495" s="41"/>
      <c r="AE495" s="40"/>
      <c r="AF495" s="42"/>
      <c r="AG495" s="5"/>
      <c r="AH495" s="5"/>
      <c r="AI495" s="40"/>
      <c r="AJ495" s="40"/>
      <c r="AK495" s="40"/>
      <c r="AL495" s="40"/>
      <c r="AM495" s="40"/>
      <c r="AO495" s="40"/>
    </row>
    <row r="496" spans="2:41" ht="12.75" customHeight="1" x14ac:dyDescent="0.25">
      <c r="B496" s="40"/>
      <c r="C496" s="40"/>
      <c r="D496" s="40"/>
      <c r="E496" s="40"/>
      <c r="F496" s="40"/>
      <c r="G496" s="40"/>
      <c r="H496" s="5"/>
      <c r="Q496" s="40"/>
      <c r="R496" s="40"/>
      <c r="S496" s="40"/>
      <c r="T496" s="40"/>
      <c r="U496" s="40"/>
      <c r="W496" s="40"/>
      <c r="X496" s="40"/>
      <c r="Y496" s="40"/>
      <c r="Z496" s="40"/>
      <c r="AA496" s="41"/>
      <c r="AB496" s="41"/>
      <c r="AC496" s="41"/>
      <c r="AD496" s="41"/>
      <c r="AE496" s="40"/>
      <c r="AF496" s="42"/>
      <c r="AG496" s="5"/>
      <c r="AH496" s="5"/>
      <c r="AI496" s="40"/>
      <c r="AJ496" s="40"/>
      <c r="AK496" s="40"/>
      <c r="AL496" s="40"/>
      <c r="AM496" s="40"/>
      <c r="AO496" s="40"/>
    </row>
    <row r="497" spans="2:41" ht="12.75" customHeight="1" x14ac:dyDescent="0.25">
      <c r="B497" s="40"/>
      <c r="C497" s="40"/>
      <c r="D497" s="40"/>
      <c r="E497" s="40"/>
      <c r="F497" s="40"/>
      <c r="G497" s="40"/>
      <c r="H497" s="5"/>
      <c r="Q497" s="40"/>
      <c r="R497" s="40"/>
      <c r="S497" s="40"/>
      <c r="T497" s="40"/>
      <c r="U497" s="40"/>
      <c r="W497" s="40"/>
      <c r="X497" s="40"/>
      <c r="Y497" s="40"/>
      <c r="Z497" s="40"/>
      <c r="AA497" s="41"/>
      <c r="AB497" s="41"/>
      <c r="AC497" s="41"/>
      <c r="AD497" s="41"/>
      <c r="AE497" s="40"/>
      <c r="AF497" s="42"/>
      <c r="AG497" s="5"/>
      <c r="AH497" s="5"/>
      <c r="AI497" s="40"/>
      <c r="AJ497" s="40"/>
      <c r="AK497" s="40"/>
      <c r="AL497" s="40"/>
      <c r="AM497" s="40"/>
      <c r="AO497" s="40"/>
    </row>
    <row r="498" spans="2:41" ht="12.75" customHeight="1" x14ac:dyDescent="0.25">
      <c r="B498" s="40"/>
      <c r="C498" s="40"/>
      <c r="D498" s="40"/>
      <c r="E498" s="40"/>
      <c r="F498" s="40"/>
      <c r="G498" s="40"/>
      <c r="H498" s="5"/>
      <c r="Q498" s="40"/>
      <c r="R498" s="40"/>
      <c r="S498" s="40"/>
      <c r="T498" s="40"/>
      <c r="U498" s="40"/>
      <c r="W498" s="40"/>
      <c r="X498" s="40"/>
      <c r="Y498" s="40"/>
      <c r="Z498" s="40"/>
      <c r="AA498" s="41"/>
      <c r="AB498" s="41"/>
      <c r="AC498" s="41"/>
      <c r="AD498" s="41"/>
      <c r="AE498" s="40"/>
      <c r="AF498" s="42"/>
      <c r="AG498" s="5"/>
      <c r="AH498" s="5"/>
      <c r="AI498" s="40"/>
      <c r="AJ498" s="40"/>
      <c r="AK498" s="40"/>
      <c r="AL498" s="40"/>
      <c r="AM498" s="40"/>
      <c r="AO498" s="40"/>
    </row>
    <row r="499" spans="2:41" ht="12.75" customHeight="1" x14ac:dyDescent="0.25">
      <c r="B499" s="40"/>
      <c r="C499" s="40"/>
      <c r="D499" s="40"/>
      <c r="E499" s="40"/>
      <c r="F499" s="40"/>
      <c r="G499" s="40"/>
      <c r="H499" s="5"/>
      <c r="Q499" s="40"/>
      <c r="R499" s="40"/>
      <c r="S499" s="40"/>
      <c r="T499" s="40"/>
      <c r="U499" s="40"/>
      <c r="W499" s="40"/>
      <c r="X499" s="40"/>
      <c r="Y499" s="40"/>
      <c r="Z499" s="40"/>
      <c r="AA499" s="41"/>
      <c r="AB499" s="41"/>
      <c r="AC499" s="41"/>
      <c r="AD499" s="41"/>
      <c r="AE499" s="40"/>
      <c r="AF499" s="42"/>
      <c r="AG499" s="5"/>
      <c r="AH499" s="5"/>
      <c r="AI499" s="40"/>
      <c r="AJ499" s="40"/>
      <c r="AK499" s="40"/>
      <c r="AL499" s="40"/>
      <c r="AM499" s="40"/>
      <c r="AO499" s="40"/>
    </row>
    <row r="500" spans="2:41" ht="12.75" customHeight="1" x14ac:dyDescent="0.25">
      <c r="B500" s="40"/>
      <c r="C500" s="40"/>
      <c r="D500" s="40"/>
      <c r="E500" s="40"/>
      <c r="F500" s="40"/>
      <c r="G500" s="40"/>
      <c r="H500" s="5"/>
      <c r="Q500" s="40"/>
      <c r="R500" s="40"/>
      <c r="S500" s="40"/>
      <c r="T500" s="40"/>
      <c r="U500" s="40"/>
      <c r="W500" s="40"/>
      <c r="X500" s="40"/>
      <c r="Y500" s="40"/>
      <c r="Z500" s="40"/>
      <c r="AA500" s="41"/>
      <c r="AB500" s="41"/>
      <c r="AC500" s="41"/>
      <c r="AD500" s="41"/>
      <c r="AE500" s="40"/>
      <c r="AF500" s="42"/>
      <c r="AG500" s="5"/>
      <c r="AH500" s="5"/>
      <c r="AI500" s="40"/>
      <c r="AJ500" s="40"/>
      <c r="AK500" s="40"/>
      <c r="AL500" s="40"/>
      <c r="AM500" s="40"/>
      <c r="AO500" s="40"/>
    </row>
    <row r="501" spans="2:41" ht="12.75" customHeight="1" x14ac:dyDescent="0.25">
      <c r="B501" s="40"/>
      <c r="C501" s="40"/>
      <c r="D501" s="40"/>
      <c r="E501" s="40"/>
      <c r="F501" s="40"/>
      <c r="G501" s="40"/>
      <c r="H501" s="5"/>
      <c r="Q501" s="40"/>
      <c r="R501" s="40"/>
      <c r="S501" s="40"/>
      <c r="T501" s="40"/>
      <c r="U501" s="40"/>
      <c r="W501" s="40"/>
      <c r="X501" s="40"/>
      <c r="Y501" s="40"/>
      <c r="Z501" s="40"/>
      <c r="AA501" s="41"/>
      <c r="AB501" s="41"/>
      <c r="AC501" s="41"/>
      <c r="AD501" s="41"/>
      <c r="AE501" s="40"/>
      <c r="AF501" s="42"/>
      <c r="AG501" s="5"/>
      <c r="AH501" s="5"/>
      <c r="AI501" s="40"/>
      <c r="AJ501" s="40"/>
      <c r="AK501" s="40"/>
      <c r="AL501" s="40"/>
      <c r="AM501" s="40"/>
      <c r="AO501" s="40"/>
    </row>
    <row r="502" spans="2:41" ht="12.75" customHeight="1" x14ac:dyDescent="0.25">
      <c r="B502" s="40"/>
      <c r="C502" s="40"/>
      <c r="D502" s="40"/>
      <c r="E502" s="40"/>
      <c r="F502" s="40"/>
      <c r="G502" s="40"/>
      <c r="H502" s="5"/>
      <c r="Q502" s="40"/>
      <c r="R502" s="40"/>
      <c r="S502" s="40"/>
      <c r="T502" s="40"/>
      <c r="U502" s="40"/>
      <c r="W502" s="40"/>
      <c r="X502" s="40"/>
      <c r="Y502" s="40"/>
      <c r="Z502" s="40"/>
      <c r="AA502" s="41"/>
      <c r="AB502" s="41"/>
      <c r="AC502" s="41"/>
      <c r="AD502" s="41"/>
      <c r="AE502" s="40"/>
      <c r="AF502" s="42"/>
      <c r="AG502" s="5"/>
      <c r="AH502" s="5"/>
      <c r="AI502" s="40"/>
      <c r="AJ502" s="40"/>
      <c r="AK502" s="40"/>
      <c r="AL502" s="40"/>
      <c r="AM502" s="40"/>
      <c r="AO502" s="40"/>
    </row>
    <row r="503" spans="2:41" ht="12.75" customHeight="1" x14ac:dyDescent="0.25">
      <c r="B503" s="40"/>
      <c r="C503" s="40"/>
      <c r="D503" s="40"/>
      <c r="E503" s="40"/>
      <c r="F503" s="40"/>
      <c r="G503" s="40"/>
      <c r="H503" s="5"/>
      <c r="Q503" s="40"/>
      <c r="R503" s="40"/>
      <c r="S503" s="40"/>
      <c r="T503" s="40"/>
      <c r="U503" s="40"/>
      <c r="W503" s="40"/>
      <c r="X503" s="40"/>
      <c r="Y503" s="40"/>
      <c r="Z503" s="40"/>
      <c r="AA503" s="41"/>
      <c r="AB503" s="41"/>
      <c r="AC503" s="41"/>
      <c r="AD503" s="41"/>
      <c r="AE503" s="40"/>
      <c r="AF503" s="42"/>
      <c r="AG503" s="5"/>
      <c r="AH503" s="5"/>
      <c r="AI503" s="40"/>
      <c r="AJ503" s="40"/>
      <c r="AK503" s="40"/>
      <c r="AL503" s="40"/>
      <c r="AM503" s="40"/>
      <c r="AO503" s="40"/>
    </row>
    <row r="504" spans="2:41" ht="12.75" customHeight="1" x14ac:dyDescent="0.25">
      <c r="B504" s="40"/>
      <c r="C504" s="40"/>
      <c r="D504" s="40"/>
      <c r="E504" s="40"/>
      <c r="F504" s="40"/>
      <c r="G504" s="40"/>
      <c r="H504" s="5"/>
      <c r="Q504" s="40"/>
      <c r="R504" s="40"/>
      <c r="S504" s="40"/>
      <c r="T504" s="40"/>
      <c r="U504" s="40"/>
      <c r="W504" s="40"/>
      <c r="X504" s="40"/>
      <c r="Y504" s="40"/>
      <c r="Z504" s="40"/>
      <c r="AA504" s="41"/>
      <c r="AB504" s="41"/>
      <c r="AC504" s="41"/>
      <c r="AD504" s="41"/>
      <c r="AE504" s="40"/>
      <c r="AF504" s="42"/>
      <c r="AG504" s="5"/>
      <c r="AH504" s="5"/>
      <c r="AI504" s="40"/>
      <c r="AJ504" s="40"/>
      <c r="AK504" s="40"/>
      <c r="AL504" s="40"/>
      <c r="AM504" s="40"/>
      <c r="AO504" s="40"/>
    </row>
    <row r="505" spans="2:41" ht="12.75" customHeight="1" x14ac:dyDescent="0.25">
      <c r="B505" s="40"/>
      <c r="C505" s="40"/>
      <c r="D505" s="40"/>
      <c r="E505" s="40"/>
      <c r="F505" s="40"/>
      <c r="G505" s="40"/>
      <c r="H505" s="5"/>
      <c r="Q505" s="40"/>
      <c r="R505" s="40"/>
      <c r="S505" s="40"/>
      <c r="T505" s="40"/>
      <c r="U505" s="40"/>
      <c r="W505" s="40"/>
      <c r="X505" s="40"/>
      <c r="Y505" s="40"/>
      <c r="Z505" s="40"/>
      <c r="AA505" s="41"/>
      <c r="AB505" s="41"/>
      <c r="AC505" s="41"/>
      <c r="AD505" s="41"/>
      <c r="AE505" s="40"/>
      <c r="AF505" s="42"/>
      <c r="AG505" s="5"/>
      <c r="AH505" s="5"/>
      <c r="AI505" s="40"/>
      <c r="AJ505" s="40"/>
      <c r="AK505" s="40"/>
      <c r="AL505" s="40"/>
      <c r="AM505" s="40"/>
      <c r="AO505" s="40"/>
    </row>
    <row r="506" spans="2:41" ht="12.75" customHeight="1" x14ac:dyDescent="0.25">
      <c r="B506" s="40"/>
      <c r="C506" s="40"/>
      <c r="D506" s="40"/>
      <c r="E506" s="40"/>
      <c r="F506" s="40"/>
      <c r="G506" s="40"/>
      <c r="H506" s="5"/>
      <c r="Q506" s="40"/>
      <c r="R506" s="40"/>
      <c r="S506" s="40"/>
      <c r="T506" s="40"/>
      <c r="U506" s="40"/>
      <c r="W506" s="40"/>
      <c r="X506" s="40"/>
      <c r="Y506" s="40"/>
      <c r="Z506" s="40"/>
      <c r="AA506" s="41"/>
      <c r="AB506" s="41"/>
      <c r="AC506" s="41"/>
      <c r="AD506" s="41"/>
      <c r="AE506" s="40"/>
      <c r="AF506" s="42"/>
      <c r="AG506" s="5"/>
      <c r="AH506" s="5"/>
      <c r="AI506" s="40"/>
      <c r="AJ506" s="40"/>
      <c r="AK506" s="40"/>
      <c r="AL506" s="40"/>
      <c r="AM506" s="40"/>
      <c r="AO506" s="40"/>
    </row>
    <row r="507" spans="2:41" ht="12.75" customHeight="1" x14ac:dyDescent="0.25">
      <c r="B507" s="40"/>
      <c r="C507" s="40"/>
      <c r="D507" s="40"/>
      <c r="E507" s="40"/>
      <c r="F507" s="40"/>
      <c r="G507" s="40"/>
      <c r="H507" s="5"/>
      <c r="Q507" s="40"/>
      <c r="R507" s="40"/>
      <c r="S507" s="40"/>
      <c r="T507" s="40"/>
      <c r="U507" s="40"/>
      <c r="W507" s="40"/>
      <c r="X507" s="40"/>
      <c r="Y507" s="40"/>
      <c r="Z507" s="40"/>
      <c r="AA507" s="41"/>
      <c r="AB507" s="41"/>
      <c r="AC507" s="41"/>
      <c r="AD507" s="41"/>
      <c r="AE507" s="40"/>
      <c r="AF507" s="42"/>
      <c r="AG507" s="5"/>
      <c r="AH507" s="5"/>
      <c r="AI507" s="40"/>
      <c r="AJ507" s="40"/>
      <c r="AK507" s="40"/>
      <c r="AL507" s="40"/>
      <c r="AM507" s="40"/>
      <c r="AO507" s="40"/>
    </row>
    <row r="508" spans="2:41" ht="12.75" customHeight="1" x14ac:dyDescent="0.25">
      <c r="B508" s="40"/>
      <c r="C508" s="40"/>
      <c r="D508" s="40"/>
      <c r="E508" s="40"/>
      <c r="F508" s="40"/>
      <c r="G508" s="40"/>
      <c r="H508" s="5"/>
      <c r="Q508" s="40"/>
      <c r="R508" s="40"/>
      <c r="S508" s="40"/>
      <c r="T508" s="40"/>
      <c r="U508" s="40"/>
      <c r="W508" s="40"/>
      <c r="X508" s="40"/>
      <c r="Y508" s="40"/>
      <c r="Z508" s="40"/>
      <c r="AA508" s="41"/>
      <c r="AB508" s="41"/>
      <c r="AC508" s="41"/>
      <c r="AD508" s="41"/>
      <c r="AE508" s="40"/>
      <c r="AF508" s="42"/>
      <c r="AG508" s="5"/>
      <c r="AH508" s="5"/>
      <c r="AI508" s="40"/>
      <c r="AJ508" s="40"/>
      <c r="AK508" s="40"/>
      <c r="AL508" s="40"/>
      <c r="AM508" s="40"/>
      <c r="AO508" s="40"/>
    </row>
    <row r="509" spans="2:41" ht="12.75" customHeight="1" x14ac:dyDescent="0.25">
      <c r="B509" s="40"/>
      <c r="C509" s="40"/>
      <c r="D509" s="40"/>
      <c r="E509" s="40"/>
      <c r="F509" s="40"/>
      <c r="G509" s="40"/>
      <c r="H509" s="5"/>
      <c r="Q509" s="40"/>
      <c r="R509" s="40"/>
      <c r="S509" s="40"/>
      <c r="T509" s="40"/>
      <c r="U509" s="40"/>
      <c r="W509" s="40"/>
      <c r="X509" s="40"/>
      <c r="Y509" s="40"/>
      <c r="Z509" s="40"/>
      <c r="AA509" s="41"/>
      <c r="AB509" s="41"/>
      <c r="AC509" s="41"/>
      <c r="AD509" s="41"/>
      <c r="AE509" s="40"/>
      <c r="AF509" s="42"/>
      <c r="AG509" s="5"/>
      <c r="AH509" s="5"/>
      <c r="AI509" s="40"/>
      <c r="AJ509" s="40"/>
      <c r="AK509" s="40"/>
      <c r="AL509" s="40"/>
      <c r="AM509" s="40"/>
      <c r="AO509" s="40"/>
    </row>
    <row r="510" spans="2:41" ht="12.75" customHeight="1" x14ac:dyDescent="0.25">
      <c r="B510" s="40"/>
      <c r="C510" s="40"/>
      <c r="D510" s="40"/>
      <c r="E510" s="40"/>
      <c r="F510" s="40"/>
      <c r="G510" s="40"/>
      <c r="H510" s="5"/>
      <c r="Q510" s="40"/>
      <c r="R510" s="40"/>
      <c r="S510" s="40"/>
      <c r="T510" s="40"/>
      <c r="U510" s="40"/>
      <c r="W510" s="40"/>
      <c r="X510" s="40"/>
      <c r="Y510" s="40"/>
      <c r="Z510" s="40"/>
      <c r="AA510" s="41"/>
      <c r="AB510" s="41"/>
      <c r="AC510" s="41"/>
      <c r="AD510" s="41"/>
      <c r="AE510" s="40"/>
      <c r="AF510" s="42"/>
      <c r="AG510" s="5"/>
      <c r="AH510" s="5"/>
      <c r="AI510" s="40"/>
      <c r="AJ510" s="40"/>
      <c r="AK510" s="40"/>
      <c r="AL510" s="40"/>
      <c r="AM510" s="40"/>
      <c r="AO510" s="40"/>
    </row>
    <row r="511" spans="2:41" ht="12.75" customHeight="1" x14ac:dyDescent="0.25">
      <c r="B511" s="40"/>
      <c r="C511" s="40"/>
      <c r="D511" s="40"/>
      <c r="E511" s="40"/>
      <c r="F511" s="40"/>
      <c r="G511" s="40"/>
      <c r="H511" s="5"/>
      <c r="Q511" s="40"/>
      <c r="R511" s="40"/>
      <c r="S511" s="40"/>
      <c r="T511" s="40"/>
      <c r="U511" s="40"/>
      <c r="W511" s="40"/>
      <c r="X511" s="40"/>
      <c r="Y511" s="40"/>
      <c r="Z511" s="40"/>
      <c r="AA511" s="41"/>
      <c r="AB511" s="41"/>
      <c r="AC511" s="41"/>
      <c r="AD511" s="41"/>
      <c r="AE511" s="40"/>
      <c r="AF511" s="42"/>
      <c r="AG511" s="5"/>
      <c r="AH511" s="5"/>
      <c r="AI511" s="40"/>
      <c r="AJ511" s="40"/>
      <c r="AK511" s="40"/>
      <c r="AL511" s="40"/>
      <c r="AM511" s="40"/>
      <c r="AO511" s="40"/>
    </row>
    <row r="512" spans="2:41" ht="12.75" customHeight="1" x14ac:dyDescent="0.25">
      <c r="B512" s="40"/>
      <c r="C512" s="40"/>
      <c r="D512" s="40"/>
      <c r="E512" s="40"/>
      <c r="F512" s="40"/>
      <c r="G512" s="40"/>
      <c r="H512" s="5"/>
      <c r="Q512" s="40"/>
      <c r="R512" s="40"/>
      <c r="S512" s="40"/>
      <c r="T512" s="40"/>
      <c r="U512" s="40"/>
      <c r="W512" s="40"/>
      <c r="X512" s="40"/>
      <c r="Y512" s="40"/>
      <c r="Z512" s="40"/>
      <c r="AA512" s="41"/>
      <c r="AB512" s="41"/>
      <c r="AC512" s="41"/>
      <c r="AD512" s="41"/>
      <c r="AE512" s="40"/>
      <c r="AF512" s="42"/>
      <c r="AG512" s="5"/>
      <c r="AH512" s="5"/>
      <c r="AI512" s="40"/>
      <c r="AJ512" s="40"/>
      <c r="AK512" s="40"/>
      <c r="AL512" s="40"/>
      <c r="AM512" s="40"/>
      <c r="AO512" s="40"/>
    </row>
    <row r="513" spans="2:41" ht="12.75" customHeight="1" x14ac:dyDescent="0.25">
      <c r="B513" s="40"/>
      <c r="C513" s="40"/>
      <c r="D513" s="40"/>
      <c r="E513" s="40"/>
      <c r="F513" s="40"/>
      <c r="G513" s="40"/>
      <c r="H513" s="5"/>
      <c r="Q513" s="40"/>
      <c r="R513" s="40"/>
      <c r="S513" s="40"/>
      <c r="T513" s="40"/>
      <c r="U513" s="40"/>
      <c r="W513" s="40"/>
      <c r="X513" s="40"/>
      <c r="Y513" s="40"/>
      <c r="Z513" s="40"/>
      <c r="AA513" s="41"/>
      <c r="AB513" s="41"/>
      <c r="AC513" s="41"/>
      <c r="AD513" s="41"/>
      <c r="AE513" s="40"/>
      <c r="AF513" s="42"/>
      <c r="AG513" s="5"/>
      <c r="AH513" s="5"/>
      <c r="AI513" s="40"/>
      <c r="AJ513" s="40"/>
      <c r="AK513" s="40"/>
      <c r="AL513" s="40"/>
      <c r="AM513" s="40"/>
      <c r="AO513" s="40"/>
    </row>
    <row r="514" spans="2:41" ht="12.75" customHeight="1" x14ac:dyDescent="0.25">
      <c r="B514" s="40"/>
      <c r="C514" s="40"/>
      <c r="D514" s="40"/>
      <c r="E514" s="40"/>
      <c r="F514" s="40"/>
      <c r="G514" s="40"/>
      <c r="H514" s="5"/>
      <c r="Q514" s="40"/>
      <c r="R514" s="40"/>
      <c r="S514" s="40"/>
      <c r="T514" s="40"/>
      <c r="U514" s="40"/>
      <c r="W514" s="40"/>
      <c r="X514" s="40"/>
      <c r="Y514" s="40"/>
      <c r="Z514" s="40"/>
      <c r="AA514" s="41"/>
      <c r="AB514" s="41"/>
      <c r="AC514" s="41"/>
      <c r="AD514" s="41"/>
      <c r="AE514" s="40"/>
      <c r="AF514" s="42"/>
      <c r="AG514" s="5"/>
      <c r="AH514" s="5"/>
      <c r="AI514" s="40"/>
      <c r="AJ514" s="40"/>
      <c r="AK514" s="40"/>
      <c r="AL514" s="40"/>
      <c r="AM514" s="40"/>
      <c r="AO514" s="40"/>
    </row>
    <row r="515" spans="2:41" ht="12.75" customHeight="1" x14ac:dyDescent="0.25">
      <c r="B515" s="40"/>
      <c r="C515" s="40"/>
      <c r="D515" s="40"/>
      <c r="E515" s="40"/>
      <c r="F515" s="40"/>
      <c r="G515" s="40"/>
      <c r="H515" s="5"/>
      <c r="Q515" s="40"/>
      <c r="R515" s="40"/>
      <c r="S515" s="40"/>
      <c r="T515" s="40"/>
      <c r="U515" s="40"/>
      <c r="W515" s="40"/>
      <c r="X515" s="40"/>
      <c r="Y515" s="40"/>
      <c r="Z515" s="40"/>
      <c r="AA515" s="41"/>
      <c r="AB515" s="41"/>
      <c r="AC515" s="41"/>
      <c r="AD515" s="41"/>
      <c r="AE515" s="40"/>
      <c r="AF515" s="42"/>
      <c r="AG515" s="5"/>
      <c r="AH515" s="5"/>
      <c r="AI515" s="40"/>
      <c r="AJ515" s="40"/>
      <c r="AK515" s="40"/>
      <c r="AL515" s="40"/>
      <c r="AM515" s="40"/>
      <c r="AO515" s="40"/>
    </row>
    <row r="516" spans="2:41" ht="12.75" customHeight="1" x14ac:dyDescent="0.25">
      <c r="B516" s="40"/>
      <c r="C516" s="40"/>
      <c r="D516" s="40"/>
      <c r="E516" s="40"/>
      <c r="F516" s="40"/>
      <c r="G516" s="40"/>
      <c r="H516" s="5"/>
      <c r="Q516" s="40"/>
      <c r="R516" s="40"/>
      <c r="S516" s="40"/>
      <c r="T516" s="40"/>
      <c r="U516" s="40"/>
      <c r="W516" s="40"/>
      <c r="X516" s="40"/>
      <c r="Y516" s="40"/>
      <c r="Z516" s="40"/>
      <c r="AA516" s="41"/>
      <c r="AB516" s="41"/>
      <c r="AC516" s="41"/>
      <c r="AD516" s="41"/>
      <c r="AE516" s="40"/>
      <c r="AF516" s="42"/>
      <c r="AG516" s="5"/>
      <c r="AH516" s="5"/>
      <c r="AI516" s="40"/>
      <c r="AJ516" s="40"/>
      <c r="AK516" s="40"/>
      <c r="AL516" s="40"/>
      <c r="AM516" s="40"/>
      <c r="AO516" s="40"/>
    </row>
    <row r="517" spans="2:41" ht="12.75" customHeight="1" x14ac:dyDescent="0.25">
      <c r="B517" s="40"/>
      <c r="C517" s="40"/>
      <c r="D517" s="40"/>
      <c r="E517" s="40"/>
      <c r="F517" s="40"/>
      <c r="G517" s="40"/>
      <c r="H517" s="5"/>
      <c r="Q517" s="40"/>
      <c r="R517" s="40"/>
      <c r="S517" s="40"/>
      <c r="T517" s="40"/>
      <c r="U517" s="40"/>
      <c r="W517" s="40"/>
      <c r="X517" s="40"/>
      <c r="Y517" s="40"/>
      <c r="Z517" s="40"/>
      <c r="AA517" s="41"/>
      <c r="AB517" s="41"/>
      <c r="AC517" s="41"/>
      <c r="AD517" s="41"/>
      <c r="AE517" s="40"/>
      <c r="AF517" s="42"/>
      <c r="AG517" s="5"/>
      <c r="AH517" s="5"/>
      <c r="AI517" s="40"/>
      <c r="AJ517" s="40"/>
      <c r="AK517" s="40"/>
      <c r="AL517" s="40"/>
      <c r="AM517" s="40"/>
      <c r="AO517" s="40"/>
    </row>
    <row r="518" spans="2:41" ht="12.75" customHeight="1" x14ac:dyDescent="0.25">
      <c r="B518" s="40"/>
      <c r="C518" s="40"/>
      <c r="D518" s="40"/>
      <c r="E518" s="40"/>
      <c r="F518" s="40"/>
      <c r="G518" s="40"/>
      <c r="H518" s="5"/>
      <c r="Q518" s="40"/>
      <c r="R518" s="40"/>
      <c r="S518" s="40"/>
      <c r="T518" s="40"/>
      <c r="U518" s="40"/>
      <c r="W518" s="40"/>
      <c r="X518" s="40"/>
      <c r="Y518" s="40"/>
      <c r="Z518" s="40"/>
      <c r="AA518" s="41"/>
      <c r="AB518" s="41"/>
      <c r="AC518" s="41"/>
      <c r="AD518" s="41"/>
      <c r="AE518" s="40"/>
      <c r="AF518" s="42"/>
      <c r="AG518" s="5"/>
      <c r="AH518" s="5"/>
      <c r="AI518" s="40"/>
      <c r="AJ518" s="40"/>
      <c r="AK518" s="40"/>
      <c r="AL518" s="40"/>
      <c r="AM518" s="40"/>
      <c r="AO518" s="40"/>
    </row>
    <row r="519" spans="2:41" ht="12.75" customHeight="1" x14ac:dyDescent="0.25">
      <c r="B519" s="40"/>
      <c r="C519" s="40"/>
      <c r="D519" s="40"/>
      <c r="E519" s="40"/>
      <c r="F519" s="40"/>
      <c r="G519" s="40"/>
      <c r="H519" s="5"/>
      <c r="Q519" s="40"/>
      <c r="R519" s="40"/>
      <c r="S519" s="40"/>
      <c r="T519" s="40"/>
      <c r="U519" s="40"/>
      <c r="W519" s="40"/>
      <c r="X519" s="40"/>
      <c r="Y519" s="40"/>
      <c r="Z519" s="40"/>
      <c r="AA519" s="41"/>
      <c r="AB519" s="41"/>
      <c r="AC519" s="41"/>
      <c r="AD519" s="41"/>
      <c r="AE519" s="40"/>
      <c r="AF519" s="42"/>
      <c r="AG519" s="5"/>
      <c r="AH519" s="5"/>
      <c r="AI519" s="40"/>
      <c r="AJ519" s="40"/>
      <c r="AK519" s="40"/>
      <c r="AL519" s="40"/>
      <c r="AM519" s="40"/>
      <c r="AO519" s="40"/>
    </row>
    <row r="520" spans="2:41" ht="12.75" customHeight="1" x14ac:dyDescent="0.25">
      <c r="B520" s="40"/>
      <c r="C520" s="40"/>
      <c r="D520" s="40"/>
      <c r="E520" s="40"/>
      <c r="F520" s="40"/>
      <c r="G520" s="40"/>
      <c r="H520" s="5"/>
      <c r="Q520" s="40"/>
      <c r="R520" s="40"/>
      <c r="S520" s="40"/>
      <c r="T520" s="40"/>
      <c r="U520" s="40"/>
      <c r="W520" s="40"/>
      <c r="X520" s="40"/>
      <c r="Y520" s="40"/>
      <c r="Z520" s="40"/>
      <c r="AA520" s="41"/>
      <c r="AB520" s="41"/>
      <c r="AC520" s="41"/>
      <c r="AD520" s="41"/>
      <c r="AE520" s="40"/>
      <c r="AF520" s="42"/>
      <c r="AG520" s="5"/>
      <c r="AH520" s="5"/>
      <c r="AI520" s="40"/>
      <c r="AJ520" s="40"/>
      <c r="AK520" s="40"/>
      <c r="AL520" s="40"/>
      <c r="AM520" s="40"/>
      <c r="AO520" s="40"/>
    </row>
    <row r="521" spans="2:41" ht="12.75" customHeight="1" x14ac:dyDescent="0.25">
      <c r="B521" s="40"/>
      <c r="C521" s="40"/>
      <c r="D521" s="40"/>
      <c r="E521" s="40"/>
      <c r="F521" s="40"/>
      <c r="G521" s="40"/>
      <c r="H521" s="5"/>
      <c r="Q521" s="40"/>
      <c r="R521" s="40"/>
      <c r="S521" s="40"/>
      <c r="T521" s="40"/>
      <c r="U521" s="40"/>
      <c r="W521" s="40"/>
      <c r="X521" s="40"/>
      <c r="Y521" s="40"/>
      <c r="Z521" s="40"/>
      <c r="AA521" s="41"/>
      <c r="AB521" s="41"/>
      <c r="AC521" s="41"/>
      <c r="AD521" s="41"/>
      <c r="AE521" s="40"/>
      <c r="AF521" s="42"/>
      <c r="AG521" s="5"/>
      <c r="AH521" s="5"/>
      <c r="AI521" s="40"/>
      <c r="AJ521" s="40"/>
      <c r="AK521" s="40"/>
      <c r="AL521" s="40"/>
      <c r="AM521" s="40"/>
      <c r="AO521" s="40"/>
    </row>
    <row r="522" spans="2:41" ht="12.75" customHeight="1" x14ac:dyDescent="0.25">
      <c r="B522" s="40"/>
      <c r="C522" s="40"/>
      <c r="D522" s="40"/>
      <c r="E522" s="40"/>
      <c r="F522" s="40"/>
      <c r="G522" s="40"/>
      <c r="H522" s="5"/>
      <c r="Q522" s="40"/>
      <c r="R522" s="40"/>
      <c r="S522" s="40"/>
      <c r="T522" s="40"/>
      <c r="U522" s="40"/>
      <c r="W522" s="40"/>
      <c r="X522" s="40"/>
      <c r="Y522" s="40"/>
      <c r="Z522" s="40"/>
      <c r="AA522" s="41"/>
      <c r="AB522" s="41"/>
      <c r="AC522" s="41"/>
      <c r="AD522" s="41"/>
      <c r="AE522" s="40"/>
      <c r="AF522" s="42"/>
      <c r="AG522" s="5"/>
      <c r="AH522" s="5"/>
      <c r="AI522" s="40"/>
      <c r="AJ522" s="40"/>
      <c r="AK522" s="40"/>
      <c r="AL522" s="40"/>
      <c r="AM522" s="40"/>
      <c r="AO522" s="40"/>
    </row>
    <row r="523" spans="2:41" ht="12.75" customHeight="1" x14ac:dyDescent="0.25">
      <c r="B523" s="40"/>
      <c r="C523" s="40"/>
      <c r="D523" s="40"/>
      <c r="E523" s="40"/>
      <c r="F523" s="40"/>
      <c r="G523" s="40"/>
      <c r="H523" s="5"/>
      <c r="Q523" s="40"/>
      <c r="R523" s="40"/>
      <c r="S523" s="40"/>
      <c r="T523" s="40"/>
      <c r="U523" s="40"/>
      <c r="W523" s="40"/>
      <c r="X523" s="40"/>
      <c r="Y523" s="40"/>
      <c r="Z523" s="40"/>
      <c r="AA523" s="41"/>
      <c r="AB523" s="41"/>
      <c r="AC523" s="41"/>
      <c r="AD523" s="41"/>
      <c r="AE523" s="40"/>
      <c r="AF523" s="42"/>
      <c r="AG523" s="5"/>
      <c r="AH523" s="5"/>
      <c r="AI523" s="40"/>
      <c r="AJ523" s="40"/>
      <c r="AK523" s="40"/>
      <c r="AL523" s="40"/>
      <c r="AM523" s="40"/>
      <c r="AO523" s="40"/>
    </row>
    <row r="524" spans="2:41" ht="12.75" customHeight="1" x14ac:dyDescent="0.25">
      <c r="B524" s="40"/>
      <c r="C524" s="40"/>
      <c r="D524" s="40"/>
      <c r="E524" s="40"/>
      <c r="F524" s="40"/>
      <c r="G524" s="40"/>
      <c r="H524" s="5"/>
      <c r="Q524" s="40"/>
      <c r="R524" s="40"/>
      <c r="S524" s="40"/>
      <c r="T524" s="40"/>
      <c r="U524" s="40"/>
      <c r="W524" s="40"/>
      <c r="X524" s="40"/>
      <c r="Y524" s="40"/>
      <c r="Z524" s="40"/>
      <c r="AA524" s="41"/>
      <c r="AB524" s="41"/>
      <c r="AC524" s="41"/>
      <c r="AD524" s="41"/>
      <c r="AE524" s="40"/>
      <c r="AF524" s="42"/>
      <c r="AG524" s="5"/>
      <c r="AH524" s="5"/>
      <c r="AI524" s="40"/>
      <c r="AJ524" s="40"/>
      <c r="AK524" s="40"/>
      <c r="AL524" s="40"/>
      <c r="AM524" s="40"/>
      <c r="AO524" s="40"/>
    </row>
    <row r="525" spans="2:41" ht="12.75" customHeight="1" x14ac:dyDescent="0.25">
      <c r="B525" s="40"/>
      <c r="C525" s="40"/>
      <c r="D525" s="40"/>
      <c r="E525" s="40"/>
      <c r="F525" s="40"/>
      <c r="G525" s="40"/>
      <c r="H525" s="5"/>
      <c r="Q525" s="40"/>
      <c r="R525" s="40"/>
      <c r="S525" s="40"/>
      <c r="T525" s="40"/>
      <c r="U525" s="40"/>
      <c r="W525" s="40"/>
      <c r="X525" s="40"/>
      <c r="Y525" s="40"/>
      <c r="Z525" s="40"/>
      <c r="AA525" s="41"/>
      <c r="AB525" s="41"/>
      <c r="AC525" s="41"/>
      <c r="AD525" s="41"/>
      <c r="AE525" s="40"/>
      <c r="AF525" s="42"/>
      <c r="AG525" s="5"/>
      <c r="AH525" s="5"/>
      <c r="AI525" s="40"/>
      <c r="AJ525" s="40"/>
      <c r="AK525" s="40"/>
      <c r="AL525" s="40"/>
      <c r="AM525" s="40"/>
      <c r="AO525" s="40"/>
    </row>
    <row r="526" spans="2:41" ht="12.75" customHeight="1" x14ac:dyDescent="0.25">
      <c r="B526" s="40"/>
      <c r="C526" s="40"/>
      <c r="D526" s="40"/>
      <c r="E526" s="40"/>
      <c r="F526" s="40"/>
      <c r="G526" s="40"/>
      <c r="H526" s="5"/>
      <c r="Q526" s="40"/>
      <c r="R526" s="40"/>
      <c r="S526" s="40"/>
      <c r="T526" s="40"/>
      <c r="U526" s="40"/>
      <c r="W526" s="40"/>
      <c r="X526" s="40"/>
      <c r="Y526" s="40"/>
      <c r="Z526" s="40"/>
      <c r="AA526" s="41"/>
      <c r="AB526" s="41"/>
      <c r="AC526" s="41"/>
      <c r="AD526" s="41"/>
      <c r="AE526" s="40"/>
      <c r="AF526" s="42"/>
      <c r="AG526" s="5"/>
      <c r="AH526" s="5"/>
      <c r="AI526" s="40"/>
      <c r="AJ526" s="40"/>
      <c r="AK526" s="40"/>
      <c r="AL526" s="40"/>
      <c r="AM526" s="40"/>
      <c r="AO526" s="40"/>
    </row>
    <row r="527" spans="2:41" ht="12.75" customHeight="1" x14ac:dyDescent="0.25">
      <c r="B527" s="40"/>
      <c r="C527" s="40"/>
      <c r="D527" s="40"/>
      <c r="E527" s="40"/>
      <c r="F527" s="40"/>
      <c r="G527" s="40"/>
      <c r="H527" s="5"/>
      <c r="Q527" s="40"/>
      <c r="R527" s="40"/>
      <c r="S527" s="40"/>
      <c r="T527" s="40"/>
      <c r="U527" s="40"/>
      <c r="W527" s="40"/>
      <c r="X527" s="40"/>
      <c r="Y527" s="40"/>
      <c r="Z527" s="40"/>
      <c r="AA527" s="41"/>
      <c r="AB527" s="41"/>
      <c r="AC527" s="41"/>
      <c r="AD527" s="41"/>
      <c r="AE527" s="40"/>
      <c r="AF527" s="42"/>
      <c r="AG527" s="5"/>
      <c r="AH527" s="5"/>
      <c r="AI527" s="40"/>
      <c r="AJ527" s="40"/>
      <c r="AK527" s="40"/>
      <c r="AL527" s="40"/>
      <c r="AM527" s="40"/>
      <c r="AO527" s="40"/>
    </row>
    <row r="528" spans="2:41" ht="12.75" customHeight="1" x14ac:dyDescent="0.25">
      <c r="B528" s="40"/>
      <c r="C528" s="40"/>
      <c r="D528" s="40"/>
      <c r="E528" s="40"/>
      <c r="F528" s="40"/>
      <c r="G528" s="40"/>
      <c r="H528" s="5"/>
      <c r="Q528" s="40"/>
      <c r="R528" s="40"/>
      <c r="S528" s="40"/>
      <c r="T528" s="40"/>
      <c r="U528" s="40"/>
      <c r="W528" s="40"/>
      <c r="X528" s="40"/>
      <c r="Y528" s="40"/>
      <c r="Z528" s="40"/>
      <c r="AA528" s="41"/>
      <c r="AB528" s="41"/>
      <c r="AC528" s="41"/>
      <c r="AD528" s="41"/>
      <c r="AE528" s="40"/>
      <c r="AF528" s="42"/>
      <c r="AG528" s="5"/>
      <c r="AH528" s="5"/>
      <c r="AI528" s="40"/>
      <c r="AJ528" s="40"/>
      <c r="AK528" s="40"/>
      <c r="AL528" s="40"/>
      <c r="AM528" s="40"/>
      <c r="AO528" s="40"/>
    </row>
    <row r="529" spans="2:41" ht="12.75" customHeight="1" x14ac:dyDescent="0.25">
      <c r="B529" s="40"/>
      <c r="C529" s="40"/>
      <c r="D529" s="40"/>
      <c r="E529" s="40"/>
      <c r="F529" s="40"/>
      <c r="G529" s="40"/>
      <c r="H529" s="5"/>
      <c r="Q529" s="40"/>
      <c r="R529" s="40"/>
      <c r="S529" s="40"/>
      <c r="T529" s="40"/>
      <c r="U529" s="40"/>
      <c r="W529" s="40"/>
      <c r="X529" s="40"/>
      <c r="Y529" s="40"/>
      <c r="Z529" s="40"/>
      <c r="AA529" s="41"/>
      <c r="AB529" s="41"/>
      <c r="AC529" s="41"/>
      <c r="AD529" s="41"/>
      <c r="AE529" s="40"/>
      <c r="AF529" s="42"/>
      <c r="AG529" s="5"/>
      <c r="AH529" s="5"/>
      <c r="AI529" s="40"/>
      <c r="AJ529" s="40"/>
      <c r="AK529" s="40"/>
      <c r="AL529" s="40"/>
      <c r="AM529" s="40"/>
      <c r="AO529" s="40"/>
    </row>
    <row r="530" spans="2:41" ht="12.75" customHeight="1" x14ac:dyDescent="0.25">
      <c r="B530" s="40"/>
      <c r="C530" s="40"/>
      <c r="D530" s="40"/>
      <c r="E530" s="40"/>
      <c r="F530" s="40"/>
      <c r="G530" s="40"/>
      <c r="H530" s="5"/>
      <c r="Q530" s="40"/>
      <c r="R530" s="40"/>
      <c r="S530" s="40"/>
      <c r="T530" s="40"/>
      <c r="U530" s="40"/>
      <c r="W530" s="40"/>
      <c r="X530" s="40"/>
      <c r="Y530" s="40"/>
      <c r="Z530" s="40"/>
      <c r="AA530" s="41"/>
      <c r="AB530" s="41"/>
      <c r="AC530" s="41"/>
      <c r="AD530" s="41"/>
      <c r="AE530" s="40"/>
      <c r="AF530" s="42"/>
      <c r="AG530" s="5"/>
      <c r="AH530" s="5"/>
      <c r="AI530" s="40"/>
      <c r="AJ530" s="40"/>
      <c r="AK530" s="40"/>
      <c r="AL530" s="40"/>
      <c r="AM530" s="40"/>
      <c r="AO530" s="40"/>
    </row>
    <row r="531" spans="2:41" ht="12.75" customHeight="1" x14ac:dyDescent="0.25">
      <c r="B531" s="40"/>
      <c r="C531" s="40"/>
      <c r="D531" s="40"/>
      <c r="E531" s="40"/>
      <c r="F531" s="40"/>
      <c r="G531" s="40"/>
      <c r="H531" s="5"/>
      <c r="Q531" s="40"/>
      <c r="R531" s="40"/>
      <c r="S531" s="40"/>
      <c r="T531" s="40"/>
      <c r="U531" s="40"/>
      <c r="W531" s="40"/>
      <c r="X531" s="40"/>
      <c r="Y531" s="40"/>
      <c r="Z531" s="40"/>
      <c r="AA531" s="41"/>
      <c r="AB531" s="41"/>
      <c r="AC531" s="41"/>
      <c r="AD531" s="41"/>
      <c r="AE531" s="40"/>
      <c r="AF531" s="42"/>
      <c r="AG531" s="5"/>
      <c r="AH531" s="5"/>
      <c r="AI531" s="40"/>
      <c r="AJ531" s="40"/>
      <c r="AK531" s="40"/>
      <c r="AL531" s="40"/>
      <c r="AM531" s="40"/>
      <c r="AO531" s="40"/>
    </row>
    <row r="532" spans="2:41" ht="12.75" customHeight="1" x14ac:dyDescent="0.25">
      <c r="B532" s="40"/>
      <c r="C532" s="40"/>
      <c r="D532" s="40"/>
      <c r="E532" s="40"/>
      <c r="F532" s="40"/>
      <c r="G532" s="40"/>
      <c r="H532" s="5"/>
      <c r="Q532" s="40"/>
      <c r="R532" s="40"/>
      <c r="S532" s="40"/>
      <c r="T532" s="40"/>
      <c r="U532" s="40"/>
      <c r="W532" s="40"/>
      <c r="X532" s="40"/>
      <c r="Y532" s="40"/>
      <c r="Z532" s="40"/>
      <c r="AA532" s="41"/>
      <c r="AB532" s="41"/>
      <c r="AC532" s="41"/>
      <c r="AD532" s="41"/>
      <c r="AE532" s="40"/>
      <c r="AF532" s="42"/>
      <c r="AG532" s="5"/>
      <c r="AH532" s="5"/>
      <c r="AI532" s="40"/>
      <c r="AJ532" s="40"/>
      <c r="AK532" s="40"/>
      <c r="AL532" s="40"/>
      <c r="AM532" s="40"/>
      <c r="AO532" s="40"/>
    </row>
    <row r="533" spans="2:41" ht="12.75" customHeight="1" x14ac:dyDescent="0.25">
      <c r="B533" s="40"/>
      <c r="C533" s="40"/>
      <c r="D533" s="40"/>
      <c r="E533" s="40"/>
      <c r="F533" s="40"/>
      <c r="G533" s="40"/>
      <c r="H533" s="5"/>
      <c r="Q533" s="40"/>
      <c r="R533" s="40"/>
      <c r="S533" s="40"/>
      <c r="T533" s="40"/>
      <c r="U533" s="40"/>
      <c r="W533" s="40"/>
      <c r="X533" s="40"/>
      <c r="Y533" s="40"/>
      <c r="Z533" s="40"/>
      <c r="AA533" s="41"/>
      <c r="AB533" s="41"/>
      <c r="AC533" s="41"/>
      <c r="AD533" s="41"/>
      <c r="AE533" s="40"/>
      <c r="AF533" s="42"/>
      <c r="AG533" s="5"/>
      <c r="AH533" s="5"/>
      <c r="AI533" s="40"/>
      <c r="AJ533" s="40"/>
      <c r="AK533" s="40"/>
      <c r="AL533" s="40"/>
      <c r="AM533" s="40"/>
      <c r="AO533" s="40"/>
    </row>
    <row r="534" spans="2:41" ht="12.75" customHeight="1" x14ac:dyDescent="0.25">
      <c r="B534" s="40"/>
      <c r="C534" s="40"/>
      <c r="D534" s="40"/>
      <c r="E534" s="40"/>
      <c r="F534" s="40"/>
      <c r="G534" s="40"/>
      <c r="H534" s="5"/>
      <c r="Q534" s="40"/>
      <c r="R534" s="40"/>
      <c r="S534" s="40"/>
      <c r="T534" s="40"/>
      <c r="U534" s="40"/>
      <c r="W534" s="40"/>
      <c r="X534" s="40"/>
      <c r="Y534" s="40"/>
      <c r="Z534" s="40"/>
      <c r="AA534" s="41"/>
      <c r="AB534" s="41"/>
      <c r="AC534" s="41"/>
      <c r="AD534" s="41"/>
      <c r="AE534" s="40"/>
      <c r="AF534" s="42"/>
      <c r="AG534" s="5"/>
      <c r="AH534" s="5"/>
      <c r="AI534" s="40"/>
      <c r="AJ534" s="40"/>
      <c r="AK534" s="40"/>
      <c r="AL534" s="40"/>
      <c r="AM534" s="40"/>
      <c r="AO534" s="40"/>
    </row>
    <row r="535" spans="2:41" ht="12.75" customHeight="1" x14ac:dyDescent="0.25">
      <c r="B535" s="40"/>
      <c r="C535" s="40"/>
      <c r="D535" s="40"/>
      <c r="E535" s="40"/>
      <c r="F535" s="40"/>
      <c r="G535" s="40"/>
      <c r="H535" s="5"/>
      <c r="Q535" s="40"/>
      <c r="R535" s="40"/>
      <c r="S535" s="40"/>
      <c r="T535" s="40"/>
      <c r="U535" s="40"/>
      <c r="W535" s="40"/>
      <c r="X535" s="40"/>
      <c r="Y535" s="40"/>
      <c r="Z535" s="40"/>
      <c r="AA535" s="41"/>
      <c r="AB535" s="41"/>
      <c r="AC535" s="41"/>
      <c r="AD535" s="41"/>
      <c r="AE535" s="40"/>
      <c r="AF535" s="42"/>
      <c r="AG535" s="5"/>
      <c r="AH535" s="5"/>
      <c r="AI535" s="40"/>
      <c r="AJ535" s="40"/>
      <c r="AK535" s="40"/>
      <c r="AL535" s="40"/>
      <c r="AM535" s="40"/>
      <c r="AO535" s="40"/>
    </row>
    <row r="536" spans="2:41" ht="12.75" customHeight="1" x14ac:dyDescent="0.25">
      <c r="B536" s="40"/>
      <c r="C536" s="40"/>
      <c r="D536" s="40"/>
      <c r="E536" s="40"/>
      <c r="F536" s="40"/>
      <c r="G536" s="40"/>
      <c r="H536" s="5"/>
      <c r="Q536" s="40"/>
      <c r="R536" s="40"/>
      <c r="S536" s="40"/>
      <c r="T536" s="40"/>
      <c r="U536" s="40"/>
      <c r="W536" s="40"/>
      <c r="X536" s="40"/>
      <c r="Y536" s="40"/>
      <c r="Z536" s="40"/>
      <c r="AA536" s="41"/>
      <c r="AB536" s="41"/>
      <c r="AC536" s="41"/>
      <c r="AD536" s="41"/>
      <c r="AE536" s="40"/>
      <c r="AF536" s="42"/>
      <c r="AG536" s="5"/>
      <c r="AH536" s="5"/>
      <c r="AI536" s="40"/>
      <c r="AJ536" s="40"/>
      <c r="AK536" s="40"/>
      <c r="AL536" s="40"/>
      <c r="AM536" s="40"/>
      <c r="AO536" s="40"/>
    </row>
    <row r="537" spans="2:41" ht="12.75" customHeight="1" x14ac:dyDescent="0.25">
      <c r="B537" s="40"/>
      <c r="C537" s="40"/>
      <c r="D537" s="40"/>
      <c r="E537" s="40"/>
      <c r="F537" s="40"/>
      <c r="G537" s="40"/>
      <c r="H537" s="5"/>
      <c r="Q537" s="40"/>
      <c r="R537" s="40"/>
      <c r="S537" s="40"/>
      <c r="T537" s="40"/>
      <c r="U537" s="40"/>
      <c r="W537" s="40"/>
      <c r="X537" s="40"/>
      <c r="Y537" s="40"/>
      <c r="Z537" s="40"/>
      <c r="AA537" s="41"/>
      <c r="AB537" s="41"/>
      <c r="AC537" s="41"/>
      <c r="AD537" s="41"/>
      <c r="AE537" s="40"/>
      <c r="AF537" s="42"/>
      <c r="AG537" s="5"/>
      <c r="AH537" s="5"/>
      <c r="AI537" s="40"/>
      <c r="AJ537" s="40"/>
      <c r="AK537" s="40"/>
      <c r="AL537" s="40"/>
      <c r="AM537" s="40"/>
      <c r="AO537" s="40"/>
    </row>
    <row r="538" spans="2:41" ht="12.75" customHeight="1" x14ac:dyDescent="0.25">
      <c r="B538" s="40"/>
      <c r="C538" s="40"/>
      <c r="D538" s="40"/>
      <c r="E538" s="40"/>
      <c r="F538" s="40"/>
      <c r="G538" s="40"/>
      <c r="H538" s="5"/>
      <c r="Q538" s="40"/>
      <c r="R538" s="40"/>
      <c r="S538" s="40"/>
      <c r="T538" s="40"/>
      <c r="U538" s="40"/>
      <c r="W538" s="40"/>
      <c r="X538" s="40"/>
      <c r="Y538" s="40"/>
      <c r="Z538" s="40"/>
      <c r="AA538" s="41"/>
      <c r="AB538" s="41"/>
      <c r="AC538" s="41"/>
      <c r="AD538" s="41"/>
      <c r="AE538" s="40"/>
      <c r="AF538" s="42"/>
      <c r="AG538" s="5"/>
      <c r="AH538" s="5"/>
      <c r="AI538" s="40"/>
      <c r="AJ538" s="40"/>
      <c r="AK538" s="40"/>
      <c r="AL538" s="40"/>
      <c r="AM538" s="40"/>
      <c r="AO538" s="40"/>
    </row>
    <row r="539" spans="2:41" ht="12.75" customHeight="1" x14ac:dyDescent="0.25">
      <c r="B539" s="40"/>
      <c r="C539" s="40"/>
      <c r="D539" s="40"/>
      <c r="E539" s="40"/>
      <c r="F539" s="40"/>
      <c r="G539" s="40"/>
      <c r="H539" s="5"/>
      <c r="Q539" s="40"/>
      <c r="R539" s="40"/>
      <c r="S539" s="40"/>
      <c r="T539" s="40"/>
      <c r="U539" s="40"/>
      <c r="W539" s="40"/>
      <c r="X539" s="40"/>
      <c r="Y539" s="40"/>
      <c r="Z539" s="40"/>
      <c r="AA539" s="41"/>
      <c r="AB539" s="41"/>
      <c r="AC539" s="41"/>
      <c r="AD539" s="41"/>
      <c r="AE539" s="40"/>
      <c r="AF539" s="42"/>
      <c r="AG539" s="5"/>
      <c r="AH539" s="5"/>
      <c r="AI539" s="40"/>
      <c r="AJ539" s="40"/>
      <c r="AK539" s="40"/>
      <c r="AL539" s="40"/>
      <c r="AM539" s="40"/>
      <c r="AO539" s="40"/>
    </row>
    <row r="540" spans="2:41" ht="12.75" customHeight="1" x14ac:dyDescent="0.25">
      <c r="B540" s="40"/>
      <c r="C540" s="40"/>
      <c r="D540" s="40"/>
      <c r="E540" s="40"/>
      <c r="F540" s="40"/>
      <c r="G540" s="40"/>
      <c r="H540" s="5"/>
      <c r="Q540" s="40"/>
      <c r="R540" s="40"/>
      <c r="S540" s="40"/>
      <c r="T540" s="40"/>
      <c r="U540" s="40"/>
      <c r="W540" s="40"/>
      <c r="X540" s="40"/>
      <c r="Y540" s="40"/>
      <c r="Z540" s="40"/>
      <c r="AA540" s="41"/>
      <c r="AB540" s="41"/>
      <c r="AC540" s="41"/>
      <c r="AD540" s="41"/>
      <c r="AE540" s="40"/>
      <c r="AF540" s="42"/>
      <c r="AG540" s="5"/>
      <c r="AH540" s="5"/>
      <c r="AI540" s="40"/>
      <c r="AJ540" s="40"/>
      <c r="AK540" s="40"/>
      <c r="AL540" s="40"/>
      <c r="AM540" s="40"/>
      <c r="AO540" s="40"/>
    </row>
    <row r="541" spans="2:41" ht="12.75" customHeight="1" x14ac:dyDescent="0.25">
      <c r="B541" s="40"/>
      <c r="C541" s="40"/>
      <c r="D541" s="40"/>
      <c r="E541" s="40"/>
      <c r="F541" s="40"/>
      <c r="G541" s="40"/>
      <c r="H541" s="5"/>
      <c r="Q541" s="40"/>
      <c r="R541" s="40"/>
      <c r="S541" s="40"/>
      <c r="T541" s="40"/>
      <c r="U541" s="40"/>
      <c r="W541" s="40"/>
      <c r="X541" s="40"/>
      <c r="Y541" s="40"/>
      <c r="Z541" s="40"/>
      <c r="AA541" s="41"/>
      <c r="AB541" s="41"/>
      <c r="AC541" s="41"/>
      <c r="AD541" s="41"/>
      <c r="AE541" s="40"/>
      <c r="AF541" s="42"/>
      <c r="AG541" s="5"/>
      <c r="AH541" s="5"/>
      <c r="AI541" s="40"/>
      <c r="AJ541" s="40"/>
      <c r="AK541" s="40"/>
      <c r="AL541" s="40"/>
      <c r="AM541" s="40"/>
      <c r="AO541" s="40"/>
    </row>
    <row r="542" spans="2:41" ht="12.75" customHeight="1" x14ac:dyDescent="0.25">
      <c r="B542" s="40"/>
      <c r="C542" s="40"/>
      <c r="D542" s="40"/>
      <c r="E542" s="40"/>
      <c r="F542" s="40"/>
      <c r="G542" s="40"/>
      <c r="H542" s="5"/>
      <c r="Q542" s="40"/>
      <c r="R542" s="40"/>
      <c r="S542" s="40"/>
      <c r="T542" s="40"/>
      <c r="U542" s="40"/>
      <c r="W542" s="40"/>
      <c r="X542" s="40"/>
      <c r="Y542" s="40"/>
      <c r="Z542" s="40"/>
      <c r="AA542" s="41"/>
      <c r="AB542" s="41"/>
      <c r="AC542" s="41"/>
      <c r="AD542" s="41"/>
      <c r="AE542" s="40"/>
      <c r="AF542" s="42"/>
      <c r="AG542" s="5"/>
      <c r="AH542" s="5"/>
      <c r="AI542" s="40"/>
      <c r="AJ542" s="40"/>
      <c r="AK542" s="40"/>
      <c r="AL542" s="40"/>
      <c r="AM542" s="40"/>
      <c r="AO542" s="40"/>
    </row>
    <row r="543" spans="2:41" ht="12.75" customHeight="1" x14ac:dyDescent="0.25">
      <c r="B543" s="40"/>
      <c r="C543" s="40"/>
      <c r="D543" s="40"/>
      <c r="E543" s="40"/>
      <c r="F543" s="40"/>
      <c r="G543" s="40"/>
      <c r="H543" s="5"/>
      <c r="Q543" s="40"/>
      <c r="R543" s="40"/>
      <c r="S543" s="40"/>
      <c r="T543" s="40"/>
      <c r="U543" s="40"/>
      <c r="W543" s="40"/>
      <c r="X543" s="40"/>
      <c r="Y543" s="40"/>
      <c r="Z543" s="40"/>
      <c r="AA543" s="41"/>
      <c r="AB543" s="41"/>
      <c r="AC543" s="41"/>
      <c r="AD543" s="41"/>
      <c r="AE543" s="40"/>
      <c r="AF543" s="42"/>
      <c r="AG543" s="5"/>
      <c r="AH543" s="5"/>
      <c r="AI543" s="40"/>
      <c r="AJ543" s="40"/>
      <c r="AK543" s="40"/>
      <c r="AL543" s="40"/>
      <c r="AM543" s="40"/>
      <c r="AO543" s="40"/>
    </row>
    <row r="544" spans="2:41" ht="12.75" customHeight="1" x14ac:dyDescent="0.25">
      <c r="B544" s="40"/>
      <c r="C544" s="40"/>
      <c r="D544" s="40"/>
      <c r="E544" s="40"/>
      <c r="F544" s="40"/>
      <c r="G544" s="40"/>
      <c r="H544" s="5"/>
      <c r="Q544" s="40"/>
      <c r="R544" s="40"/>
      <c r="S544" s="40"/>
      <c r="T544" s="40"/>
      <c r="U544" s="40"/>
      <c r="W544" s="40"/>
      <c r="X544" s="40"/>
      <c r="Y544" s="40"/>
      <c r="Z544" s="40"/>
      <c r="AA544" s="41"/>
      <c r="AB544" s="41"/>
      <c r="AC544" s="41"/>
      <c r="AD544" s="41"/>
      <c r="AE544" s="40"/>
      <c r="AF544" s="42"/>
      <c r="AG544" s="5"/>
      <c r="AH544" s="5"/>
      <c r="AI544" s="40"/>
      <c r="AJ544" s="40"/>
      <c r="AK544" s="40"/>
      <c r="AL544" s="40"/>
      <c r="AM544" s="40"/>
      <c r="AO544" s="40"/>
    </row>
    <row r="545" spans="2:41" ht="12.75" customHeight="1" x14ac:dyDescent="0.25">
      <c r="B545" s="40"/>
      <c r="C545" s="40"/>
      <c r="D545" s="40"/>
      <c r="E545" s="40"/>
      <c r="F545" s="40"/>
      <c r="G545" s="40"/>
      <c r="H545" s="5"/>
      <c r="Q545" s="40"/>
      <c r="R545" s="40"/>
      <c r="S545" s="40"/>
      <c r="T545" s="40"/>
      <c r="U545" s="40"/>
      <c r="W545" s="40"/>
      <c r="X545" s="40"/>
      <c r="Y545" s="40"/>
      <c r="Z545" s="40"/>
      <c r="AA545" s="41"/>
      <c r="AB545" s="41"/>
      <c r="AC545" s="41"/>
      <c r="AD545" s="41"/>
      <c r="AE545" s="40"/>
      <c r="AF545" s="42"/>
      <c r="AG545" s="5"/>
      <c r="AH545" s="5"/>
      <c r="AI545" s="40"/>
      <c r="AJ545" s="40"/>
      <c r="AK545" s="40"/>
      <c r="AL545" s="40"/>
      <c r="AM545" s="40"/>
      <c r="AO545" s="40"/>
    </row>
    <row r="546" spans="2:41" ht="12.75" customHeight="1" x14ac:dyDescent="0.25">
      <c r="B546" s="40"/>
      <c r="C546" s="40"/>
      <c r="D546" s="40"/>
      <c r="E546" s="40"/>
      <c r="F546" s="40"/>
      <c r="G546" s="40"/>
      <c r="H546" s="5"/>
      <c r="Q546" s="40"/>
      <c r="R546" s="40"/>
      <c r="S546" s="40"/>
      <c r="T546" s="40"/>
      <c r="U546" s="40"/>
      <c r="W546" s="40"/>
      <c r="X546" s="40"/>
      <c r="Y546" s="40"/>
      <c r="Z546" s="40"/>
      <c r="AA546" s="41"/>
      <c r="AB546" s="41"/>
      <c r="AC546" s="41"/>
      <c r="AD546" s="41"/>
      <c r="AE546" s="40"/>
      <c r="AF546" s="42"/>
      <c r="AG546" s="5"/>
      <c r="AH546" s="5"/>
      <c r="AI546" s="40"/>
      <c r="AJ546" s="40"/>
      <c r="AK546" s="40"/>
      <c r="AL546" s="40"/>
      <c r="AM546" s="40"/>
      <c r="AO546" s="40"/>
    </row>
    <row r="547" spans="2:41" ht="12.75" customHeight="1" x14ac:dyDescent="0.25">
      <c r="B547" s="40"/>
      <c r="C547" s="40"/>
      <c r="D547" s="40"/>
      <c r="E547" s="40"/>
      <c r="F547" s="40"/>
      <c r="G547" s="40"/>
      <c r="H547" s="5"/>
      <c r="Q547" s="40"/>
      <c r="R547" s="40"/>
      <c r="S547" s="40"/>
      <c r="T547" s="40"/>
      <c r="U547" s="40"/>
      <c r="W547" s="40"/>
      <c r="X547" s="40"/>
      <c r="Y547" s="40"/>
      <c r="Z547" s="40"/>
      <c r="AA547" s="41"/>
      <c r="AB547" s="41"/>
      <c r="AC547" s="41"/>
      <c r="AD547" s="41"/>
      <c r="AE547" s="40"/>
      <c r="AF547" s="42"/>
      <c r="AG547" s="5"/>
      <c r="AH547" s="5"/>
      <c r="AI547" s="40"/>
      <c r="AJ547" s="40"/>
      <c r="AK547" s="40"/>
      <c r="AL547" s="40"/>
      <c r="AM547" s="40"/>
      <c r="AO547" s="40"/>
    </row>
    <row r="548" spans="2:41" ht="12.75" customHeight="1" x14ac:dyDescent="0.25">
      <c r="B548" s="40"/>
      <c r="C548" s="40"/>
      <c r="D548" s="40"/>
      <c r="E548" s="40"/>
      <c r="F548" s="40"/>
      <c r="G548" s="40"/>
      <c r="H548" s="5"/>
      <c r="Q548" s="40"/>
      <c r="R548" s="40"/>
      <c r="S548" s="40"/>
      <c r="T548" s="40"/>
      <c r="U548" s="40"/>
      <c r="W548" s="40"/>
      <c r="X548" s="40"/>
      <c r="Y548" s="40"/>
      <c r="Z548" s="40"/>
      <c r="AA548" s="41"/>
      <c r="AB548" s="41"/>
      <c r="AC548" s="41"/>
      <c r="AD548" s="41"/>
      <c r="AE548" s="40"/>
      <c r="AF548" s="42"/>
      <c r="AG548" s="5"/>
      <c r="AH548" s="5"/>
      <c r="AI548" s="40"/>
      <c r="AJ548" s="40"/>
      <c r="AK548" s="40"/>
      <c r="AL548" s="40"/>
      <c r="AM548" s="40"/>
      <c r="AO548" s="40"/>
    </row>
    <row r="549" spans="2:41" ht="12.75" customHeight="1" x14ac:dyDescent="0.25">
      <c r="B549" s="40"/>
      <c r="C549" s="40"/>
      <c r="D549" s="40"/>
      <c r="E549" s="40"/>
      <c r="F549" s="40"/>
      <c r="G549" s="40"/>
      <c r="H549" s="5"/>
      <c r="Q549" s="40"/>
      <c r="R549" s="40"/>
      <c r="S549" s="40"/>
      <c r="T549" s="40"/>
      <c r="U549" s="40"/>
      <c r="W549" s="40"/>
      <c r="X549" s="40"/>
      <c r="Y549" s="40"/>
      <c r="Z549" s="40"/>
      <c r="AA549" s="41"/>
      <c r="AB549" s="41"/>
      <c r="AC549" s="41"/>
      <c r="AD549" s="41"/>
      <c r="AE549" s="40"/>
      <c r="AF549" s="42"/>
      <c r="AG549" s="5"/>
      <c r="AH549" s="5"/>
      <c r="AI549" s="40"/>
      <c r="AJ549" s="40"/>
      <c r="AK549" s="40"/>
      <c r="AL549" s="40"/>
      <c r="AM549" s="40"/>
      <c r="AO549" s="40"/>
    </row>
    <row r="550" spans="2:41" ht="12.75" customHeight="1" x14ac:dyDescent="0.25">
      <c r="B550" s="40"/>
      <c r="C550" s="40"/>
      <c r="D550" s="40"/>
      <c r="E550" s="40"/>
      <c r="F550" s="40"/>
      <c r="G550" s="40"/>
      <c r="H550" s="5"/>
      <c r="Q550" s="40"/>
      <c r="R550" s="40"/>
      <c r="S550" s="40"/>
      <c r="T550" s="40"/>
      <c r="U550" s="40"/>
      <c r="W550" s="40"/>
      <c r="X550" s="40"/>
      <c r="Y550" s="40"/>
      <c r="Z550" s="40"/>
      <c r="AA550" s="41"/>
      <c r="AB550" s="41"/>
      <c r="AC550" s="41"/>
      <c r="AD550" s="41"/>
      <c r="AE550" s="40"/>
      <c r="AF550" s="42"/>
      <c r="AG550" s="5"/>
      <c r="AH550" s="5"/>
      <c r="AI550" s="40"/>
      <c r="AJ550" s="40"/>
      <c r="AK550" s="40"/>
      <c r="AL550" s="40"/>
      <c r="AM550" s="40"/>
      <c r="AO550" s="40"/>
    </row>
    <row r="551" spans="2:41" ht="12.75" customHeight="1" x14ac:dyDescent="0.25">
      <c r="B551" s="40"/>
      <c r="C551" s="40"/>
      <c r="D551" s="40"/>
      <c r="E551" s="40"/>
      <c r="F551" s="40"/>
      <c r="G551" s="40"/>
      <c r="H551" s="5"/>
      <c r="Q551" s="40"/>
      <c r="R551" s="40"/>
      <c r="S551" s="40"/>
      <c r="T551" s="40"/>
      <c r="U551" s="40"/>
      <c r="W551" s="40"/>
      <c r="X551" s="40"/>
      <c r="Y551" s="40"/>
      <c r="Z551" s="40"/>
      <c r="AA551" s="41"/>
      <c r="AB551" s="41"/>
      <c r="AC551" s="41"/>
      <c r="AD551" s="41"/>
      <c r="AE551" s="40"/>
      <c r="AF551" s="42"/>
      <c r="AG551" s="5"/>
      <c r="AH551" s="5"/>
      <c r="AI551" s="40"/>
      <c r="AJ551" s="40"/>
      <c r="AK551" s="40"/>
      <c r="AL551" s="40"/>
      <c r="AM551" s="40"/>
      <c r="AO551" s="40"/>
    </row>
    <row r="552" spans="2:41" ht="12.75" customHeight="1" x14ac:dyDescent="0.25">
      <c r="B552" s="40"/>
      <c r="C552" s="40"/>
      <c r="D552" s="40"/>
      <c r="E552" s="40"/>
      <c r="F552" s="40"/>
      <c r="G552" s="40"/>
      <c r="H552" s="5"/>
      <c r="Q552" s="40"/>
      <c r="R552" s="40"/>
      <c r="S552" s="40"/>
      <c r="T552" s="40"/>
      <c r="U552" s="40"/>
      <c r="W552" s="40"/>
      <c r="X552" s="40"/>
      <c r="Y552" s="40"/>
      <c r="Z552" s="40"/>
      <c r="AA552" s="41"/>
      <c r="AB552" s="41"/>
      <c r="AC552" s="41"/>
      <c r="AD552" s="41"/>
      <c r="AE552" s="40"/>
      <c r="AF552" s="42"/>
      <c r="AG552" s="5"/>
      <c r="AH552" s="5"/>
      <c r="AI552" s="40"/>
      <c r="AJ552" s="40"/>
      <c r="AK552" s="40"/>
      <c r="AL552" s="40"/>
      <c r="AM552" s="40"/>
      <c r="AO552" s="40"/>
    </row>
    <row r="553" spans="2:41" ht="12.75" customHeight="1" x14ac:dyDescent="0.25">
      <c r="B553" s="40"/>
      <c r="C553" s="40"/>
      <c r="D553" s="40"/>
      <c r="E553" s="40"/>
      <c r="F553" s="40"/>
      <c r="G553" s="40"/>
      <c r="H553" s="5"/>
      <c r="Q553" s="40"/>
      <c r="R553" s="40"/>
      <c r="S553" s="40"/>
      <c r="T553" s="40"/>
      <c r="U553" s="40"/>
      <c r="W553" s="40"/>
      <c r="X553" s="40"/>
      <c r="Y553" s="40"/>
      <c r="Z553" s="40"/>
      <c r="AA553" s="41"/>
      <c r="AB553" s="41"/>
      <c r="AC553" s="41"/>
      <c r="AD553" s="41"/>
      <c r="AE553" s="40"/>
      <c r="AF553" s="42"/>
      <c r="AG553" s="5"/>
      <c r="AH553" s="5"/>
      <c r="AI553" s="40"/>
      <c r="AJ553" s="40"/>
      <c r="AK553" s="40"/>
      <c r="AL553" s="40"/>
      <c r="AM553" s="40"/>
      <c r="AO553" s="40"/>
    </row>
    <row r="554" spans="2:41" ht="12.75" customHeight="1" x14ac:dyDescent="0.25">
      <c r="B554" s="40"/>
      <c r="C554" s="40"/>
      <c r="D554" s="40"/>
      <c r="E554" s="40"/>
      <c r="F554" s="40"/>
      <c r="G554" s="40"/>
      <c r="H554" s="5"/>
      <c r="Q554" s="40"/>
      <c r="R554" s="40"/>
      <c r="S554" s="40"/>
      <c r="T554" s="40"/>
      <c r="U554" s="40"/>
      <c r="W554" s="40"/>
      <c r="X554" s="40"/>
      <c r="Y554" s="40"/>
      <c r="Z554" s="40"/>
      <c r="AA554" s="41"/>
      <c r="AB554" s="41"/>
      <c r="AC554" s="41"/>
      <c r="AD554" s="41"/>
      <c r="AE554" s="40"/>
      <c r="AF554" s="42"/>
      <c r="AG554" s="5"/>
      <c r="AH554" s="5"/>
      <c r="AI554" s="40"/>
      <c r="AJ554" s="40"/>
      <c r="AK554" s="40"/>
      <c r="AL554" s="40"/>
      <c r="AM554" s="40"/>
      <c r="AO554" s="40"/>
    </row>
    <row r="555" spans="2:41" ht="12.75" customHeight="1" x14ac:dyDescent="0.25">
      <c r="B555" s="40"/>
      <c r="C555" s="40"/>
      <c r="D555" s="40"/>
      <c r="E555" s="40"/>
      <c r="F555" s="40"/>
      <c r="G555" s="40"/>
      <c r="H555" s="5"/>
      <c r="Q555" s="40"/>
      <c r="R555" s="40"/>
      <c r="S555" s="40"/>
      <c r="T555" s="40"/>
      <c r="U555" s="40"/>
      <c r="W555" s="40"/>
      <c r="X555" s="40"/>
      <c r="Y555" s="40"/>
      <c r="Z555" s="40"/>
      <c r="AA555" s="41"/>
      <c r="AB555" s="41"/>
      <c r="AC555" s="41"/>
      <c r="AD555" s="41"/>
      <c r="AE555" s="40"/>
      <c r="AF555" s="42"/>
      <c r="AG555" s="5"/>
      <c r="AH555" s="5"/>
      <c r="AI555" s="40"/>
      <c r="AJ555" s="40"/>
      <c r="AK555" s="40"/>
      <c r="AL555" s="40"/>
      <c r="AM555" s="40"/>
      <c r="AO555" s="40"/>
    </row>
    <row r="556" spans="2:41" ht="12.75" customHeight="1" x14ac:dyDescent="0.25">
      <c r="B556" s="40"/>
      <c r="C556" s="40"/>
      <c r="D556" s="40"/>
      <c r="E556" s="40"/>
      <c r="F556" s="40"/>
      <c r="G556" s="40"/>
      <c r="H556" s="5"/>
      <c r="Q556" s="40"/>
      <c r="R556" s="40"/>
      <c r="S556" s="40"/>
      <c r="T556" s="40"/>
      <c r="U556" s="40"/>
      <c r="W556" s="40"/>
      <c r="X556" s="40"/>
      <c r="Y556" s="40"/>
      <c r="Z556" s="40"/>
      <c r="AA556" s="41"/>
      <c r="AB556" s="41"/>
      <c r="AC556" s="41"/>
      <c r="AD556" s="41"/>
      <c r="AE556" s="40"/>
      <c r="AF556" s="42"/>
      <c r="AG556" s="5"/>
      <c r="AH556" s="5"/>
      <c r="AI556" s="40"/>
      <c r="AJ556" s="40"/>
      <c r="AK556" s="40"/>
      <c r="AL556" s="40"/>
      <c r="AM556" s="40"/>
      <c r="AO556" s="40"/>
    </row>
    <row r="557" spans="2:41" ht="12.75" customHeight="1" x14ac:dyDescent="0.25">
      <c r="B557" s="40"/>
      <c r="C557" s="40"/>
      <c r="D557" s="40"/>
      <c r="E557" s="40"/>
      <c r="F557" s="40"/>
      <c r="G557" s="40"/>
      <c r="H557" s="5"/>
      <c r="Q557" s="40"/>
      <c r="R557" s="40"/>
      <c r="S557" s="40"/>
      <c r="T557" s="40"/>
      <c r="U557" s="40"/>
      <c r="W557" s="40"/>
      <c r="X557" s="40"/>
      <c r="Y557" s="40"/>
      <c r="Z557" s="40"/>
      <c r="AA557" s="41"/>
      <c r="AB557" s="41"/>
      <c r="AC557" s="41"/>
      <c r="AD557" s="41"/>
      <c r="AE557" s="40"/>
      <c r="AF557" s="42"/>
      <c r="AG557" s="5"/>
      <c r="AH557" s="5"/>
      <c r="AI557" s="40"/>
      <c r="AJ557" s="40"/>
      <c r="AK557" s="40"/>
      <c r="AL557" s="40"/>
      <c r="AM557" s="40"/>
      <c r="AO557" s="40"/>
    </row>
    <row r="558" spans="2:41" ht="12.75" customHeight="1" x14ac:dyDescent="0.25">
      <c r="B558" s="40"/>
      <c r="C558" s="40"/>
      <c r="D558" s="40"/>
      <c r="E558" s="40"/>
      <c r="F558" s="40"/>
      <c r="G558" s="40"/>
      <c r="H558" s="5"/>
      <c r="Q558" s="40"/>
      <c r="R558" s="40"/>
      <c r="S558" s="40"/>
      <c r="T558" s="40"/>
      <c r="U558" s="40"/>
      <c r="W558" s="40"/>
      <c r="X558" s="40"/>
      <c r="Y558" s="40"/>
      <c r="Z558" s="40"/>
      <c r="AA558" s="41"/>
      <c r="AB558" s="41"/>
      <c r="AC558" s="41"/>
      <c r="AD558" s="41"/>
      <c r="AE558" s="40"/>
      <c r="AF558" s="42"/>
      <c r="AG558" s="5"/>
      <c r="AH558" s="5"/>
      <c r="AI558" s="40"/>
      <c r="AJ558" s="40"/>
      <c r="AK558" s="40"/>
      <c r="AL558" s="40"/>
      <c r="AM558" s="40"/>
      <c r="AO558" s="40"/>
    </row>
    <row r="559" spans="2:41" ht="12.75" customHeight="1" x14ac:dyDescent="0.25">
      <c r="B559" s="40"/>
      <c r="C559" s="40"/>
      <c r="D559" s="40"/>
      <c r="E559" s="40"/>
      <c r="F559" s="40"/>
      <c r="G559" s="40"/>
      <c r="H559" s="5"/>
      <c r="Q559" s="40"/>
      <c r="R559" s="40"/>
      <c r="S559" s="40"/>
      <c r="T559" s="40"/>
      <c r="U559" s="40"/>
      <c r="W559" s="40"/>
      <c r="X559" s="40"/>
      <c r="Y559" s="40"/>
      <c r="Z559" s="40"/>
      <c r="AA559" s="41"/>
      <c r="AB559" s="41"/>
      <c r="AC559" s="41"/>
      <c r="AD559" s="41"/>
      <c r="AE559" s="40"/>
      <c r="AF559" s="42"/>
      <c r="AG559" s="5"/>
      <c r="AH559" s="5"/>
      <c r="AI559" s="40"/>
      <c r="AJ559" s="40"/>
      <c r="AK559" s="40"/>
      <c r="AL559" s="40"/>
      <c r="AM559" s="40"/>
      <c r="AO559" s="40"/>
    </row>
    <row r="560" spans="2:41" ht="12.75" customHeight="1" x14ac:dyDescent="0.25">
      <c r="B560" s="40"/>
      <c r="C560" s="40"/>
      <c r="D560" s="40"/>
      <c r="E560" s="40"/>
      <c r="F560" s="40"/>
      <c r="G560" s="40"/>
      <c r="H560" s="5"/>
      <c r="Q560" s="40"/>
      <c r="R560" s="40"/>
      <c r="S560" s="40"/>
      <c r="T560" s="40"/>
      <c r="U560" s="40"/>
      <c r="W560" s="40"/>
      <c r="X560" s="40"/>
      <c r="Y560" s="40"/>
      <c r="Z560" s="40"/>
      <c r="AA560" s="41"/>
      <c r="AB560" s="41"/>
      <c r="AC560" s="41"/>
      <c r="AD560" s="41"/>
      <c r="AE560" s="40"/>
      <c r="AF560" s="42"/>
      <c r="AG560" s="5"/>
      <c r="AH560" s="5"/>
      <c r="AI560" s="40"/>
      <c r="AJ560" s="40"/>
      <c r="AK560" s="40"/>
      <c r="AL560" s="40"/>
      <c r="AM560" s="40"/>
      <c r="AO560" s="40"/>
    </row>
    <row r="561" spans="2:41" ht="12.75" customHeight="1" x14ac:dyDescent="0.25">
      <c r="B561" s="40"/>
      <c r="C561" s="40"/>
      <c r="D561" s="40"/>
      <c r="E561" s="40"/>
      <c r="F561" s="40"/>
      <c r="G561" s="40"/>
      <c r="H561" s="5"/>
      <c r="Q561" s="40"/>
      <c r="R561" s="40"/>
      <c r="S561" s="40"/>
      <c r="T561" s="40"/>
      <c r="U561" s="40"/>
      <c r="W561" s="40"/>
      <c r="X561" s="40"/>
      <c r="Y561" s="40"/>
      <c r="Z561" s="40"/>
      <c r="AA561" s="41"/>
      <c r="AB561" s="41"/>
      <c r="AC561" s="41"/>
      <c r="AD561" s="41"/>
      <c r="AE561" s="40"/>
      <c r="AF561" s="42"/>
      <c r="AG561" s="5"/>
      <c r="AH561" s="5"/>
      <c r="AI561" s="40"/>
      <c r="AJ561" s="40"/>
      <c r="AK561" s="40"/>
      <c r="AL561" s="40"/>
      <c r="AM561" s="40"/>
      <c r="AO561" s="40"/>
    </row>
    <row r="562" spans="2:41" ht="12.75" customHeight="1" x14ac:dyDescent="0.25">
      <c r="B562" s="40"/>
      <c r="C562" s="40"/>
      <c r="D562" s="40"/>
      <c r="E562" s="40"/>
      <c r="F562" s="40"/>
      <c r="G562" s="40"/>
      <c r="H562" s="5"/>
      <c r="Q562" s="40"/>
      <c r="R562" s="40"/>
      <c r="S562" s="40"/>
      <c r="T562" s="40"/>
      <c r="U562" s="40"/>
      <c r="W562" s="40"/>
      <c r="X562" s="40"/>
      <c r="Y562" s="40"/>
      <c r="Z562" s="40"/>
      <c r="AA562" s="41"/>
      <c r="AB562" s="41"/>
      <c r="AC562" s="41"/>
      <c r="AD562" s="41"/>
      <c r="AE562" s="40"/>
      <c r="AF562" s="42"/>
      <c r="AG562" s="5"/>
      <c r="AH562" s="5"/>
      <c r="AI562" s="40"/>
      <c r="AJ562" s="40"/>
      <c r="AK562" s="40"/>
      <c r="AL562" s="40"/>
      <c r="AM562" s="40"/>
      <c r="AO562" s="40"/>
    </row>
    <row r="563" spans="2:41" ht="12.75" customHeight="1" x14ac:dyDescent="0.25">
      <c r="B563" s="40"/>
      <c r="C563" s="40"/>
      <c r="D563" s="40"/>
      <c r="E563" s="40"/>
      <c r="F563" s="40"/>
      <c r="G563" s="40"/>
      <c r="H563" s="5"/>
      <c r="Q563" s="40"/>
      <c r="R563" s="40"/>
      <c r="S563" s="40"/>
      <c r="T563" s="40"/>
      <c r="U563" s="40"/>
      <c r="W563" s="40"/>
      <c r="X563" s="40"/>
      <c r="Y563" s="40"/>
      <c r="Z563" s="40"/>
      <c r="AA563" s="41"/>
      <c r="AB563" s="41"/>
      <c r="AC563" s="41"/>
      <c r="AD563" s="41"/>
      <c r="AE563" s="40"/>
      <c r="AF563" s="42"/>
      <c r="AG563" s="5"/>
      <c r="AH563" s="5"/>
      <c r="AI563" s="40"/>
      <c r="AJ563" s="40"/>
      <c r="AK563" s="40"/>
      <c r="AL563" s="40"/>
      <c r="AM563" s="40"/>
      <c r="AO563" s="40"/>
    </row>
    <row r="564" spans="2:41" ht="12.75" customHeight="1" x14ac:dyDescent="0.25">
      <c r="B564" s="40"/>
      <c r="C564" s="40"/>
      <c r="D564" s="40"/>
      <c r="E564" s="40"/>
      <c r="F564" s="40"/>
      <c r="G564" s="40"/>
      <c r="H564" s="5"/>
      <c r="Q564" s="40"/>
      <c r="R564" s="40"/>
      <c r="S564" s="40"/>
      <c r="T564" s="40"/>
      <c r="U564" s="40"/>
      <c r="W564" s="40"/>
      <c r="X564" s="40"/>
      <c r="Y564" s="40"/>
      <c r="Z564" s="40"/>
      <c r="AA564" s="41"/>
      <c r="AB564" s="41"/>
      <c r="AC564" s="41"/>
      <c r="AD564" s="41"/>
      <c r="AE564" s="40"/>
      <c r="AF564" s="42"/>
      <c r="AG564" s="5"/>
      <c r="AH564" s="5"/>
      <c r="AI564" s="40"/>
      <c r="AJ564" s="40"/>
      <c r="AK564" s="40"/>
      <c r="AL564" s="40"/>
      <c r="AM564" s="40"/>
      <c r="AO564" s="40"/>
    </row>
    <row r="565" spans="2:41" ht="12.75" customHeight="1" x14ac:dyDescent="0.25">
      <c r="B565" s="40"/>
      <c r="C565" s="40"/>
      <c r="D565" s="40"/>
      <c r="E565" s="40"/>
      <c r="F565" s="40"/>
      <c r="G565" s="40"/>
      <c r="H565" s="5"/>
      <c r="Q565" s="40"/>
      <c r="R565" s="40"/>
      <c r="S565" s="40"/>
      <c r="T565" s="40"/>
      <c r="U565" s="40"/>
      <c r="W565" s="40"/>
      <c r="X565" s="40"/>
      <c r="Y565" s="40"/>
      <c r="Z565" s="40"/>
      <c r="AA565" s="41"/>
      <c r="AB565" s="41"/>
      <c r="AC565" s="41"/>
      <c r="AD565" s="41"/>
      <c r="AE565" s="40"/>
      <c r="AF565" s="42"/>
      <c r="AG565" s="5"/>
      <c r="AH565" s="5"/>
      <c r="AI565" s="40"/>
      <c r="AJ565" s="40"/>
      <c r="AK565" s="40"/>
      <c r="AL565" s="40"/>
      <c r="AM565" s="40"/>
      <c r="AO565" s="40"/>
    </row>
    <row r="566" spans="2:41" ht="12.75" customHeight="1" x14ac:dyDescent="0.25">
      <c r="B566" s="40"/>
      <c r="C566" s="40"/>
      <c r="D566" s="40"/>
      <c r="E566" s="40"/>
      <c r="F566" s="40"/>
      <c r="G566" s="40"/>
      <c r="H566" s="5"/>
      <c r="Q566" s="40"/>
      <c r="R566" s="40"/>
      <c r="S566" s="40"/>
      <c r="T566" s="40"/>
      <c r="U566" s="40"/>
      <c r="W566" s="40"/>
      <c r="X566" s="40"/>
      <c r="Y566" s="40"/>
      <c r="Z566" s="40"/>
      <c r="AA566" s="41"/>
      <c r="AB566" s="41"/>
      <c r="AC566" s="41"/>
      <c r="AD566" s="41"/>
      <c r="AE566" s="40"/>
      <c r="AF566" s="42"/>
      <c r="AG566" s="5"/>
      <c r="AH566" s="5"/>
      <c r="AI566" s="40"/>
      <c r="AJ566" s="40"/>
      <c r="AK566" s="40"/>
      <c r="AL566" s="40"/>
      <c r="AM566" s="40"/>
      <c r="AO566" s="40"/>
    </row>
    <row r="567" spans="2:41" ht="12.75" customHeight="1" x14ac:dyDescent="0.25">
      <c r="B567" s="40"/>
      <c r="C567" s="40"/>
      <c r="D567" s="40"/>
      <c r="E567" s="40"/>
      <c r="F567" s="40"/>
      <c r="G567" s="40"/>
      <c r="H567" s="5"/>
      <c r="Q567" s="40"/>
      <c r="R567" s="40"/>
      <c r="S567" s="40"/>
      <c r="T567" s="40"/>
      <c r="U567" s="40"/>
      <c r="W567" s="40"/>
      <c r="X567" s="40"/>
      <c r="Y567" s="40"/>
      <c r="Z567" s="40"/>
      <c r="AA567" s="41"/>
      <c r="AB567" s="41"/>
      <c r="AC567" s="41"/>
      <c r="AD567" s="41"/>
      <c r="AE567" s="40"/>
      <c r="AF567" s="42"/>
      <c r="AG567" s="5"/>
      <c r="AH567" s="5"/>
      <c r="AI567" s="40"/>
      <c r="AJ567" s="40"/>
      <c r="AK567" s="40"/>
      <c r="AL567" s="40"/>
      <c r="AM567" s="40"/>
      <c r="AO567" s="40"/>
    </row>
    <row r="568" spans="2:41" ht="12.75" customHeight="1" x14ac:dyDescent="0.25">
      <c r="B568" s="40"/>
      <c r="C568" s="40"/>
      <c r="D568" s="40"/>
      <c r="E568" s="40"/>
      <c r="F568" s="40"/>
      <c r="G568" s="40"/>
      <c r="H568" s="5"/>
      <c r="Q568" s="40"/>
      <c r="R568" s="40"/>
      <c r="S568" s="40"/>
      <c r="T568" s="40"/>
      <c r="U568" s="40"/>
      <c r="W568" s="40"/>
      <c r="X568" s="40"/>
      <c r="Y568" s="40"/>
      <c r="Z568" s="40"/>
      <c r="AA568" s="41"/>
      <c r="AB568" s="41"/>
      <c r="AC568" s="41"/>
      <c r="AD568" s="41"/>
      <c r="AE568" s="40"/>
      <c r="AF568" s="42"/>
      <c r="AG568" s="5"/>
      <c r="AH568" s="5"/>
      <c r="AI568" s="40"/>
      <c r="AJ568" s="40"/>
      <c r="AK568" s="40"/>
      <c r="AL568" s="40"/>
      <c r="AM568" s="40"/>
      <c r="AO568" s="40"/>
    </row>
    <row r="569" spans="2:41" ht="12.75" customHeight="1" x14ac:dyDescent="0.25">
      <c r="B569" s="40"/>
      <c r="C569" s="40"/>
      <c r="D569" s="40"/>
      <c r="E569" s="40"/>
      <c r="F569" s="40"/>
      <c r="G569" s="40"/>
      <c r="H569" s="5"/>
      <c r="Q569" s="40"/>
      <c r="R569" s="40"/>
      <c r="S569" s="40"/>
      <c r="T569" s="40"/>
      <c r="U569" s="40"/>
      <c r="W569" s="40"/>
      <c r="X569" s="40"/>
      <c r="Y569" s="40"/>
      <c r="Z569" s="40"/>
      <c r="AA569" s="41"/>
      <c r="AB569" s="41"/>
      <c r="AC569" s="41"/>
      <c r="AD569" s="41"/>
      <c r="AE569" s="40"/>
      <c r="AF569" s="42"/>
      <c r="AG569" s="5"/>
      <c r="AH569" s="5"/>
      <c r="AI569" s="40"/>
      <c r="AJ569" s="40"/>
      <c r="AK569" s="40"/>
      <c r="AL569" s="40"/>
      <c r="AM569" s="40"/>
      <c r="AO569" s="40"/>
    </row>
    <row r="570" spans="2:41" ht="12.75" customHeight="1" x14ac:dyDescent="0.25">
      <c r="B570" s="40"/>
      <c r="C570" s="40"/>
      <c r="D570" s="40"/>
      <c r="E570" s="40"/>
      <c r="F570" s="40"/>
      <c r="G570" s="40"/>
      <c r="H570" s="5"/>
      <c r="Q570" s="40"/>
      <c r="R570" s="40"/>
      <c r="S570" s="40"/>
      <c r="T570" s="40"/>
      <c r="U570" s="40"/>
      <c r="W570" s="40"/>
      <c r="X570" s="40"/>
      <c r="Y570" s="40"/>
      <c r="Z570" s="40"/>
      <c r="AA570" s="41"/>
      <c r="AB570" s="41"/>
      <c r="AC570" s="41"/>
      <c r="AD570" s="41"/>
      <c r="AE570" s="40"/>
      <c r="AF570" s="42"/>
      <c r="AG570" s="5"/>
      <c r="AH570" s="5"/>
      <c r="AI570" s="40"/>
      <c r="AJ570" s="40"/>
      <c r="AK570" s="40"/>
      <c r="AL570" s="40"/>
      <c r="AM570" s="40"/>
      <c r="AO570" s="40"/>
    </row>
    <row r="571" spans="2:41" ht="12.75" customHeight="1" x14ac:dyDescent="0.25">
      <c r="B571" s="40"/>
      <c r="C571" s="40"/>
      <c r="D571" s="40"/>
      <c r="E571" s="40"/>
      <c r="F571" s="40"/>
      <c r="G571" s="40"/>
      <c r="H571" s="5"/>
      <c r="Q571" s="40"/>
      <c r="R571" s="40"/>
      <c r="S571" s="40"/>
      <c r="T571" s="40"/>
      <c r="U571" s="40"/>
      <c r="W571" s="40"/>
      <c r="X571" s="40"/>
      <c r="Y571" s="40"/>
      <c r="Z571" s="40"/>
      <c r="AA571" s="41"/>
      <c r="AB571" s="41"/>
      <c r="AC571" s="41"/>
      <c r="AD571" s="41"/>
      <c r="AE571" s="40"/>
      <c r="AF571" s="42"/>
      <c r="AG571" s="5"/>
      <c r="AH571" s="5"/>
      <c r="AI571" s="40"/>
      <c r="AJ571" s="40"/>
      <c r="AK571" s="40"/>
      <c r="AL571" s="40"/>
      <c r="AM571" s="40"/>
      <c r="AO571" s="40"/>
    </row>
    <row r="572" spans="2:41" ht="12.75" customHeight="1" x14ac:dyDescent="0.25">
      <c r="B572" s="40"/>
      <c r="C572" s="40"/>
      <c r="D572" s="40"/>
      <c r="E572" s="40"/>
      <c r="F572" s="40"/>
      <c r="G572" s="40"/>
      <c r="H572" s="5"/>
      <c r="Q572" s="40"/>
      <c r="R572" s="40"/>
      <c r="S572" s="40"/>
      <c r="T572" s="40"/>
      <c r="U572" s="40"/>
      <c r="W572" s="40"/>
      <c r="X572" s="40"/>
      <c r="Y572" s="40"/>
      <c r="Z572" s="40"/>
      <c r="AA572" s="41"/>
      <c r="AB572" s="41"/>
      <c r="AC572" s="41"/>
      <c r="AD572" s="41"/>
      <c r="AE572" s="40"/>
      <c r="AF572" s="42"/>
      <c r="AG572" s="5"/>
      <c r="AH572" s="5"/>
      <c r="AI572" s="40"/>
      <c r="AJ572" s="40"/>
      <c r="AK572" s="40"/>
      <c r="AL572" s="40"/>
      <c r="AM572" s="40"/>
      <c r="AO572" s="40"/>
    </row>
    <row r="573" spans="2:41" ht="12.75" customHeight="1" x14ac:dyDescent="0.25">
      <c r="B573" s="40"/>
      <c r="C573" s="40"/>
      <c r="D573" s="40"/>
      <c r="E573" s="40"/>
      <c r="F573" s="40"/>
      <c r="G573" s="40"/>
      <c r="H573" s="5"/>
      <c r="Q573" s="40"/>
      <c r="R573" s="40"/>
      <c r="S573" s="40"/>
      <c r="T573" s="40"/>
      <c r="U573" s="40"/>
      <c r="W573" s="40"/>
      <c r="X573" s="40"/>
      <c r="Y573" s="40"/>
      <c r="Z573" s="40"/>
      <c r="AA573" s="41"/>
      <c r="AB573" s="41"/>
      <c r="AC573" s="41"/>
      <c r="AD573" s="41"/>
      <c r="AE573" s="40"/>
      <c r="AF573" s="42"/>
      <c r="AG573" s="5"/>
      <c r="AH573" s="5"/>
      <c r="AI573" s="40"/>
      <c r="AJ573" s="40"/>
      <c r="AK573" s="40"/>
      <c r="AL573" s="40"/>
      <c r="AM573" s="40"/>
      <c r="AO573" s="40"/>
    </row>
    <row r="574" spans="2:41" ht="12.75" customHeight="1" x14ac:dyDescent="0.25">
      <c r="B574" s="40"/>
      <c r="C574" s="40"/>
      <c r="D574" s="40"/>
      <c r="E574" s="40"/>
      <c r="F574" s="40"/>
      <c r="G574" s="40"/>
      <c r="H574" s="5"/>
      <c r="Q574" s="40"/>
      <c r="R574" s="40"/>
      <c r="S574" s="40"/>
      <c r="T574" s="40"/>
      <c r="U574" s="40"/>
      <c r="W574" s="40"/>
      <c r="X574" s="40"/>
      <c r="Y574" s="40"/>
      <c r="Z574" s="40"/>
      <c r="AA574" s="41"/>
      <c r="AB574" s="41"/>
      <c r="AC574" s="41"/>
      <c r="AD574" s="41"/>
      <c r="AE574" s="40"/>
      <c r="AF574" s="42"/>
      <c r="AG574" s="5"/>
      <c r="AH574" s="5"/>
      <c r="AI574" s="40"/>
      <c r="AJ574" s="40"/>
      <c r="AK574" s="40"/>
      <c r="AL574" s="40"/>
      <c r="AM574" s="40"/>
      <c r="AO574" s="40"/>
    </row>
    <row r="575" spans="2:41" ht="12.75" customHeight="1" x14ac:dyDescent="0.25">
      <c r="B575" s="40"/>
      <c r="C575" s="40"/>
      <c r="D575" s="40"/>
      <c r="E575" s="40"/>
      <c r="F575" s="40"/>
      <c r="G575" s="40"/>
      <c r="H575" s="5"/>
      <c r="Q575" s="40"/>
      <c r="R575" s="40"/>
      <c r="S575" s="40"/>
      <c r="T575" s="40"/>
      <c r="U575" s="40"/>
      <c r="W575" s="40"/>
      <c r="X575" s="40"/>
      <c r="Y575" s="40"/>
      <c r="Z575" s="40"/>
      <c r="AA575" s="41"/>
      <c r="AB575" s="41"/>
      <c r="AC575" s="41"/>
      <c r="AD575" s="41"/>
      <c r="AE575" s="40"/>
      <c r="AF575" s="42"/>
      <c r="AG575" s="5"/>
      <c r="AH575" s="5"/>
      <c r="AI575" s="40"/>
      <c r="AJ575" s="40"/>
      <c r="AK575" s="40"/>
      <c r="AL575" s="40"/>
      <c r="AM575" s="40"/>
      <c r="AO575" s="40"/>
    </row>
    <row r="576" spans="2:41" ht="12.75" customHeight="1" x14ac:dyDescent="0.25">
      <c r="B576" s="40"/>
      <c r="C576" s="40"/>
      <c r="D576" s="40"/>
      <c r="E576" s="40"/>
      <c r="F576" s="40"/>
      <c r="G576" s="40"/>
      <c r="H576" s="5"/>
      <c r="Q576" s="40"/>
      <c r="R576" s="40"/>
      <c r="S576" s="40"/>
      <c r="T576" s="40"/>
      <c r="U576" s="40"/>
      <c r="W576" s="40"/>
      <c r="X576" s="40"/>
      <c r="Y576" s="40"/>
      <c r="Z576" s="40"/>
      <c r="AA576" s="41"/>
      <c r="AB576" s="41"/>
      <c r="AC576" s="41"/>
      <c r="AD576" s="41"/>
      <c r="AE576" s="40"/>
      <c r="AF576" s="42"/>
      <c r="AG576" s="5"/>
      <c r="AH576" s="5"/>
      <c r="AI576" s="40"/>
      <c r="AJ576" s="40"/>
      <c r="AK576" s="40"/>
      <c r="AL576" s="40"/>
      <c r="AM576" s="40"/>
      <c r="AO576" s="40"/>
    </row>
    <row r="577" spans="2:41" ht="12.75" customHeight="1" x14ac:dyDescent="0.25">
      <c r="B577" s="40"/>
      <c r="C577" s="40"/>
      <c r="D577" s="40"/>
      <c r="E577" s="40"/>
      <c r="F577" s="40"/>
      <c r="G577" s="40"/>
      <c r="H577" s="5"/>
      <c r="Q577" s="40"/>
      <c r="R577" s="40"/>
      <c r="S577" s="40"/>
      <c r="T577" s="40"/>
      <c r="U577" s="40"/>
      <c r="W577" s="40"/>
      <c r="X577" s="40"/>
      <c r="Y577" s="40"/>
      <c r="Z577" s="40"/>
      <c r="AA577" s="41"/>
      <c r="AB577" s="41"/>
      <c r="AC577" s="41"/>
      <c r="AD577" s="41"/>
      <c r="AE577" s="40"/>
      <c r="AF577" s="42"/>
      <c r="AG577" s="5"/>
      <c r="AH577" s="5"/>
      <c r="AI577" s="40"/>
      <c r="AJ577" s="40"/>
      <c r="AK577" s="40"/>
      <c r="AL577" s="40"/>
      <c r="AM577" s="40"/>
      <c r="AO577" s="40"/>
    </row>
    <row r="578" spans="2:41" ht="12.75" customHeight="1" x14ac:dyDescent="0.25">
      <c r="B578" s="40"/>
      <c r="C578" s="40"/>
      <c r="D578" s="40"/>
      <c r="E578" s="40"/>
      <c r="F578" s="40"/>
      <c r="G578" s="40"/>
      <c r="H578" s="5"/>
      <c r="Q578" s="40"/>
      <c r="R578" s="40"/>
      <c r="S578" s="40"/>
      <c r="T578" s="40"/>
      <c r="U578" s="40"/>
      <c r="W578" s="40"/>
      <c r="X578" s="40"/>
      <c r="Y578" s="40"/>
      <c r="Z578" s="40"/>
      <c r="AA578" s="41"/>
      <c r="AB578" s="41"/>
      <c r="AC578" s="41"/>
      <c r="AD578" s="41"/>
      <c r="AE578" s="40"/>
      <c r="AF578" s="42"/>
      <c r="AG578" s="5"/>
      <c r="AH578" s="5"/>
      <c r="AI578" s="40"/>
      <c r="AJ578" s="40"/>
      <c r="AK578" s="40"/>
      <c r="AL578" s="40"/>
      <c r="AM578" s="40"/>
      <c r="AO578" s="40"/>
    </row>
    <row r="579" spans="2:41" ht="12.75" customHeight="1" x14ac:dyDescent="0.25">
      <c r="B579" s="40"/>
      <c r="C579" s="40"/>
      <c r="D579" s="40"/>
      <c r="E579" s="40"/>
      <c r="F579" s="40"/>
      <c r="G579" s="40"/>
      <c r="H579" s="5"/>
      <c r="Q579" s="40"/>
      <c r="R579" s="40"/>
      <c r="S579" s="40"/>
      <c r="T579" s="40"/>
      <c r="U579" s="40"/>
      <c r="W579" s="40"/>
      <c r="X579" s="40"/>
      <c r="Y579" s="40"/>
      <c r="Z579" s="40"/>
      <c r="AA579" s="41"/>
      <c r="AB579" s="41"/>
      <c r="AC579" s="41"/>
      <c r="AD579" s="41"/>
      <c r="AE579" s="40"/>
      <c r="AF579" s="42"/>
      <c r="AG579" s="5"/>
      <c r="AH579" s="5"/>
      <c r="AI579" s="40"/>
      <c r="AJ579" s="40"/>
      <c r="AK579" s="40"/>
      <c r="AL579" s="40"/>
      <c r="AM579" s="40"/>
      <c r="AO579" s="40"/>
    </row>
    <row r="580" spans="2:41" ht="12.75" customHeight="1" x14ac:dyDescent="0.25">
      <c r="B580" s="40"/>
      <c r="C580" s="40"/>
      <c r="D580" s="40"/>
      <c r="E580" s="40"/>
      <c r="F580" s="40"/>
      <c r="G580" s="40"/>
      <c r="H580" s="5"/>
      <c r="Q580" s="40"/>
      <c r="R580" s="40"/>
      <c r="S580" s="40"/>
      <c r="T580" s="40"/>
      <c r="U580" s="40"/>
      <c r="W580" s="40"/>
      <c r="X580" s="40"/>
      <c r="Y580" s="40"/>
      <c r="Z580" s="40"/>
      <c r="AA580" s="41"/>
      <c r="AB580" s="41"/>
      <c r="AC580" s="41"/>
      <c r="AD580" s="41"/>
      <c r="AE580" s="40"/>
      <c r="AF580" s="42"/>
      <c r="AG580" s="5"/>
      <c r="AH580" s="5"/>
      <c r="AI580" s="40"/>
      <c r="AJ580" s="40"/>
      <c r="AK580" s="40"/>
      <c r="AL580" s="40"/>
      <c r="AM580" s="40"/>
      <c r="AO580" s="40"/>
    </row>
    <row r="581" spans="2:41" ht="12.75" customHeight="1" x14ac:dyDescent="0.25">
      <c r="B581" s="40"/>
      <c r="C581" s="40"/>
      <c r="D581" s="40"/>
      <c r="E581" s="40"/>
      <c r="F581" s="40"/>
      <c r="G581" s="40"/>
      <c r="H581" s="5"/>
      <c r="Q581" s="40"/>
      <c r="R581" s="40"/>
      <c r="S581" s="40"/>
      <c r="T581" s="40"/>
      <c r="U581" s="40"/>
      <c r="W581" s="40"/>
      <c r="X581" s="40"/>
      <c r="Y581" s="40"/>
      <c r="Z581" s="40"/>
      <c r="AA581" s="41"/>
      <c r="AB581" s="41"/>
      <c r="AC581" s="41"/>
      <c r="AD581" s="41"/>
      <c r="AE581" s="40"/>
      <c r="AF581" s="42"/>
      <c r="AG581" s="5"/>
      <c r="AH581" s="5"/>
      <c r="AI581" s="40"/>
      <c r="AJ581" s="40"/>
      <c r="AK581" s="40"/>
      <c r="AL581" s="40"/>
      <c r="AM581" s="40"/>
      <c r="AO581" s="40"/>
    </row>
    <row r="582" spans="2:41" ht="12.75" customHeight="1" x14ac:dyDescent="0.25">
      <c r="B582" s="40"/>
      <c r="C582" s="40"/>
      <c r="D582" s="40"/>
      <c r="E582" s="40"/>
      <c r="F582" s="40"/>
      <c r="G582" s="40"/>
      <c r="H582" s="5"/>
      <c r="Q582" s="40"/>
      <c r="R582" s="40"/>
      <c r="S582" s="40"/>
      <c r="T582" s="40"/>
      <c r="U582" s="40"/>
      <c r="W582" s="40"/>
      <c r="X582" s="40"/>
      <c r="Y582" s="40"/>
      <c r="Z582" s="40"/>
      <c r="AA582" s="41"/>
      <c r="AB582" s="41"/>
      <c r="AC582" s="41"/>
      <c r="AD582" s="41"/>
      <c r="AE582" s="40"/>
      <c r="AF582" s="42"/>
      <c r="AG582" s="5"/>
      <c r="AH582" s="5"/>
      <c r="AI582" s="40"/>
      <c r="AJ582" s="40"/>
      <c r="AK582" s="40"/>
      <c r="AL582" s="40"/>
      <c r="AM582" s="40"/>
      <c r="AO582" s="40"/>
    </row>
    <row r="583" spans="2:41" ht="12.75" customHeight="1" x14ac:dyDescent="0.25">
      <c r="B583" s="40"/>
      <c r="C583" s="40"/>
      <c r="D583" s="40"/>
      <c r="E583" s="40"/>
      <c r="F583" s="40"/>
      <c r="G583" s="40"/>
      <c r="H583" s="5"/>
      <c r="Q583" s="40"/>
      <c r="R583" s="40"/>
      <c r="S583" s="40"/>
      <c r="T583" s="40"/>
      <c r="U583" s="40"/>
      <c r="W583" s="40"/>
      <c r="X583" s="40"/>
      <c r="Y583" s="40"/>
      <c r="Z583" s="40"/>
      <c r="AA583" s="41"/>
      <c r="AB583" s="41"/>
      <c r="AC583" s="41"/>
      <c r="AD583" s="41"/>
      <c r="AE583" s="40"/>
      <c r="AF583" s="42"/>
      <c r="AG583" s="5"/>
      <c r="AH583" s="5"/>
      <c r="AI583" s="40"/>
      <c r="AJ583" s="40"/>
      <c r="AK583" s="40"/>
      <c r="AL583" s="40"/>
      <c r="AM583" s="40"/>
      <c r="AO583" s="40"/>
    </row>
    <row r="584" spans="2:41" ht="12.75" customHeight="1" x14ac:dyDescent="0.25">
      <c r="B584" s="40"/>
      <c r="C584" s="40"/>
      <c r="D584" s="40"/>
      <c r="E584" s="40"/>
      <c r="F584" s="40"/>
      <c r="G584" s="40"/>
      <c r="H584" s="5"/>
      <c r="Q584" s="40"/>
      <c r="R584" s="40"/>
      <c r="S584" s="40"/>
      <c r="T584" s="40"/>
      <c r="U584" s="40"/>
      <c r="W584" s="40"/>
      <c r="X584" s="40"/>
      <c r="Y584" s="40"/>
      <c r="Z584" s="40"/>
      <c r="AA584" s="41"/>
      <c r="AB584" s="41"/>
      <c r="AC584" s="41"/>
      <c r="AD584" s="41"/>
      <c r="AE584" s="40"/>
      <c r="AF584" s="42"/>
      <c r="AG584" s="5"/>
      <c r="AH584" s="5"/>
      <c r="AI584" s="40"/>
      <c r="AJ584" s="40"/>
      <c r="AK584" s="40"/>
      <c r="AL584" s="40"/>
      <c r="AM584" s="40"/>
      <c r="AO584" s="40"/>
    </row>
    <row r="585" spans="2:41" ht="12.75" customHeight="1" x14ac:dyDescent="0.25">
      <c r="B585" s="40"/>
      <c r="C585" s="40"/>
      <c r="D585" s="40"/>
      <c r="E585" s="40"/>
      <c r="F585" s="40"/>
      <c r="G585" s="40"/>
      <c r="H585" s="5"/>
      <c r="Q585" s="40"/>
      <c r="R585" s="40"/>
      <c r="S585" s="40"/>
      <c r="T585" s="40"/>
      <c r="U585" s="40"/>
      <c r="W585" s="40"/>
      <c r="X585" s="40"/>
      <c r="Y585" s="40"/>
      <c r="Z585" s="40"/>
      <c r="AA585" s="41"/>
      <c r="AB585" s="41"/>
      <c r="AC585" s="41"/>
      <c r="AD585" s="41"/>
      <c r="AE585" s="40"/>
      <c r="AF585" s="42"/>
      <c r="AG585" s="5"/>
      <c r="AH585" s="5"/>
      <c r="AI585" s="40"/>
      <c r="AJ585" s="40"/>
      <c r="AK585" s="40"/>
      <c r="AL585" s="40"/>
      <c r="AM585" s="40"/>
      <c r="AO585" s="40"/>
    </row>
    <row r="586" spans="2:41" ht="12.75" customHeight="1" x14ac:dyDescent="0.25">
      <c r="B586" s="40"/>
      <c r="C586" s="40"/>
      <c r="D586" s="40"/>
      <c r="E586" s="40"/>
      <c r="F586" s="40"/>
      <c r="G586" s="40"/>
      <c r="H586" s="5"/>
      <c r="Q586" s="40"/>
      <c r="R586" s="40"/>
      <c r="S586" s="40"/>
      <c r="T586" s="40"/>
      <c r="U586" s="40"/>
      <c r="W586" s="40"/>
      <c r="X586" s="40"/>
      <c r="Y586" s="40"/>
      <c r="Z586" s="40"/>
      <c r="AA586" s="41"/>
      <c r="AB586" s="41"/>
      <c r="AC586" s="41"/>
      <c r="AD586" s="41"/>
      <c r="AE586" s="40"/>
      <c r="AF586" s="42"/>
      <c r="AG586" s="5"/>
      <c r="AH586" s="5"/>
      <c r="AI586" s="40"/>
      <c r="AJ586" s="40"/>
      <c r="AK586" s="40"/>
      <c r="AL586" s="40"/>
      <c r="AM586" s="40"/>
      <c r="AO586" s="40"/>
    </row>
    <row r="587" spans="2:41" ht="12.75" customHeight="1" x14ac:dyDescent="0.25">
      <c r="B587" s="40"/>
      <c r="C587" s="40"/>
      <c r="D587" s="40"/>
      <c r="E587" s="40"/>
      <c r="F587" s="40"/>
      <c r="G587" s="40"/>
      <c r="H587" s="5"/>
      <c r="Q587" s="40"/>
      <c r="R587" s="40"/>
      <c r="S587" s="40"/>
      <c r="T587" s="40"/>
      <c r="U587" s="40"/>
      <c r="W587" s="40"/>
      <c r="X587" s="40"/>
      <c r="Y587" s="40"/>
      <c r="Z587" s="40"/>
      <c r="AA587" s="41"/>
      <c r="AB587" s="41"/>
      <c r="AC587" s="41"/>
      <c r="AD587" s="41"/>
      <c r="AE587" s="40"/>
      <c r="AF587" s="42"/>
      <c r="AG587" s="5"/>
      <c r="AH587" s="5"/>
      <c r="AI587" s="40"/>
      <c r="AJ587" s="40"/>
      <c r="AK587" s="40"/>
      <c r="AL587" s="40"/>
      <c r="AM587" s="40"/>
      <c r="AO587" s="40"/>
    </row>
    <row r="588" spans="2:41" ht="12.75" customHeight="1" x14ac:dyDescent="0.25">
      <c r="B588" s="40"/>
      <c r="C588" s="40"/>
      <c r="D588" s="40"/>
      <c r="E588" s="40"/>
      <c r="F588" s="40"/>
      <c r="G588" s="40"/>
      <c r="H588" s="5"/>
      <c r="Q588" s="40"/>
      <c r="R588" s="40"/>
      <c r="S588" s="40"/>
      <c r="T588" s="40"/>
      <c r="U588" s="40"/>
      <c r="W588" s="40"/>
      <c r="X588" s="40"/>
      <c r="Y588" s="40"/>
      <c r="Z588" s="40"/>
      <c r="AA588" s="41"/>
      <c r="AB588" s="41"/>
      <c r="AC588" s="41"/>
      <c r="AD588" s="41"/>
      <c r="AE588" s="40"/>
      <c r="AF588" s="42"/>
      <c r="AG588" s="5"/>
      <c r="AH588" s="5"/>
      <c r="AI588" s="40"/>
      <c r="AJ588" s="40"/>
      <c r="AK588" s="40"/>
      <c r="AL588" s="40"/>
      <c r="AM588" s="40"/>
      <c r="AO588" s="40"/>
    </row>
    <row r="589" spans="2:41" ht="12.75" customHeight="1" x14ac:dyDescent="0.25">
      <c r="B589" s="40"/>
      <c r="C589" s="40"/>
      <c r="D589" s="40"/>
      <c r="E589" s="40"/>
      <c r="F589" s="40"/>
      <c r="G589" s="40"/>
      <c r="H589" s="5"/>
      <c r="Q589" s="40"/>
      <c r="R589" s="40"/>
      <c r="S589" s="40"/>
      <c r="T589" s="40"/>
      <c r="U589" s="40"/>
      <c r="W589" s="40"/>
      <c r="X589" s="40"/>
      <c r="Y589" s="40"/>
      <c r="Z589" s="40"/>
      <c r="AA589" s="41"/>
      <c r="AB589" s="41"/>
      <c r="AC589" s="41"/>
      <c r="AD589" s="41"/>
      <c r="AE589" s="40"/>
      <c r="AF589" s="42"/>
      <c r="AG589" s="5"/>
      <c r="AH589" s="5"/>
      <c r="AI589" s="40"/>
      <c r="AJ589" s="40"/>
      <c r="AK589" s="40"/>
      <c r="AL589" s="40"/>
      <c r="AM589" s="40"/>
      <c r="AO589" s="40"/>
    </row>
    <row r="590" spans="2:41" ht="12.75" customHeight="1" x14ac:dyDescent="0.25">
      <c r="B590" s="40"/>
      <c r="C590" s="40"/>
      <c r="D590" s="40"/>
      <c r="E590" s="40"/>
      <c r="F590" s="40"/>
      <c r="G590" s="40"/>
      <c r="H590" s="5"/>
      <c r="Q590" s="40"/>
      <c r="R590" s="40"/>
      <c r="S590" s="40"/>
      <c r="T590" s="40"/>
      <c r="U590" s="40"/>
      <c r="W590" s="40"/>
      <c r="X590" s="40"/>
      <c r="Y590" s="40"/>
      <c r="Z590" s="40"/>
      <c r="AA590" s="41"/>
      <c r="AB590" s="41"/>
      <c r="AC590" s="41"/>
      <c r="AD590" s="41"/>
      <c r="AE590" s="40"/>
      <c r="AF590" s="42"/>
      <c r="AG590" s="5"/>
      <c r="AH590" s="5"/>
      <c r="AI590" s="40"/>
      <c r="AJ590" s="40"/>
      <c r="AK590" s="40"/>
      <c r="AL590" s="40"/>
      <c r="AM590" s="40"/>
      <c r="AO590" s="40"/>
    </row>
    <row r="591" spans="2:41" ht="12.75" customHeight="1" x14ac:dyDescent="0.25">
      <c r="B591" s="40"/>
      <c r="C591" s="40"/>
      <c r="D591" s="40"/>
      <c r="E591" s="40"/>
      <c r="F591" s="40"/>
      <c r="G591" s="40"/>
      <c r="H591" s="5"/>
      <c r="Q591" s="40"/>
      <c r="R591" s="40"/>
      <c r="S591" s="40"/>
      <c r="T591" s="40"/>
      <c r="U591" s="40"/>
      <c r="W591" s="40"/>
      <c r="X591" s="40"/>
      <c r="Y591" s="40"/>
      <c r="Z591" s="40"/>
      <c r="AA591" s="41"/>
      <c r="AB591" s="41"/>
      <c r="AC591" s="41"/>
      <c r="AD591" s="41"/>
      <c r="AE591" s="40"/>
      <c r="AF591" s="42"/>
      <c r="AG591" s="5"/>
      <c r="AH591" s="5"/>
      <c r="AI591" s="40"/>
      <c r="AJ591" s="40"/>
      <c r="AK591" s="40"/>
      <c r="AL591" s="40"/>
      <c r="AM591" s="40"/>
      <c r="AO591" s="40"/>
    </row>
    <row r="592" spans="2:41" ht="12.75" customHeight="1" x14ac:dyDescent="0.25">
      <c r="B592" s="40"/>
      <c r="C592" s="40"/>
      <c r="D592" s="40"/>
      <c r="E592" s="40"/>
      <c r="F592" s="40"/>
      <c r="G592" s="40"/>
      <c r="H592" s="5"/>
      <c r="Q592" s="40"/>
      <c r="R592" s="40"/>
      <c r="S592" s="40"/>
      <c r="T592" s="40"/>
      <c r="U592" s="40"/>
      <c r="W592" s="40"/>
      <c r="X592" s="40"/>
      <c r="Y592" s="40"/>
      <c r="Z592" s="40"/>
      <c r="AA592" s="41"/>
      <c r="AB592" s="41"/>
      <c r="AC592" s="41"/>
      <c r="AD592" s="41"/>
      <c r="AE592" s="40"/>
      <c r="AF592" s="42"/>
      <c r="AG592" s="5"/>
      <c r="AH592" s="5"/>
      <c r="AI592" s="40"/>
      <c r="AJ592" s="40"/>
      <c r="AK592" s="40"/>
      <c r="AL592" s="40"/>
      <c r="AM592" s="40"/>
      <c r="AO592" s="40"/>
    </row>
    <row r="593" spans="2:41" ht="12.75" customHeight="1" x14ac:dyDescent="0.25">
      <c r="B593" s="40"/>
      <c r="C593" s="40"/>
      <c r="D593" s="40"/>
      <c r="E593" s="40"/>
      <c r="F593" s="40"/>
      <c r="G593" s="40"/>
      <c r="H593" s="5"/>
      <c r="Q593" s="40"/>
      <c r="R593" s="40"/>
      <c r="S593" s="40"/>
      <c r="T593" s="40"/>
      <c r="U593" s="40"/>
      <c r="W593" s="40"/>
      <c r="X593" s="40"/>
      <c r="Y593" s="40"/>
      <c r="Z593" s="40"/>
      <c r="AA593" s="41"/>
      <c r="AB593" s="41"/>
      <c r="AC593" s="41"/>
      <c r="AD593" s="41"/>
      <c r="AE593" s="40"/>
      <c r="AF593" s="42"/>
      <c r="AG593" s="5"/>
      <c r="AH593" s="5"/>
      <c r="AI593" s="40"/>
      <c r="AJ593" s="40"/>
      <c r="AK593" s="40"/>
      <c r="AL593" s="40"/>
      <c r="AM593" s="40"/>
      <c r="AO593" s="40"/>
    </row>
    <row r="594" spans="2:41" ht="12.75" customHeight="1" x14ac:dyDescent="0.25">
      <c r="B594" s="40"/>
      <c r="C594" s="40"/>
      <c r="D594" s="40"/>
      <c r="E594" s="40"/>
      <c r="F594" s="40"/>
      <c r="G594" s="40"/>
      <c r="H594" s="5"/>
      <c r="Q594" s="40"/>
      <c r="R594" s="40"/>
      <c r="S594" s="40"/>
      <c r="T594" s="40"/>
      <c r="U594" s="40"/>
      <c r="W594" s="40"/>
      <c r="X594" s="40"/>
      <c r="Y594" s="40"/>
      <c r="Z594" s="40"/>
      <c r="AA594" s="41"/>
      <c r="AB594" s="41"/>
      <c r="AC594" s="41"/>
      <c r="AD594" s="41"/>
      <c r="AE594" s="40"/>
      <c r="AF594" s="42"/>
      <c r="AG594" s="5"/>
      <c r="AH594" s="5"/>
      <c r="AI594" s="40"/>
      <c r="AJ594" s="40"/>
      <c r="AK594" s="40"/>
      <c r="AL594" s="40"/>
      <c r="AM594" s="40"/>
      <c r="AO594" s="40"/>
    </row>
    <row r="595" spans="2:41" ht="12.75" customHeight="1" x14ac:dyDescent="0.25">
      <c r="B595" s="40"/>
      <c r="C595" s="40"/>
      <c r="D595" s="40"/>
      <c r="E595" s="40"/>
      <c r="F595" s="40"/>
      <c r="G595" s="40"/>
      <c r="H595" s="5"/>
      <c r="Q595" s="40"/>
      <c r="R595" s="40"/>
      <c r="S595" s="40"/>
      <c r="T595" s="40"/>
      <c r="U595" s="40"/>
      <c r="W595" s="40"/>
      <c r="X595" s="40"/>
      <c r="Y595" s="40"/>
      <c r="Z595" s="40"/>
      <c r="AA595" s="41"/>
      <c r="AB595" s="41"/>
      <c r="AC595" s="41"/>
      <c r="AD595" s="41"/>
      <c r="AE595" s="40"/>
      <c r="AF595" s="42"/>
      <c r="AG595" s="5"/>
      <c r="AH595" s="5"/>
      <c r="AI595" s="40"/>
      <c r="AJ595" s="40"/>
      <c r="AK595" s="40"/>
      <c r="AL595" s="40"/>
      <c r="AM595" s="40"/>
      <c r="AO595" s="40"/>
    </row>
    <row r="596" spans="2:41" ht="12.75" customHeight="1" x14ac:dyDescent="0.25">
      <c r="B596" s="40"/>
      <c r="C596" s="40"/>
      <c r="D596" s="40"/>
      <c r="E596" s="40"/>
      <c r="F596" s="40"/>
      <c r="G596" s="40"/>
      <c r="H596" s="5"/>
      <c r="Q596" s="40"/>
      <c r="R596" s="40"/>
      <c r="S596" s="40"/>
      <c r="T596" s="40"/>
      <c r="U596" s="40"/>
      <c r="W596" s="40"/>
      <c r="X596" s="40"/>
      <c r="Y596" s="40"/>
      <c r="Z596" s="40"/>
      <c r="AA596" s="41"/>
      <c r="AB596" s="41"/>
      <c r="AC596" s="41"/>
      <c r="AD596" s="41"/>
      <c r="AE596" s="40"/>
      <c r="AF596" s="42"/>
      <c r="AG596" s="5"/>
      <c r="AH596" s="5"/>
      <c r="AI596" s="40"/>
      <c r="AJ596" s="40"/>
      <c r="AK596" s="40"/>
      <c r="AL596" s="40"/>
      <c r="AM596" s="40"/>
      <c r="AO596" s="40"/>
    </row>
    <row r="597" spans="2:41" ht="12.75" customHeight="1" x14ac:dyDescent="0.25">
      <c r="B597" s="40"/>
      <c r="C597" s="40"/>
      <c r="D597" s="40"/>
      <c r="E597" s="40"/>
      <c r="F597" s="40"/>
      <c r="G597" s="40"/>
      <c r="H597" s="5"/>
      <c r="Q597" s="40"/>
      <c r="R597" s="40"/>
      <c r="S597" s="40"/>
      <c r="T597" s="40"/>
      <c r="U597" s="40"/>
      <c r="W597" s="40"/>
      <c r="X597" s="40"/>
      <c r="Y597" s="40"/>
      <c r="Z597" s="40"/>
      <c r="AA597" s="41"/>
      <c r="AB597" s="41"/>
      <c r="AC597" s="41"/>
      <c r="AD597" s="41"/>
      <c r="AE597" s="40"/>
      <c r="AF597" s="42"/>
      <c r="AG597" s="5"/>
      <c r="AH597" s="5"/>
      <c r="AI597" s="40"/>
      <c r="AJ597" s="40"/>
      <c r="AK597" s="40"/>
      <c r="AL597" s="40"/>
      <c r="AM597" s="40"/>
      <c r="AO597" s="40"/>
    </row>
    <row r="598" spans="2:41" ht="12.75" customHeight="1" x14ac:dyDescent="0.25">
      <c r="B598" s="40"/>
      <c r="C598" s="40"/>
      <c r="D598" s="40"/>
      <c r="E598" s="40"/>
      <c r="F598" s="40"/>
      <c r="G598" s="40"/>
      <c r="H598" s="5"/>
      <c r="Q598" s="40"/>
      <c r="R598" s="40"/>
      <c r="S598" s="40"/>
      <c r="T598" s="40"/>
      <c r="U598" s="40"/>
      <c r="W598" s="40"/>
      <c r="X598" s="40"/>
      <c r="Y598" s="40"/>
      <c r="Z598" s="40"/>
      <c r="AA598" s="41"/>
      <c r="AB598" s="41"/>
      <c r="AC598" s="41"/>
      <c r="AD598" s="41"/>
      <c r="AE598" s="40"/>
      <c r="AF598" s="42"/>
      <c r="AG598" s="5"/>
      <c r="AH598" s="5"/>
      <c r="AI598" s="40"/>
      <c r="AJ598" s="40"/>
      <c r="AK598" s="40"/>
      <c r="AL598" s="40"/>
      <c r="AM598" s="40"/>
      <c r="AO598" s="40"/>
    </row>
    <row r="599" spans="2:41" ht="12.75" customHeight="1" x14ac:dyDescent="0.25">
      <c r="B599" s="40"/>
      <c r="C599" s="40"/>
      <c r="D599" s="40"/>
      <c r="E599" s="40"/>
      <c r="F599" s="40"/>
      <c r="G599" s="40"/>
      <c r="H599" s="5"/>
      <c r="Q599" s="40"/>
      <c r="R599" s="40"/>
      <c r="S599" s="40"/>
      <c r="T599" s="40"/>
      <c r="U599" s="40"/>
      <c r="W599" s="40"/>
      <c r="X599" s="40"/>
      <c r="Y599" s="40"/>
      <c r="Z599" s="40"/>
      <c r="AA599" s="41"/>
      <c r="AB599" s="41"/>
      <c r="AC599" s="41"/>
      <c r="AD599" s="41"/>
      <c r="AE599" s="40"/>
      <c r="AF599" s="42"/>
      <c r="AG599" s="5"/>
      <c r="AH599" s="5"/>
      <c r="AI599" s="40"/>
      <c r="AJ599" s="40"/>
      <c r="AK599" s="40"/>
      <c r="AL599" s="40"/>
      <c r="AM599" s="40"/>
      <c r="AO599" s="40"/>
    </row>
    <row r="600" spans="2:41" ht="12.75" customHeight="1" x14ac:dyDescent="0.25">
      <c r="B600" s="40"/>
      <c r="C600" s="40"/>
      <c r="D600" s="40"/>
      <c r="E600" s="40"/>
      <c r="F600" s="40"/>
      <c r="G600" s="40"/>
      <c r="H600" s="5"/>
      <c r="Q600" s="40"/>
      <c r="R600" s="40"/>
      <c r="S600" s="40"/>
      <c r="T600" s="40"/>
      <c r="U600" s="40"/>
      <c r="W600" s="40"/>
      <c r="X600" s="40"/>
      <c r="Y600" s="40"/>
      <c r="Z600" s="40"/>
      <c r="AA600" s="41"/>
      <c r="AB600" s="41"/>
      <c r="AC600" s="41"/>
      <c r="AD600" s="41"/>
      <c r="AE600" s="40"/>
      <c r="AF600" s="42"/>
      <c r="AG600" s="5"/>
      <c r="AH600" s="5"/>
      <c r="AI600" s="40"/>
      <c r="AJ600" s="40"/>
      <c r="AK600" s="40"/>
      <c r="AL600" s="40"/>
      <c r="AM600" s="40"/>
      <c r="AO600" s="40"/>
    </row>
    <row r="601" spans="2:41" ht="12.75" customHeight="1" x14ac:dyDescent="0.25">
      <c r="B601" s="40"/>
      <c r="C601" s="40"/>
      <c r="D601" s="40"/>
      <c r="E601" s="40"/>
      <c r="F601" s="40"/>
      <c r="G601" s="40"/>
      <c r="H601" s="5"/>
      <c r="Q601" s="40"/>
      <c r="R601" s="40"/>
      <c r="S601" s="40"/>
      <c r="T601" s="40"/>
      <c r="U601" s="40"/>
      <c r="W601" s="40"/>
      <c r="X601" s="40"/>
      <c r="Y601" s="40"/>
      <c r="Z601" s="40"/>
      <c r="AA601" s="41"/>
      <c r="AB601" s="41"/>
      <c r="AC601" s="41"/>
      <c r="AD601" s="41"/>
      <c r="AE601" s="40"/>
      <c r="AF601" s="42"/>
      <c r="AG601" s="5"/>
      <c r="AH601" s="5"/>
      <c r="AI601" s="40"/>
      <c r="AJ601" s="40"/>
      <c r="AK601" s="40"/>
      <c r="AL601" s="40"/>
      <c r="AM601" s="40"/>
      <c r="AO601" s="40"/>
    </row>
    <row r="602" spans="2:41" ht="12.75" customHeight="1" x14ac:dyDescent="0.25">
      <c r="B602" s="40"/>
      <c r="C602" s="40"/>
      <c r="D602" s="40"/>
      <c r="E602" s="40"/>
      <c r="F602" s="40"/>
      <c r="G602" s="40"/>
      <c r="H602" s="5"/>
      <c r="Q602" s="40"/>
      <c r="R602" s="40"/>
      <c r="S602" s="40"/>
      <c r="T602" s="40"/>
      <c r="U602" s="40"/>
      <c r="W602" s="40"/>
      <c r="X602" s="40"/>
      <c r="Y602" s="40"/>
      <c r="Z602" s="40"/>
      <c r="AA602" s="41"/>
      <c r="AB602" s="41"/>
      <c r="AC602" s="41"/>
      <c r="AD602" s="41"/>
      <c r="AE602" s="40"/>
      <c r="AF602" s="42"/>
      <c r="AG602" s="5"/>
      <c r="AH602" s="5"/>
      <c r="AI602" s="40"/>
      <c r="AJ602" s="40"/>
      <c r="AK602" s="40"/>
      <c r="AL602" s="40"/>
      <c r="AM602" s="40"/>
      <c r="AO602" s="40"/>
    </row>
    <row r="603" spans="2:41" ht="12.75" customHeight="1" x14ac:dyDescent="0.25">
      <c r="B603" s="40"/>
      <c r="C603" s="40"/>
      <c r="D603" s="40"/>
      <c r="E603" s="40"/>
      <c r="F603" s="40"/>
      <c r="G603" s="40"/>
      <c r="H603" s="5"/>
      <c r="Q603" s="40"/>
      <c r="R603" s="40"/>
      <c r="S603" s="40"/>
      <c r="T603" s="40"/>
      <c r="U603" s="40"/>
      <c r="W603" s="40"/>
      <c r="X603" s="40"/>
      <c r="Y603" s="40"/>
      <c r="Z603" s="40"/>
      <c r="AA603" s="41"/>
      <c r="AB603" s="41"/>
      <c r="AC603" s="41"/>
      <c r="AD603" s="41"/>
      <c r="AE603" s="40"/>
      <c r="AF603" s="42"/>
      <c r="AG603" s="5"/>
      <c r="AH603" s="5"/>
      <c r="AI603" s="40"/>
      <c r="AJ603" s="40"/>
      <c r="AK603" s="40"/>
      <c r="AL603" s="40"/>
      <c r="AM603" s="40"/>
      <c r="AO603" s="40"/>
    </row>
    <row r="604" spans="2:41" ht="12.75" customHeight="1" x14ac:dyDescent="0.25">
      <c r="B604" s="40"/>
      <c r="C604" s="40"/>
      <c r="D604" s="40"/>
      <c r="E604" s="40"/>
      <c r="F604" s="40"/>
      <c r="G604" s="40"/>
      <c r="H604" s="5"/>
      <c r="Q604" s="40"/>
      <c r="R604" s="40"/>
      <c r="S604" s="40"/>
      <c r="T604" s="40"/>
      <c r="U604" s="40"/>
      <c r="W604" s="40"/>
      <c r="X604" s="40"/>
      <c r="Y604" s="40"/>
      <c r="Z604" s="40"/>
      <c r="AA604" s="41"/>
      <c r="AB604" s="41"/>
      <c r="AC604" s="41"/>
      <c r="AD604" s="41"/>
      <c r="AE604" s="40"/>
      <c r="AF604" s="42"/>
      <c r="AG604" s="5"/>
      <c r="AH604" s="5"/>
      <c r="AI604" s="40"/>
      <c r="AJ604" s="40"/>
      <c r="AK604" s="40"/>
      <c r="AL604" s="40"/>
      <c r="AM604" s="40"/>
      <c r="AO604" s="40"/>
    </row>
    <row r="605" spans="2:41" ht="12.75" customHeight="1" x14ac:dyDescent="0.25">
      <c r="B605" s="40"/>
      <c r="C605" s="40"/>
      <c r="D605" s="40"/>
      <c r="E605" s="40"/>
      <c r="F605" s="40"/>
      <c r="G605" s="40"/>
      <c r="H605" s="5"/>
      <c r="Q605" s="40"/>
      <c r="R605" s="40"/>
      <c r="S605" s="40"/>
      <c r="T605" s="40"/>
      <c r="U605" s="40"/>
      <c r="W605" s="40"/>
      <c r="X605" s="40"/>
      <c r="Y605" s="40"/>
      <c r="Z605" s="40"/>
      <c r="AA605" s="41"/>
      <c r="AB605" s="41"/>
      <c r="AC605" s="41"/>
      <c r="AD605" s="41"/>
      <c r="AE605" s="40"/>
      <c r="AF605" s="42"/>
      <c r="AG605" s="5"/>
      <c r="AH605" s="5"/>
      <c r="AI605" s="40"/>
      <c r="AJ605" s="40"/>
      <c r="AK605" s="40"/>
      <c r="AL605" s="40"/>
      <c r="AM605" s="40"/>
      <c r="AO605" s="40"/>
    </row>
    <row r="606" spans="2:41" ht="12.75" customHeight="1" x14ac:dyDescent="0.25">
      <c r="B606" s="40"/>
      <c r="C606" s="40"/>
      <c r="D606" s="40"/>
      <c r="E606" s="40"/>
      <c r="F606" s="40"/>
      <c r="G606" s="40"/>
      <c r="H606" s="5"/>
      <c r="Q606" s="40"/>
      <c r="R606" s="40"/>
      <c r="S606" s="40"/>
      <c r="T606" s="40"/>
      <c r="U606" s="40"/>
      <c r="W606" s="40"/>
      <c r="X606" s="40"/>
      <c r="Y606" s="40"/>
      <c r="Z606" s="40"/>
      <c r="AA606" s="41"/>
      <c r="AB606" s="41"/>
      <c r="AC606" s="41"/>
      <c r="AD606" s="41"/>
      <c r="AE606" s="40"/>
      <c r="AF606" s="42"/>
      <c r="AG606" s="5"/>
      <c r="AH606" s="5"/>
      <c r="AI606" s="40"/>
      <c r="AJ606" s="40"/>
      <c r="AK606" s="40"/>
      <c r="AL606" s="40"/>
      <c r="AM606" s="40"/>
      <c r="AO606" s="40"/>
    </row>
    <row r="607" spans="2:41" ht="12.75" customHeight="1" x14ac:dyDescent="0.25">
      <c r="B607" s="40"/>
      <c r="C607" s="40"/>
      <c r="D607" s="40"/>
      <c r="E607" s="40"/>
      <c r="F607" s="40"/>
      <c r="G607" s="40"/>
      <c r="H607" s="5"/>
      <c r="Q607" s="40"/>
      <c r="R607" s="40"/>
      <c r="S607" s="40"/>
      <c r="T607" s="40"/>
      <c r="U607" s="40"/>
      <c r="W607" s="40"/>
      <c r="X607" s="40"/>
      <c r="Y607" s="40"/>
      <c r="Z607" s="40"/>
      <c r="AA607" s="41"/>
      <c r="AB607" s="41"/>
      <c r="AC607" s="41"/>
      <c r="AD607" s="41"/>
      <c r="AE607" s="40"/>
      <c r="AF607" s="42"/>
      <c r="AG607" s="5"/>
      <c r="AH607" s="5"/>
      <c r="AI607" s="40"/>
      <c r="AJ607" s="40"/>
      <c r="AK607" s="40"/>
      <c r="AL607" s="40"/>
      <c r="AM607" s="40"/>
      <c r="AO607" s="40"/>
    </row>
    <row r="608" spans="2:41" ht="12.75" customHeight="1" x14ac:dyDescent="0.25">
      <c r="B608" s="40"/>
      <c r="C608" s="40"/>
      <c r="D608" s="40"/>
      <c r="E608" s="40"/>
      <c r="F608" s="40"/>
      <c r="G608" s="40"/>
      <c r="H608" s="5"/>
      <c r="Q608" s="40"/>
      <c r="R608" s="40"/>
      <c r="S608" s="40"/>
      <c r="T608" s="40"/>
      <c r="U608" s="40"/>
      <c r="W608" s="40"/>
      <c r="X608" s="40"/>
      <c r="Y608" s="40"/>
      <c r="Z608" s="40"/>
      <c r="AA608" s="41"/>
      <c r="AB608" s="41"/>
      <c r="AC608" s="41"/>
      <c r="AD608" s="41"/>
      <c r="AE608" s="40"/>
      <c r="AF608" s="42"/>
      <c r="AG608" s="5"/>
      <c r="AH608" s="5"/>
      <c r="AI608" s="40"/>
      <c r="AJ608" s="40"/>
      <c r="AK608" s="40"/>
      <c r="AL608" s="40"/>
      <c r="AM608" s="40"/>
      <c r="AO608" s="40"/>
    </row>
    <row r="609" spans="2:41" ht="12.75" customHeight="1" x14ac:dyDescent="0.25">
      <c r="B609" s="40"/>
      <c r="C609" s="40"/>
      <c r="D609" s="40"/>
      <c r="E609" s="40"/>
      <c r="F609" s="40"/>
      <c r="G609" s="40"/>
      <c r="H609" s="5"/>
      <c r="Q609" s="40"/>
      <c r="R609" s="40"/>
      <c r="S609" s="40"/>
      <c r="T609" s="40"/>
      <c r="U609" s="40"/>
      <c r="W609" s="40"/>
      <c r="X609" s="40"/>
      <c r="Y609" s="40"/>
      <c r="Z609" s="40"/>
      <c r="AA609" s="41"/>
      <c r="AB609" s="41"/>
      <c r="AC609" s="41"/>
      <c r="AD609" s="41"/>
      <c r="AE609" s="40"/>
      <c r="AF609" s="42"/>
      <c r="AG609" s="5"/>
      <c r="AH609" s="5"/>
      <c r="AI609" s="40"/>
      <c r="AJ609" s="40"/>
      <c r="AK609" s="40"/>
      <c r="AL609" s="40"/>
      <c r="AM609" s="40"/>
      <c r="AO609" s="40"/>
    </row>
    <row r="610" spans="2:41" ht="12.75" customHeight="1" x14ac:dyDescent="0.25">
      <c r="B610" s="40"/>
      <c r="C610" s="40"/>
      <c r="D610" s="40"/>
      <c r="E610" s="40"/>
      <c r="F610" s="40"/>
      <c r="G610" s="40"/>
      <c r="H610" s="5"/>
      <c r="Q610" s="40"/>
      <c r="R610" s="40"/>
      <c r="S610" s="40"/>
      <c r="T610" s="40"/>
      <c r="U610" s="40"/>
      <c r="W610" s="40"/>
      <c r="X610" s="40"/>
      <c r="Y610" s="40"/>
      <c r="Z610" s="40"/>
      <c r="AA610" s="41"/>
      <c r="AB610" s="41"/>
      <c r="AC610" s="41"/>
      <c r="AD610" s="41"/>
      <c r="AE610" s="40"/>
      <c r="AF610" s="42"/>
      <c r="AG610" s="5"/>
      <c r="AH610" s="5"/>
      <c r="AI610" s="40"/>
      <c r="AJ610" s="40"/>
      <c r="AK610" s="40"/>
      <c r="AL610" s="40"/>
      <c r="AM610" s="40"/>
      <c r="AO610" s="40"/>
    </row>
    <row r="611" spans="2:41" ht="12.75" customHeight="1" x14ac:dyDescent="0.25">
      <c r="B611" s="40"/>
      <c r="C611" s="40"/>
      <c r="D611" s="40"/>
      <c r="E611" s="40"/>
      <c r="F611" s="40"/>
      <c r="G611" s="40"/>
      <c r="H611" s="5"/>
      <c r="Q611" s="40"/>
      <c r="R611" s="40"/>
      <c r="S611" s="40"/>
      <c r="T611" s="40"/>
      <c r="U611" s="40"/>
      <c r="W611" s="40"/>
      <c r="X611" s="40"/>
      <c r="Y611" s="40"/>
      <c r="Z611" s="40"/>
      <c r="AA611" s="41"/>
      <c r="AB611" s="41"/>
      <c r="AC611" s="41"/>
      <c r="AD611" s="41"/>
      <c r="AE611" s="40"/>
      <c r="AF611" s="42"/>
      <c r="AG611" s="5"/>
      <c r="AH611" s="5"/>
      <c r="AI611" s="40"/>
      <c r="AJ611" s="40"/>
      <c r="AK611" s="40"/>
      <c r="AL611" s="40"/>
      <c r="AM611" s="40"/>
      <c r="AO611" s="40"/>
    </row>
    <row r="612" spans="2:41" ht="12.75" customHeight="1" x14ac:dyDescent="0.25">
      <c r="B612" s="40"/>
      <c r="C612" s="40"/>
      <c r="D612" s="40"/>
      <c r="E612" s="40"/>
      <c r="F612" s="40"/>
      <c r="G612" s="40"/>
      <c r="H612" s="5"/>
      <c r="Q612" s="40"/>
      <c r="R612" s="40"/>
      <c r="S612" s="40"/>
      <c r="T612" s="40"/>
      <c r="U612" s="40"/>
      <c r="W612" s="40"/>
      <c r="X612" s="40"/>
      <c r="Y612" s="40"/>
      <c r="Z612" s="40"/>
      <c r="AA612" s="41"/>
      <c r="AB612" s="41"/>
      <c r="AC612" s="41"/>
      <c r="AD612" s="41"/>
      <c r="AE612" s="40"/>
      <c r="AF612" s="42"/>
      <c r="AG612" s="5"/>
      <c r="AH612" s="5"/>
      <c r="AI612" s="40"/>
      <c r="AJ612" s="40"/>
      <c r="AK612" s="40"/>
      <c r="AL612" s="40"/>
      <c r="AM612" s="40"/>
      <c r="AO612" s="40"/>
    </row>
    <row r="613" spans="2:41" ht="12.75" customHeight="1" x14ac:dyDescent="0.25">
      <c r="B613" s="40"/>
      <c r="C613" s="40"/>
      <c r="D613" s="40"/>
      <c r="E613" s="40"/>
      <c r="F613" s="40"/>
      <c r="G613" s="40"/>
      <c r="H613" s="5"/>
      <c r="Q613" s="40"/>
      <c r="R613" s="40"/>
      <c r="S613" s="40"/>
      <c r="T613" s="40"/>
      <c r="U613" s="40"/>
      <c r="W613" s="40"/>
      <c r="X613" s="40"/>
      <c r="Y613" s="40"/>
      <c r="Z613" s="40"/>
      <c r="AA613" s="41"/>
      <c r="AB613" s="41"/>
      <c r="AC613" s="41"/>
      <c r="AD613" s="41"/>
      <c r="AE613" s="40"/>
      <c r="AF613" s="42"/>
      <c r="AG613" s="5"/>
      <c r="AH613" s="5"/>
      <c r="AI613" s="40"/>
      <c r="AJ613" s="40"/>
      <c r="AK613" s="40"/>
      <c r="AL613" s="40"/>
      <c r="AM613" s="40"/>
      <c r="AO613" s="40"/>
    </row>
    <row r="614" spans="2:41" ht="12.75" customHeight="1" x14ac:dyDescent="0.25">
      <c r="B614" s="40"/>
      <c r="C614" s="40"/>
      <c r="D614" s="40"/>
      <c r="E614" s="40"/>
      <c r="F614" s="40"/>
      <c r="G614" s="40"/>
      <c r="H614" s="5"/>
      <c r="Q614" s="40"/>
      <c r="R614" s="40"/>
      <c r="S614" s="40"/>
      <c r="T614" s="40"/>
      <c r="U614" s="40"/>
      <c r="W614" s="40"/>
      <c r="X614" s="40"/>
      <c r="Y614" s="40"/>
      <c r="Z614" s="40"/>
      <c r="AA614" s="41"/>
      <c r="AB614" s="41"/>
      <c r="AC614" s="41"/>
      <c r="AD614" s="41"/>
      <c r="AE614" s="40"/>
      <c r="AF614" s="42"/>
      <c r="AG614" s="5"/>
      <c r="AH614" s="5"/>
      <c r="AI614" s="40"/>
      <c r="AJ614" s="40"/>
      <c r="AK614" s="40"/>
      <c r="AL614" s="40"/>
      <c r="AM614" s="40"/>
      <c r="AO614" s="40"/>
    </row>
    <row r="615" spans="2:41" ht="12.75" customHeight="1" x14ac:dyDescent="0.25">
      <c r="B615" s="40"/>
      <c r="C615" s="40"/>
      <c r="D615" s="40"/>
      <c r="E615" s="40"/>
      <c r="F615" s="40"/>
      <c r="G615" s="40"/>
      <c r="H615" s="5"/>
      <c r="Q615" s="40"/>
      <c r="R615" s="40"/>
      <c r="S615" s="40"/>
      <c r="T615" s="40"/>
      <c r="U615" s="40"/>
      <c r="W615" s="40"/>
      <c r="X615" s="40"/>
      <c r="Y615" s="40"/>
      <c r="Z615" s="40"/>
      <c r="AA615" s="41"/>
      <c r="AB615" s="41"/>
      <c r="AC615" s="41"/>
      <c r="AD615" s="41"/>
      <c r="AE615" s="40"/>
      <c r="AF615" s="42"/>
      <c r="AG615" s="5"/>
      <c r="AH615" s="5"/>
      <c r="AI615" s="40"/>
      <c r="AJ615" s="40"/>
      <c r="AK615" s="40"/>
      <c r="AL615" s="40"/>
      <c r="AM615" s="40"/>
      <c r="AO615" s="40"/>
    </row>
    <row r="616" spans="2:41" ht="12.75" customHeight="1" x14ac:dyDescent="0.25">
      <c r="B616" s="40"/>
      <c r="C616" s="40"/>
      <c r="D616" s="40"/>
      <c r="E616" s="40"/>
      <c r="F616" s="40"/>
      <c r="G616" s="40"/>
      <c r="H616" s="5"/>
      <c r="Q616" s="40"/>
      <c r="R616" s="40"/>
      <c r="S616" s="40"/>
      <c r="T616" s="40"/>
      <c r="U616" s="40"/>
      <c r="W616" s="40"/>
      <c r="X616" s="40"/>
      <c r="Y616" s="40"/>
      <c r="Z616" s="40"/>
      <c r="AA616" s="41"/>
      <c r="AB616" s="41"/>
      <c r="AC616" s="41"/>
      <c r="AD616" s="41"/>
      <c r="AE616" s="40"/>
      <c r="AF616" s="42"/>
      <c r="AG616" s="5"/>
      <c r="AH616" s="5"/>
      <c r="AI616" s="40"/>
      <c r="AJ616" s="40"/>
      <c r="AK616" s="40"/>
      <c r="AL616" s="40"/>
      <c r="AM616" s="40"/>
      <c r="AO616" s="40"/>
    </row>
    <row r="617" spans="2:41" ht="12.75" customHeight="1" x14ac:dyDescent="0.25">
      <c r="B617" s="40"/>
      <c r="C617" s="40"/>
      <c r="D617" s="40"/>
      <c r="E617" s="40"/>
      <c r="F617" s="40"/>
      <c r="G617" s="40"/>
      <c r="H617" s="5"/>
      <c r="Q617" s="40"/>
      <c r="R617" s="40"/>
      <c r="S617" s="40"/>
      <c r="T617" s="40"/>
      <c r="U617" s="40"/>
      <c r="W617" s="40"/>
      <c r="X617" s="40"/>
      <c r="Y617" s="40"/>
      <c r="Z617" s="40"/>
      <c r="AA617" s="41"/>
      <c r="AB617" s="41"/>
      <c r="AC617" s="41"/>
      <c r="AD617" s="41"/>
      <c r="AE617" s="40"/>
      <c r="AF617" s="42"/>
      <c r="AG617" s="5"/>
      <c r="AH617" s="5"/>
      <c r="AI617" s="40"/>
      <c r="AJ617" s="40"/>
      <c r="AK617" s="40"/>
      <c r="AL617" s="40"/>
      <c r="AM617" s="40"/>
      <c r="AO617" s="40"/>
    </row>
    <row r="618" spans="2:41" ht="12.75" customHeight="1" x14ac:dyDescent="0.25">
      <c r="B618" s="40"/>
      <c r="C618" s="40"/>
      <c r="D618" s="40"/>
      <c r="E618" s="40"/>
      <c r="F618" s="40"/>
      <c r="G618" s="40"/>
      <c r="H618" s="5"/>
      <c r="Q618" s="40"/>
      <c r="R618" s="40"/>
      <c r="S618" s="40"/>
      <c r="T618" s="40"/>
      <c r="U618" s="40"/>
      <c r="W618" s="40"/>
      <c r="X618" s="40"/>
      <c r="Y618" s="40"/>
      <c r="Z618" s="40"/>
      <c r="AA618" s="41"/>
      <c r="AB618" s="41"/>
      <c r="AC618" s="41"/>
      <c r="AD618" s="41"/>
      <c r="AE618" s="40"/>
      <c r="AF618" s="42"/>
      <c r="AG618" s="5"/>
      <c r="AH618" s="5"/>
      <c r="AI618" s="40"/>
      <c r="AJ618" s="40"/>
      <c r="AK618" s="40"/>
      <c r="AL618" s="40"/>
      <c r="AM618" s="40"/>
      <c r="AO618" s="40"/>
    </row>
    <row r="619" spans="2:41" ht="12.75" customHeight="1" x14ac:dyDescent="0.25">
      <c r="B619" s="40"/>
      <c r="C619" s="40"/>
      <c r="D619" s="40"/>
      <c r="E619" s="40"/>
      <c r="F619" s="40"/>
      <c r="G619" s="40"/>
      <c r="H619" s="5"/>
      <c r="Q619" s="40"/>
      <c r="R619" s="40"/>
      <c r="S619" s="40"/>
      <c r="T619" s="40"/>
      <c r="U619" s="40"/>
      <c r="W619" s="40"/>
      <c r="X619" s="40"/>
      <c r="Y619" s="40"/>
      <c r="Z619" s="40"/>
      <c r="AA619" s="41"/>
      <c r="AB619" s="41"/>
      <c r="AC619" s="41"/>
      <c r="AD619" s="41"/>
      <c r="AE619" s="40"/>
      <c r="AF619" s="42"/>
      <c r="AG619" s="5"/>
      <c r="AH619" s="5"/>
      <c r="AI619" s="40"/>
      <c r="AJ619" s="40"/>
      <c r="AK619" s="40"/>
      <c r="AL619" s="40"/>
      <c r="AM619" s="40"/>
      <c r="AO619" s="40"/>
    </row>
    <row r="620" spans="2:41" ht="12.75" customHeight="1" x14ac:dyDescent="0.25">
      <c r="B620" s="40"/>
      <c r="C620" s="40"/>
      <c r="D620" s="40"/>
      <c r="E620" s="40"/>
      <c r="F620" s="40"/>
      <c r="G620" s="40"/>
      <c r="H620" s="5"/>
      <c r="Q620" s="40"/>
      <c r="R620" s="40"/>
      <c r="S620" s="40"/>
      <c r="T620" s="40"/>
      <c r="U620" s="40"/>
      <c r="W620" s="40"/>
      <c r="X620" s="40"/>
      <c r="Y620" s="40"/>
      <c r="Z620" s="40"/>
      <c r="AA620" s="41"/>
      <c r="AB620" s="41"/>
      <c r="AC620" s="41"/>
      <c r="AD620" s="41"/>
      <c r="AE620" s="40"/>
      <c r="AF620" s="42"/>
      <c r="AG620" s="5"/>
      <c r="AH620" s="5"/>
      <c r="AI620" s="40"/>
      <c r="AJ620" s="40"/>
      <c r="AK620" s="40"/>
      <c r="AL620" s="40"/>
      <c r="AM620" s="40"/>
      <c r="AO620" s="40"/>
    </row>
    <row r="621" spans="2:41" ht="12.75" customHeight="1" x14ac:dyDescent="0.25">
      <c r="B621" s="40"/>
      <c r="C621" s="40"/>
      <c r="D621" s="40"/>
      <c r="E621" s="40"/>
      <c r="F621" s="40"/>
      <c r="G621" s="40"/>
      <c r="H621" s="5"/>
      <c r="Q621" s="40"/>
      <c r="R621" s="40"/>
      <c r="S621" s="40"/>
      <c r="T621" s="40"/>
      <c r="U621" s="40"/>
      <c r="W621" s="40"/>
      <c r="X621" s="40"/>
      <c r="Y621" s="40"/>
      <c r="Z621" s="40"/>
      <c r="AA621" s="41"/>
      <c r="AB621" s="41"/>
      <c r="AC621" s="41"/>
      <c r="AD621" s="41"/>
      <c r="AE621" s="40"/>
      <c r="AF621" s="42"/>
      <c r="AG621" s="5"/>
      <c r="AH621" s="5"/>
      <c r="AI621" s="40"/>
      <c r="AJ621" s="40"/>
      <c r="AK621" s="40"/>
      <c r="AL621" s="40"/>
      <c r="AM621" s="40"/>
      <c r="AO621" s="40"/>
    </row>
    <row r="622" spans="2:41" ht="12.75" customHeight="1" x14ac:dyDescent="0.25">
      <c r="B622" s="40"/>
      <c r="C622" s="40"/>
      <c r="D622" s="40"/>
      <c r="E622" s="40"/>
      <c r="F622" s="40"/>
      <c r="G622" s="40"/>
      <c r="H622" s="5"/>
      <c r="Q622" s="40"/>
      <c r="R622" s="40"/>
      <c r="S622" s="40"/>
      <c r="T622" s="40"/>
      <c r="U622" s="40"/>
      <c r="W622" s="40"/>
      <c r="X622" s="40"/>
      <c r="Y622" s="40"/>
      <c r="Z622" s="40"/>
      <c r="AA622" s="41"/>
      <c r="AB622" s="41"/>
      <c r="AC622" s="41"/>
      <c r="AD622" s="41"/>
      <c r="AE622" s="40"/>
      <c r="AF622" s="42"/>
      <c r="AG622" s="5"/>
      <c r="AH622" s="5"/>
      <c r="AI622" s="40"/>
      <c r="AJ622" s="40"/>
      <c r="AK622" s="40"/>
      <c r="AL622" s="40"/>
      <c r="AM622" s="40"/>
      <c r="AO622" s="40"/>
    </row>
    <row r="623" spans="2:41" ht="12.75" customHeight="1" x14ac:dyDescent="0.25">
      <c r="B623" s="40"/>
      <c r="C623" s="40"/>
      <c r="D623" s="40"/>
      <c r="E623" s="40"/>
      <c r="F623" s="40"/>
      <c r="G623" s="40"/>
      <c r="H623" s="5"/>
      <c r="Q623" s="40"/>
      <c r="R623" s="40"/>
      <c r="S623" s="40"/>
      <c r="T623" s="40"/>
      <c r="U623" s="40"/>
      <c r="W623" s="40"/>
      <c r="X623" s="40"/>
      <c r="Y623" s="40"/>
      <c r="Z623" s="40"/>
      <c r="AA623" s="41"/>
      <c r="AB623" s="41"/>
      <c r="AC623" s="41"/>
      <c r="AD623" s="41"/>
      <c r="AE623" s="40"/>
      <c r="AF623" s="42"/>
      <c r="AG623" s="5"/>
      <c r="AH623" s="5"/>
      <c r="AI623" s="40"/>
      <c r="AJ623" s="40"/>
      <c r="AK623" s="40"/>
      <c r="AL623" s="40"/>
      <c r="AM623" s="40"/>
      <c r="AO623" s="40"/>
    </row>
    <row r="624" spans="2:41" ht="12.75" customHeight="1" x14ac:dyDescent="0.25">
      <c r="B624" s="40"/>
      <c r="C624" s="40"/>
      <c r="D624" s="40"/>
      <c r="E624" s="40"/>
      <c r="F624" s="40"/>
      <c r="G624" s="40"/>
      <c r="H624" s="5"/>
      <c r="Q624" s="40"/>
      <c r="R624" s="40"/>
      <c r="S624" s="40"/>
      <c r="T624" s="40"/>
      <c r="U624" s="40"/>
      <c r="W624" s="40"/>
      <c r="X624" s="40"/>
      <c r="Y624" s="40"/>
      <c r="Z624" s="40"/>
      <c r="AA624" s="41"/>
      <c r="AB624" s="41"/>
      <c r="AC624" s="41"/>
      <c r="AD624" s="41"/>
      <c r="AE624" s="40"/>
      <c r="AF624" s="42"/>
      <c r="AG624" s="5"/>
      <c r="AH624" s="5"/>
      <c r="AI624" s="40"/>
      <c r="AJ624" s="40"/>
      <c r="AK624" s="40"/>
      <c r="AL624" s="40"/>
      <c r="AM624" s="40"/>
      <c r="AO624" s="40"/>
    </row>
    <row r="625" spans="2:41" ht="12.75" customHeight="1" x14ac:dyDescent="0.25">
      <c r="B625" s="40"/>
      <c r="C625" s="40"/>
      <c r="D625" s="40"/>
      <c r="E625" s="40"/>
      <c r="F625" s="40"/>
      <c r="G625" s="40"/>
      <c r="H625" s="5"/>
      <c r="Q625" s="40"/>
      <c r="R625" s="40"/>
      <c r="S625" s="40"/>
      <c r="T625" s="40"/>
      <c r="U625" s="40"/>
      <c r="W625" s="40"/>
      <c r="X625" s="40"/>
      <c r="Y625" s="40"/>
      <c r="Z625" s="40"/>
      <c r="AA625" s="41"/>
      <c r="AB625" s="41"/>
      <c r="AC625" s="41"/>
      <c r="AD625" s="41"/>
      <c r="AE625" s="40"/>
      <c r="AF625" s="42"/>
      <c r="AG625" s="5"/>
      <c r="AH625" s="5"/>
      <c r="AI625" s="40"/>
      <c r="AJ625" s="40"/>
      <c r="AK625" s="40"/>
      <c r="AL625" s="40"/>
      <c r="AM625" s="40"/>
      <c r="AO625" s="40"/>
    </row>
    <row r="626" spans="2:41" ht="12.75" customHeight="1" x14ac:dyDescent="0.25">
      <c r="B626" s="40"/>
      <c r="C626" s="40"/>
      <c r="D626" s="40"/>
      <c r="E626" s="40"/>
      <c r="F626" s="40"/>
      <c r="G626" s="40"/>
      <c r="H626" s="5"/>
      <c r="Q626" s="40"/>
      <c r="R626" s="40"/>
      <c r="S626" s="40"/>
      <c r="T626" s="40"/>
      <c r="U626" s="40"/>
      <c r="W626" s="40"/>
      <c r="X626" s="40"/>
      <c r="Y626" s="40"/>
      <c r="Z626" s="40"/>
      <c r="AA626" s="41"/>
      <c r="AB626" s="41"/>
      <c r="AC626" s="41"/>
      <c r="AD626" s="41"/>
      <c r="AE626" s="40"/>
      <c r="AF626" s="42"/>
      <c r="AG626" s="5"/>
      <c r="AH626" s="5"/>
      <c r="AI626" s="40"/>
      <c r="AJ626" s="40"/>
      <c r="AK626" s="40"/>
      <c r="AL626" s="40"/>
      <c r="AM626" s="40"/>
      <c r="AO626" s="40"/>
    </row>
    <row r="627" spans="2:41" ht="12.75" customHeight="1" x14ac:dyDescent="0.25">
      <c r="B627" s="40"/>
      <c r="C627" s="40"/>
      <c r="D627" s="40"/>
      <c r="E627" s="40"/>
      <c r="F627" s="40"/>
      <c r="G627" s="40"/>
      <c r="H627" s="5"/>
      <c r="Q627" s="40"/>
      <c r="R627" s="40"/>
      <c r="S627" s="40"/>
      <c r="T627" s="40"/>
      <c r="U627" s="40"/>
      <c r="W627" s="40"/>
      <c r="X627" s="40"/>
      <c r="Y627" s="40"/>
      <c r="Z627" s="40"/>
      <c r="AA627" s="41"/>
      <c r="AB627" s="41"/>
      <c r="AC627" s="41"/>
      <c r="AD627" s="41"/>
      <c r="AE627" s="40"/>
      <c r="AF627" s="42"/>
      <c r="AG627" s="5"/>
      <c r="AH627" s="5"/>
      <c r="AI627" s="40"/>
      <c r="AJ627" s="40"/>
      <c r="AK627" s="40"/>
      <c r="AL627" s="40"/>
      <c r="AM627" s="40"/>
      <c r="AO627" s="40"/>
    </row>
    <row r="628" spans="2:41" ht="12.75" customHeight="1" x14ac:dyDescent="0.25">
      <c r="B628" s="40"/>
      <c r="C628" s="40"/>
      <c r="D628" s="40"/>
      <c r="E628" s="40"/>
      <c r="F628" s="40"/>
      <c r="G628" s="40"/>
      <c r="H628" s="5"/>
      <c r="Q628" s="40"/>
      <c r="R628" s="40"/>
      <c r="S628" s="40"/>
      <c r="T628" s="40"/>
      <c r="U628" s="40"/>
      <c r="W628" s="40"/>
      <c r="X628" s="40"/>
      <c r="Y628" s="40"/>
      <c r="Z628" s="40"/>
      <c r="AA628" s="41"/>
      <c r="AB628" s="41"/>
      <c r="AC628" s="41"/>
      <c r="AD628" s="41"/>
      <c r="AE628" s="40"/>
      <c r="AF628" s="42"/>
      <c r="AG628" s="5"/>
      <c r="AH628" s="5"/>
      <c r="AI628" s="40"/>
      <c r="AJ628" s="40"/>
      <c r="AK628" s="40"/>
      <c r="AL628" s="40"/>
      <c r="AM628" s="40"/>
      <c r="AO628" s="40"/>
    </row>
    <row r="629" spans="2:41" ht="12.75" customHeight="1" x14ac:dyDescent="0.25">
      <c r="B629" s="40"/>
      <c r="C629" s="40"/>
      <c r="D629" s="40"/>
      <c r="E629" s="40"/>
      <c r="F629" s="40"/>
      <c r="G629" s="40"/>
      <c r="H629" s="5"/>
      <c r="Q629" s="40"/>
      <c r="R629" s="40"/>
      <c r="S629" s="40"/>
      <c r="T629" s="40"/>
      <c r="U629" s="40"/>
      <c r="W629" s="40"/>
      <c r="X629" s="40"/>
      <c r="Y629" s="40"/>
      <c r="Z629" s="40"/>
      <c r="AA629" s="41"/>
      <c r="AB629" s="41"/>
      <c r="AC629" s="41"/>
      <c r="AD629" s="41"/>
      <c r="AE629" s="40"/>
      <c r="AF629" s="42"/>
      <c r="AG629" s="5"/>
      <c r="AH629" s="5"/>
      <c r="AI629" s="40"/>
      <c r="AJ629" s="40"/>
      <c r="AK629" s="40"/>
      <c r="AL629" s="40"/>
      <c r="AM629" s="40"/>
      <c r="AO629" s="40"/>
    </row>
    <row r="630" spans="2:41" ht="12.75" customHeight="1" x14ac:dyDescent="0.25">
      <c r="B630" s="40"/>
      <c r="C630" s="40"/>
      <c r="D630" s="40"/>
      <c r="E630" s="40"/>
      <c r="F630" s="40"/>
      <c r="G630" s="40"/>
      <c r="H630" s="5"/>
      <c r="Q630" s="40"/>
      <c r="R630" s="40"/>
      <c r="S630" s="40"/>
      <c r="T630" s="40"/>
      <c r="U630" s="40"/>
      <c r="W630" s="40"/>
      <c r="X630" s="40"/>
      <c r="Y630" s="40"/>
      <c r="Z630" s="40"/>
      <c r="AA630" s="41"/>
      <c r="AB630" s="41"/>
      <c r="AC630" s="41"/>
      <c r="AD630" s="41"/>
      <c r="AE630" s="40"/>
      <c r="AF630" s="42"/>
      <c r="AG630" s="5"/>
      <c r="AH630" s="5"/>
      <c r="AI630" s="40"/>
      <c r="AJ630" s="40"/>
      <c r="AK630" s="40"/>
      <c r="AL630" s="40"/>
      <c r="AM630" s="40"/>
      <c r="AO630" s="40"/>
    </row>
    <row r="631" spans="2:41" ht="12.75" customHeight="1" x14ac:dyDescent="0.25">
      <c r="B631" s="40"/>
      <c r="C631" s="40"/>
      <c r="D631" s="40"/>
      <c r="E631" s="40"/>
      <c r="F631" s="40"/>
      <c r="G631" s="40"/>
      <c r="H631" s="5"/>
      <c r="Q631" s="40"/>
      <c r="R631" s="40"/>
      <c r="S631" s="40"/>
      <c r="T631" s="40"/>
      <c r="U631" s="40"/>
      <c r="W631" s="40"/>
      <c r="X631" s="40"/>
      <c r="Y631" s="40"/>
      <c r="Z631" s="40"/>
      <c r="AA631" s="41"/>
      <c r="AB631" s="41"/>
      <c r="AC631" s="41"/>
      <c r="AD631" s="41"/>
      <c r="AE631" s="40"/>
      <c r="AF631" s="42"/>
      <c r="AG631" s="5"/>
      <c r="AH631" s="5"/>
      <c r="AI631" s="40"/>
      <c r="AJ631" s="40"/>
      <c r="AK631" s="40"/>
      <c r="AL631" s="40"/>
      <c r="AM631" s="40"/>
      <c r="AO631" s="40"/>
    </row>
    <row r="632" spans="2:41" ht="12.75" customHeight="1" x14ac:dyDescent="0.25">
      <c r="B632" s="40"/>
      <c r="C632" s="40"/>
      <c r="D632" s="40"/>
      <c r="E632" s="40"/>
      <c r="F632" s="40"/>
      <c r="G632" s="40"/>
      <c r="H632" s="5"/>
      <c r="Q632" s="40"/>
      <c r="R632" s="40"/>
      <c r="S632" s="40"/>
      <c r="T632" s="40"/>
      <c r="U632" s="40"/>
      <c r="W632" s="40"/>
      <c r="X632" s="40"/>
      <c r="Y632" s="40"/>
      <c r="Z632" s="40"/>
      <c r="AA632" s="41"/>
      <c r="AB632" s="41"/>
      <c r="AC632" s="41"/>
      <c r="AD632" s="41"/>
      <c r="AE632" s="40"/>
      <c r="AF632" s="42"/>
      <c r="AG632" s="5"/>
      <c r="AH632" s="5"/>
      <c r="AI632" s="40"/>
      <c r="AJ632" s="40"/>
      <c r="AK632" s="40"/>
      <c r="AL632" s="40"/>
      <c r="AM632" s="40"/>
      <c r="AO632" s="40"/>
    </row>
    <row r="633" spans="2:41" ht="12.75" customHeight="1" x14ac:dyDescent="0.25">
      <c r="B633" s="40"/>
      <c r="C633" s="40"/>
      <c r="D633" s="40"/>
      <c r="E633" s="40"/>
      <c r="F633" s="40"/>
      <c r="G633" s="40"/>
      <c r="H633" s="5"/>
      <c r="Q633" s="40"/>
      <c r="R633" s="40"/>
      <c r="S633" s="40"/>
      <c r="T633" s="40"/>
      <c r="U633" s="40"/>
      <c r="W633" s="40"/>
      <c r="X633" s="40"/>
      <c r="Y633" s="40"/>
      <c r="Z633" s="40"/>
      <c r="AA633" s="41"/>
      <c r="AB633" s="41"/>
      <c r="AC633" s="41"/>
      <c r="AD633" s="41"/>
      <c r="AE633" s="40"/>
      <c r="AF633" s="42"/>
      <c r="AG633" s="5"/>
      <c r="AH633" s="5"/>
      <c r="AI633" s="40"/>
      <c r="AJ633" s="40"/>
      <c r="AK633" s="40"/>
      <c r="AL633" s="40"/>
      <c r="AM633" s="40"/>
      <c r="AO633" s="40"/>
    </row>
    <row r="634" spans="2:41" ht="12.75" customHeight="1" x14ac:dyDescent="0.25">
      <c r="B634" s="40"/>
      <c r="C634" s="40"/>
      <c r="D634" s="40"/>
      <c r="E634" s="40"/>
      <c r="F634" s="40"/>
      <c r="G634" s="40"/>
      <c r="H634" s="5"/>
      <c r="Q634" s="40"/>
      <c r="R634" s="40"/>
      <c r="S634" s="40"/>
      <c r="T634" s="40"/>
      <c r="U634" s="40"/>
      <c r="W634" s="40"/>
      <c r="X634" s="40"/>
      <c r="Y634" s="40"/>
      <c r="Z634" s="40"/>
      <c r="AA634" s="41"/>
      <c r="AB634" s="41"/>
      <c r="AC634" s="41"/>
      <c r="AD634" s="41"/>
      <c r="AE634" s="40"/>
      <c r="AF634" s="42"/>
      <c r="AG634" s="5"/>
      <c r="AH634" s="5"/>
      <c r="AI634" s="40"/>
      <c r="AJ634" s="40"/>
      <c r="AK634" s="40"/>
      <c r="AL634" s="40"/>
      <c r="AM634" s="40"/>
      <c r="AO634" s="40"/>
    </row>
    <row r="635" spans="2:41" ht="12.75" customHeight="1" x14ac:dyDescent="0.25">
      <c r="B635" s="40"/>
      <c r="C635" s="40"/>
      <c r="D635" s="40"/>
      <c r="E635" s="40"/>
      <c r="F635" s="40"/>
      <c r="G635" s="40"/>
      <c r="H635" s="5"/>
      <c r="Q635" s="40"/>
      <c r="R635" s="40"/>
      <c r="S635" s="40"/>
      <c r="T635" s="40"/>
      <c r="U635" s="40"/>
      <c r="W635" s="40"/>
      <c r="X635" s="40"/>
      <c r="Y635" s="40"/>
      <c r="Z635" s="40"/>
      <c r="AA635" s="41"/>
      <c r="AB635" s="41"/>
      <c r="AC635" s="41"/>
      <c r="AD635" s="41"/>
      <c r="AE635" s="40"/>
      <c r="AF635" s="42"/>
      <c r="AG635" s="5"/>
      <c r="AH635" s="5"/>
      <c r="AI635" s="40"/>
      <c r="AJ635" s="40"/>
      <c r="AK635" s="40"/>
      <c r="AL635" s="40"/>
      <c r="AM635" s="40"/>
      <c r="AO635" s="40"/>
    </row>
    <row r="636" spans="2:41" ht="12.75" customHeight="1" x14ac:dyDescent="0.25">
      <c r="B636" s="40"/>
      <c r="C636" s="40"/>
      <c r="D636" s="40"/>
      <c r="E636" s="40"/>
      <c r="F636" s="40"/>
      <c r="G636" s="40"/>
      <c r="H636" s="5"/>
      <c r="Q636" s="40"/>
      <c r="R636" s="40"/>
      <c r="S636" s="40"/>
      <c r="T636" s="40"/>
      <c r="U636" s="40"/>
      <c r="W636" s="40"/>
      <c r="X636" s="40"/>
      <c r="Y636" s="40"/>
      <c r="Z636" s="40"/>
      <c r="AA636" s="41"/>
      <c r="AB636" s="41"/>
      <c r="AC636" s="41"/>
      <c r="AD636" s="41"/>
      <c r="AE636" s="40"/>
      <c r="AF636" s="42"/>
      <c r="AG636" s="5"/>
      <c r="AH636" s="5"/>
      <c r="AI636" s="40"/>
      <c r="AJ636" s="40"/>
      <c r="AK636" s="40"/>
      <c r="AL636" s="40"/>
      <c r="AM636" s="40"/>
      <c r="AO636" s="40"/>
    </row>
    <row r="637" spans="2:41" ht="12.75" customHeight="1" x14ac:dyDescent="0.25">
      <c r="B637" s="40"/>
      <c r="C637" s="40"/>
      <c r="D637" s="40"/>
      <c r="E637" s="40"/>
      <c r="F637" s="40"/>
      <c r="G637" s="40"/>
      <c r="H637" s="5"/>
      <c r="Q637" s="40"/>
      <c r="R637" s="40"/>
      <c r="S637" s="40"/>
      <c r="T637" s="40"/>
      <c r="U637" s="40"/>
      <c r="W637" s="40"/>
      <c r="X637" s="40"/>
      <c r="Y637" s="40"/>
      <c r="Z637" s="40"/>
      <c r="AA637" s="41"/>
      <c r="AB637" s="41"/>
      <c r="AC637" s="41"/>
      <c r="AD637" s="41"/>
      <c r="AE637" s="40"/>
      <c r="AF637" s="42"/>
      <c r="AG637" s="5"/>
      <c r="AH637" s="5"/>
      <c r="AI637" s="40"/>
      <c r="AJ637" s="40"/>
      <c r="AK637" s="40"/>
      <c r="AL637" s="40"/>
      <c r="AM637" s="40"/>
      <c r="AO637" s="40"/>
    </row>
    <row r="638" spans="2:41" ht="12.75" customHeight="1" x14ac:dyDescent="0.25">
      <c r="B638" s="40"/>
      <c r="C638" s="40"/>
      <c r="D638" s="40"/>
      <c r="E638" s="40"/>
      <c r="F638" s="40"/>
      <c r="G638" s="40"/>
      <c r="H638" s="5"/>
      <c r="Q638" s="40"/>
      <c r="R638" s="40"/>
      <c r="S638" s="40"/>
      <c r="T638" s="40"/>
      <c r="U638" s="40"/>
      <c r="W638" s="40"/>
      <c r="X638" s="40"/>
      <c r="Y638" s="40"/>
      <c r="Z638" s="40"/>
      <c r="AA638" s="41"/>
      <c r="AB638" s="41"/>
      <c r="AC638" s="41"/>
      <c r="AD638" s="41"/>
      <c r="AE638" s="40"/>
      <c r="AF638" s="42"/>
      <c r="AG638" s="5"/>
      <c r="AH638" s="5"/>
      <c r="AI638" s="40"/>
      <c r="AJ638" s="40"/>
      <c r="AK638" s="40"/>
      <c r="AL638" s="40"/>
      <c r="AM638" s="40"/>
      <c r="AO638" s="40"/>
    </row>
    <row r="639" spans="2:41" ht="12.75" customHeight="1" x14ac:dyDescent="0.25">
      <c r="B639" s="40"/>
      <c r="C639" s="40"/>
      <c r="D639" s="40"/>
      <c r="E639" s="40"/>
      <c r="F639" s="40"/>
      <c r="G639" s="40"/>
      <c r="H639" s="5"/>
      <c r="Q639" s="40"/>
      <c r="R639" s="40"/>
      <c r="S639" s="40"/>
      <c r="T639" s="40"/>
      <c r="U639" s="40"/>
      <c r="W639" s="40"/>
      <c r="X639" s="40"/>
      <c r="Y639" s="40"/>
      <c r="Z639" s="40"/>
      <c r="AA639" s="41"/>
      <c r="AB639" s="41"/>
      <c r="AC639" s="41"/>
      <c r="AD639" s="41"/>
      <c r="AE639" s="40"/>
      <c r="AF639" s="42"/>
      <c r="AG639" s="5"/>
      <c r="AH639" s="5"/>
      <c r="AI639" s="40"/>
      <c r="AJ639" s="40"/>
      <c r="AK639" s="40"/>
      <c r="AL639" s="40"/>
      <c r="AM639" s="40"/>
      <c r="AO639" s="40"/>
    </row>
    <row r="640" spans="2:41" ht="12.75" customHeight="1" x14ac:dyDescent="0.25">
      <c r="B640" s="40"/>
      <c r="C640" s="40"/>
      <c r="D640" s="40"/>
      <c r="E640" s="40"/>
      <c r="F640" s="40"/>
      <c r="G640" s="40"/>
      <c r="H640" s="5"/>
      <c r="Q640" s="40"/>
      <c r="R640" s="40"/>
      <c r="S640" s="40"/>
      <c r="T640" s="40"/>
      <c r="U640" s="40"/>
      <c r="W640" s="40"/>
      <c r="X640" s="40"/>
      <c r="Y640" s="40"/>
      <c r="Z640" s="40"/>
      <c r="AA640" s="41"/>
      <c r="AB640" s="41"/>
      <c r="AC640" s="41"/>
      <c r="AD640" s="41"/>
      <c r="AE640" s="40"/>
      <c r="AF640" s="42"/>
      <c r="AG640" s="5"/>
      <c r="AH640" s="5"/>
      <c r="AI640" s="40"/>
      <c r="AJ640" s="40"/>
      <c r="AK640" s="40"/>
      <c r="AL640" s="40"/>
      <c r="AM640" s="40"/>
      <c r="AO640" s="40"/>
    </row>
    <row r="641" spans="2:41" ht="12.75" customHeight="1" x14ac:dyDescent="0.25">
      <c r="B641" s="40"/>
      <c r="C641" s="40"/>
      <c r="D641" s="40"/>
      <c r="E641" s="40"/>
      <c r="F641" s="40"/>
      <c r="G641" s="40"/>
      <c r="H641" s="5"/>
      <c r="Q641" s="40"/>
      <c r="R641" s="40"/>
      <c r="S641" s="40"/>
      <c r="T641" s="40"/>
      <c r="U641" s="40"/>
      <c r="W641" s="40"/>
      <c r="X641" s="40"/>
      <c r="Y641" s="40"/>
      <c r="Z641" s="40"/>
      <c r="AA641" s="41"/>
      <c r="AB641" s="41"/>
      <c r="AC641" s="41"/>
      <c r="AD641" s="41"/>
      <c r="AE641" s="40"/>
      <c r="AF641" s="42"/>
      <c r="AG641" s="5"/>
      <c r="AH641" s="5"/>
      <c r="AI641" s="40"/>
      <c r="AJ641" s="40"/>
      <c r="AK641" s="40"/>
      <c r="AL641" s="40"/>
      <c r="AM641" s="40"/>
      <c r="AO641" s="40"/>
    </row>
    <row r="642" spans="2:41" ht="12.75" customHeight="1" x14ac:dyDescent="0.25">
      <c r="B642" s="40"/>
      <c r="C642" s="40"/>
      <c r="D642" s="40"/>
      <c r="E642" s="40"/>
      <c r="F642" s="40"/>
      <c r="G642" s="40"/>
      <c r="H642" s="5"/>
      <c r="Q642" s="40"/>
      <c r="R642" s="40"/>
      <c r="S642" s="40"/>
      <c r="T642" s="40"/>
      <c r="U642" s="40"/>
      <c r="W642" s="40"/>
      <c r="X642" s="40"/>
      <c r="Y642" s="40"/>
      <c r="Z642" s="40"/>
      <c r="AA642" s="41"/>
      <c r="AB642" s="41"/>
      <c r="AC642" s="41"/>
      <c r="AD642" s="41"/>
      <c r="AE642" s="40"/>
      <c r="AF642" s="42"/>
      <c r="AG642" s="5"/>
      <c r="AH642" s="5"/>
      <c r="AI642" s="40"/>
      <c r="AJ642" s="40"/>
      <c r="AK642" s="40"/>
      <c r="AL642" s="40"/>
      <c r="AM642" s="40"/>
      <c r="AO642" s="40"/>
    </row>
    <row r="643" spans="2:41" ht="12.75" customHeight="1" x14ac:dyDescent="0.25">
      <c r="B643" s="40"/>
      <c r="C643" s="40"/>
      <c r="D643" s="40"/>
      <c r="E643" s="40"/>
      <c r="F643" s="40"/>
      <c r="G643" s="40"/>
      <c r="H643" s="5"/>
      <c r="Q643" s="40"/>
      <c r="R643" s="40"/>
      <c r="S643" s="40"/>
      <c r="T643" s="40"/>
      <c r="U643" s="40"/>
      <c r="W643" s="40"/>
      <c r="X643" s="40"/>
      <c r="Y643" s="40"/>
      <c r="Z643" s="40"/>
      <c r="AA643" s="41"/>
      <c r="AB643" s="41"/>
      <c r="AC643" s="41"/>
      <c r="AD643" s="41"/>
      <c r="AE643" s="40"/>
      <c r="AF643" s="42"/>
      <c r="AG643" s="5"/>
      <c r="AH643" s="5"/>
      <c r="AI643" s="40"/>
      <c r="AJ643" s="40"/>
      <c r="AK643" s="40"/>
      <c r="AL643" s="40"/>
      <c r="AM643" s="40"/>
      <c r="AO643" s="40"/>
    </row>
    <row r="644" spans="2:41" ht="12.75" customHeight="1" x14ac:dyDescent="0.25">
      <c r="B644" s="40"/>
      <c r="C644" s="40"/>
      <c r="D644" s="40"/>
      <c r="E644" s="40"/>
      <c r="F644" s="40"/>
      <c r="G644" s="40"/>
      <c r="H644" s="5"/>
      <c r="Q644" s="40"/>
      <c r="R644" s="40"/>
      <c r="S644" s="40"/>
      <c r="T644" s="40"/>
      <c r="U644" s="40"/>
      <c r="W644" s="40"/>
      <c r="X644" s="40"/>
      <c r="Y644" s="40"/>
      <c r="Z644" s="40"/>
      <c r="AA644" s="41"/>
      <c r="AB644" s="41"/>
      <c r="AC644" s="41"/>
      <c r="AD644" s="41"/>
      <c r="AE644" s="40"/>
      <c r="AF644" s="42"/>
      <c r="AG644" s="5"/>
      <c r="AH644" s="5"/>
      <c r="AI644" s="40"/>
      <c r="AJ644" s="40"/>
      <c r="AK644" s="40"/>
      <c r="AL644" s="40"/>
      <c r="AM644" s="40"/>
      <c r="AO644" s="40"/>
    </row>
    <row r="645" spans="2:41" ht="12.75" customHeight="1" x14ac:dyDescent="0.25">
      <c r="B645" s="40"/>
      <c r="C645" s="40"/>
      <c r="D645" s="40"/>
      <c r="E645" s="40"/>
      <c r="F645" s="40"/>
      <c r="G645" s="40"/>
      <c r="H645" s="5"/>
      <c r="Q645" s="40"/>
      <c r="R645" s="40"/>
      <c r="S645" s="40"/>
      <c r="T645" s="40"/>
      <c r="U645" s="40"/>
      <c r="W645" s="40"/>
      <c r="X645" s="40"/>
      <c r="Y645" s="40"/>
      <c r="Z645" s="40"/>
      <c r="AA645" s="41"/>
      <c r="AB645" s="41"/>
      <c r="AC645" s="41"/>
      <c r="AD645" s="41"/>
      <c r="AE645" s="40"/>
      <c r="AF645" s="42"/>
      <c r="AG645" s="5"/>
      <c r="AH645" s="5"/>
      <c r="AI645" s="40"/>
      <c r="AJ645" s="40"/>
      <c r="AK645" s="40"/>
      <c r="AL645" s="40"/>
      <c r="AM645" s="40"/>
      <c r="AO645" s="40"/>
    </row>
    <row r="646" spans="2:41" ht="12.75" customHeight="1" x14ac:dyDescent="0.25">
      <c r="B646" s="40"/>
      <c r="C646" s="40"/>
      <c r="D646" s="40"/>
      <c r="E646" s="40"/>
      <c r="F646" s="40"/>
      <c r="G646" s="40"/>
      <c r="H646" s="5"/>
      <c r="Q646" s="40"/>
      <c r="R646" s="40"/>
      <c r="S646" s="40"/>
      <c r="T646" s="40"/>
      <c r="U646" s="40"/>
      <c r="W646" s="40"/>
      <c r="X646" s="40"/>
      <c r="Y646" s="40"/>
      <c r="Z646" s="40"/>
      <c r="AA646" s="41"/>
      <c r="AB646" s="41"/>
      <c r="AC646" s="41"/>
      <c r="AD646" s="41"/>
      <c r="AE646" s="40"/>
      <c r="AF646" s="42"/>
      <c r="AG646" s="5"/>
      <c r="AH646" s="5"/>
      <c r="AI646" s="40"/>
      <c r="AJ646" s="40"/>
      <c r="AK646" s="40"/>
      <c r="AL646" s="40"/>
      <c r="AM646" s="40"/>
      <c r="AO646" s="40"/>
    </row>
    <row r="647" spans="2:41" ht="12.75" customHeight="1" x14ac:dyDescent="0.25">
      <c r="B647" s="40"/>
      <c r="C647" s="40"/>
      <c r="D647" s="40"/>
      <c r="E647" s="40"/>
      <c r="F647" s="40"/>
      <c r="G647" s="40"/>
      <c r="H647" s="5"/>
      <c r="Q647" s="40"/>
      <c r="R647" s="40"/>
      <c r="S647" s="40"/>
      <c r="T647" s="40"/>
      <c r="U647" s="40"/>
      <c r="W647" s="40"/>
      <c r="X647" s="40"/>
      <c r="Y647" s="40"/>
      <c r="Z647" s="40"/>
      <c r="AA647" s="41"/>
      <c r="AB647" s="41"/>
      <c r="AC647" s="41"/>
      <c r="AD647" s="41"/>
      <c r="AE647" s="40"/>
      <c r="AF647" s="42"/>
      <c r="AG647" s="5"/>
      <c r="AH647" s="5"/>
      <c r="AI647" s="40"/>
      <c r="AJ647" s="40"/>
      <c r="AK647" s="40"/>
      <c r="AL647" s="40"/>
      <c r="AM647" s="40"/>
      <c r="AO647" s="40"/>
    </row>
    <row r="648" spans="2:41" ht="12.75" customHeight="1" x14ac:dyDescent="0.25">
      <c r="B648" s="40"/>
      <c r="C648" s="40"/>
      <c r="D648" s="40"/>
      <c r="E648" s="40"/>
      <c r="F648" s="40"/>
      <c r="G648" s="40"/>
      <c r="H648" s="5"/>
      <c r="Q648" s="40"/>
      <c r="R648" s="40"/>
      <c r="S648" s="40"/>
      <c r="T648" s="40"/>
      <c r="U648" s="40"/>
      <c r="W648" s="40"/>
      <c r="X648" s="40"/>
      <c r="Y648" s="40"/>
      <c r="Z648" s="40"/>
      <c r="AA648" s="41"/>
      <c r="AB648" s="41"/>
      <c r="AC648" s="41"/>
      <c r="AD648" s="41"/>
      <c r="AE648" s="40"/>
      <c r="AF648" s="42"/>
      <c r="AG648" s="5"/>
      <c r="AH648" s="5"/>
      <c r="AI648" s="40"/>
      <c r="AJ648" s="40"/>
      <c r="AK648" s="40"/>
      <c r="AL648" s="40"/>
      <c r="AM648" s="40"/>
      <c r="AO648" s="40"/>
    </row>
    <row r="649" spans="2:41" ht="12.75" customHeight="1" x14ac:dyDescent="0.25">
      <c r="B649" s="40"/>
      <c r="C649" s="40"/>
      <c r="D649" s="40"/>
      <c r="E649" s="40"/>
      <c r="F649" s="40"/>
      <c r="G649" s="40"/>
      <c r="H649" s="5"/>
      <c r="Q649" s="40"/>
      <c r="R649" s="40"/>
      <c r="S649" s="40"/>
      <c r="T649" s="40"/>
      <c r="U649" s="40"/>
      <c r="W649" s="40"/>
      <c r="X649" s="40"/>
      <c r="Y649" s="40"/>
      <c r="Z649" s="40"/>
      <c r="AA649" s="41"/>
      <c r="AB649" s="41"/>
      <c r="AC649" s="41"/>
      <c r="AD649" s="41"/>
      <c r="AE649" s="40"/>
      <c r="AF649" s="42"/>
      <c r="AG649" s="5"/>
      <c r="AH649" s="5"/>
      <c r="AI649" s="40"/>
      <c r="AJ649" s="40"/>
      <c r="AK649" s="40"/>
      <c r="AL649" s="40"/>
      <c r="AM649" s="40"/>
      <c r="AO649" s="40"/>
    </row>
    <row r="650" spans="2:41" ht="12.75" customHeight="1" x14ac:dyDescent="0.25">
      <c r="B650" s="40"/>
      <c r="C650" s="40"/>
      <c r="D650" s="40"/>
      <c r="E650" s="40"/>
      <c r="F650" s="40"/>
      <c r="G650" s="40"/>
      <c r="H650" s="5"/>
      <c r="Q650" s="40"/>
      <c r="R650" s="40"/>
      <c r="S650" s="40"/>
      <c r="T650" s="40"/>
      <c r="U650" s="40"/>
      <c r="W650" s="40"/>
      <c r="X650" s="40"/>
      <c r="Y650" s="40"/>
      <c r="Z650" s="40"/>
      <c r="AA650" s="41"/>
      <c r="AB650" s="41"/>
      <c r="AC650" s="41"/>
      <c r="AD650" s="41"/>
      <c r="AE650" s="40"/>
      <c r="AF650" s="42"/>
      <c r="AG650" s="5"/>
      <c r="AH650" s="5"/>
      <c r="AI650" s="40"/>
      <c r="AJ650" s="40"/>
      <c r="AK650" s="40"/>
      <c r="AL650" s="40"/>
      <c r="AM650" s="40"/>
      <c r="AO650" s="40"/>
    </row>
    <row r="651" spans="2:41" ht="12.75" customHeight="1" x14ac:dyDescent="0.25">
      <c r="B651" s="40"/>
      <c r="C651" s="40"/>
      <c r="D651" s="40"/>
      <c r="E651" s="40"/>
      <c r="F651" s="40"/>
      <c r="G651" s="40"/>
      <c r="H651" s="5"/>
      <c r="Q651" s="40"/>
      <c r="R651" s="40"/>
      <c r="S651" s="40"/>
      <c r="T651" s="40"/>
      <c r="U651" s="40"/>
      <c r="W651" s="40"/>
      <c r="X651" s="40"/>
      <c r="Y651" s="40"/>
      <c r="Z651" s="40"/>
      <c r="AA651" s="41"/>
      <c r="AB651" s="41"/>
      <c r="AC651" s="41"/>
      <c r="AD651" s="41"/>
      <c r="AE651" s="40"/>
      <c r="AF651" s="42"/>
      <c r="AG651" s="5"/>
      <c r="AH651" s="5"/>
      <c r="AI651" s="40"/>
      <c r="AJ651" s="40"/>
      <c r="AK651" s="40"/>
      <c r="AL651" s="40"/>
      <c r="AM651" s="40"/>
      <c r="AO651" s="40"/>
    </row>
    <row r="652" spans="2:41" ht="12.75" customHeight="1" x14ac:dyDescent="0.25">
      <c r="B652" s="40"/>
      <c r="C652" s="40"/>
      <c r="D652" s="40"/>
      <c r="E652" s="40"/>
      <c r="F652" s="40"/>
      <c r="G652" s="40"/>
      <c r="H652" s="5"/>
      <c r="Q652" s="40"/>
      <c r="R652" s="40"/>
      <c r="S652" s="40"/>
      <c r="T652" s="40"/>
      <c r="U652" s="40"/>
      <c r="W652" s="40"/>
      <c r="X652" s="40"/>
      <c r="Y652" s="40"/>
      <c r="Z652" s="40"/>
      <c r="AA652" s="41"/>
      <c r="AB652" s="41"/>
      <c r="AC652" s="41"/>
      <c r="AD652" s="41"/>
      <c r="AE652" s="40"/>
      <c r="AF652" s="42"/>
      <c r="AG652" s="5"/>
      <c r="AH652" s="5"/>
      <c r="AI652" s="40"/>
      <c r="AJ652" s="40"/>
      <c r="AK652" s="40"/>
      <c r="AL652" s="40"/>
      <c r="AM652" s="40"/>
      <c r="AO652" s="40"/>
    </row>
    <row r="653" spans="2:41" ht="12.75" customHeight="1" x14ac:dyDescent="0.25">
      <c r="B653" s="40"/>
      <c r="C653" s="40"/>
      <c r="D653" s="40"/>
      <c r="E653" s="40"/>
      <c r="F653" s="40"/>
      <c r="G653" s="40"/>
      <c r="H653" s="5"/>
      <c r="Q653" s="40"/>
      <c r="R653" s="40"/>
      <c r="S653" s="40"/>
      <c r="T653" s="40"/>
      <c r="U653" s="40"/>
      <c r="W653" s="40"/>
      <c r="X653" s="40"/>
      <c r="Y653" s="40"/>
      <c r="Z653" s="40"/>
      <c r="AA653" s="41"/>
      <c r="AB653" s="41"/>
      <c r="AC653" s="41"/>
      <c r="AD653" s="41"/>
      <c r="AE653" s="40"/>
      <c r="AF653" s="42"/>
      <c r="AG653" s="5"/>
      <c r="AH653" s="5"/>
      <c r="AI653" s="40"/>
      <c r="AJ653" s="40"/>
      <c r="AK653" s="40"/>
      <c r="AL653" s="40"/>
      <c r="AM653" s="40"/>
      <c r="AO653" s="40"/>
    </row>
    <row r="654" spans="2:41" ht="12.75" customHeight="1" x14ac:dyDescent="0.25">
      <c r="B654" s="40"/>
      <c r="C654" s="40"/>
      <c r="D654" s="40"/>
      <c r="E654" s="40"/>
      <c r="F654" s="40"/>
      <c r="G654" s="40"/>
      <c r="H654" s="5"/>
      <c r="Q654" s="40"/>
      <c r="R654" s="40"/>
      <c r="S654" s="40"/>
      <c r="T654" s="40"/>
      <c r="U654" s="40"/>
      <c r="W654" s="40"/>
      <c r="X654" s="40"/>
      <c r="Y654" s="40"/>
      <c r="Z654" s="40"/>
      <c r="AA654" s="41"/>
      <c r="AB654" s="41"/>
      <c r="AC654" s="41"/>
      <c r="AD654" s="41"/>
      <c r="AE654" s="40"/>
      <c r="AF654" s="42"/>
      <c r="AG654" s="5"/>
      <c r="AH654" s="5"/>
      <c r="AI654" s="40"/>
      <c r="AJ654" s="40"/>
      <c r="AK654" s="40"/>
      <c r="AL654" s="40"/>
      <c r="AM654" s="40"/>
      <c r="AO654" s="40"/>
    </row>
    <row r="655" spans="2:41" ht="12.75" customHeight="1" x14ac:dyDescent="0.25">
      <c r="B655" s="40"/>
      <c r="C655" s="40"/>
      <c r="D655" s="40"/>
      <c r="E655" s="40"/>
      <c r="F655" s="40"/>
      <c r="G655" s="40"/>
      <c r="H655" s="5"/>
      <c r="Q655" s="40"/>
      <c r="R655" s="40"/>
      <c r="S655" s="40"/>
      <c r="T655" s="40"/>
      <c r="U655" s="40"/>
      <c r="W655" s="40"/>
      <c r="X655" s="40"/>
      <c r="Y655" s="40"/>
      <c r="Z655" s="40"/>
      <c r="AA655" s="41"/>
      <c r="AB655" s="41"/>
      <c r="AC655" s="41"/>
      <c r="AD655" s="41"/>
      <c r="AE655" s="40"/>
      <c r="AF655" s="42"/>
      <c r="AG655" s="5"/>
      <c r="AH655" s="5"/>
      <c r="AI655" s="40"/>
      <c r="AJ655" s="40"/>
      <c r="AK655" s="40"/>
      <c r="AL655" s="40"/>
      <c r="AM655" s="40"/>
      <c r="AO655" s="40"/>
    </row>
    <row r="656" spans="2:41" ht="12.75" customHeight="1" x14ac:dyDescent="0.25">
      <c r="B656" s="40"/>
      <c r="C656" s="40"/>
      <c r="D656" s="40"/>
      <c r="E656" s="40"/>
      <c r="F656" s="40"/>
      <c r="G656" s="40"/>
      <c r="H656" s="5"/>
      <c r="Q656" s="40"/>
      <c r="R656" s="40"/>
      <c r="S656" s="40"/>
      <c r="T656" s="40"/>
      <c r="U656" s="40"/>
      <c r="W656" s="40"/>
      <c r="X656" s="40"/>
      <c r="Y656" s="40"/>
      <c r="Z656" s="40"/>
      <c r="AA656" s="41"/>
      <c r="AB656" s="41"/>
      <c r="AC656" s="41"/>
      <c r="AD656" s="41"/>
      <c r="AE656" s="40"/>
      <c r="AF656" s="42"/>
      <c r="AG656" s="5"/>
      <c r="AH656" s="5"/>
      <c r="AI656" s="40"/>
      <c r="AJ656" s="40"/>
      <c r="AK656" s="40"/>
      <c r="AL656" s="40"/>
      <c r="AM656" s="40"/>
      <c r="AO656" s="40"/>
    </row>
    <row r="657" spans="2:41" ht="12.75" customHeight="1" x14ac:dyDescent="0.25">
      <c r="B657" s="40"/>
      <c r="C657" s="40"/>
      <c r="D657" s="40"/>
      <c r="E657" s="40"/>
      <c r="F657" s="40"/>
      <c r="G657" s="40"/>
      <c r="H657" s="5"/>
      <c r="Q657" s="40"/>
      <c r="R657" s="40"/>
      <c r="S657" s="40"/>
      <c r="T657" s="40"/>
      <c r="U657" s="40"/>
      <c r="W657" s="40"/>
      <c r="X657" s="40"/>
      <c r="Y657" s="40"/>
      <c r="Z657" s="40"/>
      <c r="AA657" s="41"/>
      <c r="AB657" s="41"/>
      <c r="AC657" s="41"/>
      <c r="AD657" s="41"/>
      <c r="AE657" s="40"/>
      <c r="AF657" s="42"/>
      <c r="AG657" s="5"/>
      <c r="AH657" s="5"/>
      <c r="AI657" s="40"/>
      <c r="AJ657" s="40"/>
      <c r="AK657" s="40"/>
      <c r="AL657" s="40"/>
      <c r="AM657" s="40"/>
      <c r="AO657" s="40"/>
    </row>
    <row r="658" spans="2:41" ht="12.75" customHeight="1" x14ac:dyDescent="0.25">
      <c r="B658" s="40"/>
      <c r="C658" s="40"/>
      <c r="D658" s="40"/>
      <c r="E658" s="40"/>
      <c r="F658" s="40"/>
      <c r="G658" s="40"/>
      <c r="H658" s="5"/>
      <c r="Q658" s="40"/>
      <c r="R658" s="40"/>
      <c r="S658" s="40"/>
      <c r="T658" s="40"/>
      <c r="U658" s="40"/>
      <c r="W658" s="40"/>
      <c r="X658" s="40"/>
      <c r="Y658" s="40"/>
      <c r="Z658" s="40"/>
      <c r="AA658" s="41"/>
      <c r="AB658" s="41"/>
      <c r="AC658" s="41"/>
      <c r="AD658" s="41"/>
      <c r="AE658" s="40"/>
      <c r="AF658" s="42"/>
      <c r="AG658" s="5"/>
      <c r="AH658" s="5"/>
      <c r="AI658" s="40"/>
      <c r="AJ658" s="40"/>
      <c r="AK658" s="40"/>
      <c r="AL658" s="40"/>
      <c r="AM658" s="40"/>
      <c r="AO658" s="40"/>
    </row>
    <row r="659" spans="2:41" ht="12.75" customHeight="1" x14ac:dyDescent="0.25">
      <c r="B659" s="40"/>
      <c r="C659" s="40"/>
      <c r="D659" s="40"/>
      <c r="E659" s="40"/>
      <c r="F659" s="40"/>
      <c r="G659" s="40"/>
      <c r="H659" s="5"/>
      <c r="Q659" s="40"/>
      <c r="R659" s="40"/>
      <c r="S659" s="40"/>
      <c r="T659" s="40"/>
      <c r="U659" s="40"/>
      <c r="W659" s="40"/>
      <c r="X659" s="40"/>
      <c r="Y659" s="40"/>
      <c r="Z659" s="40"/>
      <c r="AA659" s="41"/>
      <c r="AB659" s="41"/>
      <c r="AC659" s="41"/>
      <c r="AD659" s="41"/>
      <c r="AE659" s="40"/>
      <c r="AF659" s="42"/>
      <c r="AG659" s="5"/>
      <c r="AH659" s="5"/>
      <c r="AI659" s="40"/>
      <c r="AJ659" s="40"/>
      <c r="AK659" s="40"/>
      <c r="AL659" s="40"/>
      <c r="AM659" s="40"/>
      <c r="AO659" s="40"/>
    </row>
    <row r="660" spans="2:41" ht="12.75" customHeight="1" x14ac:dyDescent="0.25">
      <c r="B660" s="40"/>
      <c r="C660" s="40"/>
      <c r="D660" s="40"/>
      <c r="E660" s="40"/>
      <c r="F660" s="40"/>
      <c r="G660" s="40"/>
      <c r="H660" s="5"/>
      <c r="Q660" s="40"/>
      <c r="R660" s="40"/>
      <c r="S660" s="40"/>
      <c r="T660" s="40"/>
      <c r="U660" s="40"/>
      <c r="W660" s="40"/>
      <c r="X660" s="40"/>
      <c r="Y660" s="40"/>
      <c r="Z660" s="40"/>
      <c r="AA660" s="41"/>
      <c r="AB660" s="41"/>
      <c r="AC660" s="41"/>
      <c r="AD660" s="41"/>
      <c r="AE660" s="40"/>
      <c r="AF660" s="42"/>
      <c r="AG660" s="5"/>
      <c r="AH660" s="5"/>
      <c r="AI660" s="40"/>
      <c r="AJ660" s="40"/>
      <c r="AK660" s="40"/>
      <c r="AL660" s="40"/>
      <c r="AM660" s="40"/>
      <c r="AO660" s="40"/>
    </row>
    <row r="661" spans="2:41" ht="12.75" customHeight="1" x14ac:dyDescent="0.25">
      <c r="B661" s="40"/>
      <c r="C661" s="40"/>
      <c r="D661" s="40"/>
      <c r="E661" s="40"/>
      <c r="F661" s="40"/>
      <c r="G661" s="40"/>
      <c r="H661" s="5"/>
      <c r="Q661" s="40"/>
      <c r="R661" s="40"/>
      <c r="S661" s="40"/>
      <c r="T661" s="40"/>
      <c r="U661" s="40"/>
      <c r="W661" s="40"/>
      <c r="X661" s="40"/>
      <c r="Y661" s="40"/>
      <c r="Z661" s="40"/>
      <c r="AA661" s="41"/>
      <c r="AB661" s="41"/>
      <c r="AC661" s="41"/>
      <c r="AD661" s="41"/>
      <c r="AE661" s="40"/>
      <c r="AF661" s="42"/>
      <c r="AG661" s="5"/>
      <c r="AH661" s="5"/>
      <c r="AI661" s="40"/>
      <c r="AJ661" s="40"/>
      <c r="AK661" s="40"/>
      <c r="AL661" s="40"/>
      <c r="AM661" s="40"/>
      <c r="AO661" s="40"/>
    </row>
    <row r="662" spans="2:41" ht="12.75" customHeight="1" x14ac:dyDescent="0.25">
      <c r="B662" s="40"/>
      <c r="C662" s="40"/>
      <c r="D662" s="40"/>
      <c r="E662" s="40"/>
      <c r="F662" s="40"/>
      <c r="G662" s="40"/>
      <c r="H662" s="5"/>
      <c r="Q662" s="40"/>
      <c r="R662" s="40"/>
      <c r="S662" s="40"/>
      <c r="T662" s="40"/>
      <c r="U662" s="40"/>
      <c r="W662" s="40"/>
      <c r="X662" s="40"/>
      <c r="Y662" s="40"/>
      <c r="Z662" s="40"/>
      <c r="AA662" s="41"/>
      <c r="AB662" s="41"/>
      <c r="AC662" s="41"/>
      <c r="AD662" s="41"/>
      <c r="AE662" s="40"/>
      <c r="AF662" s="42"/>
      <c r="AG662" s="5"/>
      <c r="AH662" s="5"/>
      <c r="AI662" s="40"/>
      <c r="AJ662" s="40"/>
      <c r="AK662" s="40"/>
      <c r="AL662" s="40"/>
      <c r="AM662" s="40"/>
      <c r="AO662" s="40"/>
    </row>
    <row r="663" spans="2:41" ht="12.75" customHeight="1" x14ac:dyDescent="0.25">
      <c r="B663" s="40"/>
      <c r="C663" s="40"/>
      <c r="D663" s="40"/>
      <c r="E663" s="40"/>
      <c r="F663" s="40"/>
      <c r="G663" s="40"/>
      <c r="H663" s="5"/>
      <c r="Q663" s="40"/>
      <c r="R663" s="40"/>
      <c r="S663" s="40"/>
      <c r="T663" s="40"/>
      <c r="U663" s="40"/>
      <c r="W663" s="40"/>
      <c r="X663" s="40"/>
      <c r="Y663" s="40"/>
      <c r="Z663" s="40"/>
      <c r="AA663" s="41"/>
      <c r="AB663" s="41"/>
      <c r="AC663" s="41"/>
      <c r="AD663" s="41"/>
      <c r="AE663" s="40"/>
      <c r="AF663" s="42"/>
      <c r="AG663" s="5"/>
      <c r="AH663" s="5"/>
      <c r="AI663" s="40"/>
      <c r="AJ663" s="40"/>
      <c r="AK663" s="40"/>
      <c r="AL663" s="40"/>
      <c r="AM663" s="40"/>
      <c r="AO663" s="40"/>
    </row>
    <row r="664" spans="2:41" ht="12.75" customHeight="1" x14ac:dyDescent="0.25">
      <c r="B664" s="40"/>
      <c r="C664" s="40"/>
      <c r="D664" s="40"/>
      <c r="E664" s="40"/>
      <c r="F664" s="40"/>
      <c r="G664" s="40"/>
      <c r="H664" s="5"/>
      <c r="Q664" s="40"/>
      <c r="R664" s="40"/>
      <c r="S664" s="40"/>
      <c r="T664" s="40"/>
      <c r="U664" s="40"/>
      <c r="W664" s="40"/>
      <c r="X664" s="40"/>
      <c r="Y664" s="40"/>
      <c r="Z664" s="40"/>
      <c r="AA664" s="41"/>
      <c r="AB664" s="41"/>
      <c r="AC664" s="41"/>
      <c r="AD664" s="41"/>
      <c r="AE664" s="40"/>
      <c r="AF664" s="42"/>
      <c r="AG664" s="5"/>
      <c r="AH664" s="5"/>
      <c r="AI664" s="40"/>
      <c r="AJ664" s="40"/>
      <c r="AK664" s="40"/>
      <c r="AL664" s="40"/>
      <c r="AM664" s="40"/>
      <c r="AO664" s="40"/>
    </row>
    <row r="665" spans="2:41" ht="12.75" customHeight="1" x14ac:dyDescent="0.25">
      <c r="B665" s="40"/>
      <c r="C665" s="40"/>
      <c r="D665" s="40"/>
      <c r="E665" s="40"/>
      <c r="F665" s="40"/>
      <c r="G665" s="40"/>
      <c r="H665" s="5"/>
      <c r="Q665" s="40"/>
      <c r="R665" s="40"/>
      <c r="S665" s="40"/>
      <c r="T665" s="40"/>
      <c r="U665" s="40"/>
      <c r="W665" s="40"/>
      <c r="X665" s="40"/>
      <c r="Y665" s="40"/>
      <c r="Z665" s="40"/>
      <c r="AA665" s="41"/>
      <c r="AB665" s="41"/>
      <c r="AC665" s="41"/>
      <c r="AD665" s="41"/>
      <c r="AE665" s="40"/>
      <c r="AF665" s="42"/>
      <c r="AG665" s="5"/>
      <c r="AH665" s="5"/>
      <c r="AI665" s="40"/>
      <c r="AJ665" s="40"/>
      <c r="AK665" s="40"/>
      <c r="AL665" s="40"/>
      <c r="AM665" s="40"/>
      <c r="AO665" s="40"/>
    </row>
    <row r="666" spans="2:41" ht="12.75" customHeight="1" x14ac:dyDescent="0.25">
      <c r="B666" s="40"/>
      <c r="C666" s="40"/>
      <c r="D666" s="40"/>
      <c r="E666" s="40"/>
      <c r="F666" s="40"/>
      <c r="G666" s="40"/>
      <c r="H666" s="5"/>
      <c r="Q666" s="40"/>
      <c r="R666" s="40"/>
      <c r="S666" s="40"/>
      <c r="T666" s="40"/>
      <c r="U666" s="40"/>
      <c r="W666" s="40"/>
      <c r="X666" s="40"/>
      <c r="Y666" s="40"/>
      <c r="Z666" s="40"/>
      <c r="AA666" s="41"/>
      <c r="AB666" s="41"/>
      <c r="AC666" s="41"/>
      <c r="AD666" s="41"/>
      <c r="AE666" s="40"/>
      <c r="AF666" s="42"/>
      <c r="AG666" s="5"/>
      <c r="AH666" s="5"/>
      <c r="AI666" s="40"/>
      <c r="AJ666" s="40"/>
      <c r="AK666" s="40"/>
      <c r="AL666" s="40"/>
      <c r="AM666" s="40"/>
      <c r="AO666" s="40"/>
    </row>
    <row r="667" spans="2:41" ht="12.75" customHeight="1" x14ac:dyDescent="0.25">
      <c r="B667" s="40"/>
      <c r="C667" s="40"/>
      <c r="D667" s="40"/>
      <c r="E667" s="40"/>
      <c r="F667" s="40"/>
      <c r="G667" s="40"/>
      <c r="H667" s="5"/>
      <c r="Q667" s="40"/>
      <c r="R667" s="40"/>
      <c r="S667" s="40"/>
      <c r="T667" s="40"/>
      <c r="U667" s="40"/>
      <c r="W667" s="40"/>
      <c r="X667" s="40"/>
      <c r="Y667" s="40"/>
      <c r="Z667" s="40"/>
      <c r="AA667" s="41"/>
      <c r="AB667" s="41"/>
      <c r="AC667" s="41"/>
      <c r="AD667" s="41"/>
      <c r="AE667" s="40"/>
      <c r="AF667" s="42"/>
      <c r="AG667" s="5"/>
      <c r="AH667" s="5"/>
      <c r="AI667" s="40"/>
      <c r="AJ667" s="40"/>
      <c r="AK667" s="40"/>
      <c r="AL667" s="40"/>
      <c r="AM667" s="40"/>
      <c r="AO667" s="40"/>
    </row>
    <row r="668" spans="2:41" ht="12.75" customHeight="1" x14ac:dyDescent="0.25">
      <c r="B668" s="40"/>
      <c r="C668" s="40"/>
      <c r="D668" s="40"/>
      <c r="E668" s="40"/>
      <c r="F668" s="40"/>
      <c r="G668" s="40"/>
      <c r="H668" s="5"/>
      <c r="Q668" s="40"/>
      <c r="R668" s="40"/>
      <c r="S668" s="40"/>
      <c r="T668" s="40"/>
      <c r="U668" s="40"/>
      <c r="W668" s="40"/>
      <c r="X668" s="40"/>
      <c r="Y668" s="40"/>
      <c r="Z668" s="40"/>
      <c r="AA668" s="41"/>
      <c r="AB668" s="41"/>
      <c r="AC668" s="41"/>
      <c r="AD668" s="41"/>
      <c r="AE668" s="40"/>
      <c r="AF668" s="42"/>
      <c r="AG668" s="5"/>
      <c r="AH668" s="5"/>
      <c r="AI668" s="40"/>
      <c r="AJ668" s="40"/>
      <c r="AK668" s="40"/>
      <c r="AL668" s="40"/>
      <c r="AM668" s="40"/>
      <c r="AO668" s="40"/>
    </row>
    <row r="669" spans="2:41" ht="12.75" customHeight="1" x14ac:dyDescent="0.25">
      <c r="B669" s="40"/>
      <c r="C669" s="40"/>
      <c r="D669" s="40"/>
      <c r="E669" s="40"/>
      <c r="F669" s="40"/>
      <c r="G669" s="40"/>
      <c r="H669" s="5"/>
      <c r="Q669" s="40"/>
      <c r="R669" s="40"/>
      <c r="S669" s="40"/>
      <c r="T669" s="40"/>
      <c r="U669" s="40"/>
      <c r="W669" s="40"/>
      <c r="X669" s="40"/>
      <c r="Y669" s="40"/>
      <c r="Z669" s="40"/>
      <c r="AA669" s="41"/>
      <c r="AB669" s="41"/>
      <c r="AC669" s="41"/>
      <c r="AD669" s="41"/>
      <c r="AE669" s="40"/>
      <c r="AF669" s="42"/>
      <c r="AG669" s="5"/>
      <c r="AH669" s="5"/>
      <c r="AI669" s="40"/>
      <c r="AJ669" s="40"/>
      <c r="AK669" s="40"/>
      <c r="AL669" s="40"/>
      <c r="AM669" s="40"/>
      <c r="AO669" s="40"/>
    </row>
    <row r="670" spans="2:41" ht="12.75" customHeight="1" x14ac:dyDescent="0.25">
      <c r="B670" s="40"/>
      <c r="C670" s="40"/>
      <c r="D670" s="40"/>
      <c r="E670" s="40"/>
      <c r="F670" s="40"/>
      <c r="G670" s="40"/>
      <c r="H670" s="5"/>
      <c r="Q670" s="40"/>
      <c r="R670" s="40"/>
      <c r="S670" s="40"/>
      <c r="T670" s="40"/>
      <c r="U670" s="40"/>
      <c r="W670" s="40"/>
      <c r="X670" s="40"/>
      <c r="Y670" s="40"/>
      <c r="Z670" s="40"/>
      <c r="AA670" s="41"/>
      <c r="AB670" s="41"/>
      <c r="AC670" s="41"/>
      <c r="AD670" s="41"/>
      <c r="AE670" s="40"/>
      <c r="AF670" s="42"/>
      <c r="AG670" s="5"/>
      <c r="AH670" s="5"/>
      <c r="AI670" s="40"/>
      <c r="AJ670" s="40"/>
      <c r="AK670" s="40"/>
      <c r="AL670" s="40"/>
      <c r="AM670" s="40"/>
      <c r="AO670" s="40"/>
    </row>
    <row r="671" spans="2:41" ht="12.75" customHeight="1" x14ac:dyDescent="0.25">
      <c r="B671" s="40"/>
      <c r="C671" s="40"/>
      <c r="D671" s="40"/>
      <c r="E671" s="40"/>
      <c r="F671" s="40"/>
      <c r="G671" s="40"/>
      <c r="H671" s="5"/>
      <c r="Q671" s="40"/>
      <c r="R671" s="40"/>
      <c r="S671" s="40"/>
      <c r="T671" s="40"/>
      <c r="U671" s="40"/>
      <c r="W671" s="40"/>
      <c r="X671" s="40"/>
      <c r="Y671" s="40"/>
      <c r="Z671" s="40"/>
      <c r="AA671" s="41"/>
      <c r="AB671" s="41"/>
      <c r="AC671" s="41"/>
      <c r="AD671" s="41"/>
      <c r="AE671" s="40"/>
      <c r="AF671" s="42"/>
      <c r="AG671" s="5"/>
      <c r="AH671" s="5"/>
      <c r="AI671" s="40"/>
      <c r="AJ671" s="40"/>
      <c r="AK671" s="40"/>
      <c r="AL671" s="40"/>
      <c r="AM671" s="40"/>
      <c r="AO671" s="40"/>
    </row>
    <row r="672" spans="2:41" ht="12.75" customHeight="1" x14ac:dyDescent="0.25">
      <c r="B672" s="40"/>
      <c r="C672" s="40"/>
      <c r="D672" s="40"/>
      <c r="E672" s="40"/>
      <c r="F672" s="40"/>
      <c r="G672" s="40"/>
      <c r="H672" s="5"/>
      <c r="Q672" s="40"/>
      <c r="R672" s="40"/>
      <c r="S672" s="40"/>
      <c r="T672" s="40"/>
      <c r="U672" s="40"/>
      <c r="W672" s="40"/>
      <c r="X672" s="40"/>
      <c r="Y672" s="40"/>
      <c r="Z672" s="40"/>
      <c r="AA672" s="41"/>
      <c r="AB672" s="41"/>
      <c r="AC672" s="41"/>
      <c r="AD672" s="41"/>
      <c r="AE672" s="40"/>
      <c r="AF672" s="42"/>
      <c r="AG672" s="5"/>
      <c r="AH672" s="5"/>
      <c r="AI672" s="40"/>
      <c r="AJ672" s="40"/>
      <c r="AK672" s="40"/>
      <c r="AL672" s="40"/>
      <c r="AM672" s="40"/>
      <c r="AO672" s="40"/>
    </row>
    <row r="673" spans="2:41" ht="12.75" customHeight="1" x14ac:dyDescent="0.25">
      <c r="B673" s="40"/>
      <c r="C673" s="40"/>
      <c r="D673" s="40"/>
      <c r="E673" s="40"/>
      <c r="F673" s="40"/>
      <c r="G673" s="40"/>
      <c r="H673" s="5"/>
      <c r="Q673" s="40"/>
      <c r="R673" s="40"/>
      <c r="S673" s="40"/>
      <c r="T673" s="40"/>
      <c r="U673" s="40"/>
      <c r="W673" s="40"/>
      <c r="X673" s="40"/>
      <c r="Y673" s="40"/>
      <c r="Z673" s="40"/>
      <c r="AA673" s="41"/>
      <c r="AB673" s="41"/>
      <c r="AC673" s="41"/>
      <c r="AD673" s="41"/>
      <c r="AE673" s="40"/>
      <c r="AF673" s="42"/>
      <c r="AG673" s="5"/>
      <c r="AH673" s="5"/>
      <c r="AI673" s="40"/>
      <c r="AJ673" s="40"/>
      <c r="AK673" s="40"/>
      <c r="AL673" s="40"/>
      <c r="AM673" s="40"/>
      <c r="AO673" s="40"/>
    </row>
    <row r="674" spans="2:41" ht="12.75" customHeight="1" x14ac:dyDescent="0.25">
      <c r="B674" s="40"/>
      <c r="C674" s="40"/>
      <c r="D674" s="40"/>
      <c r="E674" s="40"/>
      <c r="F674" s="40"/>
      <c r="G674" s="40"/>
      <c r="H674" s="5"/>
      <c r="Q674" s="40"/>
      <c r="R674" s="40"/>
      <c r="S674" s="40"/>
      <c r="T674" s="40"/>
      <c r="U674" s="40"/>
      <c r="W674" s="40"/>
      <c r="X674" s="40"/>
      <c r="Y674" s="40"/>
      <c r="Z674" s="40"/>
      <c r="AA674" s="41"/>
      <c r="AB674" s="41"/>
      <c r="AC674" s="41"/>
      <c r="AD674" s="41"/>
      <c r="AE674" s="40"/>
      <c r="AF674" s="42"/>
      <c r="AG674" s="5"/>
      <c r="AH674" s="5"/>
      <c r="AI674" s="40"/>
      <c r="AJ674" s="40"/>
      <c r="AK674" s="40"/>
      <c r="AL674" s="40"/>
      <c r="AM674" s="40"/>
      <c r="AO674" s="40"/>
    </row>
    <row r="675" spans="2:41" ht="12.75" customHeight="1" x14ac:dyDescent="0.25">
      <c r="B675" s="40"/>
      <c r="C675" s="40"/>
      <c r="D675" s="40"/>
      <c r="E675" s="40"/>
      <c r="F675" s="40"/>
      <c r="G675" s="40"/>
      <c r="H675" s="5"/>
      <c r="Q675" s="40"/>
      <c r="R675" s="40"/>
      <c r="S675" s="40"/>
      <c r="T675" s="40"/>
      <c r="U675" s="40"/>
      <c r="W675" s="40"/>
      <c r="X675" s="40"/>
      <c r="Y675" s="40"/>
      <c r="Z675" s="40"/>
      <c r="AA675" s="41"/>
      <c r="AB675" s="41"/>
      <c r="AC675" s="41"/>
      <c r="AD675" s="41"/>
      <c r="AE675" s="40"/>
      <c r="AF675" s="42"/>
      <c r="AG675" s="5"/>
      <c r="AH675" s="5"/>
      <c r="AI675" s="40"/>
      <c r="AJ675" s="40"/>
      <c r="AK675" s="40"/>
      <c r="AL675" s="40"/>
      <c r="AM675" s="40"/>
      <c r="AO675" s="40"/>
    </row>
    <row r="676" spans="2:41" ht="12.75" customHeight="1" x14ac:dyDescent="0.25">
      <c r="B676" s="40"/>
      <c r="C676" s="40"/>
      <c r="D676" s="40"/>
      <c r="E676" s="40"/>
      <c r="F676" s="40"/>
      <c r="G676" s="40"/>
      <c r="H676" s="5"/>
      <c r="Q676" s="40"/>
      <c r="R676" s="40"/>
      <c r="S676" s="40"/>
      <c r="T676" s="40"/>
      <c r="U676" s="40"/>
      <c r="W676" s="40"/>
      <c r="X676" s="40"/>
      <c r="Y676" s="40"/>
      <c r="Z676" s="40"/>
      <c r="AA676" s="41"/>
      <c r="AB676" s="41"/>
      <c r="AC676" s="41"/>
      <c r="AD676" s="41"/>
      <c r="AE676" s="40"/>
      <c r="AF676" s="42"/>
      <c r="AG676" s="5"/>
      <c r="AH676" s="5"/>
      <c r="AI676" s="40"/>
      <c r="AJ676" s="40"/>
      <c r="AK676" s="40"/>
      <c r="AL676" s="40"/>
      <c r="AM676" s="40"/>
      <c r="AO676" s="40"/>
    </row>
    <row r="677" spans="2:41" ht="12.75" customHeight="1" x14ac:dyDescent="0.25">
      <c r="B677" s="40"/>
      <c r="C677" s="40"/>
      <c r="D677" s="40"/>
      <c r="E677" s="40"/>
      <c r="F677" s="40"/>
      <c r="G677" s="40"/>
      <c r="H677" s="5"/>
      <c r="Q677" s="40"/>
      <c r="R677" s="40"/>
      <c r="S677" s="40"/>
      <c r="T677" s="40"/>
      <c r="U677" s="40"/>
      <c r="W677" s="40"/>
      <c r="X677" s="40"/>
      <c r="Y677" s="40"/>
      <c r="Z677" s="40"/>
      <c r="AA677" s="41"/>
      <c r="AB677" s="41"/>
      <c r="AC677" s="41"/>
      <c r="AD677" s="41"/>
      <c r="AE677" s="40"/>
      <c r="AF677" s="42"/>
      <c r="AG677" s="5"/>
      <c r="AH677" s="5"/>
      <c r="AI677" s="40"/>
      <c r="AJ677" s="40"/>
      <c r="AK677" s="40"/>
      <c r="AL677" s="40"/>
      <c r="AM677" s="40"/>
      <c r="AO677" s="40"/>
    </row>
    <row r="678" spans="2:41" ht="12.75" customHeight="1" x14ac:dyDescent="0.25">
      <c r="B678" s="40"/>
      <c r="C678" s="40"/>
      <c r="D678" s="40"/>
      <c r="E678" s="40"/>
      <c r="F678" s="40"/>
      <c r="G678" s="40"/>
      <c r="H678" s="5"/>
      <c r="Q678" s="40"/>
      <c r="R678" s="40"/>
      <c r="S678" s="40"/>
      <c r="T678" s="40"/>
      <c r="U678" s="40"/>
      <c r="W678" s="40"/>
      <c r="X678" s="40"/>
      <c r="Y678" s="40"/>
      <c r="Z678" s="40"/>
      <c r="AA678" s="41"/>
      <c r="AB678" s="41"/>
      <c r="AC678" s="41"/>
      <c r="AD678" s="41"/>
      <c r="AE678" s="40"/>
      <c r="AF678" s="42"/>
      <c r="AG678" s="5"/>
      <c r="AH678" s="5"/>
      <c r="AI678" s="40"/>
      <c r="AJ678" s="40"/>
      <c r="AK678" s="40"/>
      <c r="AL678" s="40"/>
      <c r="AM678" s="40"/>
      <c r="AO678" s="40"/>
    </row>
    <row r="679" spans="2:41" ht="12.75" customHeight="1" x14ac:dyDescent="0.25">
      <c r="B679" s="40"/>
      <c r="C679" s="40"/>
      <c r="D679" s="40"/>
      <c r="E679" s="40"/>
      <c r="F679" s="40"/>
      <c r="G679" s="40"/>
      <c r="H679" s="5"/>
      <c r="Q679" s="40"/>
      <c r="R679" s="40"/>
      <c r="S679" s="40"/>
      <c r="T679" s="40"/>
      <c r="U679" s="40"/>
      <c r="W679" s="40"/>
      <c r="X679" s="40"/>
      <c r="Y679" s="40"/>
      <c r="Z679" s="40"/>
      <c r="AA679" s="41"/>
      <c r="AB679" s="41"/>
      <c r="AC679" s="41"/>
      <c r="AD679" s="41"/>
      <c r="AE679" s="40"/>
      <c r="AF679" s="42"/>
      <c r="AG679" s="5"/>
      <c r="AH679" s="5"/>
      <c r="AI679" s="40"/>
      <c r="AJ679" s="40"/>
      <c r="AK679" s="40"/>
      <c r="AL679" s="40"/>
      <c r="AM679" s="40"/>
      <c r="AO679" s="40"/>
    </row>
    <row r="680" spans="2:41" ht="12.75" customHeight="1" x14ac:dyDescent="0.25">
      <c r="B680" s="40"/>
      <c r="C680" s="40"/>
      <c r="D680" s="40"/>
      <c r="E680" s="40"/>
      <c r="F680" s="40"/>
      <c r="G680" s="40"/>
      <c r="H680" s="5"/>
      <c r="Q680" s="40"/>
      <c r="R680" s="40"/>
      <c r="S680" s="40"/>
      <c r="T680" s="40"/>
      <c r="U680" s="40"/>
      <c r="W680" s="40"/>
      <c r="X680" s="40"/>
      <c r="Y680" s="40"/>
      <c r="Z680" s="40"/>
      <c r="AA680" s="41"/>
      <c r="AB680" s="41"/>
      <c r="AC680" s="41"/>
      <c r="AD680" s="41"/>
      <c r="AE680" s="40"/>
      <c r="AF680" s="42"/>
      <c r="AG680" s="5"/>
      <c r="AH680" s="5"/>
      <c r="AI680" s="40"/>
      <c r="AJ680" s="40"/>
      <c r="AK680" s="40"/>
      <c r="AL680" s="40"/>
      <c r="AM680" s="40"/>
      <c r="AO680" s="40"/>
    </row>
    <row r="681" spans="2:41" ht="12.75" customHeight="1" x14ac:dyDescent="0.25">
      <c r="B681" s="40"/>
      <c r="C681" s="40"/>
      <c r="D681" s="40"/>
      <c r="E681" s="40"/>
      <c r="F681" s="40"/>
      <c r="G681" s="40"/>
      <c r="H681" s="5"/>
      <c r="Q681" s="40"/>
      <c r="R681" s="40"/>
      <c r="S681" s="40"/>
      <c r="T681" s="40"/>
      <c r="U681" s="40"/>
      <c r="W681" s="40"/>
      <c r="X681" s="40"/>
      <c r="Y681" s="40"/>
      <c r="Z681" s="40"/>
      <c r="AA681" s="41"/>
      <c r="AB681" s="41"/>
      <c r="AC681" s="41"/>
      <c r="AD681" s="41"/>
      <c r="AE681" s="40"/>
      <c r="AF681" s="42"/>
      <c r="AG681" s="5"/>
      <c r="AH681" s="5"/>
      <c r="AI681" s="40"/>
      <c r="AJ681" s="40"/>
      <c r="AK681" s="40"/>
      <c r="AL681" s="40"/>
      <c r="AM681" s="40"/>
      <c r="AO681" s="40"/>
    </row>
    <row r="682" spans="2:41" ht="12.75" customHeight="1" x14ac:dyDescent="0.25">
      <c r="B682" s="40"/>
      <c r="C682" s="40"/>
      <c r="D682" s="40"/>
      <c r="E682" s="40"/>
      <c r="F682" s="40"/>
      <c r="G682" s="40"/>
      <c r="H682" s="5"/>
      <c r="Q682" s="40"/>
      <c r="R682" s="40"/>
      <c r="S682" s="40"/>
      <c r="T682" s="40"/>
      <c r="U682" s="40"/>
      <c r="W682" s="40"/>
      <c r="X682" s="40"/>
      <c r="Y682" s="40"/>
      <c r="Z682" s="40"/>
      <c r="AA682" s="41"/>
      <c r="AB682" s="41"/>
      <c r="AC682" s="41"/>
      <c r="AD682" s="41"/>
      <c r="AE682" s="40"/>
      <c r="AF682" s="42"/>
      <c r="AG682" s="5"/>
      <c r="AH682" s="5"/>
      <c r="AI682" s="40"/>
      <c r="AJ682" s="40"/>
      <c r="AK682" s="40"/>
      <c r="AL682" s="40"/>
      <c r="AM682" s="40"/>
      <c r="AO682" s="40"/>
    </row>
    <row r="683" spans="2:41" ht="12.75" customHeight="1" x14ac:dyDescent="0.25">
      <c r="B683" s="40"/>
      <c r="C683" s="40"/>
      <c r="D683" s="40"/>
      <c r="E683" s="40"/>
      <c r="F683" s="40"/>
      <c r="G683" s="40"/>
      <c r="H683" s="5"/>
      <c r="Q683" s="40"/>
      <c r="R683" s="40"/>
      <c r="S683" s="40"/>
      <c r="T683" s="40"/>
      <c r="U683" s="40"/>
      <c r="W683" s="40"/>
      <c r="X683" s="40"/>
      <c r="Y683" s="40"/>
      <c r="Z683" s="40"/>
      <c r="AA683" s="41"/>
      <c r="AB683" s="41"/>
      <c r="AC683" s="41"/>
      <c r="AD683" s="41"/>
      <c r="AE683" s="40"/>
      <c r="AF683" s="42"/>
      <c r="AG683" s="5"/>
      <c r="AH683" s="5"/>
      <c r="AI683" s="40"/>
      <c r="AJ683" s="40"/>
      <c r="AK683" s="40"/>
      <c r="AL683" s="40"/>
      <c r="AM683" s="40"/>
      <c r="AO683" s="40"/>
    </row>
    <row r="684" spans="2:41" ht="12.75" customHeight="1" x14ac:dyDescent="0.25">
      <c r="B684" s="40"/>
      <c r="C684" s="40"/>
      <c r="D684" s="40"/>
      <c r="E684" s="40"/>
      <c r="F684" s="40"/>
      <c r="G684" s="40"/>
      <c r="H684" s="5"/>
      <c r="Q684" s="40"/>
      <c r="R684" s="40"/>
      <c r="S684" s="40"/>
      <c r="T684" s="40"/>
      <c r="U684" s="40"/>
      <c r="W684" s="40"/>
      <c r="X684" s="40"/>
      <c r="Y684" s="40"/>
      <c r="Z684" s="40"/>
      <c r="AA684" s="41"/>
      <c r="AB684" s="41"/>
      <c r="AC684" s="41"/>
      <c r="AD684" s="41"/>
      <c r="AE684" s="40"/>
      <c r="AF684" s="42"/>
      <c r="AG684" s="5"/>
      <c r="AH684" s="5"/>
      <c r="AI684" s="40"/>
      <c r="AJ684" s="40"/>
      <c r="AK684" s="40"/>
      <c r="AL684" s="40"/>
      <c r="AM684" s="40"/>
      <c r="AO684" s="40"/>
    </row>
    <row r="685" spans="2:41" ht="12.75" customHeight="1" x14ac:dyDescent="0.25">
      <c r="B685" s="40"/>
      <c r="C685" s="40"/>
      <c r="D685" s="40"/>
      <c r="E685" s="40"/>
      <c r="F685" s="40"/>
      <c r="G685" s="40"/>
      <c r="H685" s="5"/>
      <c r="Q685" s="40"/>
      <c r="R685" s="40"/>
      <c r="S685" s="40"/>
      <c r="T685" s="40"/>
      <c r="U685" s="40"/>
      <c r="W685" s="40"/>
      <c r="X685" s="40"/>
      <c r="Y685" s="40"/>
      <c r="Z685" s="40"/>
      <c r="AA685" s="41"/>
      <c r="AB685" s="41"/>
      <c r="AC685" s="41"/>
      <c r="AD685" s="41"/>
      <c r="AE685" s="40"/>
      <c r="AF685" s="42"/>
      <c r="AG685" s="5"/>
      <c r="AH685" s="5"/>
      <c r="AI685" s="40"/>
      <c r="AJ685" s="40"/>
      <c r="AK685" s="40"/>
      <c r="AL685" s="40"/>
      <c r="AM685" s="40"/>
      <c r="AO685" s="40"/>
    </row>
    <row r="686" spans="2:41" ht="12.75" customHeight="1" x14ac:dyDescent="0.25">
      <c r="B686" s="40"/>
      <c r="C686" s="40"/>
      <c r="D686" s="40"/>
      <c r="E686" s="40"/>
      <c r="F686" s="40"/>
      <c r="G686" s="40"/>
      <c r="H686" s="5"/>
      <c r="Q686" s="40"/>
      <c r="R686" s="40"/>
      <c r="S686" s="40"/>
      <c r="T686" s="40"/>
      <c r="U686" s="40"/>
      <c r="W686" s="40"/>
      <c r="X686" s="40"/>
      <c r="Y686" s="40"/>
      <c r="Z686" s="40"/>
      <c r="AA686" s="41"/>
      <c r="AB686" s="41"/>
      <c r="AC686" s="41"/>
      <c r="AD686" s="41"/>
      <c r="AE686" s="40"/>
      <c r="AF686" s="42"/>
      <c r="AG686" s="5"/>
      <c r="AH686" s="5"/>
      <c r="AI686" s="40"/>
      <c r="AJ686" s="40"/>
      <c r="AK686" s="40"/>
      <c r="AL686" s="40"/>
      <c r="AM686" s="40"/>
      <c r="AO686" s="40"/>
    </row>
    <row r="687" spans="2:41" ht="12.75" customHeight="1" x14ac:dyDescent="0.25">
      <c r="B687" s="40"/>
      <c r="C687" s="40"/>
      <c r="D687" s="40"/>
      <c r="E687" s="40"/>
      <c r="F687" s="40"/>
      <c r="G687" s="40"/>
      <c r="H687" s="5"/>
      <c r="Q687" s="40"/>
      <c r="R687" s="40"/>
      <c r="S687" s="40"/>
      <c r="T687" s="40"/>
      <c r="U687" s="40"/>
      <c r="W687" s="40"/>
      <c r="X687" s="40"/>
      <c r="Y687" s="40"/>
      <c r="Z687" s="40"/>
      <c r="AA687" s="41"/>
      <c r="AB687" s="41"/>
      <c r="AC687" s="41"/>
      <c r="AD687" s="41"/>
      <c r="AE687" s="40"/>
      <c r="AF687" s="42"/>
      <c r="AG687" s="5"/>
      <c r="AH687" s="5"/>
      <c r="AI687" s="40"/>
      <c r="AJ687" s="40"/>
      <c r="AK687" s="40"/>
      <c r="AL687" s="40"/>
      <c r="AM687" s="40"/>
      <c r="AO687" s="40"/>
    </row>
    <row r="688" spans="2:41" ht="12.75" customHeight="1" x14ac:dyDescent="0.25">
      <c r="B688" s="40"/>
      <c r="C688" s="40"/>
      <c r="D688" s="40"/>
      <c r="E688" s="40"/>
      <c r="F688" s="40"/>
      <c r="G688" s="40"/>
      <c r="H688" s="5"/>
      <c r="Q688" s="40"/>
      <c r="R688" s="40"/>
      <c r="S688" s="40"/>
      <c r="T688" s="40"/>
      <c r="U688" s="40"/>
      <c r="W688" s="40"/>
      <c r="X688" s="40"/>
      <c r="Y688" s="40"/>
      <c r="Z688" s="40"/>
      <c r="AA688" s="41"/>
      <c r="AB688" s="41"/>
      <c r="AC688" s="41"/>
      <c r="AD688" s="41"/>
      <c r="AE688" s="40"/>
      <c r="AF688" s="42"/>
      <c r="AG688" s="5"/>
      <c r="AH688" s="5"/>
      <c r="AI688" s="40"/>
      <c r="AJ688" s="40"/>
      <c r="AK688" s="40"/>
      <c r="AL688" s="40"/>
      <c r="AM688" s="40"/>
      <c r="AO688" s="40"/>
    </row>
    <row r="689" spans="2:41" ht="12.75" customHeight="1" x14ac:dyDescent="0.25">
      <c r="B689" s="40"/>
      <c r="C689" s="40"/>
      <c r="D689" s="40"/>
      <c r="E689" s="40"/>
      <c r="F689" s="40"/>
      <c r="G689" s="40"/>
      <c r="H689" s="5"/>
      <c r="Q689" s="40"/>
      <c r="R689" s="40"/>
      <c r="S689" s="40"/>
      <c r="T689" s="40"/>
      <c r="U689" s="40"/>
      <c r="W689" s="40"/>
      <c r="X689" s="40"/>
      <c r="Y689" s="40"/>
      <c r="Z689" s="40"/>
      <c r="AA689" s="41"/>
      <c r="AB689" s="41"/>
      <c r="AC689" s="41"/>
      <c r="AD689" s="41"/>
      <c r="AE689" s="40"/>
      <c r="AF689" s="42"/>
      <c r="AG689" s="5"/>
      <c r="AH689" s="5"/>
      <c r="AI689" s="40"/>
      <c r="AJ689" s="40"/>
      <c r="AK689" s="40"/>
      <c r="AL689" s="40"/>
      <c r="AM689" s="40"/>
      <c r="AO689" s="40"/>
    </row>
    <row r="690" spans="2:41" ht="12.75" customHeight="1" x14ac:dyDescent="0.25">
      <c r="B690" s="40"/>
      <c r="C690" s="40"/>
      <c r="D690" s="40"/>
      <c r="E690" s="40"/>
      <c r="F690" s="40"/>
      <c r="G690" s="40"/>
      <c r="H690" s="5"/>
      <c r="Q690" s="40"/>
      <c r="R690" s="40"/>
      <c r="S690" s="40"/>
      <c r="T690" s="40"/>
      <c r="U690" s="40"/>
      <c r="W690" s="40"/>
      <c r="X690" s="40"/>
      <c r="Y690" s="40"/>
      <c r="Z690" s="40"/>
      <c r="AA690" s="41"/>
      <c r="AB690" s="41"/>
      <c r="AC690" s="41"/>
      <c r="AD690" s="41"/>
      <c r="AE690" s="40"/>
      <c r="AF690" s="42"/>
      <c r="AG690" s="5"/>
      <c r="AH690" s="5"/>
      <c r="AI690" s="40"/>
      <c r="AJ690" s="40"/>
      <c r="AK690" s="40"/>
      <c r="AL690" s="40"/>
      <c r="AM690" s="40"/>
      <c r="AO690" s="40"/>
    </row>
    <row r="691" spans="2:41" ht="12.75" customHeight="1" x14ac:dyDescent="0.25">
      <c r="B691" s="40"/>
      <c r="C691" s="40"/>
      <c r="D691" s="40"/>
      <c r="E691" s="40"/>
      <c r="F691" s="40"/>
      <c r="G691" s="40"/>
      <c r="H691" s="5"/>
      <c r="Q691" s="40"/>
      <c r="R691" s="40"/>
      <c r="S691" s="40"/>
      <c r="T691" s="40"/>
      <c r="U691" s="40"/>
      <c r="W691" s="40"/>
      <c r="X691" s="40"/>
      <c r="Y691" s="40"/>
      <c r="Z691" s="40"/>
      <c r="AA691" s="41"/>
      <c r="AB691" s="41"/>
      <c r="AC691" s="41"/>
      <c r="AD691" s="41"/>
      <c r="AE691" s="40"/>
      <c r="AF691" s="42"/>
      <c r="AG691" s="5"/>
      <c r="AH691" s="5"/>
      <c r="AI691" s="40"/>
      <c r="AJ691" s="40"/>
      <c r="AK691" s="40"/>
      <c r="AL691" s="40"/>
      <c r="AM691" s="40"/>
      <c r="AO691" s="40"/>
    </row>
    <row r="692" spans="2:41" ht="12.75" customHeight="1" x14ac:dyDescent="0.25">
      <c r="B692" s="40"/>
      <c r="C692" s="40"/>
      <c r="D692" s="40"/>
      <c r="E692" s="40"/>
      <c r="F692" s="40"/>
      <c r="G692" s="40"/>
      <c r="H692" s="5"/>
      <c r="Q692" s="40"/>
      <c r="R692" s="40"/>
      <c r="S692" s="40"/>
      <c r="T692" s="40"/>
      <c r="U692" s="40"/>
      <c r="W692" s="40"/>
      <c r="X692" s="40"/>
      <c r="Y692" s="40"/>
      <c r="Z692" s="40"/>
      <c r="AA692" s="41"/>
      <c r="AB692" s="41"/>
      <c r="AC692" s="41"/>
      <c r="AD692" s="41"/>
      <c r="AE692" s="40"/>
      <c r="AF692" s="42"/>
      <c r="AG692" s="5"/>
      <c r="AH692" s="5"/>
      <c r="AI692" s="40"/>
      <c r="AJ692" s="40"/>
      <c r="AK692" s="40"/>
      <c r="AL692" s="40"/>
      <c r="AM692" s="40"/>
      <c r="AO692" s="40"/>
    </row>
    <row r="693" spans="2:41" ht="12.75" customHeight="1" x14ac:dyDescent="0.25">
      <c r="B693" s="40"/>
      <c r="C693" s="40"/>
      <c r="D693" s="40"/>
      <c r="E693" s="40"/>
      <c r="F693" s="40"/>
      <c r="G693" s="40"/>
      <c r="H693" s="5"/>
      <c r="Q693" s="40"/>
      <c r="R693" s="40"/>
      <c r="S693" s="40"/>
      <c r="T693" s="40"/>
      <c r="U693" s="40"/>
      <c r="W693" s="40"/>
      <c r="X693" s="40"/>
      <c r="Y693" s="40"/>
      <c r="Z693" s="40"/>
      <c r="AA693" s="41"/>
      <c r="AB693" s="41"/>
      <c r="AC693" s="41"/>
      <c r="AD693" s="41"/>
      <c r="AE693" s="40"/>
      <c r="AF693" s="42"/>
      <c r="AG693" s="5"/>
      <c r="AH693" s="5"/>
      <c r="AI693" s="40"/>
      <c r="AJ693" s="40"/>
      <c r="AK693" s="40"/>
      <c r="AL693" s="40"/>
      <c r="AM693" s="40"/>
      <c r="AO693" s="40"/>
    </row>
    <row r="694" spans="2:41" ht="12.75" customHeight="1" x14ac:dyDescent="0.25">
      <c r="B694" s="40"/>
      <c r="C694" s="40"/>
      <c r="D694" s="40"/>
      <c r="E694" s="40"/>
      <c r="F694" s="40"/>
      <c r="G694" s="40"/>
      <c r="H694" s="5"/>
      <c r="Q694" s="40"/>
      <c r="R694" s="40"/>
      <c r="S694" s="40"/>
      <c r="T694" s="40"/>
      <c r="U694" s="40"/>
      <c r="W694" s="40"/>
      <c r="X694" s="40"/>
      <c r="Y694" s="40"/>
      <c r="Z694" s="40"/>
      <c r="AA694" s="41"/>
      <c r="AB694" s="41"/>
      <c r="AC694" s="41"/>
      <c r="AD694" s="41"/>
      <c r="AE694" s="40"/>
      <c r="AF694" s="42"/>
      <c r="AG694" s="5"/>
      <c r="AH694" s="5"/>
      <c r="AI694" s="40"/>
      <c r="AJ694" s="40"/>
      <c r="AK694" s="40"/>
      <c r="AL694" s="40"/>
      <c r="AM694" s="40"/>
      <c r="AO694" s="40"/>
    </row>
    <row r="695" spans="2:41" ht="12.75" customHeight="1" x14ac:dyDescent="0.25">
      <c r="B695" s="40"/>
      <c r="C695" s="40"/>
      <c r="D695" s="40"/>
      <c r="E695" s="40"/>
      <c r="F695" s="40"/>
      <c r="G695" s="40"/>
      <c r="H695" s="5"/>
      <c r="Q695" s="40"/>
      <c r="R695" s="40"/>
      <c r="S695" s="40"/>
      <c r="T695" s="40"/>
      <c r="U695" s="40"/>
      <c r="W695" s="40"/>
      <c r="X695" s="40"/>
      <c r="Y695" s="40"/>
      <c r="Z695" s="40"/>
      <c r="AA695" s="41"/>
      <c r="AB695" s="41"/>
      <c r="AC695" s="41"/>
      <c r="AD695" s="41"/>
      <c r="AE695" s="40"/>
      <c r="AF695" s="42"/>
      <c r="AG695" s="5"/>
      <c r="AH695" s="5"/>
      <c r="AI695" s="40"/>
      <c r="AJ695" s="40"/>
      <c r="AK695" s="40"/>
      <c r="AL695" s="40"/>
      <c r="AM695" s="40"/>
      <c r="AO695" s="40"/>
    </row>
    <row r="696" spans="2:41" ht="12.75" customHeight="1" x14ac:dyDescent="0.25">
      <c r="B696" s="40"/>
      <c r="C696" s="40"/>
      <c r="D696" s="40"/>
      <c r="E696" s="40"/>
      <c r="F696" s="40"/>
      <c r="G696" s="40"/>
      <c r="H696" s="5"/>
      <c r="Q696" s="40"/>
      <c r="R696" s="40"/>
      <c r="S696" s="40"/>
      <c r="T696" s="40"/>
      <c r="U696" s="40"/>
      <c r="W696" s="40"/>
      <c r="X696" s="40"/>
      <c r="Y696" s="40"/>
      <c r="Z696" s="40"/>
      <c r="AA696" s="41"/>
      <c r="AB696" s="41"/>
      <c r="AC696" s="41"/>
      <c r="AD696" s="41"/>
      <c r="AE696" s="40"/>
      <c r="AF696" s="42"/>
      <c r="AG696" s="5"/>
      <c r="AH696" s="5"/>
      <c r="AI696" s="40"/>
      <c r="AJ696" s="40"/>
      <c r="AK696" s="40"/>
      <c r="AL696" s="40"/>
      <c r="AM696" s="40"/>
      <c r="AO696" s="40"/>
    </row>
    <row r="697" spans="2:41" ht="12.75" customHeight="1" x14ac:dyDescent="0.25">
      <c r="B697" s="40"/>
      <c r="C697" s="40"/>
      <c r="D697" s="40"/>
      <c r="E697" s="40"/>
      <c r="F697" s="40"/>
      <c r="G697" s="40"/>
      <c r="H697" s="5"/>
      <c r="Q697" s="40"/>
      <c r="R697" s="40"/>
      <c r="S697" s="40"/>
      <c r="T697" s="40"/>
      <c r="U697" s="40"/>
      <c r="W697" s="40"/>
      <c r="X697" s="40"/>
      <c r="Y697" s="40"/>
      <c r="Z697" s="40"/>
      <c r="AA697" s="41"/>
      <c r="AB697" s="41"/>
      <c r="AC697" s="41"/>
      <c r="AD697" s="41"/>
      <c r="AE697" s="40"/>
      <c r="AF697" s="42"/>
      <c r="AG697" s="5"/>
      <c r="AH697" s="5"/>
      <c r="AI697" s="40"/>
      <c r="AJ697" s="40"/>
      <c r="AK697" s="40"/>
      <c r="AL697" s="40"/>
      <c r="AM697" s="40"/>
      <c r="AO697" s="40"/>
    </row>
    <row r="698" spans="2:41" ht="12.75" customHeight="1" x14ac:dyDescent="0.25">
      <c r="B698" s="40"/>
      <c r="C698" s="40"/>
      <c r="D698" s="40"/>
      <c r="E698" s="40"/>
      <c r="F698" s="40"/>
      <c r="G698" s="40"/>
      <c r="H698" s="5"/>
      <c r="Q698" s="40"/>
      <c r="R698" s="40"/>
      <c r="S698" s="40"/>
      <c r="T698" s="40"/>
      <c r="U698" s="40"/>
      <c r="W698" s="40"/>
      <c r="X698" s="40"/>
      <c r="Y698" s="40"/>
      <c r="Z698" s="40"/>
      <c r="AA698" s="41"/>
      <c r="AB698" s="41"/>
      <c r="AC698" s="41"/>
      <c r="AD698" s="41"/>
      <c r="AE698" s="40"/>
      <c r="AF698" s="42"/>
      <c r="AG698" s="5"/>
      <c r="AH698" s="5"/>
      <c r="AI698" s="40"/>
      <c r="AJ698" s="40"/>
      <c r="AK698" s="40"/>
      <c r="AL698" s="40"/>
      <c r="AM698" s="40"/>
      <c r="AO698" s="40"/>
    </row>
    <row r="699" spans="2:41" ht="12.75" customHeight="1" x14ac:dyDescent="0.25">
      <c r="B699" s="40"/>
      <c r="C699" s="40"/>
      <c r="D699" s="40"/>
      <c r="E699" s="40"/>
      <c r="F699" s="40"/>
      <c r="G699" s="40"/>
      <c r="H699" s="5"/>
      <c r="Q699" s="40"/>
      <c r="R699" s="40"/>
      <c r="S699" s="40"/>
      <c r="T699" s="40"/>
      <c r="U699" s="40"/>
      <c r="W699" s="40"/>
      <c r="X699" s="40"/>
      <c r="Y699" s="40"/>
      <c r="Z699" s="40"/>
      <c r="AA699" s="41"/>
      <c r="AB699" s="41"/>
      <c r="AC699" s="41"/>
      <c r="AD699" s="41"/>
      <c r="AE699" s="40"/>
      <c r="AF699" s="42"/>
      <c r="AG699" s="5"/>
      <c r="AH699" s="5"/>
      <c r="AI699" s="40"/>
      <c r="AJ699" s="40"/>
      <c r="AK699" s="40"/>
      <c r="AL699" s="40"/>
      <c r="AM699" s="40"/>
      <c r="AO699" s="40"/>
    </row>
    <row r="700" spans="2:41" ht="12.75" customHeight="1" x14ac:dyDescent="0.25">
      <c r="B700" s="40"/>
      <c r="C700" s="40"/>
      <c r="D700" s="40"/>
      <c r="E700" s="40"/>
      <c r="F700" s="40"/>
      <c r="G700" s="40"/>
      <c r="H700" s="5"/>
      <c r="Q700" s="40"/>
      <c r="R700" s="40"/>
      <c r="S700" s="40"/>
      <c r="T700" s="40"/>
      <c r="U700" s="40"/>
      <c r="W700" s="40"/>
      <c r="X700" s="40"/>
      <c r="Y700" s="40"/>
      <c r="Z700" s="40"/>
      <c r="AA700" s="41"/>
      <c r="AB700" s="41"/>
      <c r="AC700" s="41"/>
      <c r="AD700" s="41"/>
      <c r="AE700" s="40"/>
      <c r="AF700" s="42"/>
      <c r="AG700" s="5"/>
      <c r="AH700" s="5"/>
      <c r="AI700" s="40"/>
      <c r="AJ700" s="40"/>
      <c r="AK700" s="40"/>
      <c r="AL700" s="40"/>
      <c r="AM700" s="40"/>
      <c r="AO700" s="40"/>
    </row>
    <row r="701" spans="2:41" ht="12.75" customHeight="1" x14ac:dyDescent="0.25">
      <c r="B701" s="40"/>
      <c r="C701" s="40"/>
      <c r="D701" s="40"/>
      <c r="E701" s="40"/>
      <c r="F701" s="40"/>
      <c r="G701" s="40"/>
      <c r="H701" s="5"/>
      <c r="Q701" s="40"/>
      <c r="R701" s="40"/>
      <c r="S701" s="40"/>
      <c r="T701" s="40"/>
      <c r="U701" s="40"/>
      <c r="W701" s="40"/>
      <c r="X701" s="40"/>
      <c r="Y701" s="40"/>
      <c r="Z701" s="40"/>
      <c r="AA701" s="41"/>
      <c r="AB701" s="41"/>
      <c r="AC701" s="41"/>
      <c r="AD701" s="41"/>
      <c r="AE701" s="40"/>
      <c r="AF701" s="42"/>
      <c r="AG701" s="5"/>
      <c r="AH701" s="5"/>
      <c r="AI701" s="40"/>
      <c r="AJ701" s="40"/>
      <c r="AK701" s="40"/>
      <c r="AL701" s="40"/>
      <c r="AM701" s="40"/>
      <c r="AO701" s="40"/>
    </row>
    <row r="702" spans="2:41" ht="12.75" customHeight="1" x14ac:dyDescent="0.25">
      <c r="B702" s="40"/>
      <c r="C702" s="40"/>
      <c r="D702" s="40"/>
      <c r="E702" s="40"/>
      <c r="F702" s="40"/>
      <c r="G702" s="40"/>
      <c r="H702" s="5"/>
      <c r="Q702" s="40"/>
      <c r="R702" s="40"/>
      <c r="S702" s="40"/>
      <c r="T702" s="40"/>
      <c r="U702" s="40"/>
      <c r="W702" s="40"/>
      <c r="X702" s="40"/>
      <c r="Y702" s="40"/>
      <c r="Z702" s="40"/>
      <c r="AA702" s="41"/>
      <c r="AB702" s="41"/>
      <c r="AC702" s="41"/>
      <c r="AD702" s="41"/>
      <c r="AE702" s="40"/>
      <c r="AF702" s="42"/>
      <c r="AG702" s="5"/>
      <c r="AH702" s="5"/>
      <c r="AI702" s="40"/>
      <c r="AJ702" s="40"/>
      <c r="AK702" s="40"/>
      <c r="AL702" s="40"/>
      <c r="AM702" s="40"/>
      <c r="AO702" s="40"/>
    </row>
    <row r="703" spans="2:41" ht="12.75" customHeight="1" x14ac:dyDescent="0.25">
      <c r="B703" s="40"/>
      <c r="C703" s="40"/>
      <c r="D703" s="40"/>
      <c r="E703" s="40"/>
      <c r="F703" s="40"/>
      <c r="G703" s="40"/>
      <c r="H703" s="5"/>
      <c r="Q703" s="40"/>
      <c r="R703" s="40"/>
      <c r="S703" s="40"/>
      <c r="T703" s="40"/>
      <c r="U703" s="40"/>
      <c r="W703" s="40"/>
      <c r="X703" s="40"/>
      <c r="Y703" s="40"/>
      <c r="Z703" s="40"/>
      <c r="AA703" s="41"/>
      <c r="AB703" s="41"/>
      <c r="AC703" s="41"/>
      <c r="AD703" s="41"/>
      <c r="AE703" s="40"/>
      <c r="AF703" s="42"/>
      <c r="AG703" s="5"/>
      <c r="AH703" s="5"/>
      <c r="AI703" s="40"/>
      <c r="AJ703" s="40"/>
      <c r="AK703" s="40"/>
      <c r="AL703" s="40"/>
      <c r="AM703" s="40"/>
      <c r="AO703" s="40"/>
    </row>
    <row r="704" spans="2:41" ht="12.75" customHeight="1" x14ac:dyDescent="0.25">
      <c r="B704" s="40"/>
      <c r="C704" s="40"/>
      <c r="D704" s="40"/>
      <c r="E704" s="40"/>
      <c r="F704" s="40"/>
      <c r="G704" s="40"/>
      <c r="H704" s="5"/>
      <c r="Q704" s="40"/>
      <c r="R704" s="40"/>
      <c r="S704" s="40"/>
      <c r="T704" s="40"/>
      <c r="U704" s="40"/>
      <c r="W704" s="40"/>
      <c r="X704" s="40"/>
      <c r="Y704" s="40"/>
      <c r="Z704" s="40"/>
      <c r="AA704" s="41"/>
      <c r="AB704" s="41"/>
      <c r="AC704" s="41"/>
      <c r="AD704" s="41"/>
      <c r="AE704" s="40"/>
      <c r="AF704" s="42"/>
      <c r="AG704" s="5"/>
      <c r="AH704" s="5"/>
      <c r="AI704" s="40"/>
      <c r="AJ704" s="40"/>
      <c r="AK704" s="40"/>
      <c r="AL704" s="40"/>
      <c r="AM704" s="40"/>
      <c r="AO704" s="40"/>
    </row>
    <row r="705" spans="2:41" ht="12.75" customHeight="1" x14ac:dyDescent="0.25">
      <c r="B705" s="40"/>
      <c r="C705" s="40"/>
      <c r="D705" s="40"/>
      <c r="E705" s="40"/>
      <c r="F705" s="40"/>
      <c r="G705" s="40"/>
      <c r="H705" s="5"/>
      <c r="Q705" s="40"/>
      <c r="R705" s="40"/>
      <c r="S705" s="40"/>
      <c r="T705" s="40"/>
      <c r="U705" s="40"/>
      <c r="W705" s="40"/>
      <c r="X705" s="40"/>
      <c r="Y705" s="40"/>
      <c r="Z705" s="40"/>
      <c r="AA705" s="41"/>
      <c r="AB705" s="41"/>
      <c r="AC705" s="41"/>
      <c r="AD705" s="41"/>
      <c r="AE705" s="40"/>
      <c r="AF705" s="42"/>
      <c r="AG705" s="5"/>
      <c r="AH705" s="5"/>
      <c r="AI705" s="40"/>
      <c r="AJ705" s="40"/>
      <c r="AK705" s="40"/>
      <c r="AL705" s="40"/>
      <c r="AM705" s="40"/>
      <c r="AO705" s="40"/>
    </row>
    <row r="706" spans="2:41" ht="12.75" customHeight="1" x14ac:dyDescent="0.25">
      <c r="B706" s="40"/>
      <c r="C706" s="40"/>
      <c r="D706" s="40"/>
      <c r="E706" s="40"/>
      <c r="F706" s="40"/>
      <c r="G706" s="40"/>
      <c r="H706" s="5"/>
      <c r="Q706" s="40"/>
      <c r="R706" s="40"/>
      <c r="S706" s="40"/>
      <c r="T706" s="40"/>
      <c r="U706" s="40"/>
      <c r="W706" s="40"/>
      <c r="X706" s="40"/>
      <c r="Y706" s="40"/>
      <c r="Z706" s="40"/>
      <c r="AA706" s="41"/>
      <c r="AB706" s="41"/>
      <c r="AC706" s="41"/>
      <c r="AD706" s="41"/>
      <c r="AE706" s="40"/>
      <c r="AF706" s="42"/>
      <c r="AG706" s="5"/>
      <c r="AH706" s="5"/>
      <c r="AI706" s="40"/>
      <c r="AJ706" s="40"/>
      <c r="AK706" s="40"/>
      <c r="AL706" s="40"/>
      <c r="AM706" s="40"/>
      <c r="AO706" s="40"/>
    </row>
    <row r="707" spans="2:41" ht="12.75" customHeight="1" x14ac:dyDescent="0.25">
      <c r="B707" s="40"/>
      <c r="C707" s="40"/>
      <c r="D707" s="40"/>
      <c r="E707" s="40"/>
      <c r="F707" s="40"/>
      <c r="G707" s="40"/>
      <c r="H707" s="5"/>
      <c r="Q707" s="40"/>
      <c r="R707" s="40"/>
      <c r="S707" s="40"/>
      <c r="T707" s="40"/>
      <c r="U707" s="40"/>
      <c r="W707" s="40"/>
      <c r="X707" s="40"/>
      <c r="Y707" s="40"/>
      <c r="Z707" s="40"/>
      <c r="AA707" s="41"/>
      <c r="AB707" s="41"/>
      <c r="AC707" s="41"/>
      <c r="AD707" s="41"/>
      <c r="AE707" s="40"/>
      <c r="AF707" s="42"/>
      <c r="AG707" s="5"/>
      <c r="AH707" s="5"/>
      <c r="AI707" s="40"/>
      <c r="AJ707" s="40"/>
      <c r="AK707" s="40"/>
      <c r="AL707" s="40"/>
      <c r="AM707" s="40"/>
      <c r="AO707" s="40"/>
    </row>
    <row r="708" spans="2:41" ht="12.75" customHeight="1" x14ac:dyDescent="0.25">
      <c r="B708" s="40"/>
      <c r="C708" s="40"/>
      <c r="D708" s="40"/>
      <c r="E708" s="40"/>
      <c r="F708" s="40"/>
      <c r="G708" s="40"/>
      <c r="H708" s="5"/>
      <c r="Q708" s="40"/>
      <c r="R708" s="40"/>
      <c r="S708" s="40"/>
      <c r="T708" s="40"/>
      <c r="U708" s="40"/>
      <c r="W708" s="40"/>
      <c r="X708" s="40"/>
      <c r="Y708" s="40"/>
      <c r="Z708" s="40"/>
      <c r="AA708" s="41"/>
      <c r="AB708" s="41"/>
      <c r="AC708" s="41"/>
      <c r="AD708" s="41"/>
      <c r="AE708" s="40"/>
      <c r="AF708" s="42"/>
      <c r="AG708" s="5"/>
      <c r="AH708" s="5"/>
      <c r="AI708" s="40"/>
      <c r="AJ708" s="40"/>
      <c r="AK708" s="40"/>
      <c r="AL708" s="40"/>
      <c r="AM708" s="40"/>
      <c r="AO708" s="40"/>
    </row>
    <row r="709" spans="2:41" ht="12.75" customHeight="1" x14ac:dyDescent="0.25">
      <c r="B709" s="40"/>
      <c r="C709" s="40"/>
      <c r="D709" s="40"/>
      <c r="E709" s="40"/>
      <c r="F709" s="40"/>
      <c r="G709" s="40"/>
      <c r="H709" s="5"/>
      <c r="Q709" s="40"/>
      <c r="R709" s="40"/>
      <c r="S709" s="40"/>
      <c r="T709" s="40"/>
      <c r="U709" s="40"/>
      <c r="W709" s="40"/>
      <c r="X709" s="40"/>
      <c r="Y709" s="40"/>
      <c r="Z709" s="40"/>
      <c r="AA709" s="41"/>
      <c r="AB709" s="41"/>
      <c r="AC709" s="41"/>
      <c r="AD709" s="41"/>
      <c r="AE709" s="40"/>
      <c r="AF709" s="42"/>
      <c r="AG709" s="5"/>
      <c r="AH709" s="5"/>
      <c r="AI709" s="40"/>
      <c r="AJ709" s="40"/>
      <c r="AK709" s="40"/>
      <c r="AL709" s="40"/>
      <c r="AM709" s="40"/>
      <c r="AO709" s="40"/>
    </row>
    <row r="710" spans="2:41" ht="12.75" customHeight="1" x14ac:dyDescent="0.25">
      <c r="B710" s="40"/>
      <c r="C710" s="40"/>
      <c r="D710" s="40"/>
      <c r="E710" s="40"/>
      <c r="F710" s="40"/>
      <c r="G710" s="40"/>
      <c r="H710" s="5"/>
      <c r="Q710" s="40"/>
      <c r="R710" s="40"/>
      <c r="S710" s="40"/>
      <c r="T710" s="40"/>
      <c r="U710" s="40"/>
      <c r="W710" s="40"/>
      <c r="X710" s="40"/>
      <c r="Y710" s="40"/>
      <c r="Z710" s="40"/>
      <c r="AA710" s="41"/>
      <c r="AB710" s="41"/>
      <c r="AC710" s="41"/>
      <c r="AD710" s="41"/>
      <c r="AE710" s="40"/>
      <c r="AF710" s="42"/>
      <c r="AG710" s="5"/>
      <c r="AH710" s="5"/>
      <c r="AI710" s="40"/>
      <c r="AJ710" s="40"/>
      <c r="AK710" s="40"/>
      <c r="AL710" s="40"/>
      <c r="AM710" s="40"/>
      <c r="AO710" s="40"/>
    </row>
    <row r="711" spans="2:41" ht="12.75" customHeight="1" x14ac:dyDescent="0.25">
      <c r="B711" s="40"/>
      <c r="C711" s="40"/>
      <c r="D711" s="40"/>
      <c r="E711" s="40"/>
      <c r="F711" s="40"/>
      <c r="G711" s="40"/>
      <c r="H711" s="5"/>
      <c r="Q711" s="40"/>
      <c r="R711" s="40"/>
      <c r="S711" s="40"/>
      <c r="T711" s="40"/>
      <c r="U711" s="40"/>
      <c r="W711" s="40"/>
      <c r="X711" s="40"/>
      <c r="Y711" s="40"/>
      <c r="Z711" s="40"/>
      <c r="AA711" s="41"/>
      <c r="AB711" s="41"/>
      <c r="AC711" s="41"/>
      <c r="AD711" s="41"/>
      <c r="AE711" s="40"/>
      <c r="AF711" s="42"/>
      <c r="AG711" s="5"/>
      <c r="AH711" s="5"/>
      <c r="AI711" s="40"/>
      <c r="AJ711" s="40"/>
      <c r="AK711" s="40"/>
      <c r="AL711" s="40"/>
      <c r="AM711" s="40"/>
      <c r="AO711" s="40"/>
    </row>
    <row r="712" spans="2:41" ht="12.75" customHeight="1" x14ac:dyDescent="0.25">
      <c r="B712" s="40"/>
      <c r="C712" s="40"/>
      <c r="D712" s="40"/>
      <c r="E712" s="40"/>
      <c r="F712" s="40"/>
      <c r="G712" s="40"/>
      <c r="H712" s="5"/>
      <c r="Q712" s="40"/>
      <c r="R712" s="40"/>
      <c r="S712" s="40"/>
      <c r="T712" s="40"/>
      <c r="U712" s="40"/>
      <c r="W712" s="40"/>
      <c r="X712" s="40"/>
      <c r="Y712" s="40"/>
      <c r="Z712" s="40"/>
      <c r="AA712" s="41"/>
      <c r="AB712" s="41"/>
      <c r="AC712" s="41"/>
      <c r="AD712" s="41"/>
      <c r="AE712" s="40"/>
      <c r="AF712" s="42"/>
      <c r="AG712" s="5"/>
      <c r="AH712" s="5"/>
      <c r="AI712" s="40"/>
      <c r="AJ712" s="40"/>
      <c r="AK712" s="40"/>
      <c r="AL712" s="40"/>
      <c r="AM712" s="40"/>
      <c r="AO712" s="40"/>
    </row>
    <row r="713" spans="2:41" ht="12.75" customHeight="1" x14ac:dyDescent="0.25">
      <c r="B713" s="40"/>
      <c r="C713" s="40"/>
      <c r="D713" s="40"/>
      <c r="E713" s="40"/>
      <c r="F713" s="40"/>
      <c r="G713" s="40"/>
      <c r="H713" s="5"/>
      <c r="Q713" s="40"/>
      <c r="R713" s="40"/>
      <c r="S713" s="40"/>
      <c r="T713" s="40"/>
      <c r="U713" s="40"/>
      <c r="W713" s="40"/>
      <c r="X713" s="40"/>
      <c r="Y713" s="40"/>
      <c r="Z713" s="40"/>
      <c r="AA713" s="41"/>
      <c r="AB713" s="41"/>
      <c r="AC713" s="41"/>
      <c r="AD713" s="41"/>
      <c r="AE713" s="40"/>
      <c r="AF713" s="42"/>
      <c r="AG713" s="5"/>
      <c r="AH713" s="5"/>
      <c r="AI713" s="40"/>
      <c r="AJ713" s="40"/>
      <c r="AK713" s="40"/>
      <c r="AL713" s="40"/>
      <c r="AM713" s="40"/>
      <c r="AO713" s="40"/>
    </row>
    <row r="714" spans="2:41" ht="12.75" customHeight="1" x14ac:dyDescent="0.25">
      <c r="B714" s="40"/>
      <c r="C714" s="40"/>
      <c r="D714" s="40"/>
      <c r="E714" s="40"/>
      <c r="F714" s="40"/>
      <c r="G714" s="40"/>
      <c r="H714" s="5"/>
      <c r="Q714" s="40"/>
      <c r="R714" s="40"/>
      <c r="S714" s="40"/>
      <c r="T714" s="40"/>
      <c r="U714" s="40"/>
      <c r="W714" s="40"/>
      <c r="X714" s="40"/>
      <c r="Y714" s="40"/>
      <c r="Z714" s="40"/>
      <c r="AA714" s="41"/>
      <c r="AB714" s="41"/>
      <c r="AC714" s="41"/>
      <c r="AD714" s="41"/>
      <c r="AE714" s="40"/>
      <c r="AF714" s="42"/>
      <c r="AG714" s="5"/>
      <c r="AH714" s="5"/>
      <c r="AI714" s="40"/>
      <c r="AJ714" s="40"/>
      <c r="AK714" s="40"/>
      <c r="AL714" s="40"/>
      <c r="AM714" s="40"/>
      <c r="AO714" s="40"/>
    </row>
    <row r="715" spans="2:41" ht="12.75" customHeight="1" x14ac:dyDescent="0.25">
      <c r="B715" s="40"/>
      <c r="C715" s="40"/>
      <c r="D715" s="40"/>
      <c r="E715" s="40"/>
      <c r="F715" s="40"/>
      <c r="G715" s="40"/>
      <c r="H715" s="5"/>
      <c r="Q715" s="40"/>
      <c r="R715" s="40"/>
      <c r="S715" s="40"/>
      <c r="T715" s="40"/>
      <c r="U715" s="40"/>
      <c r="W715" s="40"/>
      <c r="X715" s="40"/>
      <c r="Y715" s="40"/>
      <c r="Z715" s="40"/>
      <c r="AA715" s="41"/>
      <c r="AB715" s="41"/>
      <c r="AC715" s="41"/>
      <c r="AD715" s="41"/>
      <c r="AE715" s="40"/>
      <c r="AF715" s="42"/>
      <c r="AG715" s="5"/>
      <c r="AH715" s="5"/>
      <c r="AI715" s="40"/>
      <c r="AJ715" s="40"/>
      <c r="AK715" s="40"/>
      <c r="AL715" s="40"/>
      <c r="AM715" s="40"/>
      <c r="AO715" s="40"/>
    </row>
    <row r="716" spans="2:41" ht="12.75" customHeight="1" x14ac:dyDescent="0.25">
      <c r="B716" s="40"/>
      <c r="C716" s="40"/>
      <c r="D716" s="40"/>
      <c r="E716" s="40"/>
      <c r="F716" s="40"/>
      <c r="G716" s="40"/>
      <c r="H716" s="5"/>
      <c r="Q716" s="40"/>
      <c r="R716" s="40"/>
      <c r="S716" s="40"/>
      <c r="T716" s="40"/>
      <c r="U716" s="40"/>
      <c r="W716" s="40"/>
      <c r="X716" s="40"/>
      <c r="Y716" s="40"/>
      <c r="Z716" s="40"/>
      <c r="AA716" s="41"/>
      <c r="AB716" s="41"/>
      <c r="AC716" s="41"/>
      <c r="AD716" s="41"/>
      <c r="AE716" s="40"/>
      <c r="AF716" s="42"/>
      <c r="AG716" s="5"/>
      <c r="AH716" s="5"/>
      <c r="AI716" s="40"/>
      <c r="AJ716" s="40"/>
      <c r="AK716" s="40"/>
      <c r="AL716" s="40"/>
      <c r="AM716" s="40"/>
      <c r="AO716" s="40"/>
    </row>
    <row r="717" spans="2:41" ht="12.75" customHeight="1" x14ac:dyDescent="0.25">
      <c r="B717" s="40"/>
      <c r="C717" s="40"/>
      <c r="D717" s="40"/>
      <c r="E717" s="40"/>
      <c r="F717" s="40"/>
      <c r="G717" s="40"/>
      <c r="H717" s="5"/>
      <c r="Q717" s="40"/>
      <c r="R717" s="40"/>
      <c r="S717" s="40"/>
      <c r="T717" s="40"/>
      <c r="U717" s="40"/>
      <c r="W717" s="40"/>
      <c r="X717" s="40"/>
      <c r="Y717" s="40"/>
      <c r="Z717" s="40"/>
      <c r="AA717" s="41"/>
      <c r="AB717" s="41"/>
      <c r="AC717" s="41"/>
      <c r="AD717" s="41"/>
      <c r="AE717" s="40"/>
      <c r="AF717" s="42"/>
      <c r="AG717" s="5"/>
      <c r="AH717" s="5"/>
      <c r="AI717" s="40"/>
      <c r="AJ717" s="40"/>
      <c r="AK717" s="40"/>
      <c r="AL717" s="40"/>
      <c r="AM717" s="40"/>
      <c r="AO717" s="40"/>
    </row>
    <row r="718" spans="2:41" ht="12.75" customHeight="1" x14ac:dyDescent="0.25">
      <c r="B718" s="40"/>
      <c r="C718" s="40"/>
      <c r="D718" s="40"/>
      <c r="E718" s="40"/>
      <c r="F718" s="40"/>
      <c r="G718" s="40"/>
      <c r="H718" s="5"/>
      <c r="Q718" s="40"/>
      <c r="R718" s="40"/>
      <c r="S718" s="40"/>
      <c r="T718" s="40"/>
      <c r="U718" s="40"/>
      <c r="W718" s="40"/>
      <c r="X718" s="40"/>
      <c r="Y718" s="40"/>
      <c r="Z718" s="40"/>
      <c r="AA718" s="41"/>
      <c r="AB718" s="41"/>
      <c r="AC718" s="41"/>
      <c r="AD718" s="41"/>
      <c r="AE718" s="40"/>
      <c r="AF718" s="42"/>
      <c r="AG718" s="5"/>
      <c r="AH718" s="5"/>
      <c r="AI718" s="40"/>
      <c r="AJ718" s="40"/>
      <c r="AK718" s="40"/>
      <c r="AL718" s="40"/>
      <c r="AM718" s="40"/>
      <c r="AO718" s="40"/>
    </row>
    <row r="719" spans="2:41" ht="12.75" customHeight="1" x14ac:dyDescent="0.25">
      <c r="B719" s="40"/>
      <c r="C719" s="40"/>
      <c r="D719" s="40"/>
      <c r="E719" s="40"/>
      <c r="F719" s="40"/>
      <c r="G719" s="40"/>
      <c r="H719" s="5"/>
      <c r="Q719" s="40"/>
      <c r="R719" s="40"/>
      <c r="S719" s="40"/>
      <c r="T719" s="40"/>
      <c r="U719" s="40"/>
      <c r="W719" s="40"/>
      <c r="X719" s="40"/>
      <c r="Y719" s="40"/>
      <c r="Z719" s="40"/>
      <c r="AA719" s="41"/>
      <c r="AB719" s="41"/>
      <c r="AC719" s="41"/>
      <c r="AD719" s="41"/>
      <c r="AE719" s="40"/>
      <c r="AF719" s="42"/>
      <c r="AG719" s="5"/>
      <c r="AH719" s="5"/>
      <c r="AI719" s="40"/>
      <c r="AJ719" s="40"/>
      <c r="AK719" s="40"/>
      <c r="AL719" s="40"/>
      <c r="AM719" s="40"/>
      <c r="AO719" s="40"/>
    </row>
    <row r="720" spans="2:41" ht="12.75" customHeight="1" x14ac:dyDescent="0.25">
      <c r="B720" s="40"/>
      <c r="C720" s="40"/>
      <c r="D720" s="40"/>
      <c r="E720" s="40"/>
      <c r="F720" s="40"/>
      <c r="G720" s="40"/>
      <c r="H720" s="5"/>
      <c r="Q720" s="40"/>
      <c r="R720" s="40"/>
      <c r="S720" s="40"/>
      <c r="T720" s="40"/>
      <c r="U720" s="40"/>
      <c r="W720" s="40"/>
      <c r="X720" s="40"/>
      <c r="Y720" s="40"/>
      <c r="Z720" s="40"/>
      <c r="AA720" s="41"/>
      <c r="AB720" s="41"/>
      <c r="AC720" s="41"/>
      <c r="AD720" s="41"/>
      <c r="AE720" s="40"/>
      <c r="AF720" s="42"/>
      <c r="AG720" s="5"/>
      <c r="AH720" s="5"/>
      <c r="AI720" s="40"/>
      <c r="AJ720" s="40"/>
      <c r="AK720" s="40"/>
      <c r="AL720" s="40"/>
      <c r="AM720" s="40"/>
      <c r="AO720" s="40"/>
    </row>
    <row r="721" spans="2:41" ht="12.75" customHeight="1" x14ac:dyDescent="0.25">
      <c r="B721" s="40"/>
      <c r="C721" s="40"/>
      <c r="D721" s="40"/>
      <c r="E721" s="40"/>
      <c r="F721" s="40"/>
      <c r="G721" s="40"/>
      <c r="H721" s="5"/>
      <c r="Q721" s="40"/>
      <c r="R721" s="40"/>
      <c r="S721" s="40"/>
      <c r="T721" s="40"/>
      <c r="U721" s="40"/>
      <c r="W721" s="40"/>
      <c r="X721" s="40"/>
      <c r="Y721" s="40"/>
      <c r="Z721" s="40"/>
      <c r="AA721" s="41"/>
      <c r="AB721" s="41"/>
      <c r="AC721" s="41"/>
      <c r="AD721" s="41"/>
      <c r="AE721" s="40"/>
      <c r="AF721" s="42"/>
      <c r="AG721" s="5"/>
      <c r="AH721" s="5"/>
      <c r="AI721" s="40"/>
      <c r="AJ721" s="40"/>
      <c r="AK721" s="40"/>
      <c r="AL721" s="40"/>
      <c r="AM721" s="40"/>
      <c r="AO721" s="40"/>
    </row>
    <row r="722" spans="2:41" ht="12.75" customHeight="1" x14ac:dyDescent="0.25">
      <c r="B722" s="40"/>
      <c r="C722" s="40"/>
      <c r="D722" s="40"/>
      <c r="E722" s="40"/>
      <c r="F722" s="40"/>
      <c r="G722" s="40"/>
      <c r="H722" s="5"/>
      <c r="Q722" s="40"/>
      <c r="R722" s="40"/>
      <c r="S722" s="40"/>
      <c r="T722" s="40"/>
      <c r="U722" s="40"/>
      <c r="W722" s="40"/>
      <c r="X722" s="40"/>
      <c r="Y722" s="40"/>
      <c r="Z722" s="40"/>
      <c r="AA722" s="41"/>
      <c r="AB722" s="41"/>
      <c r="AC722" s="41"/>
      <c r="AD722" s="41"/>
      <c r="AE722" s="40"/>
      <c r="AF722" s="42"/>
      <c r="AG722" s="5"/>
      <c r="AH722" s="5"/>
      <c r="AI722" s="40"/>
      <c r="AJ722" s="40"/>
      <c r="AK722" s="40"/>
      <c r="AL722" s="40"/>
      <c r="AM722" s="40"/>
      <c r="AO722" s="40"/>
    </row>
    <row r="723" spans="2:41" ht="12.75" customHeight="1" x14ac:dyDescent="0.25">
      <c r="B723" s="40"/>
      <c r="C723" s="40"/>
      <c r="D723" s="40"/>
      <c r="E723" s="40"/>
      <c r="F723" s="40"/>
      <c r="G723" s="40"/>
      <c r="H723" s="5"/>
      <c r="Q723" s="40"/>
      <c r="R723" s="40"/>
      <c r="S723" s="40"/>
      <c r="T723" s="40"/>
      <c r="U723" s="40"/>
      <c r="W723" s="40"/>
      <c r="X723" s="40"/>
      <c r="Y723" s="40"/>
      <c r="Z723" s="40"/>
      <c r="AA723" s="41"/>
      <c r="AB723" s="41"/>
      <c r="AC723" s="41"/>
      <c r="AD723" s="41"/>
      <c r="AE723" s="40"/>
      <c r="AF723" s="42"/>
      <c r="AG723" s="5"/>
      <c r="AH723" s="5"/>
      <c r="AI723" s="40"/>
      <c r="AJ723" s="40"/>
      <c r="AK723" s="40"/>
      <c r="AL723" s="40"/>
      <c r="AM723" s="40"/>
      <c r="AO723" s="40"/>
    </row>
    <row r="724" spans="2:41" ht="12.75" customHeight="1" x14ac:dyDescent="0.25">
      <c r="B724" s="40"/>
      <c r="C724" s="40"/>
      <c r="D724" s="40"/>
      <c r="E724" s="40"/>
      <c r="F724" s="40"/>
      <c r="G724" s="40"/>
      <c r="H724" s="5"/>
      <c r="Q724" s="40"/>
      <c r="R724" s="40"/>
      <c r="S724" s="40"/>
      <c r="T724" s="40"/>
      <c r="U724" s="40"/>
      <c r="W724" s="40"/>
      <c r="X724" s="40"/>
      <c r="Y724" s="40"/>
      <c r="Z724" s="40"/>
      <c r="AA724" s="41"/>
      <c r="AB724" s="41"/>
      <c r="AC724" s="41"/>
      <c r="AD724" s="41"/>
      <c r="AE724" s="40"/>
      <c r="AF724" s="42"/>
      <c r="AG724" s="5"/>
      <c r="AH724" s="5"/>
      <c r="AI724" s="40"/>
      <c r="AJ724" s="40"/>
      <c r="AK724" s="40"/>
      <c r="AL724" s="40"/>
      <c r="AM724" s="40"/>
      <c r="AO724" s="40"/>
    </row>
    <row r="725" spans="2:41" ht="12.75" customHeight="1" x14ac:dyDescent="0.25">
      <c r="B725" s="40"/>
      <c r="C725" s="40"/>
      <c r="D725" s="40"/>
      <c r="E725" s="40"/>
      <c r="F725" s="40"/>
      <c r="G725" s="40"/>
      <c r="H725" s="5"/>
      <c r="Q725" s="40"/>
      <c r="R725" s="40"/>
      <c r="S725" s="40"/>
      <c r="T725" s="40"/>
      <c r="U725" s="40"/>
      <c r="W725" s="40"/>
      <c r="X725" s="40"/>
      <c r="Y725" s="40"/>
      <c r="Z725" s="40"/>
      <c r="AA725" s="41"/>
      <c r="AB725" s="41"/>
      <c r="AC725" s="41"/>
      <c r="AD725" s="41"/>
      <c r="AE725" s="40"/>
      <c r="AF725" s="42"/>
      <c r="AG725" s="5"/>
      <c r="AH725" s="5"/>
      <c r="AI725" s="40"/>
      <c r="AJ725" s="40"/>
      <c r="AK725" s="40"/>
      <c r="AL725" s="40"/>
      <c r="AM725" s="40"/>
      <c r="AO725" s="40"/>
    </row>
    <row r="726" spans="2:41" ht="12.75" customHeight="1" x14ac:dyDescent="0.25">
      <c r="B726" s="40"/>
      <c r="C726" s="40"/>
      <c r="D726" s="40"/>
      <c r="E726" s="40"/>
      <c r="F726" s="40"/>
      <c r="G726" s="40"/>
      <c r="H726" s="5"/>
      <c r="Q726" s="40"/>
      <c r="R726" s="40"/>
      <c r="S726" s="40"/>
      <c r="T726" s="40"/>
      <c r="U726" s="40"/>
      <c r="W726" s="40"/>
      <c r="X726" s="40"/>
      <c r="Y726" s="40"/>
      <c r="Z726" s="40"/>
      <c r="AA726" s="41"/>
      <c r="AB726" s="41"/>
      <c r="AC726" s="41"/>
      <c r="AD726" s="41"/>
      <c r="AE726" s="40"/>
      <c r="AF726" s="42"/>
      <c r="AG726" s="5"/>
      <c r="AH726" s="5"/>
      <c r="AI726" s="40"/>
      <c r="AJ726" s="40"/>
      <c r="AK726" s="40"/>
      <c r="AL726" s="40"/>
      <c r="AM726" s="40"/>
      <c r="AO726" s="40"/>
    </row>
    <row r="727" spans="2:41" ht="12.75" customHeight="1" x14ac:dyDescent="0.25">
      <c r="B727" s="40"/>
      <c r="C727" s="40"/>
      <c r="D727" s="40"/>
      <c r="E727" s="40"/>
      <c r="F727" s="40"/>
      <c r="G727" s="40"/>
      <c r="H727" s="5"/>
      <c r="Q727" s="40"/>
      <c r="R727" s="40"/>
      <c r="S727" s="40"/>
      <c r="T727" s="40"/>
      <c r="U727" s="40"/>
      <c r="W727" s="40"/>
      <c r="X727" s="40"/>
      <c r="Y727" s="40"/>
      <c r="Z727" s="40"/>
      <c r="AA727" s="41"/>
      <c r="AB727" s="41"/>
      <c r="AC727" s="41"/>
      <c r="AD727" s="41"/>
      <c r="AE727" s="40"/>
      <c r="AF727" s="42"/>
      <c r="AG727" s="5"/>
      <c r="AH727" s="5"/>
      <c r="AI727" s="40"/>
      <c r="AJ727" s="40"/>
      <c r="AK727" s="40"/>
      <c r="AL727" s="40"/>
      <c r="AM727" s="40"/>
      <c r="AO727" s="40"/>
    </row>
    <row r="728" spans="2:41" ht="12.75" customHeight="1" x14ac:dyDescent="0.25">
      <c r="B728" s="40"/>
      <c r="C728" s="40"/>
      <c r="D728" s="40"/>
      <c r="E728" s="40"/>
      <c r="F728" s="40"/>
      <c r="G728" s="40"/>
      <c r="H728" s="5"/>
      <c r="Q728" s="40"/>
      <c r="R728" s="40"/>
      <c r="S728" s="40"/>
      <c r="T728" s="40"/>
      <c r="U728" s="40"/>
      <c r="W728" s="40"/>
      <c r="X728" s="40"/>
      <c r="Y728" s="40"/>
      <c r="Z728" s="40"/>
      <c r="AA728" s="41"/>
      <c r="AB728" s="41"/>
      <c r="AC728" s="41"/>
      <c r="AD728" s="41"/>
      <c r="AE728" s="40"/>
      <c r="AF728" s="42"/>
      <c r="AG728" s="5"/>
      <c r="AH728" s="5"/>
      <c r="AI728" s="40"/>
      <c r="AJ728" s="40"/>
      <c r="AK728" s="40"/>
      <c r="AL728" s="40"/>
      <c r="AM728" s="40"/>
      <c r="AO728" s="40"/>
    </row>
    <row r="729" spans="2:41" ht="12.75" customHeight="1" x14ac:dyDescent="0.25">
      <c r="B729" s="40"/>
      <c r="C729" s="40"/>
      <c r="D729" s="40"/>
      <c r="E729" s="40"/>
      <c r="F729" s="40"/>
      <c r="G729" s="40"/>
      <c r="H729" s="5"/>
      <c r="Q729" s="40"/>
      <c r="R729" s="40"/>
      <c r="S729" s="40"/>
      <c r="T729" s="40"/>
      <c r="U729" s="40"/>
      <c r="W729" s="40"/>
      <c r="X729" s="40"/>
      <c r="Y729" s="40"/>
      <c r="Z729" s="40"/>
      <c r="AA729" s="41"/>
      <c r="AB729" s="41"/>
      <c r="AC729" s="41"/>
      <c r="AD729" s="41"/>
      <c r="AE729" s="40"/>
      <c r="AF729" s="42"/>
      <c r="AG729" s="5"/>
      <c r="AH729" s="5"/>
      <c r="AI729" s="40"/>
      <c r="AJ729" s="40"/>
      <c r="AK729" s="40"/>
      <c r="AL729" s="40"/>
      <c r="AM729" s="40"/>
      <c r="AO729" s="40"/>
    </row>
    <row r="730" spans="2:41" ht="12.75" customHeight="1" x14ac:dyDescent="0.25">
      <c r="B730" s="40"/>
      <c r="C730" s="40"/>
      <c r="D730" s="40"/>
      <c r="E730" s="40"/>
      <c r="F730" s="40"/>
      <c r="G730" s="40"/>
      <c r="H730" s="5"/>
      <c r="Q730" s="40"/>
      <c r="R730" s="40"/>
      <c r="S730" s="40"/>
      <c r="T730" s="40"/>
      <c r="U730" s="40"/>
      <c r="W730" s="40"/>
      <c r="X730" s="40"/>
      <c r="Y730" s="40"/>
      <c r="Z730" s="40"/>
      <c r="AA730" s="41"/>
      <c r="AB730" s="41"/>
      <c r="AC730" s="41"/>
      <c r="AD730" s="41"/>
      <c r="AE730" s="40"/>
      <c r="AF730" s="42"/>
      <c r="AG730" s="5"/>
      <c r="AH730" s="5"/>
      <c r="AI730" s="40"/>
      <c r="AJ730" s="40"/>
      <c r="AK730" s="40"/>
      <c r="AL730" s="40"/>
      <c r="AM730" s="40"/>
      <c r="AO730" s="40"/>
    </row>
    <row r="731" spans="2:41" ht="12.75" customHeight="1" x14ac:dyDescent="0.25">
      <c r="B731" s="40"/>
      <c r="C731" s="40"/>
      <c r="D731" s="40"/>
      <c r="E731" s="40"/>
      <c r="F731" s="40"/>
      <c r="G731" s="40"/>
      <c r="H731" s="5"/>
      <c r="Q731" s="40"/>
      <c r="R731" s="40"/>
      <c r="S731" s="40"/>
      <c r="T731" s="40"/>
      <c r="U731" s="40"/>
      <c r="W731" s="40"/>
      <c r="X731" s="40"/>
      <c r="Y731" s="40"/>
      <c r="Z731" s="40"/>
      <c r="AA731" s="41"/>
      <c r="AB731" s="41"/>
      <c r="AC731" s="41"/>
      <c r="AD731" s="41"/>
      <c r="AE731" s="40"/>
      <c r="AF731" s="42"/>
      <c r="AG731" s="5"/>
      <c r="AH731" s="5"/>
      <c r="AI731" s="40"/>
      <c r="AJ731" s="40"/>
      <c r="AK731" s="40"/>
      <c r="AL731" s="40"/>
      <c r="AM731" s="40"/>
      <c r="AO731" s="40"/>
    </row>
    <row r="732" spans="2:41" ht="12.75" customHeight="1" x14ac:dyDescent="0.25">
      <c r="B732" s="40"/>
      <c r="C732" s="40"/>
      <c r="D732" s="40"/>
      <c r="E732" s="40"/>
      <c r="F732" s="40"/>
      <c r="G732" s="40"/>
      <c r="H732" s="5"/>
      <c r="Q732" s="40"/>
      <c r="R732" s="40"/>
      <c r="S732" s="40"/>
      <c r="T732" s="40"/>
      <c r="U732" s="40"/>
      <c r="W732" s="40"/>
      <c r="X732" s="40"/>
      <c r="Y732" s="40"/>
      <c r="Z732" s="40"/>
      <c r="AA732" s="41"/>
      <c r="AB732" s="41"/>
      <c r="AC732" s="41"/>
      <c r="AD732" s="41"/>
      <c r="AE732" s="40"/>
      <c r="AF732" s="42"/>
      <c r="AG732" s="5"/>
      <c r="AH732" s="5"/>
      <c r="AI732" s="40"/>
      <c r="AJ732" s="40"/>
      <c r="AK732" s="40"/>
      <c r="AL732" s="40"/>
      <c r="AM732" s="40"/>
      <c r="AO732" s="40"/>
    </row>
    <row r="733" spans="2:41" ht="12.75" customHeight="1" x14ac:dyDescent="0.25">
      <c r="B733" s="40"/>
      <c r="C733" s="40"/>
      <c r="D733" s="40"/>
      <c r="E733" s="40"/>
      <c r="F733" s="40"/>
      <c r="G733" s="40"/>
      <c r="H733" s="5"/>
      <c r="Q733" s="40"/>
      <c r="R733" s="40"/>
      <c r="S733" s="40"/>
      <c r="T733" s="40"/>
      <c r="U733" s="40"/>
      <c r="W733" s="40"/>
      <c r="X733" s="40"/>
      <c r="Y733" s="40"/>
      <c r="Z733" s="40"/>
      <c r="AA733" s="41"/>
      <c r="AB733" s="41"/>
      <c r="AC733" s="41"/>
      <c r="AD733" s="41"/>
      <c r="AE733" s="40"/>
      <c r="AF733" s="42"/>
      <c r="AG733" s="5"/>
      <c r="AH733" s="5"/>
      <c r="AI733" s="40"/>
      <c r="AJ733" s="40"/>
      <c r="AK733" s="40"/>
      <c r="AL733" s="40"/>
      <c r="AM733" s="40"/>
      <c r="AO733" s="40"/>
    </row>
    <row r="734" spans="2:41" ht="12.75" customHeight="1" x14ac:dyDescent="0.25">
      <c r="B734" s="40"/>
      <c r="C734" s="40"/>
      <c r="D734" s="40"/>
      <c r="E734" s="40"/>
      <c r="F734" s="40"/>
      <c r="G734" s="40"/>
      <c r="H734" s="5"/>
      <c r="Q734" s="40"/>
      <c r="R734" s="40"/>
      <c r="S734" s="40"/>
      <c r="T734" s="40"/>
      <c r="U734" s="40"/>
      <c r="W734" s="40"/>
      <c r="X734" s="40"/>
      <c r="Y734" s="40"/>
      <c r="Z734" s="40"/>
      <c r="AA734" s="41"/>
      <c r="AB734" s="41"/>
      <c r="AC734" s="41"/>
      <c r="AD734" s="41"/>
      <c r="AE734" s="40"/>
      <c r="AF734" s="42"/>
      <c r="AG734" s="5"/>
      <c r="AH734" s="5"/>
      <c r="AI734" s="40"/>
      <c r="AJ734" s="40"/>
      <c r="AK734" s="40"/>
      <c r="AL734" s="40"/>
      <c r="AM734" s="40"/>
      <c r="AO734" s="40"/>
    </row>
    <row r="735" spans="2:41" ht="12.75" customHeight="1" x14ac:dyDescent="0.25">
      <c r="B735" s="40"/>
      <c r="C735" s="40"/>
      <c r="D735" s="40"/>
      <c r="E735" s="40"/>
      <c r="F735" s="40"/>
      <c r="G735" s="40"/>
      <c r="H735" s="5"/>
      <c r="Q735" s="40"/>
      <c r="R735" s="40"/>
      <c r="S735" s="40"/>
      <c r="T735" s="40"/>
      <c r="U735" s="40"/>
      <c r="W735" s="40"/>
      <c r="X735" s="40"/>
      <c r="Y735" s="40"/>
      <c r="Z735" s="40"/>
      <c r="AA735" s="41"/>
      <c r="AB735" s="41"/>
      <c r="AC735" s="41"/>
      <c r="AD735" s="41"/>
      <c r="AE735" s="40"/>
      <c r="AF735" s="42"/>
      <c r="AG735" s="5"/>
      <c r="AH735" s="5"/>
      <c r="AI735" s="40"/>
      <c r="AJ735" s="40"/>
      <c r="AK735" s="40"/>
      <c r="AL735" s="40"/>
      <c r="AM735" s="40"/>
      <c r="AO735" s="40"/>
    </row>
    <row r="736" spans="2:41" ht="12.75" customHeight="1" x14ac:dyDescent="0.25">
      <c r="B736" s="40"/>
      <c r="C736" s="40"/>
      <c r="D736" s="40"/>
      <c r="E736" s="40"/>
      <c r="F736" s="40"/>
      <c r="G736" s="40"/>
      <c r="H736" s="5"/>
      <c r="Q736" s="40"/>
      <c r="R736" s="40"/>
      <c r="S736" s="40"/>
      <c r="T736" s="40"/>
      <c r="U736" s="40"/>
      <c r="W736" s="40"/>
      <c r="X736" s="40"/>
      <c r="Y736" s="40"/>
      <c r="Z736" s="40"/>
      <c r="AA736" s="41"/>
      <c r="AB736" s="41"/>
      <c r="AC736" s="41"/>
      <c r="AD736" s="41"/>
      <c r="AE736" s="40"/>
      <c r="AF736" s="42"/>
      <c r="AG736" s="5"/>
      <c r="AH736" s="5"/>
      <c r="AI736" s="40"/>
      <c r="AJ736" s="40"/>
      <c r="AK736" s="40"/>
      <c r="AL736" s="40"/>
      <c r="AM736" s="40"/>
      <c r="AO736" s="40"/>
    </row>
    <row r="737" spans="2:41" ht="12.75" customHeight="1" x14ac:dyDescent="0.25">
      <c r="B737" s="40"/>
      <c r="C737" s="40"/>
      <c r="D737" s="40"/>
      <c r="E737" s="40"/>
      <c r="F737" s="40"/>
      <c r="G737" s="40"/>
      <c r="H737" s="5"/>
      <c r="Q737" s="40"/>
      <c r="R737" s="40"/>
      <c r="S737" s="40"/>
      <c r="T737" s="40"/>
      <c r="U737" s="40"/>
      <c r="W737" s="40"/>
      <c r="X737" s="40"/>
      <c r="Y737" s="40"/>
      <c r="Z737" s="40"/>
      <c r="AA737" s="41"/>
      <c r="AB737" s="41"/>
      <c r="AC737" s="41"/>
      <c r="AD737" s="41"/>
      <c r="AE737" s="40"/>
      <c r="AF737" s="42"/>
      <c r="AG737" s="5"/>
      <c r="AH737" s="5"/>
      <c r="AI737" s="40"/>
      <c r="AJ737" s="40"/>
      <c r="AK737" s="40"/>
      <c r="AL737" s="40"/>
      <c r="AM737" s="40"/>
      <c r="AO737" s="40"/>
    </row>
    <row r="738" spans="2:41" ht="12.75" customHeight="1" x14ac:dyDescent="0.25">
      <c r="B738" s="40"/>
      <c r="C738" s="40"/>
      <c r="D738" s="40"/>
      <c r="E738" s="40"/>
      <c r="F738" s="40"/>
      <c r="G738" s="40"/>
      <c r="H738" s="5"/>
      <c r="Q738" s="40"/>
      <c r="R738" s="40"/>
      <c r="S738" s="40"/>
      <c r="T738" s="40"/>
      <c r="U738" s="40"/>
      <c r="W738" s="40"/>
      <c r="X738" s="40"/>
      <c r="Y738" s="40"/>
      <c r="Z738" s="40"/>
      <c r="AA738" s="41"/>
      <c r="AB738" s="41"/>
      <c r="AC738" s="41"/>
      <c r="AD738" s="41"/>
      <c r="AE738" s="40"/>
      <c r="AF738" s="42"/>
      <c r="AG738" s="5"/>
      <c r="AH738" s="5"/>
      <c r="AI738" s="40"/>
      <c r="AJ738" s="40"/>
      <c r="AK738" s="40"/>
      <c r="AL738" s="40"/>
      <c r="AM738" s="40"/>
      <c r="AO738" s="40"/>
    </row>
    <row r="739" spans="2:41" ht="12.75" customHeight="1" x14ac:dyDescent="0.25">
      <c r="B739" s="40"/>
      <c r="C739" s="40"/>
      <c r="D739" s="40"/>
      <c r="E739" s="40"/>
      <c r="F739" s="40"/>
      <c r="G739" s="40"/>
      <c r="H739" s="5"/>
      <c r="Q739" s="40"/>
      <c r="R739" s="40"/>
      <c r="S739" s="40"/>
      <c r="T739" s="40"/>
      <c r="U739" s="40"/>
      <c r="W739" s="40"/>
      <c r="X739" s="40"/>
      <c r="Y739" s="40"/>
      <c r="Z739" s="40"/>
      <c r="AA739" s="41"/>
      <c r="AB739" s="41"/>
      <c r="AC739" s="41"/>
      <c r="AD739" s="41"/>
      <c r="AE739" s="40"/>
      <c r="AF739" s="42"/>
      <c r="AG739" s="5"/>
      <c r="AH739" s="5"/>
      <c r="AI739" s="40"/>
      <c r="AJ739" s="40"/>
      <c r="AK739" s="40"/>
      <c r="AL739" s="40"/>
      <c r="AM739" s="40"/>
      <c r="AO739" s="40"/>
    </row>
    <row r="740" spans="2:41" ht="12.75" customHeight="1" x14ac:dyDescent="0.25">
      <c r="B740" s="40"/>
      <c r="C740" s="40"/>
      <c r="D740" s="40"/>
      <c r="E740" s="40"/>
      <c r="F740" s="40"/>
      <c r="G740" s="40"/>
      <c r="H740" s="5"/>
      <c r="Q740" s="40"/>
      <c r="R740" s="40"/>
      <c r="S740" s="40"/>
      <c r="T740" s="40"/>
      <c r="U740" s="40"/>
      <c r="W740" s="40"/>
      <c r="X740" s="40"/>
      <c r="Y740" s="40"/>
      <c r="Z740" s="40"/>
      <c r="AA740" s="41"/>
      <c r="AB740" s="41"/>
      <c r="AC740" s="41"/>
      <c r="AD740" s="41"/>
      <c r="AE740" s="40"/>
      <c r="AF740" s="42"/>
      <c r="AG740" s="5"/>
      <c r="AH740" s="5"/>
      <c r="AI740" s="40"/>
      <c r="AJ740" s="40"/>
      <c r="AK740" s="40"/>
      <c r="AL740" s="40"/>
      <c r="AM740" s="40"/>
      <c r="AO740" s="40"/>
    </row>
    <row r="741" spans="2:41" ht="12.75" customHeight="1" x14ac:dyDescent="0.25">
      <c r="B741" s="40"/>
      <c r="C741" s="40"/>
      <c r="D741" s="40"/>
      <c r="E741" s="40"/>
      <c r="F741" s="40"/>
      <c r="G741" s="40"/>
      <c r="H741" s="5"/>
      <c r="Q741" s="40"/>
      <c r="R741" s="40"/>
      <c r="S741" s="40"/>
      <c r="T741" s="40"/>
      <c r="U741" s="40"/>
      <c r="W741" s="40"/>
      <c r="X741" s="40"/>
      <c r="Y741" s="40"/>
      <c r="Z741" s="40"/>
      <c r="AA741" s="41"/>
      <c r="AB741" s="41"/>
      <c r="AC741" s="41"/>
      <c r="AD741" s="41"/>
      <c r="AE741" s="40"/>
      <c r="AF741" s="42"/>
      <c r="AG741" s="5"/>
      <c r="AH741" s="5"/>
      <c r="AI741" s="40"/>
      <c r="AJ741" s="40"/>
      <c r="AK741" s="40"/>
      <c r="AL741" s="40"/>
      <c r="AM741" s="40"/>
      <c r="AO741" s="40"/>
    </row>
    <row r="742" spans="2:41" ht="12.75" customHeight="1" x14ac:dyDescent="0.25">
      <c r="B742" s="40"/>
      <c r="C742" s="40"/>
      <c r="D742" s="40"/>
      <c r="E742" s="40"/>
      <c r="F742" s="40"/>
      <c r="G742" s="40"/>
      <c r="H742" s="5"/>
      <c r="Q742" s="40"/>
      <c r="R742" s="40"/>
      <c r="S742" s="40"/>
      <c r="T742" s="40"/>
      <c r="U742" s="40"/>
      <c r="W742" s="40"/>
      <c r="X742" s="40"/>
      <c r="Y742" s="40"/>
      <c r="Z742" s="40"/>
      <c r="AA742" s="41"/>
      <c r="AB742" s="41"/>
      <c r="AC742" s="41"/>
      <c r="AD742" s="41"/>
      <c r="AE742" s="40"/>
      <c r="AF742" s="42"/>
      <c r="AG742" s="5"/>
      <c r="AH742" s="5"/>
      <c r="AI742" s="40"/>
      <c r="AJ742" s="40"/>
      <c r="AK742" s="40"/>
      <c r="AL742" s="40"/>
      <c r="AM742" s="40"/>
      <c r="AO742" s="40"/>
    </row>
    <row r="743" spans="2:41" ht="12.75" customHeight="1" x14ac:dyDescent="0.25">
      <c r="B743" s="40"/>
      <c r="C743" s="40"/>
      <c r="D743" s="40"/>
      <c r="E743" s="40"/>
      <c r="F743" s="40"/>
      <c r="G743" s="40"/>
      <c r="H743" s="5"/>
      <c r="Q743" s="40"/>
      <c r="R743" s="40"/>
      <c r="S743" s="40"/>
      <c r="T743" s="40"/>
      <c r="U743" s="40"/>
      <c r="W743" s="40"/>
      <c r="X743" s="40"/>
      <c r="Y743" s="40"/>
      <c r="Z743" s="40"/>
      <c r="AA743" s="41"/>
      <c r="AB743" s="41"/>
      <c r="AC743" s="41"/>
      <c r="AD743" s="41"/>
      <c r="AE743" s="40"/>
      <c r="AF743" s="42"/>
      <c r="AG743" s="5"/>
      <c r="AH743" s="5"/>
      <c r="AI743" s="40"/>
      <c r="AJ743" s="40"/>
      <c r="AK743" s="40"/>
      <c r="AL743" s="40"/>
      <c r="AM743" s="40"/>
      <c r="AO743" s="40"/>
    </row>
    <row r="744" spans="2:41" ht="12.75" customHeight="1" x14ac:dyDescent="0.25">
      <c r="B744" s="40"/>
      <c r="C744" s="40"/>
      <c r="D744" s="40"/>
      <c r="E744" s="40"/>
      <c r="F744" s="40"/>
      <c r="G744" s="40"/>
      <c r="H744" s="5"/>
      <c r="Q744" s="40"/>
      <c r="R744" s="40"/>
      <c r="S744" s="40"/>
      <c r="T744" s="40"/>
      <c r="U744" s="40"/>
      <c r="W744" s="40"/>
      <c r="X744" s="40"/>
      <c r="Y744" s="40"/>
      <c r="Z744" s="40"/>
      <c r="AA744" s="41"/>
      <c r="AB744" s="41"/>
      <c r="AC744" s="41"/>
      <c r="AD744" s="41"/>
      <c r="AE744" s="40"/>
      <c r="AF744" s="42"/>
      <c r="AG744" s="5"/>
      <c r="AH744" s="5"/>
      <c r="AI744" s="40"/>
      <c r="AJ744" s="40"/>
      <c r="AK744" s="40"/>
      <c r="AL744" s="40"/>
      <c r="AM744" s="40"/>
      <c r="AO744" s="40"/>
    </row>
    <row r="745" spans="2:41" ht="12.75" customHeight="1" x14ac:dyDescent="0.25">
      <c r="B745" s="40"/>
      <c r="C745" s="40"/>
      <c r="D745" s="40"/>
      <c r="E745" s="40"/>
      <c r="F745" s="40"/>
      <c r="G745" s="40"/>
      <c r="H745" s="5"/>
      <c r="Q745" s="40"/>
      <c r="R745" s="40"/>
      <c r="S745" s="40"/>
      <c r="T745" s="40"/>
      <c r="U745" s="40"/>
      <c r="W745" s="40"/>
      <c r="X745" s="40"/>
      <c r="Y745" s="40"/>
      <c r="Z745" s="40"/>
      <c r="AA745" s="41"/>
      <c r="AB745" s="41"/>
      <c r="AC745" s="41"/>
      <c r="AD745" s="41"/>
      <c r="AE745" s="40"/>
      <c r="AF745" s="42"/>
      <c r="AG745" s="5"/>
      <c r="AH745" s="5"/>
      <c r="AI745" s="40"/>
      <c r="AJ745" s="40"/>
      <c r="AK745" s="40"/>
      <c r="AL745" s="40"/>
      <c r="AM745" s="40"/>
      <c r="AO745" s="40"/>
    </row>
    <row r="746" spans="2:41" ht="12.75" customHeight="1" x14ac:dyDescent="0.25">
      <c r="B746" s="40"/>
      <c r="C746" s="40"/>
      <c r="D746" s="40"/>
      <c r="E746" s="40"/>
      <c r="F746" s="40"/>
      <c r="G746" s="40"/>
      <c r="H746" s="5"/>
      <c r="Q746" s="40"/>
      <c r="R746" s="40"/>
      <c r="S746" s="40"/>
      <c r="T746" s="40"/>
      <c r="U746" s="40"/>
      <c r="W746" s="40"/>
      <c r="X746" s="40"/>
      <c r="Y746" s="40"/>
      <c r="Z746" s="40"/>
      <c r="AA746" s="41"/>
      <c r="AB746" s="41"/>
      <c r="AC746" s="41"/>
      <c r="AD746" s="41"/>
      <c r="AE746" s="40"/>
      <c r="AF746" s="42"/>
      <c r="AG746" s="5"/>
      <c r="AH746" s="5"/>
      <c r="AI746" s="40"/>
      <c r="AJ746" s="40"/>
      <c r="AK746" s="40"/>
      <c r="AL746" s="40"/>
      <c r="AM746" s="40"/>
      <c r="AO746" s="40"/>
    </row>
    <row r="747" spans="2:41" ht="12.75" customHeight="1" x14ac:dyDescent="0.25">
      <c r="B747" s="40"/>
      <c r="C747" s="40"/>
      <c r="D747" s="40"/>
      <c r="E747" s="40"/>
      <c r="F747" s="40"/>
      <c r="G747" s="40"/>
      <c r="H747" s="5"/>
      <c r="Q747" s="40"/>
      <c r="R747" s="40"/>
      <c r="S747" s="40"/>
      <c r="T747" s="40"/>
      <c r="U747" s="40"/>
      <c r="W747" s="40"/>
      <c r="X747" s="40"/>
      <c r="Y747" s="40"/>
      <c r="Z747" s="40"/>
      <c r="AA747" s="41"/>
      <c r="AB747" s="41"/>
      <c r="AC747" s="41"/>
      <c r="AD747" s="41"/>
      <c r="AE747" s="40"/>
      <c r="AF747" s="42"/>
      <c r="AG747" s="5"/>
      <c r="AH747" s="5"/>
      <c r="AI747" s="40"/>
      <c r="AJ747" s="40"/>
      <c r="AK747" s="40"/>
      <c r="AL747" s="40"/>
      <c r="AM747" s="40"/>
      <c r="AO747" s="40"/>
    </row>
    <row r="748" spans="2:41" ht="12.75" customHeight="1" x14ac:dyDescent="0.25">
      <c r="B748" s="40"/>
      <c r="C748" s="40"/>
      <c r="D748" s="40"/>
      <c r="E748" s="40"/>
      <c r="F748" s="40"/>
      <c r="G748" s="40"/>
      <c r="H748" s="5"/>
      <c r="Q748" s="40"/>
      <c r="R748" s="40"/>
      <c r="S748" s="40"/>
      <c r="T748" s="40"/>
      <c r="U748" s="40"/>
      <c r="W748" s="40"/>
      <c r="X748" s="40"/>
      <c r="Y748" s="40"/>
      <c r="Z748" s="40"/>
      <c r="AA748" s="41"/>
      <c r="AB748" s="41"/>
      <c r="AC748" s="41"/>
      <c r="AD748" s="41"/>
      <c r="AE748" s="40"/>
      <c r="AF748" s="42"/>
      <c r="AG748" s="5"/>
      <c r="AH748" s="5"/>
      <c r="AI748" s="40"/>
      <c r="AJ748" s="40"/>
      <c r="AK748" s="40"/>
      <c r="AL748" s="40"/>
      <c r="AM748" s="40"/>
      <c r="AO748" s="40"/>
    </row>
    <row r="749" spans="2:41" ht="12.75" customHeight="1" x14ac:dyDescent="0.25">
      <c r="B749" s="40"/>
      <c r="C749" s="40"/>
      <c r="D749" s="40"/>
      <c r="E749" s="40"/>
      <c r="F749" s="40"/>
      <c r="G749" s="40"/>
      <c r="H749" s="5"/>
      <c r="Q749" s="40"/>
      <c r="R749" s="40"/>
      <c r="S749" s="40"/>
      <c r="T749" s="40"/>
      <c r="U749" s="40"/>
      <c r="W749" s="40"/>
      <c r="X749" s="40"/>
      <c r="Y749" s="40"/>
      <c r="Z749" s="40"/>
      <c r="AA749" s="41"/>
      <c r="AB749" s="41"/>
      <c r="AC749" s="41"/>
      <c r="AD749" s="41"/>
      <c r="AE749" s="40"/>
      <c r="AF749" s="42"/>
      <c r="AG749" s="5"/>
      <c r="AH749" s="5"/>
      <c r="AI749" s="40"/>
      <c r="AJ749" s="40"/>
      <c r="AK749" s="40"/>
      <c r="AL749" s="40"/>
      <c r="AM749" s="40"/>
      <c r="AO749" s="40"/>
    </row>
    <row r="750" spans="2:41" ht="12.75" customHeight="1" x14ac:dyDescent="0.25">
      <c r="B750" s="40"/>
      <c r="C750" s="40"/>
      <c r="D750" s="40"/>
      <c r="E750" s="40"/>
      <c r="F750" s="40"/>
      <c r="G750" s="40"/>
      <c r="H750" s="5"/>
      <c r="Q750" s="40"/>
      <c r="R750" s="40"/>
      <c r="S750" s="40"/>
      <c r="T750" s="40"/>
      <c r="U750" s="40"/>
      <c r="W750" s="40"/>
      <c r="X750" s="40"/>
      <c r="Y750" s="40"/>
      <c r="Z750" s="40"/>
      <c r="AA750" s="41"/>
      <c r="AB750" s="41"/>
      <c r="AC750" s="41"/>
      <c r="AD750" s="41"/>
      <c r="AE750" s="40"/>
      <c r="AF750" s="42"/>
      <c r="AG750" s="5"/>
      <c r="AH750" s="5"/>
      <c r="AI750" s="40"/>
      <c r="AJ750" s="40"/>
      <c r="AK750" s="40"/>
      <c r="AL750" s="40"/>
      <c r="AM750" s="40"/>
      <c r="AO750" s="40"/>
    </row>
    <row r="751" spans="2:41" ht="12.75" customHeight="1" x14ac:dyDescent="0.25">
      <c r="B751" s="40"/>
      <c r="C751" s="40"/>
      <c r="D751" s="40"/>
      <c r="E751" s="40"/>
      <c r="F751" s="40"/>
      <c r="G751" s="40"/>
      <c r="H751" s="5"/>
      <c r="Q751" s="40"/>
      <c r="R751" s="40"/>
      <c r="S751" s="40"/>
      <c r="T751" s="40"/>
      <c r="U751" s="40"/>
      <c r="W751" s="40"/>
      <c r="X751" s="40"/>
      <c r="Y751" s="40"/>
      <c r="Z751" s="40"/>
      <c r="AA751" s="41"/>
      <c r="AB751" s="41"/>
      <c r="AC751" s="41"/>
      <c r="AD751" s="41"/>
      <c r="AE751" s="40"/>
      <c r="AF751" s="42"/>
      <c r="AG751" s="5"/>
      <c r="AH751" s="5"/>
      <c r="AI751" s="40"/>
      <c r="AJ751" s="40"/>
      <c r="AK751" s="40"/>
      <c r="AL751" s="40"/>
      <c r="AM751" s="40"/>
      <c r="AO751" s="40"/>
    </row>
    <row r="752" spans="2:41" ht="12.75" customHeight="1" x14ac:dyDescent="0.25">
      <c r="B752" s="40"/>
      <c r="C752" s="40"/>
      <c r="D752" s="40"/>
      <c r="E752" s="40"/>
      <c r="F752" s="40"/>
      <c r="G752" s="40"/>
      <c r="H752" s="5"/>
      <c r="Q752" s="40"/>
      <c r="R752" s="40"/>
      <c r="S752" s="40"/>
      <c r="T752" s="40"/>
      <c r="U752" s="40"/>
      <c r="W752" s="40"/>
      <c r="X752" s="40"/>
      <c r="Y752" s="40"/>
      <c r="Z752" s="40"/>
      <c r="AA752" s="41"/>
      <c r="AB752" s="41"/>
      <c r="AC752" s="41"/>
      <c r="AD752" s="41"/>
      <c r="AE752" s="40"/>
      <c r="AF752" s="42"/>
      <c r="AG752" s="5"/>
      <c r="AH752" s="5"/>
      <c r="AI752" s="40"/>
      <c r="AJ752" s="40"/>
      <c r="AK752" s="40"/>
      <c r="AL752" s="40"/>
      <c r="AM752" s="40"/>
      <c r="AO752" s="40"/>
    </row>
    <row r="753" spans="2:41" ht="12.75" customHeight="1" x14ac:dyDescent="0.25">
      <c r="B753" s="40"/>
      <c r="C753" s="40"/>
      <c r="D753" s="40"/>
      <c r="E753" s="40"/>
      <c r="F753" s="40"/>
      <c r="G753" s="40"/>
      <c r="H753" s="5"/>
      <c r="Q753" s="40"/>
      <c r="R753" s="40"/>
      <c r="S753" s="40"/>
      <c r="T753" s="40"/>
      <c r="U753" s="40"/>
      <c r="W753" s="40"/>
      <c r="X753" s="40"/>
      <c r="Y753" s="40"/>
      <c r="Z753" s="40"/>
      <c r="AA753" s="41"/>
      <c r="AB753" s="41"/>
      <c r="AC753" s="41"/>
      <c r="AD753" s="41"/>
      <c r="AE753" s="40"/>
      <c r="AF753" s="42"/>
      <c r="AG753" s="5"/>
      <c r="AH753" s="5"/>
      <c r="AI753" s="40"/>
      <c r="AJ753" s="40"/>
      <c r="AK753" s="40"/>
      <c r="AL753" s="40"/>
      <c r="AM753" s="40"/>
      <c r="AO753" s="40"/>
    </row>
    <row r="754" spans="2:41" ht="12.75" customHeight="1" x14ac:dyDescent="0.25">
      <c r="B754" s="40"/>
      <c r="C754" s="40"/>
      <c r="D754" s="40"/>
      <c r="E754" s="40"/>
      <c r="F754" s="40"/>
      <c r="G754" s="40"/>
      <c r="H754" s="5"/>
      <c r="Q754" s="40"/>
      <c r="R754" s="40"/>
      <c r="S754" s="40"/>
      <c r="T754" s="40"/>
      <c r="U754" s="40"/>
      <c r="W754" s="40"/>
      <c r="X754" s="40"/>
      <c r="Y754" s="40"/>
      <c r="Z754" s="40"/>
      <c r="AA754" s="41"/>
      <c r="AB754" s="41"/>
      <c r="AC754" s="41"/>
      <c r="AD754" s="41"/>
      <c r="AE754" s="40"/>
      <c r="AF754" s="42"/>
      <c r="AG754" s="5"/>
      <c r="AH754" s="5"/>
      <c r="AI754" s="40"/>
      <c r="AJ754" s="40"/>
      <c r="AK754" s="40"/>
      <c r="AL754" s="40"/>
      <c r="AM754" s="40"/>
      <c r="AO754" s="40"/>
    </row>
    <row r="755" spans="2:41" ht="12.75" customHeight="1" x14ac:dyDescent="0.25">
      <c r="B755" s="40"/>
      <c r="C755" s="40"/>
      <c r="D755" s="40"/>
      <c r="E755" s="40"/>
      <c r="F755" s="40"/>
      <c r="G755" s="40"/>
      <c r="H755" s="5"/>
      <c r="Q755" s="40"/>
      <c r="R755" s="40"/>
      <c r="S755" s="40"/>
      <c r="T755" s="40"/>
      <c r="U755" s="40"/>
      <c r="W755" s="40"/>
      <c r="X755" s="40"/>
      <c r="Y755" s="40"/>
      <c r="Z755" s="40"/>
      <c r="AA755" s="41"/>
      <c r="AB755" s="41"/>
      <c r="AC755" s="41"/>
      <c r="AD755" s="41"/>
      <c r="AE755" s="40"/>
      <c r="AF755" s="42"/>
      <c r="AG755" s="5"/>
      <c r="AH755" s="5"/>
      <c r="AI755" s="40"/>
      <c r="AJ755" s="40"/>
      <c r="AK755" s="40"/>
      <c r="AL755" s="40"/>
      <c r="AM755" s="40"/>
      <c r="AO755" s="40"/>
    </row>
    <row r="756" spans="2:41" ht="12.75" customHeight="1" x14ac:dyDescent="0.25">
      <c r="B756" s="40"/>
      <c r="C756" s="40"/>
      <c r="D756" s="40"/>
      <c r="E756" s="40"/>
      <c r="F756" s="40"/>
      <c r="G756" s="40"/>
      <c r="H756" s="5"/>
      <c r="Q756" s="40"/>
      <c r="R756" s="40"/>
      <c r="S756" s="40"/>
      <c r="T756" s="40"/>
      <c r="U756" s="40"/>
      <c r="W756" s="40"/>
      <c r="X756" s="40"/>
      <c r="Y756" s="40"/>
      <c r="Z756" s="40"/>
      <c r="AA756" s="41"/>
      <c r="AB756" s="41"/>
      <c r="AC756" s="41"/>
      <c r="AD756" s="41"/>
      <c r="AE756" s="40"/>
      <c r="AF756" s="42"/>
      <c r="AG756" s="5"/>
      <c r="AH756" s="5"/>
      <c r="AI756" s="40"/>
      <c r="AJ756" s="40"/>
      <c r="AK756" s="40"/>
      <c r="AL756" s="40"/>
      <c r="AM756" s="40"/>
      <c r="AO756" s="40"/>
    </row>
    <row r="757" spans="2:41" ht="12.75" customHeight="1" x14ac:dyDescent="0.25">
      <c r="B757" s="40"/>
      <c r="C757" s="40"/>
      <c r="D757" s="40"/>
      <c r="E757" s="40"/>
      <c r="F757" s="40"/>
      <c r="G757" s="40"/>
      <c r="H757" s="5"/>
      <c r="Q757" s="40"/>
      <c r="R757" s="40"/>
      <c r="S757" s="40"/>
      <c r="T757" s="40"/>
      <c r="U757" s="40"/>
      <c r="W757" s="40"/>
      <c r="X757" s="40"/>
      <c r="Y757" s="40"/>
      <c r="Z757" s="40"/>
      <c r="AA757" s="41"/>
      <c r="AB757" s="41"/>
      <c r="AC757" s="41"/>
      <c r="AD757" s="41"/>
      <c r="AE757" s="40"/>
      <c r="AF757" s="42"/>
      <c r="AG757" s="5"/>
      <c r="AH757" s="5"/>
      <c r="AI757" s="40"/>
      <c r="AJ757" s="40"/>
      <c r="AK757" s="40"/>
      <c r="AL757" s="40"/>
      <c r="AM757" s="40"/>
      <c r="AO757" s="40"/>
    </row>
    <row r="758" spans="2:41" ht="12.75" customHeight="1" x14ac:dyDescent="0.25">
      <c r="B758" s="40"/>
      <c r="C758" s="40"/>
      <c r="D758" s="40"/>
      <c r="E758" s="40"/>
      <c r="F758" s="40"/>
      <c r="G758" s="40"/>
      <c r="H758" s="5"/>
      <c r="Q758" s="40"/>
      <c r="R758" s="40"/>
      <c r="S758" s="40"/>
      <c r="T758" s="40"/>
      <c r="U758" s="40"/>
      <c r="W758" s="40"/>
      <c r="X758" s="40"/>
      <c r="Y758" s="40"/>
      <c r="Z758" s="40"/>
      <c r="AA758" s="41"/>
      <c r="AB758" s="41"/>
      <c r="AC758" s="41"/>
      <c r="AD758" s="41"/>
      <c r="AE758" s="40"/>
      <c r="AF758" s="42"/>
      <c r="AG758" s="5"/>
      <c r="AH758" s="5"/>
      <c r="AI758" s="40"/>
      <c r="AJ758" s="40"/>
      <c r="AK758" s="40"/>
      <c r="AL758" s="40"/>
      <c r="AM758" s="40"/>
      <c r="AO758" s="40"/>
    </row>
    <row r="759" spans="2:41" ht="12.75" customHeight="1" x14ac:dyDescent="0.25">
      <c r="B759" s="40"/>
      <c r="C759" s="40"/>
      <c r="D759" s="40"/>
      <c r="E759" s="40"/>
      <c r="F759" s="40"/>
      <c r="G759" s="40"/>
      <c r="H759" s="5"/>
      <c r="Q759" s="40"/>
      <c r="R759" s="40"/>
      <c r="S759" s="40"/>
      <c r="T759" s="40"/>
      <c r="U759" s="40"/>
      <c r="W759" s="40"/>
      <c r="X759" s="40"/>
      <c r="Y759" s="40"/>
      <c r="Z759" s="40"/>
      <c r="AA759" s="41"/>
      <c r="AB759" s="41"/>
      <c r="AC759" s="41"/>
      <c r="AD759" s="41"/>
      <c r="AE759" s="40"/>
      <c r="AF759" s="42"/>
      <c r="AG759" s="5"/>
      <c r="AH759" s="5"/>
      <c r="AI759" s="40"/>
      <c r="AJ759" s="40"/>
      <c r="AK759" s="40"/>
      <c r="AL759" s="40"/>
      <c r="AM759" s="40"/>
      <c r="AO759" s="40"/>
    </row>
    <row r="760" spans="2:41" ht="12.75" customHeight="1" x14ac:dyDescent="0.25">
      <c r="B760" s="40"/>
      <c r="C760" s="40"/>
      <c r="D760" s="40"/>
      <c r="E760" s="40"/>
      <c r="F760" s="40"/>
      <c r="G760" s="40"/>
      <c r="H760" s="5"/>
      <c r="Q760" s="40"/>
      <c r="R760" s="40"/>
      <c r="S760" s="40"/>
      <c r="T760" s="40"/>
      <c r="U760" s="40"/>
      <c r="W760" s="40"/>
      <c r="X760" s="40"/>
      <c r="Y760" s="40"/>
      <c r="Z760" s="40"/>
      <c r="AA760" s="41"/>
      <c r="AB760" s="41"/>
      <c r="AC760" s="41"/>
      <c r="AD760" s="41"/>
      <c r="AE760" s="40"/>
      <c r="AF760" s="42"/>
      <c r="AG760" s="5"/>
      <c r="AH760" s="5"/>
      <c r="AI760" s="40"/>
      <c r="AJ760" s="40"/>
      <c r="AK760" s="40"/>
      <c r="AL760" s="40"/>
      <c r="AM760" s="40"/>
      <c r="AO760" s="40"/>
    </row>
    <row r="761" spans="2:41" ht="12.75" customHeight="1" x14ac:dyDescent="0.25">
      <c r="B761" s="40"/>
      <c r="C761" s="40"/>
      <c r="D761" s="40"/>
      <c r="E761" s="40"/>
      <c r="F761" s="40"/>
      <c r="G761" s="40"/>
      <c r="H761" s="5"/>
      <c r="Q761" s="40"/>
      <c r="R761" s="40"/>
      <c r="S761" s="40"/>
      <c r="T761" s="40"/>
      <c r="U761" s="40"/>
      <c r="W761" s="40"/>
      <c r="X761" s="40"/>
      <c r="Y761" s="40"/>
      <c r="Z761" s="40"/>
      <c r="AA761" s="41"/>
      <c r="AB761" s="41"/>
      <c r="AC761" s="41"/>
      <c r="AD761" s="41"/>
      <c r="AE761" s="40"/>
      <c r="AF761" s="42"/>
      <c r="AG761" s="5"/>
      <c r="AH761" s="5"/>
      <c r="AI761" s="40"/>
      <c r="AJ761" s="40"/>
      <c r="AK761" s="40"/>
      <c r="AL761" s="40"/>
      <c r="AM761" s="40"/>
      <c r="AO761" s="40"/>
    </row>
    <row r="762" spans="2:41" ht="12.75" customHeight="1" x14ac:dyDescent="0.25">
      <c r="B762" s="40"/>
      <c r="C762" s="40"/>
      <c r="D762" s="40"/>
      <c r="E762" s="40"/>
      <c r="F762" s="40"/>
      <c r="G762" s="40"/>
      <c r="H762" s="5"/>
      <c r="Q762" s="40"/>
      <c r="R762" s="40"/>
      <c r="S762" s="40"/>
      <c r="T762" s="40"/>
      <c r="U762" s="40"/>
      <c r="W762" s="40"/>
      <c r="X762" s="40"/>
      <c r="Y762" s="40"/>
      <c r="Z762" s="40"/>
      <c r="AA762" s="41"/>
      <c r="AB762" s="41"/>
      <c r="AC762" s="41"/>
      <c r="AD762" s="41"/>
      <c r="AE762" s="40"/>
      <c r="AF762" s="42"/>
      <c r="AG762" s="5"/>
      <c r="AH762" s="5"/>
      <c r="AI762" s="40"/>
      <c r="AJ762" s="40"/>
      <c r="AK762" s="40"/>
      <c r="AL762" s="40"/>
      <c r="AM762" s="40"/>
      <c r="AO762" s="40"/>
    </row>
    <row r="763" spans="2:41" ht="12.75" customHeight="1" x14ac:dyDescent="0.25">
      <c r="B763" s="40"/>
      <c r="C763" s="40"/>
      <c r="D763" s="40"/>
      <c r="E763" s="40"/>
      <c r="F763" s="40"/>
      <c r="G763" s="40"/>
      <c r="H763" s="5"/>
      <c r="Q763" s="40"/>
      <c r="R763" s="40"/>
      <c r="S763" s="40"/>
      <c r="T763" s="40"/>
      <c r="U763" s="40"/>
      <c r="W763" s="40"/>
      <c r="X763" s="40"/>
      <c r="Y763" s="40"/>
      <c r="Z763" s="40"/>
      <c r="AA763" s="41"/>
      <c r="AB763" s="41"/>
      <c r="AC763" s="41"/>
      <c r="AD763" s="41"/>
      <c r="AE763" s="40"/>
      <c r="AF763" s="42"/>
      <c r="AG763" s="5"/>
      <c r="AH763" s="5"/>
      <c r="AI763" s="40"/>
      <c r="AJ763" s="40"/>
      <c r="AK763" s="40"/>
      <c r="AL763" s="40"/>
      <c r="AM763" s="40"/>
      <c r="AO763" s="40"/>
    </row>
    <row r="764" spans="2:41" ht="12.75" customHeight="1" x14ac:dyDescent="0.25">
      <c r="B764" s="40"/>
      <c r="C764" s="40"/>
      <c r="D764" s="40"/>
      <c r="E764" s="40"/>
      <c r="F764" s="40"/>
      <c r="G764" s="40"/>
      <c r="H764" s="5"/>
      <c r="Q764" s="40"/>
      <c r="R764" s="40"/>
      <c r="S764" s="40"/>
      <c r="T764" s="40"/>
      <c r="U764" s="40"/>
      <c r="W764" s="40"/>
      <c r="X764" s="40"/>
      <c r="Y764" s="40"/>
      <c r="Z764" s="40"/>
      <c r="AA764" s="41"/>
      <c r="AB764" s="41"/>
      <c r="AC764" s="41"/>
      <c r="AD764" s="41"/>
      <c r="AE764" s="40"/>
      <c r="AF764" s="42"/>
      <c r="AG764" s="5"/>
      <c r="AH764" s="5"/>
      <c r="AI764" s="40"/>
      <c r="AJ764" s="40"/>
      <c r="AK764" s="40"/>
      <c r="AL764" s="40"/>
      <c r="AM764" s="40"/>
      <c r="AO764" s="40"/>
    </row>
    <row r="765" spans="2:41" ht="12.75" customHeight="1" x14ac:dyDescent="0.25">
      <c r="B765" s="40"/>
      <c r="C765" s="40"/>
      <c r="D765" s="40"/>
      <c r="E765" s="40"/>
      <c r="F765" s="40"/>
      <c r="G765" s="40"/>
      <c r="H765" s="5"/>
      <c r="Q765" s="40"/>
      <c r="R765" s="40"/>
      <c r="S765" s="40"/>
      <c r="T765" s="40"/>
      <c r="U765" s="40"/>
      <c r="W765" s="40"/>
      <c r="X765" s="40"/>
      <c r="Y765" s="40"/>
      <c r="Z765" s="40"/>
      <c r="AA765" s="41"/>
      <c r="AB765" s="41"/>
      <c r="AC765" s="41"/>
      <c r="AD765" s="41"/>
      <c r="AE765" s="40"/>
      <c r="AF765" s="42"/>
      <c r="AG765" s="5"/>
      <c r="AH765" s="5"/>
      <c r="AI765" s="40"/>
      <c r="AJ765" s="40"/>
      <c r="AK765" s="40"/>
      <c r="AL765" s="40"/>
      <c r="AM765" s="40"/>
      <c r="AO765" s="40"/>
    </row>
    <row r="766" spans="2:41" ht="12.75" customHeight="1" x14ac:dyDescent="0.25">
      <c r="B766" s="40"/>
      <c r="C766" s="40"/>
      <c r="D766" s="40"/>
      <c r="E766" s="40"/>
      <c r="F766" s="40"/>
      <c r="G766" s="40"/>
      <c r="H766" s="5"/>
      <c r="Q766" s="40"/>
      <c r="R766" s="40"/>
      <c r="S766" s="40"/>
      <c r="T766" s="40"/>
      <c r="U766" s="40"/>
      <c r="W766" s="40"/>
      <c r="X766" s="40"/>
      <c r="Y766" s="40"/>
      <c r="Z766" s="40"/>
      <c r="AA766" s="41"/>
      <c r="AB766" s="41"/>
      <c r="AC766" s="41"/>
      <c r="AD766" s="41"/>
      <c r="AE766" s="40"/>
      <c r="AF766" s="42"/>
      <c r="AG766" s="5"/>
      <c r="AH766" s="5"/>
      <c r="AI766" s="40"/>
      <c r="AJ766" s="40"/>
      <c r="AK766" s="40"/>
      <c r="AL766" s="40"/>
      <c r="AM766" s="40"/>
      <c r="AO766" s="40"/>
    </row>
    <row r="767" spans="2:41" ht="12.75" customHeight="1" x14ac:dyDescent="0.25">
      <c r="B767" s="40"/>
      <c r="C767" s="40"/>
      <c r="D767" s="40"/>
      <c r="E767" s="40"/>
      <c r="F767" s="40"/>
      <c r="G767" s="40"/>
      <c r="H767" s="5"/>
      <c r="Q767" s="40"/>
      <c r="R767" s="40"/>
      <c r="S767" s="40"/>
      <c r="T767" s="40"/>
      <c r="U767" s="40"/>
      <c r="W767" s="40"/>
      <c r="X767" s="40"/>
      <c r="Y767" s="40"/>
      <c r="Z767" s="40"/>
      <c r="AA767" s="41"/>
      <c r="AB767" s="41"/>
      <c r="AC767" s="41"/>
      <c r="AD767" s="41"/>
      <c r="AE767" s="40"/>
      <c r="AF767" s="42"/>
      <c r="AG767" s="5"/>
      <c r="AH767" s="5"/>
      <c r="AI767" s="40"/>
      <c r="AJ767" s="40"/>
      <c r="AK767" s="40"/>
      <c r="AL767" s="40"/>
      <c r="AM767" s="40"/>
      <c r="AO767" s="40"/>
    </row>
    <row r="768" spans="2:41" ht="12.75" customHeight="1" x14ac:dyDescent="0.25">
      <c r="B768" s="40"/>
      <c r="C768" s="40"/>
      <c r="D768" s="40"/>
      <c r="E768" s="40"/>
      <c r="F768" s="40"/>
      <c r="G768" s="40"/>
      <c r="H768" s="5"/>
      <c r="Q768" s="40"/>
      <c r="R768" s="40"/>
      <c r="S768" s="40"/>
      <c r="T768" s="40"/>
      <c r="U768" s="40"/>
      <c r="W768" s="40"/>
      <c r="X768" s="40"/>
      <c r="Y768" s="40"/>
      <c r="Z768" s="40"/>
      <c r="AA768" s="41"/>
      <c r="AB768" s="41"/>
      <c r="AC768" s="41"/>
      <c r="AD768" s="41"/>
      <c r="AE768" s="40"/>
      <c r="AF768" s="42"/>
      <c r="AG768" s="5"/>
      <c r="AH768" s="5"/>
      <c r="AI768" s="40"/>
      <c r="AJ768" s="40"/>
      <c r="AK768" s="40"/>
      <c r="AL768" s="40"/>
      <c r="AM768" s="40"/>
      <c r="AO768" s="40"/>
    </row>
    <row r="769" spans="2:41" ht="12.75" customHeight="1" x14ac:dyDescent="0.25">
      <c r="B769" s="40"/>
      <c r="C769" s="40"/>
      <c r="D769" s="40"/>
      <c r="E769" s="40"/>
      <c r="F769" s="40"/>
      <c r="G769" s="40"/>
      <c r="H769" s="5"/>
      <c r="Q769" s="40"/>
      <c r="R769" s="40"/>
      <c r="S769" s="40"/>
      <c r="T769" s="40"/>
      <c r="U769" s="40"/>
      <c r="W769" s="40"/>
      <c r="X769" s="40"/>
      <c r="Y769" s="40"/>
      <c r="Z769" s="40"/>
      <c r="AA769" s="41"/>
      <c r="AB769" s="41"/>
      <c r="AC769" s="41"/>
      <c r="AD769" s="41"/>
      <c r="AE769" s="40"/>
      <c r="AF769" s="42"/>
      <c r="AG769" s="5"/>
      <c r="AH769" s="5"/>
      <c r="AI769" s="40"/>
      <c r="AJ769" s="40"/>
      <c r="AK769" s="40"/>
      <c r="AL769" s="40"/>
      <c r="AM769" s="40"/>
      <c r="AO769" s="40"/>
    </row>
    <row r="770" spans="2:41" ht="12.75" customHeight="1" x14ac:dyDescent="0.25">
      <c r="B770" s="40"/>
      <c r="C770" s="40"/>
      <c r="D770" s="40"/>
      <c r="E770" s="40"/>
      <c r="F770" s="40"/>
      <c r="G770" s="40"/>
      <c r="H770" s="5"/>
      <c r="Q770" s="40"/>
      <c r="R770" s="40"/>
      <c r="S770" s="40"/>
      <c r="T770" s="40"/>
      <c r="U770" s="40"/>
      <c r="W770" s="40"/>
      <c r="X770" s="40"/>
      <c r="Y770" s="40"/>
      <c r="Z770" s="40"/>
      <c r="AA770" s="41"/>
      <c r="AB770" s="41"/>
      <c r="AC770" s="41"/>
      <c r="AD770" s="41"/>
      <c r="AE770" s="40"/>
      <c r="AF770" s="42"/>
      <c r="AG770" s="5"/>
      <c r="AH770" s="5"/>
      <c r="AI770" s="40"/>
      <c r="AJ770" s="40"/>
      <c r="AK770" s="40"/>
      <c r="AL770" s="40"/>
      <c r="AM770" s="40"/>
      <c r="AO770" s="40"/>
    </row>
    <row r="771" spans="2:41" ht="12.75" customHeight="1" x14ac:dyDescent="0.25">
      <c r="B771" s="40"/>
      <c r="C771" s="40"/>
      <c r="D771" s="40"/>
      <c r="E771" s="40"/>
      <c r="F771" s="40"/>
      <c r="G771" s="40"/>
      <c r="H771" s="5"/>
      <c r="Q771" s="40"/>
      <c r="R771" s="40"/>
      <c r="S771" s="40"/>
      <c r="T771" s="40"/>
      <c r="U771" s="40"/>
      <c r="W771" s="40"/>
      <c r="X771" s="40"/>
      <c r="Y771" s="40"/>
      <c r="Z771" s="40"/>
      <c r="AA771" s="41"/>
      <c r="AB771" s="41"/>
      <c r="AC771" s="41"/>
      <c r="AD771" s="41"/>
      <c r="AE771" s="40"/>
      <c r="AF771" s="42"/>
      <c r="AG771" s="5"/>
      <c r="AH771" s="5"/>
      <c r="AI771" s="40"/>
      <c r="AJ771" s="40"/>
      <c r="AK771" s="40"/>
      <c r="AL771" s="40"/>
      <c r="AM771" s="40"/>
      <c r="AO771" s="40"/>
    </row>
    <row r="772" spans="2:41" ht="12.75" customHeight="1" x14ac:dyDescent="0.25">
      <c r="B772" s="40"/>
      <c r="C772" s="40"/>
      <c r="D772" s="40"/>
      <c r="E772" s="40"/>
      <c r="F772" s="40"/>
      <c r="G772" s="40"/>
      <c r="H772" s="5"/>
      <c r="Q772" s="40"/>
      <c r="R772" s="40"/>
      <c r="S772" s="40"/>
      <c r="T772" s="40"/>
      <c r="U772" s="40"/>
      <c r="W772" s="40"/>
      <c r="X772" s="40"/>
      <c r="Y772" s="40"/>
      <c r="Z772" s="40"/>
      <c r="AA772" s="41"/>
      <c r="AB772" s="41"/>
      <c r="AC772" s="41"/>
      <c r="AD772" s="41"/>
      <c r="AE772" s="40"/>
      <c r="AF772" s="42"/>
      <c r="AG772" s="5"/>
      <c r="AH772" s="5"/>
      <c r="AI772" s="40"/>
      <c r="AJ772" s="40"/>
      <c r="AK772" s="40"/>
      <c r="AL772" s="40"/>
      <c r="AM772" s="40"/>
      <c r="AO772" s="40"/>
    </row>
    <row r="773" spans="2:41" ht="12.75" customHeight="1" x14ac:dyDescent="0.25">
      <c r="B773" s="40"/>
      <c r="C773" s="40"/>
      <c r="D773" s="40"/>
      <c r="E773" s="40"/>
      <c r="F773" s="40"/>
      <c r="G773" s="40"/>
      <c r="H773" s="5"/>
      <c r="Q773" s="40"/>
      <c r="R773" s="40"/>
      <c r="S773" s="40"/>
      <c r="T773" s="40"/>
      <c r="U773" s="40"/>
      <c r="W773" s="40"/>
      <c r="X773" s="40"/>
      <c r="Y773" s="40"/>
      <c r="Z773" s="40"/>
      <c r="AA773" s="41"/>
      <c r="AB773" s="41"/>
      <c r="AC773" s="41"/>
      <c r="AD773" s="41"/>
      <c r="AE773" s="40"/>
      <c r="AF773" s="42"/>
      <c r="AG773" s="5"/>
      <c r="AH773" s="5"/>
      <c r="AI773" s="40"/>
      <c r="AJ773" s="40"/>
      <c r="AK773" s="40"/>
      <c r="AL773" s="40"/>
      <c r="AM773" s="40"/>
      <c r="AO773" s="40"/>
    </row>
    <row r="774" spans="2:41" ht="12.75" customHeight="1" x14ac:dyDescent="0.25">
      <c r="B774" s="40"/>
      <c r="C774" s="40"/>
      <c r="D774" s="40"/>
      <c r="E774" s="40"/>
      <c r="F774" s="40"/>
      <c r="G774" s="40"/>
      <c r="H774" s="5"/>
      <c r="Q774" s="40"/>
      <c r="R774" s="40"/>
      <c r="S774" s="40"/>
      <c r="T774" s="40"/>
      <c r="U774" s="40"/>
      <c r="W774" s="40"/>
      <c r="X774" s="40"/>
      <c r="Y774" s="40"/>
      <c r="Z774" s="40"/>
      <c r="AA774" s="41"/>
      <c r="AB774" s="41"/>
      <c r="AC774" s="41"/>
      <c r="AD774" s="41"/>
      <c r="AE774" s="40"/>
      <c r="AF774" s="42"/>
      <c r="AG774" s="5"/>
      <c r="AH774" s="5"/>
      <c r="AI774" s="40"/>
      <c r="AJ774" s="40"/>
      <c r="AK774" s="40"/>
      <c r="AL774" s="40"/>
      <c r="AM774" s="40"/>
      <c r="AO774" s="40"/>
    </row>
    <row r="775" spans="2:41" ht="12.75" customHeight="1" x14ac:dyDescent="0.25">
      <c r="B775" s="40"/>
      <c r="C775" s="40"/>
      <c r="D775" s="40"/>
      <c r="E775" s="40"/>
      <c r="F775" s="40"/>
      <c r="G775" s="40"/>
      <c r="H775" s="5"/>
      <c r="Q775" s="40"/>
      <c r="R775" s="40"/>
      <c r="S775" s="40"/>
      <c r="T775" s="40"/>
      <c r="U775" s="40"/>
      <c r="W775" s="40"/>
      <c r="X775" s="40"/>
      <c r="Y775" s="40"/>
      <c r="Z775" s="40"/>
      <c r="AA775" s="41"/>
      <c r="AB775" s="41"/>
      <c r="AC775" s="41"/>
      <c r="AD775" s="41"/>
      <c r="AE775" s="40"/>
      <c r="AF775" s="42"/>
      <c r="AG775" s="5"/>
      <c r="AH775" s="5"/>
      <c r="AI775" s="40"/>
      <c r="AJ775" s="40"/>
      <c r="AK775" s="40"/>
      <c r="AL775" s="40"/>
      <c r="AM775" s="40"/>
      <c r="AO775" s="40"/>
    </row>
    <row r="776" spans="2:41" ht="12.75" customHeight="1" x14ac:dyDescent="0.25">
      <c r="B776" s="40"/>
      <c r="C776" s="40"/>
      <c r="D776" s="40"/>
      <c r="E776" s="40"/>
      <c r="F776" s="40"/>
      <c r="G776" s="40"/>
      <c r="H776" s="5"/>
      <c r="Q776" s="40"/>
      <c r="R776" s="40"/>
      <c r="S776" s="40"/>
      <c r="T776" s="40"/>
      <c r="U776" s="40"/>
      <c r="W776" s="40"/>
      <c r="X776" s="40"/>
      <c r="Y776" s="40"/>
      <c r="Z776" s="40"/>
      <c r="AA776" s="41"/>
      <c r="AB776" s="41"/>
      <c r="AC776" s="41"/>
      <c r="AD776" s="41"/>
      <c r="AE776" s="40"/>
      <c r="AF776" s="42"/>
      <c r="AG776" s="5"/>
      <c r="AH776" s="5"/>
      <c r="AI776" s="40"/>
      <c r="AJ776" s="40"/>
      <c r="AK776" s="40"/>
      <c r="AL776" s="40"/>
      <c r="AM776" s="40"/>
      <c r="AO776" s="40"/>
    </row>
    <row r="777" spans="2:41" ht="12.75" customHeight="1" x14ac:dyDescent="0.25">
      <c r="B777" s="40"/>
      <c r="C777" s="40"/>
      <c r="D777" s="40"/>
      <c r="E777" s="40"/>
      <c r="F777" s="40"/>
      <c r="G777" s="40"/>
      <c r="H777" s="5"/>
      <c r="Q777" s="40"/>
      <c r="R777" s="40"/>
      <c r="S777" s="40"/>
      <c r="T777" s="40"/>
      <c r="U777" s="40"/>
      <c r="W777" s="40"/>
      <c r="X777" s="40"/>
      <c r="Y777" s="40"/>
      <c r="Z777" s="40"/>
      <c r="AA777" s="41"/>
      <c r="AB777" s="41"/>
      <c r="AC777" s="41"/>
      <c r="AD777" s="41"/>
      <c r="AE777" s="40"/>
      <c r="AF777" s="42"/>
      <c r="AG777" s="5"/>
      <c r="AH777" s="5"/>
      <c r="AI777" s="40"/>
      <c r="AJ777" s="40"/>
      <c r="AK777" s="40"/>
      <c r="AL777" s="40"/>
      <c r="AM777" s="40"/>
      <c r="AO777" s="40"/>
    </row>
    <row r="778" spans="2:41" ht="12.75" customHeight="1" x14ac:dyDescent="0.25">
      <c r="B778" s="40"/>
      <c r="C778" s="40"/>
      <c r="D778" s="40"/>
      <c r="E778" s="40"/>
      <c r="F778" s="40"/>
      <c r="G778" s="40"/>
      <c r="H778" s="5"/>
      <c r="Q778" s="40"/>
      <c r="R778" s="40"/>
      <c r="S778" s="40"/>
      <c r="T778" s="40"/>
      <c r="U778" s="40"/>
      <c r="W778" s="40"/>
      <c r="X778" s="40"/>
      <c r="Y778" s="40"/>
      <c r="Z778" s="40"/>
      <c r="AA778" s="41"/>
      <c r="AB778" s="41"/>
      <c r="AC778" s="41"/>
      <c r="AD778" s="41"/>
      <c r="AE778" s="40"/>
      <c r="AF778" s="42"/>
      <c r="AG778" s="5"/>
      <c r="AH778" s="5"/>
      <c r="AI778" s="40"/>
      <c r="AJ778" s="40"/>
      <c r="AK778" s="40"/>
      <c r="AL778" s="40"/>
      <c r="AM778" s="40"/>
      <c r="AO778" s="40"/>
    </row>
    <row r="779" spans="2:41" ht="12.75" customHeight="1" x14ac:dyDescent="0.25">
      <c r="B779" s="40"/>
      <c r="C779" s="40"/>
      <c r="D779" s="40"/>
      <c r="E779" s="40"/>
      <c r="F779" s="40"/>
      <c r="G779" s="40"/>
      <c r="H779" s="5"/>
      <c r="Q779" s="40"/>
      <c r="R779" s="40"/>
      <c r="S779" s="40"/>
      <c r="T779" s="40"/>
      <c r="U779" s="40"/>
      <c r="W779" s="40"/>
      <c r="X779" s="40"/>
      <c r="Y779" s="40"/>
      <c r="Z779" s="40"/>
      <c r="AA779" s="41"/>
      <c r="AB779" s="41"/>
      <c r="AC779" s="41"/>
      <c r="AD779" s="41"/>
      <c r="AE779" s="40"/>
      <c r="AF779" s="42"/>
      <c r="AG779" s="5"/>
      <c r="AH779" s="5"/>
      <c r="AI779" s="40"/>
      <c r="AJ779" s="40"/>
      <c r="AK779" s="40"/>
      <c r="AL779" s="40"/>
      <c r="AM779" s="40"/>
      <c r="AO779" s="40"/>
    </row>
    <row r="780" spans="2:41" ht="12.75" customHeight="1" x14ac:dyDescent="0.25">
      <c r="B780" s="40"/>
      <c r="C780" s="40"/>
      <c r="D780" s="40"/>
      <c r="E780" s="40"/>
      <c r="F780" s="40"/>
      <c r="G780" s="40"/>
      <c r="H780" s="5"/>
      <c r="Q780" s="40"/>
      <c r="R780" s="40"/>
      <c r="S780" s="40"/>
      <c r="T780" s="40"/>
      <c r="U780" s="40"/>
      <c r="W780" s="40"/>
      <c r="X780" s="40"/>
      <c r="Y780" s="40"/>
      <c r="Z780" s="40"/>
      <c r="AA780" s="41"/>
      <c r="AB780" s="41"/>
      <c r="AC780" s="41"/>
      <c r="AD780" s="41"/>
      <c r="AE780" s="40"/>
      <c r="AF780" s="42"/>
      <c r="AG780" s="5"/>
      <c r="AH780" s="5"/>
      <c r="AI780" s="40"/>
      <c r="AJ780" s="40"/>
      <c r="AK780" s="40"/>
      <c r="AL780" s="40"/>
      <c r="AM780" s="40"/>
      <c r="AO780" s="40"/>
    </row>
    <row r="781" spans="2:41" ht="12.75" customHeight="1" x14ac:dyDescent="0.25">
      <c r="B781" s="40"/>
      <c r="C781" s="40"/>
      <c r="D781" s="40"/>
      <c r="E781" s="40"/>
      <c r="F781" s="40"/>
      <c r="G781" s="40"/>
      <c r="H781" s="5"/>
      <c r="Q781" s="40"/>
      <c r="R781" s="40"/>
      <c r="S781" s="40"/>
      <c r="T781" s="40"/>
      <c r="U781" s="40"/>
      <c r="W781" s="40"/>
      <c r="X781" s="40"/>
      <c r="Y781" s="40"/>
      <c r="Z781" s="40"/>
      <c r="AA781" s="41"/>
      <c r="AB781" s="41"/>
      <c r="AC781" s="41"/>
      <c r="AD781" s="41"/>
      <c r="AE781" s="40"/>
      <c r="AF781" s="42"/>
      <c r="AG781" s="5"/>
      <c r="AH781" s="5"/>
      <c r="AI781" s="40"/>
      <c r="AJ781" s="40"/>
      <c r="AK781" s="40"/>
      <c r="AL781" s="40"/>
      <c r="AM781" s="40"/>
      <c r="AO781" s="40"/>
    </row>
    <row r="782" spans="2:41" ht="12.75" customHeight="1" x14ac:dyDescent="0.25">
      <c r="B782" s="40"/>
      <c r="C782" s="40"/>
      <c r="D782" s="40"/>
      <c r="E782" s="40"/>
      <c r="F782" s="40"/>
      <c r="G782" s="40"/>
      <c r="H782" s="5"/>
      <c r="Q782" s="40"/>
      <c r="R782" s="40"/>
      <c r="S782" s="40"/>
      <c r="T782" s="40"/>
      <c r="U782" s="40"/>
      <c r="W782" s="40"/>
      <c r="X782" s="40"/>
      <c r="Y782" s="40"/>
      <c r="Z782" s="40"/>
      <c r="AA782" s="41"/>
      <c r="AB782" s="41"/>
      <c r="AC782" s="41"/>
      <c r="AD782" s="41"/>
      <c r="AE782" s="40"/>
      <c r="AF782" s="42"/>
      <c r="AG782" s="5"/>
      <c r="AH782" s="5"/>
      <c r="AI782" s="40"/>
      <c r="AJ782" s="40"/>
      <c r="AK782" s="40"/>
      <c r="AL782" s="40"/>
      <c r="AM782" s="40"/>
      <c r="AO782" s="40"/>
    </row>
    <row r="783" spans="2:41" ht="12.75" customHeight="1" x14ac:dyDescent="0.25">
      <c r="B783" s="40"/>
      <c r="C783" s="40"/>
      <c r="D783" s="40"/>
      <c r="E783" s="40"/>
      <c r="F783" s="40"/>
      <c r="G783" s="40"/>
      <c r="H783" s="5"/>
      <c r="Q783" s="40"/>
      <c r="R783" s="40"/>
      <c r="S783" s="40"/>
      <c r="T783" s="40"/>
      <c r="U783" s="40"/>
      <c r="W783" s="40"/>
      <c r="X783" s="40"/>
      <c r="Y783" s="40"/>
      <c r="Z783" s="40"/>
      <c r="AA783" s="41"/>
      <c r="AB783" s="41"/>
      <c r="AC783" s="41"/>
      <c r="AD783" s="41"/>
      <c r="AE783" s="40"/>
      <c r="AF783" s="42"/>
      <c r="AG783" s="5"/>
      <c r="AH783" s="5"/>
      <c r="AI783" s="40"/>
      <c r="AJ783" s="40"/>
      <c r="AK783" s="40"/>
      <c r="AL783" s="40"/>
      <c r="AM783" s="40"/>
      <c r="AO783" s="40"/>
    </row>
    <row r="784" spans="2:41" ht="12.75" customHeight="1" x14ac:dyDescent="0.25">
      <c r="B784" s="40"/>
      <c r="C784" s="40"/>
      <c r="D784" s="40"/>
      <c r="E784" s="40"/>
      <c r="F784" s="40"/>
      <c r="G784" s="40"/>
      <c r="H784" s="5"/>
      <c r="Q784" s="40"/>
      <c r="R784" s="40"/>
      <c r="S784" s="40"/>
      <c r="T784" s="40"/>
      <c r="U784" s="40"/>
      <c r="W784" s="40"/>
      <c r="X784" s="40"/>
      <c r="Y784" s="40"/>
      <c r="Z784" s="40"/>
      <c r="AA784" s="41"/>
      <c r="AB784" s="41"/>
      <c r="AC784" s="41"/>
      <c r="AD784" s="41"/>
      <c r="AE784" s="40"/>
      <c r="AF784" s="42"/>
      <c r="AG784" s="5"/>
      <c r="AH784" s="5"/>
      <c r="AI784" s="40"/>
      <c r="AJ784" s="40"/>
      <c r="AK784" s="40"/>
      <c r="AL784" s="40"/>
      <c r="AM784" s="40"/>
      <c r="AO784" s="40"/>
    </row>
    <row r="785" spans="2:41" ht="12.75" customHeight="1" x14ac:dyDescent="0.25">
      <c r="B785" s="40"/>
      <c r="C785" s="40"/>
      <c r="D785" s="40"/>
      <c r="E785" s="40"/>
      <c r="F785" s="40"/>
      <c r="G785" s="40"/>
      <c r="H785" s="5"/>
      <c r="Q785" s="40"/>
      <c r="R785" s="40"/>
      <c r="S785" s="40"/>
      <c r="T785" s="40"/>
      <c r="U785" s="40"/>
      <c r="W785" s="40"/>
      <c r="X785" s="40"/>
      <c r="Y785" s="40"/>
      <c r="Z785" s="40"/>
      <c r="AA785" s="41"/>
      <c r="AB785" s="41"/>
      <c r="AC785" s="41"/>
      <c r="AD785" s="41"/>
      <c r="AE785" s="40"/>
      <c r="AF785" s="42"/>
      <c r="AG785" s="5"/>
      <c r="AH785" s="5"/>
      <c r="AI785" s="40"/>
      <c r="AJ785" s="40"/>
      <c r="AK785" s="40"/>
      <c r="AL785" s="40"/>
      <c r="AM785" s="40"/>
      <c r="AO785" s="40"/>
    </row>
    <row r="786" spans="2:41" ht="12.75" customHeight="1" x14ac:dyDescent="0.25">
      <c r="B786" s="40"/>
      <c r="C786" s="40"/>
      <c r="D786" s="40"/>
      <c r="E786" s="40"/>
      <c r="F786" s="40"/>
      <c r="G786" s="40"/>
      <c r="H786" s="5"/>
      <c r="Q786" s="40"/>
      <c r="R786" s="40"/>
      <c r="S786" s="40"/>
      <c r="T786" s="40"/>
      <c r="U786" s="40"/>
      <c r="W786" s="40"/>
      <c r="X786" s="40"/>
      <c r="Y786" s="40"/>
      <c r="Z786" s="40"/>
      <c r="AA786" s="41"/>
      <c r="AB786" s="41"/>
      <c r="AC786" s="41"/>
      <c r="AD786" s="41"/>
      <c r="AE786" s="40"/>
      <c r="AF786" s="42"/>
      <c r="AG786" s="5"/>
      <c r="AH786" s="5"/>
      <c r="AI786" s="40"/>
      <c r="AJ786" s="40"/>
      <c r="AK786" s="40"/>
      <c r="AL786" s="40"/>
      <c r="AM786" s="40"/>
      <c r="AO786" s="40"/>
    </row>
    <row r="787" spans="2:41" ht="12.75" customHeight="1" x14ac:dyDescent="0.25">
      <c r="B787" s="40"/>
      <c r="C787" s="40"/>
      <c r="D787" s="40"/>
      <c r="E787" s="40"/>
      <c r="F787" s="40"/>
      <c r="G787" s="40"/>
      <c r="H787" s="5"/>
      <c r="Q787" s="40"/>
      <c r="R787" s="40"/>
      <c r="S787" s="40"/>
      <c r="T787" s="40"/>
      <c r="U787" s="40"/>
      <c r="W787" s="40"/>
      <c r="X787" s="40"/>
      <c r="Y787" s="40"/>
      <c r="Z787" s="40"/>
      <c r="AA787" s="41"/>
      <c r="AB787" s="41"/>
      <c r="AC787" s="41"/>
      <c r="AD787" s="41"/>
      <c r="AE787" s="40"/>
      <c r="AF787" s="42"/>
      <c r="AG787" s="5"/>
      <c r="AH787" s="5"/>
      <c r="AI787" s="40"/>
      <c r="AJ787" s="40"/>
      <c r="AK787" s="40"/>
      <c r="AL787" s="40"/>
      <c r="AM787" s="40"/>
      <c r="AO787" s="40"/>
    </row>
    <row r="788" spans="2:41" ht="12.75" customHeight="1" x14ac:dyDescent="0.25">
      <c r="B788" s="40"/>
      <c r="C788" s="40"/>
      <c r="D788" s="40"/>
      <c r="E788" s="40"/>
      <c r="F788" s="40"/>
      <c r="G788" s="40"/>
      <c r="H788" s="5"/>
      <c r="Q788" s="40"/>
      <c r="R788" s="40"/>
      <c r="S788" s="40"/>
      <c r="T788" s="40"/>
      <c r="U788" s="40"/>
      <c r="W788" s="40"/>
      <c r="X788" s="40"/>
      <c r="Y788" s="40"/>
      <c r="Z788" s="40"/>
      <c r="AA788" s="41"/>
      <c r="AB788" s="41"/>
      <c r="AC788" s="41"/>
      <c r="AD788" s="41"/>
      <c r="AE788" s="40"/>
      <c r="AF788" s="42"/>
      <c r="AG788" s="5"/>
      <c r="AH788" s="5"/>
      <c r="AI788" s="40"/>
      <c r="AJ788" s="40"/>
      <c r="AK788" s="40"/>
      <c r="AL788" s="40"/>
      <c r="AM788" s="40"/>
      <c r="AO788" s="40"/>
    </row>
    <row r="789" spans="2:41" ht="12.75" customHeight="1" x14ac:dyDescent="0.25">
      <c r="B789" s="40"/>
      <c r="C789" s="40"/>
      <c r="D789" s="40"/>
      <c r="E789" s="40"/>
      <c r="F789" s="40"/>
      <c r="G789" s="40"/>
      <c r="H789" s="5"/>
      <c r="Q789" s="40"/>
      <c r="R789" s="40"/>
      <c r="S789" s="40"/>
      <c r="T789" s="40"/>
      <c r="U789" s="40"/>
      <c r="W789" s="40"/>
      <c r="X789" s="40"/>
      <c r="Y789" s="40"/>
      <c r="Z789" s="40"/>
      <c r="AA789" s="41"/>
      <c r="AB789" s="41"/>
      <c r="AC789" s="41"/>
      <c r="AD789" s="41"/>
      <c r="AE789" s="40"/>
      <c r="AF789" s="42"/>
      <c r="AG789" s="5"/>
      <c r="AH789" s="5"/>
      <c r="AI789" s="40"/>
      <c r="AJ789" s="40"/>
      <c r="AK789" s="40"/>
      <c r="AL789" s="40"/>
      <c r="AM789" s="40"/>
      <c r="AO789" s="40"/>
    </row>
    <row r="790" spans="2:41" ht="12.75" customHeight="1" x14ac:dyDescent="0.25">
      <c r="B790" s="40"/>
      <c r="C790" s="40"/>
      <c r="D790" s="40"/>
      <c r="E790" s="40"/>
      <c r="F790" s="40"/>
      <c r="G790" s="40"/>
      <c r="H790" s="5"/>
      <c r="Q790" s="40"/>
      <c r="R790" s="40"/>
      <c r="S790" s="40"/>
      <c r="T790" s="40"/>
      <c r="U790" s="40"/>
      <c r="W790" s="40"/>
      <c r="X790" s="40"/>
      <c r="Y790" s="40"/>
      <c r="Z790" s="40"/>
      <c r="AA790" s="41"/>
      <c r="AB790" s="41"/>
      <c r="AC790" s="41"/>
      <c r="AD790" s="41"/>
      <c r="AE790" s="40"/>
      <c r="AF790" s="42"/>
      <c r="AG790" s="5"/>
      <c r="AH790" s="5"/>
      <c r="AI790" s="40"/>
      <c r="AJ790" s="40"/>
      <c r="AK790" s="40"/>
      <c r="AL790" s="40"/>
      <c r="AM790" s="40"/>
      <c r="AO790" s="40"/>
    </row>
    <row r="791" spans="2:41" ht="12.75" customHeight="1" x14ac:dyDescent="0.25">
      <c r="B791" s="40"/>
      <c r="C791" s="40"/>
      <c r="D791" s="40"/>
      <c r="E791" s="40"/>
      <c r="F791" s="40"/>
      <c r="G791" s="40"/>
      <c r="H791" s="5"/>
      <c r="Q791" s="40"/>
      <c r="R791" s="40"/>
      <c r="S791" s="40"/>
      <c r="T791" s="40"/>
      <c r="U791" s="40"/>
      <c r="W791" s="40"/>
      <c r="X791" s="40"/>
      <c r="Y791" s="40"/>
      <c r="Z791" s="40"/>
      <c r="AA791" s="41"/>
      <c r="AB791" s="41"/>
      <c r="AC791" s="41"/>
      <c r="AD791" s="41"/>
      <c r="AE791" s="40"/>
      <c r="AF791" s="42"/>
      <c r="AG791" s="5"/>
      <c r="AH791" s="5"/>
      <c r="AI791" s="40"/>
      <c r="AJ791" s="40"/>
      <c r="AK791" s="40"/>
      <c r="AL791" s="40"/>
      <c r="AM791" s="40"/>
      <c r="AO791" s="40"/>
    </row>
    <row r="792" spans="2:41" ht="12.75" customHeight="1" x14ac:dyDescent="0.25">
      <c r="B792" s="40"/>
      <c r="C792" s="40"/>
      <c r="D792" s="40"/>
      <c r="E792" s="40"/>
      <c r="F792" s="40"/>
      <c r="G792" s="40"/>
      <c r="H792" s="5"/>
      <c r="Q792" s="40"/>
      <c r="R792" s="40"/>
      <c r="S792" s="40"/>
      <c r="T792" s="40"/>
      <c r="U792" s="40"/>
      <c r="W792" s="40"/>
      <c r="X792" s="40"/>
      <c r="Y792" s="40"/>
      <c r="Z792" s="40"/>
      <c r="AA792" s="41"/>
      <c r="AB792" s="41"/>
      <c r="AC792" s="41"/>
      <c r="AD792" s="41"/>
      <c r="AE792" s="40"/>
      <c r="AF792" s="42"/>
      <c r="AG792" s="5"/>
      <c r="AH792" s="5"/>
      <c r="AI792" s="40"/>
      <c r="AJ792" s="40"/>
      <c r="AK792" s="40"/>
      <c r="AL792" s="40"/>
      <c r="AM792" s="40"/>
      <c r="AO792" s="40"/>
    </row>
    <row r="793" spans="2:41" ht="12.75" customHeight="1" x14ac:dyDescent="0.25">
      <c r="B793" s="40"/>
      <c r="C793" s="40"/>
      <c r="D793" s="40"/>
      <c r="E793" s="40"/>
      <c r="F793" s="40"/>
      <c r="G793" s="40"/>
      <c r="H793" s="5"/>
      <c r="Q793" s="40"/>
      <c r="R793" s="40"/>
      <c r="S793" s="40"/>
      <c r="T793" s="40"/>
      <c r="U793" s="40"/>
      <c r="W793" s="40"/>
      <c r="X793" s="40"/>
      <c r="Y793" s="40"/>
      <c r="Z793" s="40"/>
      <c r="AA793" s="41"/>
      <c r="AB793" s="41"/>
      <c r="AC793" s="41"/>
      <c r="AD793" s="41"/>
      <c r="AE793" s="40"/>
      <c r="AF793" s="42"/>
      <c r="AG793" s="5"/>
      <c r="AH793" s="5"/>
      <c r="AI793" s="40"/>
      <c r="AJ793" s="40"/>
      <c r="AK793" s="40"/>
      <c r="AL793" s="40"/>
      <c r="AM793" s="40"/>
      <c r="AO793" s="40"/>
    </row>
    <row r="794" spans="2:41" ht="12.75" customHeight="1" x14ac:dyDescent="0.25">
      <c r="B794" s="40"/>
      <c r="C794" s="40"/>
      <c r="D794" s="40"/>
      <c r="E794" s="40"/>
      <c r="F794" s="40"/>
      <c r="G794" s="40"/>
      <c r="H794" s="5"/>
      <c r="Q794" s="40"/>
      <c r="R794" s="40"/>
      <c r="S794" s="40"/>
      <c r="T794" s="40"/>
      <c r="U794" s="40"/>
      <c r="W794" s="40"/>
      <c r="X794" s="40"/>
      <c r="Y794" s="40"/>
      <c r="Z794" s="40"/>
      <c r="AA794" s="41"/>
      <c r="AB794" s="41"/>
      <c r="AC794" s="41"/>
      <c r="AD794" s="41"/>
      <c r="AE794" s="40"/>
      <c r="AF794" s="42"/>
      <c r="AG794" s="5"/>
      <c r="AH794" s="5"/>
      <c r="AI794" s="40"/>
      <c r="AJ794" s="40"/>
      <c r="AK794" s="40"/>
      <c r="AL794" s="40"/>
      <c r="AM794" s="40"/>
      <c r="AO794" s="40"/>
    </row>
    <row r="795" spans="2:41" ht="12.75" customHeight="1" x14ac:dyDescent="0.25">
      <c r="B795" s="40"/>
      <c r="C795" s="40"/>
      <c r="D795" s="40"/>
      <c r="E795" s="40"/>
      <c r="F795" s="40"/>
      <c r="G795" s="40"/>
      <c r="H795" s="5"/>
      <c r="Q795" s="40"/>
      <c r="R795" s="40"/>
      <c r="S795" s="40"/>
      <c r="T795" s="40"/>
      <c r="U795" s="40"/>
      <c r="W795" s="40"/>
      <c r="X795" s="40"/>
      <c r="Y795" s="40"/>
      <c r="Z795" s="40"/>
      <c r="AA795" s="41"/>
      <c r="AB795" s="41"/>
      <c r="AC795" s="41"/>
      <c r="AD795" s="41"/>
      <c r="AE795" s="40"/>
      <c r="AF795" s="42"/>
      <c r="AG795" s="5"/>
      <c r="AH795" s="5"/>
      <c r="AI795" s="40"/>
      <c r="AJ795" s="40"/>
      <c r="AK795" s="40"/>
      <c r="AL795" s="40"/>
      <c r="AM795" s="40"/>
      <c r="AO795" s="40"/>
    </row>
    <row r="796" spans="2:41" ht="12.75" customHeight="1" x14ac:dyDescent="0.25">
      <c r="B796" s="40"/>
      <c r="C796" s="40"/>
      <c r="D796" s="40"/>
      <c r="E796" s="40"/>
      <c r="F796" s="40"/>
      <c r="G796" s="40"/>
      <c r="H796" s="5"/>
      <c r="Q796" s="40"/>
      <c r="R796" s="40"/>
      <c r="S796" s="40"/>
      <c r="T796" s="40"/>
      <c r="U796" s="40"/>
      <c r="W796" s="40"/>
      <c r="X796" s="40"/>
      <c r="Y796" s="40"/>
      <c r="Z796" s="40"/>
      <c r="AA796" s="41"/>
      <c r="AB796" s="41"/>
      <c r="AC796" s="41"/>
      <c r="AD796" s="41"/>
      <c r="AE796" s="40"/>
      <c r="AF796" s="42"/>
      <c r="AG796" s="5"/>
      <c r="AH796" s="5"/>
      <c r="AI796" s="40"/>
      <c r="AJ796" s="40"/>
      <c r="AK796" s="40"/>
      <c r="AL796" s="40"/>
      <c r="AM796" s="40"/>
      <c r="AO796" s="40"/>
    </row>
    <row r="797" spans="2:41" ht="12.75" customHeight="1" x14ac:dyDescent="0.25">
      <c r="B797" s="40"/>
      <c r="C797" s="40"/>
      <c r="D797" s="40"/>
      <c r="E797" s="40"/>
      <c r="F797" s="40"/>
      <c r="G797" s="40"/>
      <c r="H797" s="5"/>
      <c r="Q797" s="40"/>
      <c r="R797" s="40"/>
      <c r="S797" s="40"/>
      <c r="T797" s="40"/>
      <c r="U797" s="40"/>
      <c r="W797" s="40"/>
      <c r="X797" s="40"/>
      <c r="Y797" s="40"/>
      <c r="Z797" s="40"/>
      <c r="AA797" s="41"/>
      <c r="AB797" s="41"/>
      <c r="AC797" s="41"/>
      <c r="AD797" s="41"/>
      <c r="AE797" s="40"/>
      <c r="AF797" s="42"/>
      <c r="AG797" s="5"/>
      <c r="AH797" s="5"/>
      <c r="AI797" s="40"/>
      <c r="AJ797" s="40"/>
      <c r="AK797" s="40"/>
      <c r="AL797" s="40"/>
      <c r="AM797" s="40"/>
      <c r="AO797" s="40"/>
    </row>
    <row r="798" spans="2:41" ht="12.75" customHeight="1" x14ac:dyDescent="0.25">
      <c r="B798" s="40"/>
      <c r="C798" s="40"/>
      <c r="D798" s="40"/>
      <c r="E798" s="40"/>
      <c r="F798" s="40"/>
      <c r="G798" s="40"/>
      <c r="H798" s="5"/>
      <c r="Q798" s="40"/>
      <c r="R798" s="40"/>
      <c r="S798" s="40"/>
      <c r="T798" s="40"/>
      <c r="U798" s="40"/>
      <c r="W798" s="40"/>
      <c r="X798" s="40"/>
      <c r="Y798" s="40"/>
      <c r="Z798" s="40"/>
      <c r="AA798" s="41"/>
      <c r="AB798" s="41"/>
      <c r="AC798" s="41"/>
      <c r="AD798" s="41"/>
      <c r="AE798" s="40"/>
      <c r="AF798" s="42"/>
      <c r="AG798" s="5"/>
      <c r="AH798" s="5"/>
      <c r="AI798" s="40"/>
      <c r="AJ798" s="40"/>
      <c r="AK798" s="40"/>
      <c r="AL798" s="40"/>
      <c r="AM798" s="40"/>
      <c r="AO798" s="40"/>
    </row>
    <row r="799" spans="2:41" ht="12.75" customHeight="1" x14ac:dyDescent="0.25">
      <c r="B799" s="40"/>
      <c r="C799" s="40"/>
      <c r="D799" s="40"/>
      <c r="E799" s="40"/>
      <c r="F799" s="40"/>
      <c r="G799" s="40"/>
      <c r="H799" s="5"/>
      <c r="Q799" s="40"/>
      <c r="R799" s="40"/>
      <c r="S799" s="40"/>
      <c r="T799" s="40"/>
      <c r="U799" s="40"/>
      <c r="W799" s="40"/>
      <c r="X799" s="40"/>
      <c r="Y799" s="40"/>
      <c r="Z799" s="40"/>
      <c r="AA799" s="41"/>
      <c r="AB799" s="41"/>
      <c r="AC799" s="41"/>
      <c r="AD799" s="41"/>
      <c r="AE799" s="40"/>
      <c r="AF799" s="42"/>
      <c r="AG799" s="5"/>
      <c r="AH799" s="5"/>
      <c r="AI799" s="40"/>
      <c r="AJ799" s="40"/>
      <c r="AK799" s="40"/>
      <c r="AL799" s="40"/>
      <c r="AM799" s="40"/>
      <c r="AO799" s="40"/>
    </row>
    <row r="800" spans="2:41" ht="12.75" customHeight="1" x14ac:dyDescent="0.25">
      <c r="B800" s="40"/>
      <c r="C800" s="40"/>
      <c r="D800" s="40"/>
      <c r="E800" s="40"/>
      <c r="F800" s="40"/>
      <c r="G800" s="40"/>
      <c r="H800" s="5"/>
      <c r="Q800" s="40"/>
      <c r="R800" s="40"/>
      <c r="S800" s="40"/>
      <c r="T800" s="40"/>
      <c r="U800" s="40"/>
      <c r="W800" s="40"/>
      <c r="X800" s="40"/>
      <c r="Y800" s="40"/>
      <c r="Z800" s="40"/>
      <c r="AA800" s="41"/>
      <c r="AB800" s="41"/>
      <c r="AC800" s="41"/>
      <c r="AD800" s="41"/>
      <c r="AE800" s="40"/>
      <c r="AF800" s="42"/>
      <c r="AG800" s="5"/>
      <c r="AH800" s="5"/>
      <c r="AI800" s="40"/>
      <c r="AJ800" s="40"/>
      <c r="AK800" s="40"/>
      <c r="AL800" s="40"/>
      <c r="AM800" s="40"/>
      <c r="AO800" s="40"/>
    </row>
    <row r="801" spans="2:41" ht="12.75" customHeight="1" x14ac:dyDescent="0.25">
      <c r="B801" s="40"/>
      <c r="C801" s="40"/>
      <c r="D801" s="40"/>
      <c r="E801" s="40"/>
      <c r="F801" s="40"/>
      <c r="G801" s="40"/>
      <c r="H801" s="5"/>
      <c r="Q801" s="40"/>
      <c r="R801" s="40"/>
      <c r="S801" s="40"/>
      <c r="T801" s="40"/>
      <c r="U801" s="40"/>
      <c r="W801" s="40"/>
      <c r="X801" s="40"/>
      <c r="Y801" s="40"/>
      <c r="Z801" s="40"/>
      <c r="AA801" s="41"/>
      <c r="AB801" s="41"/>
      <c r="AC801" s="41"/>
      <c r="AD801" s="41"/>
      <c r="AE801" s="40"/>
      <c r="AF801" s="42"/>
      <c r="AG801" s="5"/>
      <c r="AH801" s="5"/>
      <c r="AI801" s="40"/>
      <c r="AJ801" s="40"/>
      <c r="AK801" s="40"/>
      <c r="AL801" s="40"/>
      <c r="AM801" s="40"/>
      <c r="AO801" s="40"/>
    </row>
    <row r="802" spans="2:41" ht="12.75" customHeight="1" x14ac:dyDescent="0.25">
      <c r="B802" s="40"/>
      <c r="C802" s="40"/>
      <c r="D802" s="40"/>
      <c r="E802" s="40"/>
      <c r="F802" s="40"/>
      <c r="G802" s="40"/>
      <c r="H802" s="5"/>
      <c r="Q802" s="40"/>
      <c r="R802" s="40"/>
      <c r="S802" s="40"/>
      <c r="T802" s="40"/>
      <c r="U802" s="40"/>
      <c r="W802" s="40"/>
      <c r="X802" s="40"/>
      <c r="Y802" s="40"/>
      <c r="Z802" s="40"/>
      <c r="AA802" s="41"/>
      <c r="AB802" s="41"/>
      <c r="AC802" s="41"/>
      <c r="AD802" s="41"/>
      <c r="AE802" s="40"/>
      <c r="AF802" s="42"/>
      <c r="AG802" s="5"/>
      <c r="AH802" s="5"/>
      <c r="AI802" s="40"/>
      <c r="AJ802" s="40"/>
      <c r="AK802" s="40"/>
      <c r="AL802" s="40"/>
      <c r="AM802" s="40"/>
      <c r="AO802" s="40"/>
    </row>
    <row r="803" spans="2:41" ht="12.75" customHeight="1" x14ac:dyDescent="0.25">
      <c r="B803" s="40"/>
      <c r="C803" s="40"/>
      <c r="D803" s="40"/>
      <c r="E803" s="40"/>
      <c r="F803" s="40"/>
      <c r="G803" s="40"/>
      <c r="H803" s="5"/>
      <c r="Q803" s="40"/>
      <c r="R803" s="40"/>
      <c r="S803" s="40"/>
      <c r="T803" s="40"/>
      <c r="U803" s="40"/>
      <c r="W803" s="40"/>
      <c r="X803" s="40"/>
      <c r="Y803" s="40"/>
      <c r="Z803" s="40"/>
      <c r="AA803" s="41"/>
      <c r="AB803" s="41"/>
      <c r="AC803" s="41"/>
      <c r="AD803" s="41"/>
      <c r="AE803" s="40"/>
      <c r="AF803" s="42"/>
      <c r="AG803" s="5"/>
      <c r="AH803" s="5"/>
      <c r="AI803" s="40"/>
      <c r="AJ803" s="40"/>
      <c r="AK803" s="40"/>
      <c r="AL803" s="40"/>
      <c r="AM803" s="40"/>
      <c r="AO803" s="40"/>
    </row>
    <row r="804" spans="2:41" ht="12.75" customHeight="1" x14ac:dyDescent="0.25">
      <c r="B804" s="40"/>
      <c r="C804" s="40"/>
      <c r="D804" s="40"/>
      <c r="E804" s="40"/>
      <c r="F804" s="40"/>
      <c r="G804" s="40"/>
      <c r="H804" s="5"/>
      <c r="Q804" s="40"/>
      <c r="R804" s="40"/>
      <c r="S804" s="40"/>
      <c r="T804" s="40"/>
      <c r="U804" s="40"/>
      <c r="W804" s="40"/>
      <c r="X804" s="40"/>
      <c r="Y804" s="40"/>
      <c r="Z804" s="40"/>
      <c r="AA804" s="41"/>
      <c r="AB804" s="41"/>
      <c r="AC804" s="41"/>
      <c r="AD804" s="41"/>
      <c r="AE804" s="40"/>
      <c r="AF804" s="42"/>
      <c r="AG804" s="5"/>
      <c r="AH804" s="5"/>
      <c r="AI804" s="40"/>
      <c r="AJ804" s="40"/>
      <c r="AK804" s="40"/>
      <c r="AL804" s="40"/>
      <c r="AM804" s="40"/>
      <c r="AO804" s="40"/>
    </row>
    <row r="805" spans="2:41" ht="12.75" customHeight="1" x14ac:dyDescent="0.25">
      <c r="B805" s="40"/>
      <c r="C805" s="40"/>
      <c r="D805" s="40"/>
      <c r="E805" s="40"/>
      <c r="F805" s="40"/>
      <c r="G805" s="40"/>
      <c r="H805" s="5"/>
      <c r="Q805" s="40"/>
      <c r="R805" s="40"/>
      <c r="S805" s="40"/>
      <c r="T805" s="40"/>
      <c r="U805" s="40"/>
      <c r="W805" s="40"/>
      <c r="X805" s="40"/>
      <c r="Y805" s="40"/>
      <c r="Z805" s="40"/>
      <c r="AA805" s="41"/>
      <c r="AB805" s="41"/>
      <c r="AC805" s="41"/>
      <c r="AD805" s="41"/>
      <c r="AE805" s="40"/>
      <c r="AF805" s="42"/>
      <c r="AG805" s="5"/>
      <c r="AH805" s="5"/>
      <c r="AI805" s="40"/>
      <c r="AJ805" s="40"/>
      <c r="AK805" s="40"/>
      <c r="AL805" s="40"/>
      <c r="AM805" s="40"/>
      <c r="AO805" s="40"/>
    </row>
    <row r="806" spans="2:41" ht="12.75" customHeight="1" x14ac:dyDescent="0.25">
      <c r="B806" s="40"/>
      <c r="C806" s="40"/>
      <c r="D806" s="40"/>
      <c r="E806" s="40"/>
      <c r="F806" s="40"/>
      <c r="G806" s="40"/>
      <c r="H806" s="5"/>
      <c r="Q806" s="40"/>
      <c r="R806" s="40"/>
      <c r="S806" s="40"/>
      <c r="T806" s="40"/>
      <c r="U806" s="40"/>
      <c r="W806" s="40"/>
      <c r="X806" s="40"/>
      <c r="Y806" s="40"/>
      <c r="Z806" s="40"/>
      <c r="AA806" s="41"/>
      <c r="AB806" s="41"/>
      <c r="AC806" s="41"/>
      <c r="AD806" s="41"/>
      <c r="AE806" s="40"/>
      <c r="AF806" s="42"/>
      <c r="AG806" s="5"/>
      <c r="AH806" s="5"/>
      <c r="AI806" s="40"/>
      <c r="AJ806" s="40"/>
      <c r="AK806" s="40"/>
      <c r="AL806" s="40"/>
      <c r="AM806" s="40"/>
      <c r="AO806" s="40"/>
    </row>
    <row r="807" spans="2:41" ht="12.75" customHeight="1" x14ac:dyDescent="0.25">
      <c r="B807" s="40"/>
      <c r="C807" s="40"/>
      <c r="D807" s="40"/>
      <c r="E807" s="40"/>
      <c r="F807" s="40"/>
      <c r="G807" s="40"/>
      <c r="H807" s="5"/>
      <c r="Q807" s="40"/>
      <c r="R807" s="40"/>
      <c r="S807" s="40"/>
      <c r="T807" s="40"/>
      <c r="U807" s="40"/>
      <c r="W807" s="40"/>
      <c r="X807" s="40"/>
      <c r="Y807" s="40"/>
      <c r="Z807" s="40"/>
      <c r="AA807" s="41"/>
      <c r="AB807" s="41"/>
      <c r="AC807" s="41"/>
      <c r="AD807" s="41"/>
      <c r="AE807" s="40"/>
      <c r="AF807" s="42"/>
      <c r="AG807" s="5"/>
      <c r="AH807" s="5"/>
      <c r="AI807" s="40"/>
      <c r="AJ807" s="40"/>
      <c r="AK807" s="40"/>
      <c r="AL807" s="40"/>
      <c r="AM807" s="40"/>
      <c r="AO807" s="40"/>
    </row>
    <row r="808" spans="2:41" ht="12.75" customHeight="1" x14ac:dyDescent="0.25">
      <c r="B808" s="40"/>
      <c r="C808" s="40"/>
      <c r="D808" s="40"/>
      <c r="E808" s="40"/>
      <c r="F808" s="40"/>
      <c r="G808" s="40"/>
      <c r="H808" s="5"/>
      <c r="Q808" s="40"/>
      <c r="R808" s="40"/>
      <c r="S808" s="40"/>
      <c r="T808" s="40"/>
      <c r="U808" s="40"/>
      <c r="W808" s="40"/>
      <c r="X808" s="40"/>
      <c r="Y808" s="40"/>
      <c r="Z808" s="40"/>
      <c r="AA808" s="41"/>
      <c r="AB808" s="41"/>
      <c r="AC808" s="41"/>
      <c r="AD808" s="41"/>
      <c r="AE808" s="40"/>
      <c r="AF808" s="42"/>
      <c r="AG808" s="5"/>
      <c r="AH808" s="5"/>
      <c r="AI808" s="40"/>
      <c r="AJ808" s="40"/>
      <c r="AK808" s="40"/>
      <c r="AL808" s="40"/>
      <c r="AM808" s="40"/>
      <c r="AO808" s="40"/>
    </row>
    <row r="809" spans="2:41" ht="12.75" customHeight="1" x14ac:dyDescent="0.25">
      <c r="B809" s="40"/>
      <c r="C809" s="40"/>
      <c r="D809" s="40"/>
      <c r="E809" s="40"/>
      <c r="F809" s="40"/>
      <c r="G809" s="40"/>
      <c r="H809" s="5"/>
      <c r="Q809" s="40"/>
      <c r="R809" s="40"/>
      <c r="S809" s="40"/>
      <c r="T809" s="40"/>
      <c r="U809" s="40"/>
      <c r="W809" s="40"/>
      <c r="X809" s="40"/>
      <c r="Y809" s="40"/>
      <c r="Z809" s="40"/>
      <c r="AA809" s="41"/>
      <c r="AB809" s="41"/>
      <c r="AC809" s="41"/>
      <c r="AD809" s="41"/>
      <c r="AE809" s="40"/>
      <c r="AF809" s="42"/>
      <c r="AG809" s="5"/>
      <c r="AH809" s="5"/>
      <c r="AI809" s="40"/>
      <c r="AJ809" s="40"/>
      <c r="AK809" s="40"/>
      <c r="AL809" s="40"/>
      <c r="AM809" s="40"/>
      <c r="AO809" s="40"/>
    </row>
    <row r="810" spans="2:41" ht="12.75" customHeight="1" x14ac:dyDescent="0.25">
      <c r="B810" s="40"/>
      <c r="C810" s="40"/>
      <c r="D810" s="40"/>
      <c r="E810" s="40"/>
      <c r="F810" s="40"/>
      <c r="G810" s="40"/>
      <c r="H810" s="5"/>
      <c r="Q810" s="40"/>
      <c r="R810" s="40"/>
      <c r="S810" s="40"/>
      <c r="T810" s="40"/>
      <c r="U810" s="40"/>
      <c r="W810" s="40"/>
      <c r="X810" s="40"/>
      <c r="Y810" s="40"/>
      <c r="Z810" s="40"/>
      <c r="AA810" s="41"/>
      <c r="AB810" s="41"/>
      <c r="AC810" s="41"/>
      <c r="AD810" s="41"/>
      <c r="AE810" s="40"/>
      <c r="AF810" s="42"/>
      <c r="AG810" s="5"/>
      <c r="AH810" s="5"/>
      <c r="AI810" s="40"/>
      <c r="AJ810" s="40"/>
      <c r="AK810" s="40"/>
      <c r="AL810" s="40"/>
      <c r="AM810" s="40"/>
      <c r="AO810" s="40"/>
    </row>
    <row r="811" spans="2:41" ht="12.75" customHeight="1" x14ac:dyDescent="0.25">
      <c r="B811" s="40"/>
      <c r="C811" s="40"/>
      <c r="D811" s="40"/>
      <c r="E811" s="40"/>
      <c r="F811" s="40"/>
      <c r="G811" s="40"/>
      <c r="H811" s="5"/>
      <c r="Q811" s="40"/>
      <c r="R811" s="40"/>
      <c r="S811" s="40"/>
      <c r="T811" s="40"/>
      <c r="U811" s="40"/>
      <c r="W811" s="40"/>
      <c r="X811" s="40"/>
      <c r="Y811" s="40"/>
      <c r="Z811" s="40"/>
      <c r="AA811" s="41"/>
      <c r="AB811" s="41"/>
      <c r="AC811" s="41"/>
      <c r="AD811" s="41"/>
      <c r="AE811" s="40"/>
      <c r="AF811" s="42"/>
      <c r="AG811" s="5"/>
      <c r="AH811" s="5"/>
      <c r="AI811" s="40"/>
      <c r="AJ811" s="40"/>
      <c r="AK811" s="40"/>
      <c r="AL811" s="40"/>
      <c r="AM811" s="40"/>
      <c r="AO811" s="40"/>
    </row>
    <row r="812" spans="2:41" ht="12.75" customHeight="1" x14ac:dyDescent="0.25">
      <c r="B812" s="40"/>
      <c r="C812" s="40"/>
      <c r="D812" s="40"/>
      <c r="E812" s="40"/>
      <c r="F812" s="40"/>
      <c r="G812" s="40"/>
      <c r="H812" s="5"/>
      <c r="Q812" s="40"/>
      <c r="R812" s="40"/>
      <c r="S812" s="40"/>
      <c r="T812" s="40"/>
      <c r="U812" s="40"/>
      <c r="W812" s="40"/>
      <c r="X812" s="40"/>
      <c r="Y812" s="40"/>
      <c r="Z812" s="40"/>
      <c r="AA812" s="41"/>
      <c r="AB812" s="41"/>
      <c r="AC812" s="41"/>
      <c r="AD812" s="41"/>
      <c r="AE812" s="40"/>
      <c r="AF812" s="42"/>
      <c r="AG812" s="5"/>
      <c r="AH812" s="5"/>
      <c r="AI812" s="40"/>
      <c r="AJ812" s="40"/>
      <c r="AK812" s="40"/>
      <c r="AL812" s="40"/>
      <c r="AM812" s="40"/>
      <c r="AO812" s="40"/>
    </row>
    <row r="813" spans="2:41" ht="12.75" customHeight="1" x14ac:dyDescent="0.25">
      <c r="B813" s="40"/>
      <c r="C813" s="40"/>
      <c r="D813" s="40"/>
      <c r="E813" s="40"/>
      <c r="F813" s="40"/>
      <c r="G813" s="40"/>
      <c r="H813" s="5"/>
      <c r="Q813" s="40"/>
      <c r="R813" s="40"/>
      <c r="S813" s="40"/>
      <c r="T813" s="40"/>
      <c r="U813" s="40"/>
      <c r="W813" s="40"/>
      <c r="X813" s="40"/>
      <c r="Y813" s="40"/>
      <c r="Z813" s="40"/>
      <c r="AA813" s="41"/>
      <c r="AB813" s="41"/>
      <c r="AC813" s="41"/>
      <c r="AD813" s="41"/>
      <c r="AE813" s="40"/>
      <c r="AF813" s="42"/>
      <c r="AG813" s="5"/>
      <c r="AH813" s="5"/>
      <c r="AI813" s="40"/>
      <c r="AJ813" s="40"/>
      <c r="AK813" s="40"/>
      <c r="AL813" s="40"/>
      <c r="AM813" s="40"/>
      <c r="AO813" s="40"/>
    </row>
    <row r="814" spans="2:41" ht="12.75" customHeight="1" x14ac:dyDescent="0.25">
      <c r="B814" s="40"/>
      <c r="C814" s="40"/>
      <c r="D814" s="40"/>
      <c r="E814" s="40"/>
      <c r="F814" s="40"/>
      <c r="G814" s="40"/>
      <c r="H814" s="5"/>
      <c r="Q814" s="40"/>
      <c r="R814" s="40"/>
      <c r="S814" s="40"/>
      <c r="T814" s="40"/>
      <c r="U814" s="40"/>
      <c r="W814" s="40"/>
      <c r="X814" s="40"/>
      <c r="Y814" s="40"/>
      <c r="Z814" s="40"/>
      <c r="AA814" s="41"/>
      <c r="AB814" s="41"/>
      <c r="AC814" s="41"/>
      <c r="AD814" s="41"/>
      <c r="AE814" s="40"/>
      <c r="AF814" s="42"/>
      <c r="AG814" s="5"/>
      <c r="AH814" s="5"/>
      <c r="AI814" s="40"/>
      <c r="AJ814" s="40"/>
      <c r="AK814" s="40"/>
      <c r="AL814" s="40"/>
      <c r="AM814" s="40"/>
      <c r="AO814" s="40"/>
    </row>
    <row r="815" spans="2:41" ht="12.75" customHeight="1" x14ac:dyDescent="0.25">
      <c r="B815" s="40"/>
      <c r="C815" s="40"/>
      <c r="D815" s="40"/>
      <c r="E815" s="40"/>
      <c r="F815" s="40"/>
      <c r="G815" s="40"/>
      <c r="H815" s="5"/>
      <c r="Q815" s="40"/>
      <c r="R815" s="40"/>
      <c r="S815" s="40"/>
      <c r="T815" s="40"/>
      <c r="U815" s="40"/>
      <c r="W815" s="40"/>
      <c r="X815" s="40"/>
      <c r="Y815" s="40"/>
      <c r="Z815" s="40"/>
      <c r="AA815" s="41"/>
      <c r="AB815" s="41"/>
      <c r="AC815" s="41"/>
      <c r="AD815" s="41"/>
      <c r="AE815" s="40"/>
      <c r="AF815" s="42"/>
      <c r="AG815" s="5"/>
      <c r="AH815" s="5"/>
      <c r="AI815" s="40"/>
      <c r="AJ815" s="40"/>
      <c r="AK815" s="40"/>
      <c r="AL815" s="40"/>
      <c r="AM815" s="40"/>
      <c r="AO815" s="40"/>
    </row>
    <row r="816" spans="2:41" ht="12.75" customHeight="1" x14ac:dyDescent="0.25">
      <c r="B816" s="40"/>
      <c r="C816" s="40"/>
      <c r="D816" s="40"/>
      <c r="E816" s="40"/>
      <c r="F816" s="40"/>
      <c r="G816" s="40"/>
      <c r="H816" s="5"/>
      <c r="Q816" s="40"/>
      <c r="R816" s="40"/>
      <c r="S816" s="40"/>
      <c r="T816" s="40"/>
      <c r="U816" s="40"/>
      <c r="W816" s="40"/>
      <c r="X816" s="40"/>
      <c r="Y816" s="40"/>
      <c r="Z816" s="40"/>
      <c r="AA816" s="41"/>
      <c r="AB816" s="41"/>
      <c r="AC816" s="41"/>
      <c r="AD816" s="41"/>
      <c r="AE816" s="40"/>
      <c r="AF816" s="42"/>
      <c r="AG816" s="5"/>
      <c r="AH816" s="5"/>
      <c r="AI816" s="40"/>
      <c r="AJ816" s="40"/>
      <c r="AK816" s="40"/>
      <c r="AL816" s="40"/>
      <c r="AM816" s="40"/>
      <c r="AO816" s="40"/>
    </row>
    <row r="817" spans="2:41" ht="12.75" customHeight="1" x14ac:dyDescent="0.25">
      <c r="B817" s="40"/>
      <c r="C817" s="40"/>
      <c r="D817" s="40"/>
      <c r="E817" s="40"/>
      <c r="F817" s="40"/>
      <c r="G817" s="40"/>
      <c r="H817" s="5"/>
      <c r="Q817" s="40"/>
      <c r="R817" s="40"/>
      <c r="S817" s="40"/>
      <c r="T817" s="40"/>
      <c r="U817" s="40"/>
      <c r="W817" s="40"/>
      <c r="X817" s="40"/>
      <c r="Y817" s="40"/>
      <c r="Z817" s="40"/>
      <c r="AA817" s="41"/>
      <c r="AB817" s="41"/>
      <c r="AC817" s="41"/>
      <c r="AD817" s="41"/>
      <c r="AE817" s="40"/>
      <c r="AF817" s="42"/>
      <c r="AG817" s="5"/>
      <c r="AH817" s="5"/>
      <c r="AI817" s="40"/>
      <c r="AJ817" s="40"/>
      <c r="AK817" s="40"/>
      <c r="AL817" s="40"/>
      <c r="AM817" s="40"/>
      <c r="AO817" s="40"/>
    </row>
    <row r="818" spans="2:41" ht="12.75" customHeight="1" x14ac:dyDescent="0.25">
      <c r="B818" s="40"/>
      <c r="C818" s="40"/>
      <c r="D818" s="40"/>
      <c r="E818" s="40"/>
      <c r="F818" s="40"/>
      <c r="G818" s="40"/>
      <c r="H818" s="5"/>
      <c r="Q818" s="40"/>
      <c r="R818" s="40"/>
      <c r="S818" s="40"/>
      <c r="T818" s="40"/>
      <c r="U818" s="40"/>
      <c r="W818" s="40"/>
      <c r="X818" s="40"/>
      <c r="Y818" s="40"/>
      <c r="Z818" s="40"/>
      <c r="AA818" s="41"/>
      <c r="AB818" s="41"/>
      <c r="AC818" s="41"/>
      <c r="AD818" s="41"/>
      <c r="AE818" s="40"/>
      <c r="AF818" s="42"/>
      <c r="AG818" s="5"/>
      <c r="AH818" s="5"/>
      <c r="AI818" s="40"/>
      <c r="AJ818" s="40"/>
      <c r="AK818" s="40"/>
      <c r="AL818" s="40"/>
      <c r="AM818" s="40"/>
      <c r="AO818" s="40"/>
    </row>
    <row r="819" spans="2:41" ht="12.75" customHeight="1" x14ac:dyDescent="0.25">
      <c r="B819" s="40"/>
      <c r="C819" s="40"/>
      <c r="D819" s="40"/>
      <c r="E819" s="40"/>
      <c r="F819" s="40"/>
      <c r="G819" s="40"/>
      <c r="H819" s="5"/>
      <c r="Q819" s="40"/>
      <c r="R819" s="40"/>
      <c r="S819" s="40"/>
      <c r="T819" s="40"/>
      <c r="U819" s="40"/>
      <c r="W819" s="40"/>
      <c r="X819" s="40"/>
      <c r="Y819" s="40"/>
      <c r="Z819" s="40"/>
      <c r="AA819" s="41"/>
      <c r="AB819" s="41"/>
      <c r="AC819" s="41"/>
      <c r="AD819" s="41"/>
      <c r="AE819" s="40"/>
      <c r="AF819" s="42"/>
      <c r="AG819" s="5"/>
      <c r="AH819" s="5"/>
      <c r="AI819" s="40"/>
      <c r="AJ819" s="40"/>
      <c r="AK819" s="40"/>
      <c r="AL819" s="40"/>
      <c r="AM819" s="40"/>
      <c r="AO819" s="40"/>
    </row>
    <row r="820" spans="2:41" ht="12.75" customHeight="1" x14ac:dyDescent="0.25">
      <c r="B820" s="40"/>
      <c r="C820" s="40"/>
      <c r="D820" s="40"/>
      <c r="E820" s="40"/>
      <c r="F820" s="40"/>
      <c r="G820" s="40"/>
      <c r="H820" s="5"/>
      <c r="Q820" s="40"/>
      <c r="R820" s="40"/>
      <c r="S820" s="40"/>
      <c r="T820" s="40"/>
      <c r="U820" s="40"/>
      <c r="W820" s="40"/>
      <c r="X820" s="40"/>
      <c r="Y820" s="40"/>
      <c r="Z820" s="40"/>
      <c r="AA820" s="41"/>
      <c r="AB820" s="41"/>
      <c r="AC820" s="41"/>
      <c r="AD820" s="41"/>
      <c r="AE820" s="40"/>
      <c r="AF820" s="42"/>
      <c r="AG820" s="5"/>
      <c r="AH820" s="5"/>
      <c r="AI820" s="40"/>
      <c r="AJ820" s="40"/>
      <c r="AK820" s="40"/>
      <c r="AL820" s="40"/>
      <c r="AM820" s="40"/>
      <c r="AO820" s="40"/>
    </row>
    <row r="821" spans="2:41" ht="12.75" customHeight="1" x14ac:dyDescent="0.25">
      <c r="B821" s="40"/>
      <c r="C821" s="40"/>
      <c r="D821" s="40"/>
      <c r="E821" s="40"/>
      <c r="F821" s="40"/>
      <c r="G821" s="40"/>
      <c r="H821" s="5"/>
      <c r="Q821" s="40"/>
      <c r="R821" s="40"/>
      <c r="S821" s="40"/>
      <c r="T821" s="40"/>
      <c r="U821" s="40"/>
      <c r="W821" s="40"/>
      <c r="X821" s="40"/>
      <c r="Y821" s="40"/>
      <c r="Z821" s="40"/>
      <c r="AA821" s="41"/>
      <c r="AB821" s="41"/>
      <c r="AC821" s="41"/>
      <c r="AD821" s="41"/>
      <c r="AE821" s="40"/>
      <c r="AF821" s="42"/>
      <c r="AG821" s="5"/>
      <c r="AH821" s="5"/>
      <c r="AI821" s="40"/>
      <c r="AJ821" s="40"/>
      <c r="AK821" s="40"/>
      <c r="AL821" s="40"/>
      <c r="AM821" s="40"/>
      <c r="AO821" s="40"/>
    </row>
    <row r="822" spans="2:41" ht="12.75" customHeight="1" x14ac:dyDescent="0.25">
      <c r="B822" s="40"/>
      <c r="C822" s="40"/>
      <c r="D822" s="40"/>
      <c r="E822" s="40"/>
      <c r="F822" s="40"/>
      <c r="G822" s="40"/>
      <c r="H822" s="5"/>
      <c r="Q822" s="40"/>
      <c r="R822" s="40"/>
      <c r="S822" s="40"/>
      <c r="T822" s="40"/>
      <c r="U822" s="40"/>
      <c r="W822" s="40"/>
      <c r="X822" s="40"/>
      <c r="Y822" s="40"/>
      <c r="Z822" s="40"/>
      <c r="AA822" s="41"/>
      <c r="AB822" s="41"/>
      <c r="AC822" s="41"/>
      <c r="AD822" s="41"/>
      <c r="AE822" s="40"/>
      <c r="AF822" s="42"/>
      <c r="AG822" s="5"/>
      <c r="AH822" s="5"/>
      <c r="AI822" s="40"/>
      <c r="AJ822" s="40"/>
      <c r="AK822" s="40"/>
      <c r="AL822" s="40"/>
      <c r="AM822" s="40"/>
      <c r="AO822" s="40"/>
    </row>
    <row r="823" spans="2:41" ht="12.75" customHeight="1" x14ac:dyDescent="0.25">
      <c r="B823" s="40"/>
      <c r="C823" s="40"/>
      <c r="D823" s="40"/>
      <c r="E823" s="40"/>
      <c r="F823" s="40"/>
      <c r="G823" s="40"/>
      <c r="H823" s="5"/>
      <c r="Q823" s="40"/>
      <c r="R823" s="40"/>
      <c r="S823" s="40"/>
      <c r="T823" s="40"/>
      <c r="U823" s="40"/>
      <c r="W823" s="40"/>
      <c r="X823" s="40"/>
      <c r="Y823" s="40"/>
      <c r="Z823" s="40"/>
      <c r="AA823" s="41"/>
      <c r="AB823" s="41"/>
      <c r="AC823" s="41"/>
      <c r="AD823" s="41"/>
      <c r="AE823" s="40"/>
      <c r="AF823" s="42"/>
      <c r="AG823" s="5"/>
      <c r="AH823" s="5"/>
      <c r="AI823" s="40"/>
      <c r="AJ823" s="40"/>
      <c r="AK823" s="40"/>
      <c r="AL823" s="40"/>
      <c r="AM823" s="40"/>
      <c r="AO823" s="40"/>
    </row>
    <row r="824" spans="2:41" ht="12.75" customHeight="1" x14ac:dyDescent="0.25">
      <c r="B824" s="40"/>
      <c r="C824" s="40"/>
      <c r="D824" s="40"/>
      <c r="E824" s="40"/>
      <c r="F824" s="40"/>
      <c r="G824" s="40"/>
      <c r="H824" s="5"/>
      <c r="Q824" s="40"/>
      <c r="R824" s="40"/>
      <c r="S824" s="40"/>
      <c r="T824" s="40"/>
      <c r="U824" s="40"/>
      <c r="W824" s="40"/>
      <c r="X824" s="40"/>
      <c r="Y824" s="40"/>
      <c r="Z824" s="40"/>
      <c r="AA824" s="41"/>
      <c r="AB824" s="41"/>
      <c r="AC824" s="41"/>
      <c r="AD824" s="41"/>
      <c r="AE824" s="40"/>
      <c r="AF824" s="42"/>
      <c r="AG824" s="5"/>
      <c r="AH824" s="5"/>
      <c r="AI824" s="40"/>
      <c r="AJ824" s="40"/>
      <c r="AK824" s="40"/>
      <c r="AL824" s="40"/>
      <c r="AM824" s="40"/>
      <c r="AO824" s="40"/>
    </row>
    <row r="825" spans="2:41" ht="12.75" customHeight="1" x14ac:dyDescent="0.25">
      <c r="B825" s="40"/>
      <c r="C825" s="40"/>
      <c r="D825" s="40"/>
      <c r="E825" s="40"/>
      <c r="F825" s="40"/>
      <c r="G825" s="40"/>
      <c r="H825" s="5"/>
      <c r="Q825" s="40"/>
      <c r="R825" s="40"/>
      <c r="S825" s="40"/>
      <c r="T825" s="40"/>
      <c r="U825" s="40"/>
      <c r="W825" s="40"/>
      <c r="X825" s="40"/>
      <c r="Y825" s="40"/>
      <c r="Z825" s="40"/>
      <c r="AA825" s="41"/>
      <c r="AB825" s="41"/>
      <c r="AC825" s="41"/>
      <c r="AD825" s="41"/>
      <c r="AE825" s="40"/>
      <c r="AF825" s="42"/>
      <c r="AG825" s="5"/>
      <c r="AH825" s="5"/>
      <c r="AI825" s="40"/>
      <c r="AJ825" s="40"/>
      <c r="AK825" s="40"/>
      <c r="AL825" s="40"/>
      <c r="AM825" s="40"/>
      <c r="AO825" s="40"/>
    </row>
    <row r="826" spans="2:41" ht="12.75" customHeight="1" x14ac:dyDescent="0.25">
      <c r="B826" s="40"/>
      <c r="C826" s="40"/>
      <c r="D826" s="40"/>
      <c r="E826" s="40"/>
      <c r="F826" s="40"/>
      <c r="G826" s="40"/>
      <c r="H826" s="5"/>
      <c r="Q826" s="40"/>
      <c r="R826" s="40"/>
      <c r="S826" s="40"/>
      <c r="T826" s="40"/>
      <c r="U826" s="40"/>
      <c r="W826" s="40"/>
      <c r="X826" s="40"/>
      <c r="Y826" s="40"/>
      <c r="Z826" s="40"/>
      <c r="AA826" s="41"/>
      <c r="AB826" s="41"/>
      <c r="AC826" s="41"/>
      <c r="AD826" s="41"/>
      <c r="AE826" s="40"/>
      <c r="AF826" s="42"/>
      <c r="AG826" s="5"/>
      <c r="AH826" s="5"/>
      <c r="AI826" s="40"/>
      <c r="AJ826" s="40"/>
      <c r="AK826" s="40"/>
      <c r="AL826" s="40"/>
      <c r="AM826" s="40"/>
      <c r="AO826" s="40"/>
    </row>
    <row r="827" spans="2:41" ht="12.75" customHeight="1" x14ac:dyDescent="0.25">
      <c r="B827" s="40"/>
      <c r="C827" s="40"/>
      <c r="D827" s="40"/>
      <c r="E827" s="40"/>
      <c r="F827" s="40"/>
      <c r="G827" s="40"/>
      <c r="H827" s="5"/>
      <c r="Q827" s="40"/>
      <c r="R827" s="40"/>
      <c r="S827" s="40"/>
      <c r="T827" s="40"/>
      <c r="U827" s="40"/>
      <c r="W827" s="40"/>
      <c r="X827" s="40"/>
      <c r="Y827" s="40"/>
      <c r="Z827" s="40"/>
      <c r="AA827" s="41"/>
      <c r="AB827" s="41"/>
      <c r="AC827" s="41"/>
      <c r="AD827" s="41"/>
      <c r="AE827" s="40"/>
      <c r="AF827" s="42"/>
      <c r="AG827" s="5"/>
      <c r="AH827" s="5"/>
      <c r="AI827" s="40"/>
      <c r="AJ827" s="40"/>
      <c r="AK827" s="40"/>
      <c r="AL827" s="40"/>
      <c r="AM827" s="40"/>
      <c r="AO827" s="40"/>
    </row>
    <row r="828" spans="2:41" ht="12.75" customHeight="1" x14ac:dyDescent="0.25">
      <c r="B828" s="40"/>
      <c r="C828" s="40"/>
      <c r="D828" s="40"/>
      <c r="E828" s="40"/>
      <c r="F828" s="40"/>
      <c r="G828" s="40"/>
      <c r="H828" s="5"/>
      <c r="Q828" s="40"/>
      <c r="R828" s="40"/>
      <c r="S828" s="40"/>
      <c r="T828" s="40"/>
      <c r="U828" s="40"/>
      <c r="W828" s="40"/>
      <c r="X828" s="40"/>
      <c r="Y828" s="40"/>
      <c r="Z828" s="40"/>
      <c r="AA828" s="41"/>
      <c r="AB828" s="41"/>
      <c r="AC828" s="41"/>
      <c r="AD828" s="41"/>
      <c r="AE828" s="40"/>
      <c r="AF828" s="42"/>
      <c r="AG828" s="5"/>
      <c r="AH828" s="5"/>
      <c r="AI828" s="40"/>
      <c r="AJ828" s="40"/>
      <c r="AK828" s="40"/>
      <c r="AL828" s="40"/>
      <c r="AM828" s="40"/>
      <c r="AO828" s="40"/>
    </row>
    <row r="829" spans="2:41" ht="12.75" customHeight="1" x14ac:dyDescent="0.25">
      <c r="B829" s="40"/>
      <c r="C829" s="40"/>
      <c r="D829" s="40"/>
      <c r="E829" s="40"/>
      <c r="F829" s="40"/>
      <c r="G829" s="40"/>
      <c r="H829" s="5"/>
      <c r="Q829" s="40"/>
      <c r="R829" s="40"/>
      <c r="S829" s="40"/>
      <c r="T829" s="40"/>
      <c r="U829" s="40"/>
      <c r="W829" s="40"/>
      <c r="X829" s="40"/>
      <c r="Y829" s="40"/>
      <c r="Z829" s="40"/>
      <c r="AA829" s="41"/>
      <c r="AB829" s="41"/>
      <c r="AC829" s="41"/>
      <c r="AD829" s="41"/>
      <c r="AE829" s="40"/>
      <c r="AF829" s="42"/>
      <c r="AG829" s="5"/>
      <c r="AH829" s="5"/>
      <c r="AI829" s="40"/>
      <c r="AJ829" s="40"/>
      <c r="AK829" s="40"/>
      <c r="AL829" s="40"/>
      <c r="AM829" s="40"/>
      <c r="AO829" s="40"/>
    </row>
    <row r="830" spans="2:41" ht="12.75" customHeight="1" x14ac:dyDescent="0.25">
      <c r="B830" s="40"/>
      <c r="C830" s="40"/>
      <c r="D830" s="40"/>
      <c r="E830" s="40"/>
      <c r="F830" s="40"/>
      <c r="G830" s="40"/>
      <c r="H830" s="5"/>
      <c r="Q830" s="40"/>
      <c r="R830" s="40"/>
      <c r="S830" s="40"/>
      <c r="T830" s="40"/>
      <c r="U830" s="40"/>
      <c r="W830" s="40"/>
      <c r="X830" s="40"/>
      <c r="Y830" s="40"/>
      <c r="Z830" s="40"/>
      <c r="AA830" s="41"/>
      <c r="AB830" s="41"/>
      <c r="AC830" s="41"/>
      <c r="AD830" s="41"/>
      <c r="AE830" s="40"/>
      <c r="AF830" s="42"/>
      <c r="AG830" s="5"/>
      <c r="AH830" s="5"/>
      <c r="AI830" s="40"/>
      <c r="AJ830" s="40"/>
      <c r="AK830" s="40"/>
      <c r="AL830" s="40"/>
      <c r="AM830" s="40"/>
      <c r="AO830" s="40"/>
    </row>
    <row r="831" spans="2:41" ht="12.75" customHeight="1" x14ac:dyDescent="0.25">
      <c r="B831" s="40"/>
      <c r="C831" s="40"/>
      <c r="D831" s="40"/>
      <c r="E831" s="40"/>
      <c r="F831" s="40"/>
      <c r="G831" s="40"/>
      <c r="H831" s="5"/>
      <c r="Q831" s="40"/>
      <c r="R831" s="40"/>
      <c r="S831" s="40"/>
      <c r="T831" s="40"/>
      <c r="U831" s="40"/>
      <c r="W831" s="40"/>
      <c r="X831" s="40"/>
      <c r="Y831" s="40"/>
      <c r="Z831" s="40"/>
      <c r="AA831" s="41"/>
      <c r="AB831" s="41"/>
      <c r="AC831" s="41"/>
      <c r="AD831" s="41"/>
      <c r="AE831" s="40"/>
      <c r="AF831" s="42"/>
      <c r="AG831" s="5"/>
      <c r="AH831" s="5"/>
      <c r="AI831" s="40"/>
      <c r="AJ831" s="40"/>
      <c r="AK831" s="40"/>
      <c r="AL831" s="40"/>
      <c r="AM831" s="40"/>
      <c r="AO831" s="40"/>
    </row>
    <row r="832" spans="2:41" ht="12.75" customHeight="1" x14ac:dyDescent="0.25">
      <c r="B832" s="40"/>
      <c r="C832" s="40"/>
      <c r="D832" s="40"/>
      <c r="E832" s="40"/>
      <c r="F832" s="40"/>
      <c r="G832" s="40"/>
      <c r="H832" s="5"/>
      <c r="Q832" s="40"/>
      <c r="R832" s="40"/>
      <c r="S832" s="40"/>
      <c r="T832" s="40"/>
      <c r="U832" s="40"/>
      <c r="W832" s="40"/>
      <c r="X832" s="40"/>
      <c r="Y832" s="40"/>
      <c r="Z832" s="40"/>
      <c r="AA832" s="41"/>
      <c r="AB832" s="41"/>
      <c r="AC832" s="41"/>
      <c r="AD832" s="41"/>
      <c r="AE832" s="40"/>
      <c r="AF832" s="42"/>
      <c r="AG832" s="5"/>
      <c r="AH832" s="5"/>
      <c r="AI832" s="40"/>
      <c r="AJ832" s="40"/>
      <c r="AK832" s="40"/>
      <c r="AL832" s="40"/>
      <c r="AM832" s="40"/>
      <c r="AO832" s="40"/>
    </row>
    <row r="833" spans="2:41" ht="12.75" customHeight="1" x14ac:dyDescent="0.25">
      <c r="B833" s="40"/>
      <c r="C833" s="40"/>
      <c r="D833" s="40"/>
      <c r="E833" s="40"/>
      <c r="F833" s="40"/>
      <c r="G833" s="40"/>
      <c r="H833" s="5"/>
      <c r="Q833" s="40"/>
      <c r="R833" s="40"/>
      <c r="S833" s="40"/>
      <c r="T833" s="40"/>
      <c r="U833" s="40"/>
      <c r="W833" s="40"/>
      <c r="X833" s="40"/>
      <c r="Y833" s="40"/>
      <c r="Z833" s="40"/>
      <c r="AA833" s="41"/>
      <c r="AB833" s="41"/>
      <c r="AC833" s="41"/>
      <c r="AD833" s="41"/>
      <c r="AE833" s="40"/>
      <c r="AF833" s="42"/>
      <c r="AG833" s="5"/>
      <c r="AH833" s="5"/>
      <c r="AI833" s="40"/>
      <c r="AJ833" s="40"/>
      <c r="AK833" s="40"/>
      <c r="AL833" s="40"/>
      <c r="AM833" s="40"/>
      <c r="AO833" s="40"/>
    </row>
    <row r="834" spans="2:41" ht="12.75" customHeight="1" x14ac:dyDescent="0.25">
      <c r="B834" s="40"/>
      <c r="C834" s="40"/>
      <c r="D834" s="40"/>
      <c r="E834" s="40"/>
      <c r="F834" s="40"/>
      <c r="G834" s="40"/>
      <c r="H834" s="5"/>
      <c r="Q834" s="40"/>
      <c r="R834" s="40"/>
      <c r="S834" s="40"/>
      <c r="T834" s="40"/>
      <c r="U834" s="40"/>
      <c r="W834" s="40"/>
      <c r="X834" s="40"/>
      <c r="Y834" s="40"/>
      <c r="Z834" s="40"/>
      <c r="AA834" s="41"/>
      <c r="AB834" s="41"/>
      <c r="AC834" s="41"/>
      <c r="AD834" s="41"/>
      <c r="AE834" s="40"/>
      <c r="AF834" s="42"/>
      <c r="AG834" s="5"/>
      <c r="AH834" s="5"/>
      <c r="AI834" s="40"/>
      <c r="AJ834" s="40"/>
      <c r="AK834" s="40"/>
      <c r="AL834" s="40"/>
      <c r="AM834" s="40"/>
      <c r="AO834" s="40"/>
    </row>
    <row r="835" spans="2:41" ht="12.75" customHeight="1" x14ac:dyDescent="0.25">
      <c r="B835" s="40"/>
      <c r="C835" s="40"/>
      <c r="D835" s="40"/>
      <c r="E835" s="40"/>
      <c r="F835" s="40"/>
      <c r="G835" s="40"/>
      <c r="H835" s="5"/>
      <c r="Q835" s="40"/>
      <c r="R835" s="40"/>
      <c r="S835" s="40"/>
      <c r="T835" s="40"/>
      <c r="U835" s="40"/>
      <c r="W835" s="40"/>
      <c r="X835" s="40"/>
      <c r="Y835" s="40"/>
      <c r="Z835" s="40"/>
      <c r="AA835" s="41"/>
      <c r="AB835" s="41"/>
      <c r="AC835" s="41"/>
      <c r="AD835" s="41"/>
      <c r="AE835" s="40"/>
      <c r="AF835" s="42"/>
      <c r="AG835" s="5"/>
      <c r="AH835" s="5"/>
      <c r="AI835" s="40"/>
      <c r="AJ835" s="40"/>
      <c r="AK835" s="40"/>
      <c r="AL835" s="40"/>
      <c r="AM835" s="40"/>
      <c r="AO835" s="40"/>
    </row>
    <row r="836" spans="2:41" ht="12.75" customHeight="1" x14ac:dyDescent="0.25">
      <c r="B836" s="40"/>
      <c r="C836" s="40"/>
      <c r="D836" s="40"/>
      <c r="E836" s="40"/>
      <c r="F836" s="40"/>
      <c r="G836" s="40"/>
      <c r="H836" s="5"/>
      <c r="Q836" s="40"/>
      <c r="R836" s="40"/>
      <c r="S836" s="40"/>
      <c r="T836" s="40"/>
      <c r="U836" s="40"/>
      <c r="W836" s="40"/>
      <c r="X836" s="40"/>
      <c r="Y836" s="40"/>
      <c r="Z836" s="40"/>
      <c r="AA836" s="41"/>
      <c r="AB836" s="41"/>
      <c r="AC836" s="41"/>
      <c r="AD836" s="41"/>
      <c r="AE836" s="40"/>
      <c r="AF836" s="42"/>
      <c r="AG836" s="5"/>
      <c r="AH836" s="5"/>
      <c r="AI836" s="40"/>
      <c r="AJ836" s="40"/>
      <c r="AK836" s="40"/>
      <c r="AL836" s="40"/>
      <c r="AM836" s="40"/>
      <c r="AO836" s="40"/>
    </row>
    <row r="837" spans="2:41" ht="12.75" customHeight="1" x14ac:dyDescent="0.25">
      <c r="B837" s="40"/>
      <c r="C837" s="40"/>
      <c r="D837" s="40"/>
      <c r="E837" s="40"/>
      <c r="F837" s="40"/>
      <c r="G837" s="40"/>
      <c r="H837" s="5"/>
      <c r="Q837" s="40"/>
      <c r="R837" s="40"/>
      <c r="S837" s="40"/>
      <c r="T837" s="40"/>
      <c r="U837" s="40"/>
      <c r="W837" s="40"/>
      <c r="X837" s="40"/>
      <c r="Y837" s="40"/>
      <c r="Z837" s="40"/>
      <c r="AA837" s="41"/>
      <c r="AB837" s="41"/>
      <c r="AC837" s="41"/>
      <c r="AD837" s="41"/>
      <c r="AE837" s="40"/>
      <c r="AF837" s="42"/>
      <c r="AG837" s="5"/>
      <c r="AH837" s="5"/>
      <c r="AI837" s="40"/>
      <c r="AJ837" s="40"/>
      <c r="AK837" s="40"/>
      <c r="AL837" s="40"/>
      <c r="AM837" s="40"/>
      <c r="AO837" s="40"/>
    </row>
    <row r="838" spans="2:41" ht="12.75" customHeight="1" x14ac:dyDescent="0.25">
      <c r="B838" s="40"/>
      <c r="C838" s="40"/>
      <c r="D838" s="40"/>
      <c r="E838" s="40"/>
      <c r="F838" s="40"/>
      <c r="G838" s="40"/>
      <c r="H838" s="5"/>
      <c r="Q838" s="40"/>
      <c r="R838" s="40"/>
      <c r="S838" s="40"/>
      <c r="T838" s="40"/>
      <c r="U838" s="40"/>
      <c r="W838" s="40"/>
      <c r="X838" s="40"/>
      <c r="Y838" s="40"/>
      <c r="Z838" s="40"/>
      <c r="AA838" s="41"/>
      <c r="AB838" s="41"/>
      <c r="AC838" s="41"/>
      <c r="AD838" s="41"/>
      <c r="AE838" s="40"/>
      <c r="AF838" s="42"/>
      <c r="AG838" s="5"/>
      <c r="AH838" s="5"/>
      <c r="AI838" s="40"/>
      <c r="AJ838" s="40"/>
      <c r="AK838" s="40"/>
      <c r="AL838" s="40"/>
      <c r="AM838" s="40"/>
      <c r="AO838" s="40"/>
    </row>
    <row r="839" spans="2:41" ht="12.75" customHeight="1" x14ac:dyDescent="0.25">
      <c r="B839" s="40"/>
      <c r="C839" s="40"/>
      <c r="D839" s="40"/>
      <c r="E839" s="40"/>
      <c r="F839" s="40"/>
      <c r="G839" s="40"/>
      <c r="H839" s="5"/>
      <c r="Q839" s="40"/>
      <c r="R839" s="40"/>
      <c r="S839" s="40"/>
      <c r="T839" s="40"/>
      <c r="U839" s="40"/>
      <c r="W839" s="40"/>
      <c r="X839" s="40"/>
      <c r="Y839" s="40"/>
      <c r="Z839" s="40"/>
      <c r="AA839" s="41"/>
      <c r="AB839" s="41"/>
      <c r="AC839" s="41"/>
      <c r="AD839" s="41"/>
      <c r="AE839" s="40"/>
      <c r="AF839" s="42"/>
      <c r="AG839" s="5"/>
      <c r="AH839" s="5"/>
      <c r="AI839" s="40"/>
      <c r="AJ839" s="40"/>
      <c r="AK839" s="40"/>
      <c r="AL839" s="40"/>
      <c r="AM839" s="40"/>
      <c r="AO839" s="40"/>
    </row>
    <row r="840" spans="2:41" ht="12.75" customHeight="1" x14ac:dyDescent="0.25">
      <c r="B840" s="40"/>
      <c r="C840" s="40"/>
      <c r="D840" s="40"/>
      <c r="E840" s="40"/>
      <c r="F840" s="40"/>
      <c r="G840" s="40"/>
      <c r="H840" s="5"/>
      <c r="Q840" s="40"/>
      <c r="R840" s="40"/>
      <c r="S840" s="40"/>
      <c r="T840" s="40"/>
      <c r="U840" s="40"/>
      <c r="W840" s="40"/>
      <c r="X840" s="40"/>
      <c r="Y840" s="40"/>
      <c r="Z840" s="40"/>
      <c r="AA840" s="41"/>
      <c r="AB840" s="41"/>
      <c r="AC840" s="41"/>
      <c r="AD840" s="41"/>
      <c r="AE840" s="40"/>
      <c r="AF840" s="42"/>
      <c r="AG840" s="5"/>
      <c r="AH840" s="5"/>
      <c r="AI840" s="40"/>
      <c r="AJ840" s="40"/>
      <c r="AK840" s="40"/>
      <c r="AL840" s="40"/>
      <c r="AM840" s="40"/>
      <c r="AO840" s="40"/>
    </row>
    <row r="841" spans="2:41" ht="12.75" customHeight="1" x14ac:dyDescent="0.25">
      <c r="B841" s="40"/>
      <c r="C841" s="40"/>
      <c r="D841" s="40"/>
      <c r="E841" s="40"/>
      <c r="F841" s="40"/>
      <c r="G841" s="40"/>
      <c r="H841" s="5"/>
      <c r="Q841" s="40"/>
      <c r="R841" s="40"/>
      <c r="S841" s="40"/>
      <c r="T841" s="40"/>
      <c r="U841" s="40"/>
      <c r="W841" s="40"/>
      <c r="X841" s="40"/>
      <c r="Y841" s="40"/>
      <c r="Z841" s="40"/>
      <c r="AA841" s="41"/>
      <c r="AB841" s="41"/>
      <c r="AC841" s="41"/>
      <c r="AD841" s="41"/>
      <c r="AE841" s="40"/>
      <c r="AF841" s="42"/>
      <c r="AG841" s="5"/>
      <c r="AH841" s="5"/>
      <c r="AI841" s="40"/>
      <c r="AJ841" s="40"/>
      <c r="AK841" s="40"/>
      <c r="AL841" s="40"/>
      <c r="AM841" s="40"/>
      <c r="AO841" s="40"/>
    </row>
    <row r="842" spans="2:41" ht="12.75" customHeight="1" x14ac:dyDescent="0.25">
      <c r="B842" s="40"/>
      <c r="C842" s="40"/>
      <c r="D842" s="40"/>
      <c r="E842" s="40"/>
      <c r="F842" s="40"/>
      <c r="G842" s="40"/>
      <c r="H842" s="5"/>
      <c r="Q842" s="40"/>
      <c r="R842" s="40"/>
      <c r="S842" s="40"/>
      <c r="T842" s="40"/>
      <c r="U842" s="40"/>
      <c r="W842" s="40"/>
      <c r="X842" s="40"/>
      <c r="Y842" s="40"/>
      <c r="Z842" s="40"/>
      <c r="AA842" s="41"/>
      <c r="AB842" s="41"/>
      <c r="AC842" s="41"/>
      <c r="AD842" s="41"/>
      <c r="AE842" s="40"/>
      <c r="AF842" s="42"/>
      <c r="AG842" s="5"/>
      <c r="AH842" s="5"/>
      <c r="AI842" s="40"/>
      <c r="AJ842" s="40"/>
      <c r="AK842" s="40"/>
      <c r="AL842" s="40"/>
      <c r="AM842" s="40"/>
      <c r="AO842" s="40"/>
    </row>
    <row r="843" spans="2:41" ht="12.75" customHeight="1" x14ac:dyDescent="0.25">
      <c r="B843" s="40"/>
      <c r="C843" s="40"/>
      <c r="D843" s="40"/>
      <c r="E843" s="40"/>
      <c r="F843" s="40"/>
      <c r="G843" s="40"/>
      <c r="H843" s="5"/>
      <c r="Q843" s="40"/>
      <c r="R843" s="40"/>
      <c r="S843" s="40"/>
      <c r="T843" s="40"/>
      <c r="U843" s="40"/>
      <c r="W843" s="40"/>
      <c r="X843" s="40"/>
      <c r="Y843" s="40"/>
      <c r="Z843" s="40"/>
      <c r="AA843" s="41"/>
      <c r="AB843" s="41"/>
      <c r="AC843" s="41"/>
      <c r="AD843" s="41"/>
      <c r="AE843" s="40"/>
      <c r="AF843" s="42"/>
      <c r="AG843" s="5"/>
      <c r="AH843" s="5"/>
      <c r="AI843" s="40"/>
      <c r="AJ843" s="40"/>
      <c r="AK843" s="40"/>
      <c r="AL843" s="40"/>
      <c r="AM843" s="40"/>
      <c r="AO843" s="40"/>
    </row>
    <row r="844" spans="2:41" ht="12.75" customHeight="1" x14ac:dyDescent="0.25">
      <c r="B844" s="40"/>
      <c r="C844" s="40"/>
      <c r="D844" s="40"/>
      <c r="E844" s="40"/>
      <c r="F844" s="40"/>
      <c r="G844" s="40"/>
      <c r="H844" s="5"/>
      <c r="Q844" s="40"/>
      <c r="R844" s="40"/>
      <c r="S844" s="40"/>
      <c r="T844" s="40"/>
      <c r="U844" s="40"/>
      <c r="W844" s="40"/>
      <c r="X844" s="40"/>
      <c r="Y844" s="40"/>
      <c r="Z844" s="40"/>
      <c r="AA844" s="41"/>
      <c r="AB844" s="41"/>
      <c r="AC844" s="41"/>
      <c r="AD844" s="41"/>
      <c r="AE844" s="40"/>
      <c r="AF844" s="42"/>
      <c r="AG844" s="5"/>
      <c r="AH844" s="5"/>
      <c r="AI844" s="40"/>
      <c r="AJ844" s="40"/>
      <c r="AK844" s="40"/>
      <c r="AL844" s="40"/>
      <c r="AM844" s="40"/>
      <c r="AO844" s="40"/>
    </row>
    <row r="845" spans="2:41" ht="12.75" customHeight="1" x14ac:dyDescent="0.25">
      <c r="B845" s="40"/>
      <c r="C845" s="40"/>
      <c r="D845" s="40"/>
      <c r="E845" s="40"/>
      <c r="F845" s="40"/>
      <c r="G845" s="40"/>
      <c r="H845" s="5"/>
      <c r="Q845" s="40"/>
      <c r="R845" s="40"/>
      <c r="S845" s="40"/>
      <c r="T845" s="40"/>
      <c r="U845" s="40"/>
      <c r="W845" s="40"/>
      <c r="X845" s="40"/>
      <c r="Y845" s="40"/>
      <c r="Z845" s="40"/>
      <c r="AA845" s="41"/>
      <c r="AB845" s="41"/>
      <c r="AC845" s="41"/>
      <c r="AD845" s="41"/>
      <c r="AE845" s="40"/>
      <c r="AF845" s="42"/>
      <c r="AG845" s="5"/>
      <c r="AH845" s="5"/>
      <c r="AI845" s="40"/>
      <c r="AJ845" s="40"/>
      <c r="AK845" s="40"/>
      <c r="AL845" s="40"/>
      <c r="AM845" s="40"/>
      <c r="AO845" s="40"/>
    </row>
    <row r="846" spans="2:41" ht="12.75" customHeight="1" x14ac:dyDescent="0.25">
      <c r="B846" s="40"/>
      <c r="C846" s="40"/>
      <c r="D846" s="40"/>
      <c r="E846" s="40"/>
      <c r="F846" s="40"/>
      <c r="G846" s="40"/>
      <c r="H846" s="5"/>
      <c r="Q846" s="40"/>
      <c r="R846" s="40"/>
      <c r="S846" s="40"/>
      <c r="T846" s="40"/>
      <c r="U846" s="40"/>
      <c r="W846" s="40"/>
      <c r="X846" s="40"/>
      <c r="Y846" s="40"/>
      <c r="Z846" s="40"/>
      <c r="AA846" s="41"/>
      <c r="AB846" s="41"/>
      <c r="AC846" s="41"/>
      <c r="AD846" s="41"/>
      <c r="AE846" s="40"/>
      <c r="AF846" s="42"/>
      <c r="AG846" s="5"/>
      <c r="AH846" s="5"/>
      <c r="AI846" s="40"/>
      <c r="AJ846" s="40"/>
      <c r="AK846" s="40"/>
      <c r="AL846" s="40"/>
      <c r="AM846" s="40"/>
      <c r="AO846" s="40"/>
    </row>
    <row r="847" spans="2:41" ht="12.75" customHeight="1" x14ac:dyDescent="0.25">
      <c r="B847" s="40"/>
      <c r="C847" s="40"/>
      <c r="D847" s="40"/>
      <c r="E847" s="40"/>
      <c r="F847" s="40"/>
      <c r="G847" s="40"/>
      <c r="H847" s="5"/>
      <c r="Q847" s="40"/>
      <c r="R847" s="40"/>
      <c r="S847" s="40"/>
      <c r="T847" s="40"/>
      <c r="U847" s="40"/>
      <c r="W847" s="40"/>
      <c r="X847" s="40"/>
      <c r="Y847" s="40"/>
      <c r="Z847" s="40"/>
      <c r="AA847" s="41"/>
      <c r="AB847" s="41"/>
      <c r="AC847" s="41"/>
      <c r="AD847" s="41"/>
      <c r="AE847" s="40"/>
      <c r="AF847" s="42"/>
      <c r="AG847" s="5"/>
      <c r="AH847" s="5"/>
      <c r="AI847" s="40"/>
      <c r="AJ847" s="40"/>
      <c r="AK847" s="40"/>
      <c r="AL847" s="40"/>
      <c r="AM847" s="40"/>
      <c r="AO847" s="40"/>
    </row>
    <row r="848" spans="2:41" ht="12.75" customHeight="1" x14ac:dyDescent="0.25">
      <c r="B848" s="40"/>
      <c r="C848" s="40"/>
      <c r="D848" s="40"/>
      <c r="E848" s="40"/>
      <c r="F848" s="40"/>
      <c r="G848" s="40"/>
      <c r="H848" s="5"/>
      <c r="Q848" s="40"/>
      <c r="R848" s="40"/>
      <c r="S848" s="40"/>
      <c r="T848" s="40"/>
      <c r="U848" s="40"/>
      <c r="W848" s="40"/>
      <c r="X848" s="40"/>
      <c r="Y848" s="40"/>
      <c r="Z848" s="40"/>
      <c r="AA848" s="41"/>
      <c r="AB848" s="41"/>
      <c r="AC848" s="41"/>
      <c r="AD848" s="41"/>
      <c r="AE848" s="40"/>
      <c r="AF848" s="42"/>
      <c r="AG848" s="5"/>
      <c r="AH848" s="5"/>
      <c r="AI848" s="40"/>
      <c r="AJ848" s="40"/>
      <c r="AK848" s="40"/>
      <c r="AL848" s="40"/>
      <c r="AM848" s="40"/>
      <c r="AO848" s="40"/>
    </row>
    <row r="849" spans="2:41" ht="12.75" customHeight="1" x14ac:dyDescent="0.25">
      <c r="B849" s="40"/>
      <c r="C849" s="40"/>
      <c r="D849" s="40"/>
      <c r="E849" s="40"/>
      <c r="F849" s="40"/>
      <c r="G849" s="40"/>
      <c r="H849" s="5"/>
      <c r="Q849" s="40"/>
      <c r="R849" s="40"/>
      <c r="S849" s="40"/>
      <c r="T849" s="40"/>
      <c r="U849" s="40"/>
      <c r="W849" s="40"/>
      <c r="X849" s="40"/>
      <c r="Y849" s="40"/>
      <c r="Z849" s="40"/>
      <c r="AA849" s="41"/>
      <c r="AB849" s="41"/>
      <c r="AC849" s="41"/>
      <c r="AD849" s="41"/>
      <c r="AE849" s="40"/>
      <c r="AF849" s="42"/>
      <c r="AG849" s="5"/>
      <c r="AH849" s="5"/>
      <c r="AI849" s="40"/>
      <c r="AJ849" s="40"/>
      <c r="AK849" s="40"/>
      <c r="AL849" s="40"/>
      <c r="AM849" s="40"/>
      <c r="AO849" s="40"/>
    </row>
    <row r="850" spans="2:41" ht="12.75" customHeight="1" x14ac:dyDescent="0.25">
      <c r="B850" s="40"/>
      <c r="C850" s="40"/>
      <c r="D850" s="40"/>
      <c r="E850" s="40"/>
      <c r="F850" s="40"/>
      <c r="G850" s="40"/>
      <c r="H850" s="5"/>
      <c r="Q850" s="40"/>
      <c r="R850" s="40"/>
      <c r="S850" s="40"/>
      <c r="T850" s="40"/>
      <c r="U850" s="40"/>
      <c r="W850" s="40"/>
      <c r="X850" s="40"/>
      <c r="Y850" s="40"/>
      <c r="Z850" s="40"/>
      <c r="AA850" s="41"/>
      <c r="AB850" s="41"/>
      <c r="AC850" s="41"/>
      <c r="AD850" s="41"/>
      <c r="AE850" s="40"/>
      <c r="AF850" s="42"/>
      <c r="AG850" s="5"/>
      <c r="AH850" s="5"/>
      <c r="AI850" s="40"/>
      <c r="AJ850" s="40"/>
      <c r="AK850" s="40"/>
      <c r="AL850" s="40"/>
      <c r="AM850" s="40"/>
      <c r="AO850" s="40"/>
    </row>
    <row r="851" spans="2:41" ht="12.75" customHeight="1" x14ac:dyDescent="0.25">
      <c r="B851" s="40"/>
      <c r="C851" s="40"/>
      <c r="D851" s="40"/>
      <c r="E851" s="40"/>
      <c r="F851" s="40"/>
      <c r="G851" s="40"/>
      <c r="H851" s="5"/>
      <c r="Q851" s="40"/>
      <c r="R851" s="40"/>
      <c r="S851" s="40"/>
      <c r="T851" s="40"/>
      <c r="U851" s="40"/>
      <c r="W851" s="40"/>
      <c r="X851" s="40"/>
      <c r="Y851" s="40"/>
      <c r="Z851" s="40"/>
      <c r="AA851" s="41"/>
      <c r="AB851" s="41"/>
      <c r="AC851" s="41"/>
      <c r="AD851" s="41"/>
      <c r="AE851" s="40"/>
      <c r="AF851" s="42"/>
      <c r="AG851" s="5"/>
      <c r="AH851" s="5"/>
      <c r="AI851" s="40"/>
      <c r="AJ851" s="40"/>
      <c r="AK851" s="40"/>
      <c r="AL851" s="40"/>
      <c r="AM851" s="40"/>
      <c r="AO851" s="40"/>
    </row>
    <row r="852" spans="2:41" ht="12.75" customHeight="1" x14ac:dyDescent="0.25">
      <c r="B852" s="40"/>
      <c r="C852" s="40"/>
      <c r="D852" s="40"/>
      <c r="E852" s="40"/>
      <c r="F852" s="40"/>
      <c r="G852" s="40"/>
      <c r="H852" s="5"/>
      <c r="Q852" s="40"/>
      <c r="R852" s="40"/>
      <c r="S852" s="40"/>
      <c r="T852" s="40"/>
      <c r="U852" s="40"/>
      <c r="W852" s="40"/>
      <c r="X852" s="40"/>
      <c r="Y852" s="40"/>
      <c r="Z852" s="40"/>
      <c r="AA852" s="41"/>
      <c r="AB852" s="41"/>
      <c r="AC852" s="41"/>
      <c r="AD852" s="41"/>
      <c r="AE852" s="40"/>
      <c r="AF852" s="42"/>
      <c r="AG852" s="5"/>
      <c r="AH852" s="5"/>
      <c r="AI852" s="40"/>
      <c r="AJ852" s="40"/>
      <c r="AK852" s="40"/>
      <c r="AL852" s="40"/>
      <c r="AM852" s="40"/>
      <c r="AO852" s="40"/>
    </row>
    <row r="853" spans="2:41" ht="12.75" customHeight="1" x14ac:dyDescent="0.25">
      <c r="B853" s="40"/>
      <c r="C853" s="40"/>
      <c r="D853" s="40"/>
      <c r="E853" s="40"/>
      <c r="F853" s="40"/>
      <c r="G853" s="40"/>
      <c r="H853" s="5"/>
      <c r="Q853" s="40"/>
      <c r="R853" s="40"/>
      <c r="S853" s="40"/>
      <c r="T853" s="40"/>
      <c r="U853" s="40"/>
      <c r="W853" s="40"/>
      <c r="X853" s="40"/>
      <c r="Y853" s="40"/>
      <c r="Z853" s="40"/>
      <c r="AA853" s="41"/>
      <c r="AB853" s="41"/>
      <c r="AC853" s="41"/>
      <c r="AD853" s="41"/>
      <c r="AE853" s="40"/>
      <c r="AF853" s="42"/>
      <c r="AG853" s="5"/>
      <c r="AH853" s="5"/>
      <c r="AI853" s="40"/>
      <c r="AJ853" s="40"/>
      <c r="AK853" s="40"/>
      <c r="AL853" s="40"/>
      <c r="AM853" s="40"/>
      <c r="AO853" s="40"/>
    </row>
    <row r="854" spans="2:41" ht="12.75" customHeight="1" x14ac:dyDescent="0.25">
      <c r="B854" s="40"/>
      <c r="C854" s="40"/>
      <c r="D854" s="40"/>
      <c r="E854" s="40"/>
      <c r="F854" s="40"/>
      <c r="G854" s="40"/>
      <c r="H854" s="5"/>
      <c r="Q854" s="40"/>
      <c r="R854" s="40"/>
      <c r="S854" s="40"/>
      <c r="T854" s="40"/>
      <c r="U854" s="40"/>
      <c r="W854" s="40"/>
      <c r="X854" s="40"/>
      <c r="Y854" s="40"/>
      <c r="Z854" s="40"/>
      <c r="AA854" s="41"/>
      <c r="AB854" s="41"/>
      <c r="AC854" s="41"/>
      <c r="AD854" s="41"/>
      <c r="AE854" s="40"/>
      <c r="AF854" s="42"/>
      <c r="AG854" s="5"/>
      <c r="AH854" s="5"/>
      <c r="AI854" s="40"/>
      <c r="AJ854" s="40"/>
      <c r="AK854" s="40"/>
      <c r="AL854" s="40"/>
      <c r="AM854" s="40"/>
      <c r="AO854" s="40"/>
    </row>
    <row r="855" spans="2:41" ht="12.75" customHeight="1" x14ac:dyDescent="0.25">
      <c r="B855" s="40"/>
      <c r="C855" s="40"/>
      <c r="D855" s="40"/>
      <c r="E855" s="40"/>
      <c r="F855" s="40"/>
      <c r="G855" s="40"/>
      <c r="H855" s="5"/>
      <c r="Q855" s="40"/>
      <c r="R855" s="40"/>
      <c r="S855" s="40"/>
      <c r="T855" s="40"/>
      <c r="U855" s="40"/>
      <c r="W855" s="40"/>
      <c r="X855" s="40"/>
      <c r="Y855" s="40"/>
      <c r="Z855" s="40"/>
      <c r="AA855" s="41"/>
      <c r="AB855" s="41"/>
      <c r="AC855" s="41"/>
      <c r="AD855" s="41"/>
      <c r="AE855" s="40"/>
      <c r="AF855" s="42"/>
      <c r="AG855" s="5"/>
      <c r="AH855" s="5"/>
      <c r="AI855" s="40"/>
      <c r="AJ855" s="40"/>
      <c r="AK855" s="40"/>
      <c r="AL855" s="40"/>
      <c r="AM855" s="40"/>
      <c r="AO855" s="40"/>
    </row>
    <row r="856" spans="2:41" ht="12.75" customHeight="1" x14ac:dyDescent="0.25">
      <c r="B856" s="40"/>
      <c r="C856" s="40"/>
      <c r="D856" s="40"/>
      <c r="E856" s="40"/>
      <c r="F856" s="40"/>
      <c r="G856" s="40"/>
      <c r="H856" s="5"/>
      <c r="Q856" s="40"/>
      <c r="R856" s="40"/>
      <c r="S856" s="40"/>
      <c r="T856" s="40"/>
      <c r="U856" s="40"/>
      <c r="W856" s="40"/>
      <c r="X856" s="40"/>
      <c r="Y856" s="40"/>
      <c r="Z856" s="40"/>
      <c r="AA856" s="41"/>
      <c r="AB856" s="41"/>
      <c r="AC856" s="41"/>
      <c r="AD856" s="41"/>
      <c r="AE856" s="40"/>
      <c r="AF856" s="42"/>
      <c r="AG856" s="5"/>
      <c r="AH856" s="5"/>
      <c r="AI856" s="40"/>
      <c r="AJ856" s="40"/>
      <c r="AK856" s="40"/>
      <c r="AL856" s="40"/>
      <c r="AM856" s="40"/>
      <c r="AO856" s="40"/>
    </row>
    <row r="857" spans="2:41" ht="12.75" customHeight="1" x14ac:dyDescent="0.25">
      <c r="B857" s="40"/>
      <c r="C857" s="40"/>
      <c r="D857" s="40"/>
      <c r="E857" s="40"/>
      <c r="F857" s="40"/>
      <c r="G857" s="40"/>
      <c r="H857" s="5"/>
      <c r="Q857" s="40"/>
      <c r="R857" s="40"/>
      <c r="S857" s="40"/>
      <c r="T857" s="40"/>
      <c r="U857" s="40"/>
      <c r="W857" s="40"/>
      <c r="X857" s="40"/>
      <c r="Y857" s="40"/>
      <c r="Z857" s="40"/>
      <c r="AA857" s="41"/>
      <c r="AB857" s="41"/>
      <c r="AC857" s="41"/>
      <c r="AD857" s="41"/>
      <c r="AE857" s="40"/>
      <c r="AF857" s="42"/>
      <c r="AG857" s="5"/>
      <c r="AH857" s="5"/>
      <c r="AI857" s="40"/>
      <c r="AJ857" s="40"/>
      <c r="AK857" s="40"/>
      <c r="AL857" s="40"/>
      <c r="AM857" s="40"/>
      <c r="AO857" s="40"/>
    </row>
    <row r="858" spans="2:41" ht="12.75" customHeight="1" x14ac:dyDescent="0.25">
      <c r="B858" s="40"/>
      <c r="C858" s="40"/>
      <c r="D858" s="40"/>
      <c r="E858" s="40"/>
      <c r="F858" s="40"/>
      <c r="G858" s="40"/>
      <c r="H858" s="5"/>
      <c r="Q858" s="40"/>
      <c r="R858" s="40"/>
      <c r="S858" s="40"/>
      <c r="T858" s="40"/>
      <c r="U858" s="40"/>
      <c r="W858" s="40"/>
      <c r="X858" s="40"/>
      <c r="Y858" s="40"/>
      <c r="Z858" s="40"/>
      <c r="AA858" s="41"/>
      <c r="AB858" s="41"/>
      <c r="AC858" s="41"/>
      <c r="AD858" s="41"/>
      <c r="AE858" s="40"/>
      <c r="AF858" s="42"/>
      <c r="AG858" s="5"/>
      <c r="AH858" s="5"/>
      <c r="AI858" s="40"/>
      <c r="AJ858" s="40"/>
      <c r="AK858" s="40"/>
      <c r="AL858" s="40"/>
      <c r="AM858" s="40"/>
      <c r="AO858" s="40"/>
    </row>
    <row r="859" spans="2:41" ht="12.75" customHeight="1" x14ac:dyDescent="0.25">
      <c r="B859" s="40"/>
      <c r="C859" s="40"/>
      <c r="D859" s="40"/>
      <c r="E859" s="40"/>
      <c r="F859" s="40"/>
      <c r="G859" s="40"/>
      <c r="H859" s="5"/>
      <c r="Q859" s="40"/>
      <c r="R859" s="40"/>
      <c r="S859" s="40"/>
      <c r="T859" s="40"/>
      <c r="U859" s="40"/>
      <c r="W859" s="40"/>
      <c r="X859" s="40"/>
      <c r="Y859" s="40"/>
      <c r="Z859" s="40"/>
      <c r="AA859" s="41"/>
      <c r="AB859" s="41"/>
      <c r="AC859" s="41"/>
      <c r="AD859" s="41"/>
      <c r="AE859" s="40"/>
      <c r="AF859" s="42"/>
      <c r="AG859" s="5"/>
      <c r="AH859" s="5"/>
      <c r="AI859" s="40"/>
      <c r="AJ859" s="40"/>
      <c r="AK859" s="40"/>
      <c r="AL859" s="40"/>
      <c r="AM859" s="40"/>
      <c r="AO859" s="40"/>
    </row>
    <row r="860" spans="2:41" ht="12.75" customHeight="1" x14ac:dyDescent="0.25">
      <c r="B860" s="40"/>
      <c r="C860" s="40"/>
      <c r="D860" s="40"/>
      <c r="E860" s="40"/>
      <c r="F860" s="40"/>
      <c r="G860" s="40"/>
      <c r="H860" s="5"/>
      <c r="Q860" s="40"/>
      <c r="R860" s="40"/>
      <c r="S860" s="40"/>
      <c r="T860" s="40"/>
      <c r="U860" s="40"/>
      <c r="W860" s="40"/>
      <c r="X860" s="40"/>
      <c r="Y860" s="40"/>
      <c r="Z860" s="40"/>
      <c r="AA860" s="41"/>
      <c r="AB860" s="41"/>
      <c r="AC860" s="41"/>
      <c r="AD860" s="41"/>
      <c r="AE860" s="40"/>
      <c r="AF860" s="42"/>
      <c r="AG860" s="5"/>
      <c r="AH860" s="5"/>
      <c r="AI860" s="40"/>
      <c r="AJ860" s="40"/>
      <c r="AK860" s="40"/>
      <c r="AL860" s="40"/>
      <c r="AM860" s="40"/>
      <c r="AO860" s="40"/>
    </row>
    <row r="861" spans="2:41" ht="12.75" customHeight="1" x14ac:dyDescent="0.25">
      <c r="B861" s="40"/>
      <c r="C861" s="40"/>
      <c r="D861" s="40"/>
      <c r="E861" s="40"/>
      <c r="F861" s="40"/>
      <c r="G861" s="40"/>
      <c r="H861" s="5"/>
      <c r="Q861" s="40"/>
      <c r="R861" s="40"/>
      <c r="S861" s="40"/>
      <c r="T861" s="40"/>
      <c r="U861" s="40"/>
      <c r="W861" s="40"/>
      <c r="X861" s="40"/>
      <c r="Y861" s="40"/>
      <c r="Z861" s="40"/>
      <c r="AA861" s="41"/>
      <c r="AB861" s="41"/>
      <c r="AC861" s="41"/>
      <c r="AD861" s="41"/>
      <c r="AE861" s="40"/>
      <c r="AF861" s="42"/>
      <c r="AG861" s="5"/>
      <c r="AH861" s="5"/>
      <c r="AI861" s="40"/>
      <c r="AJ861" s="40"/>
      <c r="AK861" s="40"/>
      <c r="AL861" s="40"/>
      <c r="AM861" s="40"/>
      <c r="AO861" s="40"/>
    </row>
    <row r="862" spans="2:41" ht="12.75" customHeight="1" x14ac:dyDescent="0.25">
      <c r="B862" s="40"/>
      <c r="C862" s="40"/>
      <c r="D862" s="40"/>
      <c r="E862" s="40"/>
      <c r="F862" s="40"/>
      <c r="G862" s="40"/>
      <c r="H862" s="5"/>
      <c r="Q862" s="40"/>
      <c r="R862" s="40"/>
      <c r="S862" s="40"/>
      <c r="T862" s="40"/>
      <c r="U862" s="40"/>
      <c r="W862" s="40"/>
      <c r="X862" s="40"/>
      <c r="Y862" s="40"/>
      <c r="Z862" s="40"/>
      <c r="AA862" s="41"/>
      <c r="AB862" s="41"/>
      <c r="AC862" s="41"/>
      <c r="AD862" s="41"/>
      <c r="AE862" s="40"/>
      <c r="AF862" s="42"/>
      <c r="AG862" s="5"/>
      <c r="AH862" s="5"/>
      <c r="AI862" s="40"/>
      <c r="AJ862" s="40"/>
      <c r="AK862" s="40"/>
      <c r="AL862" s="40"/>
      <c r="AM862" s="40"/>
      <c r="AO862" s="40"/>
    </row>
    <row r="863" spans="2:41" ht="12.75" customHeight="1" x14ac:dyDescent="0.25">
      <c r="B863" s="40"/>
      <c r="C863" s="40"/>
      <c r="D863" s="40"/>
      <c r="E863" s="40"/>
      <c r="F863" s="40"/>
      <c r="G863" s="40"/>
      <c r="H863" s="5"/>
      <c r="Q863" s="40"/>
      <c r="R863" s="40"/>
      <c r="S863" s="40"/>
      <c r="T863" s="40"/>
      <c r="U863" s="40"/>
      <c r="W863" s="40"/>
      <c r="X863" s="40"/>
      <c r="Y863" s="40"/>
      <c r="Z863" s="40"/>
      <c r="AA863" s="41"/>
      <c r="AB863" s="41"/>
      <c r="AC863" s="41"/>
      <c r="AD863" s="41"/>
      <c r="AE863" s="40"/>
      <c r="AF863" s="42"/>
      <c r="AG863" s="5"/>
      <c r="AH863" s="5"/>
      <c r="AI863" s="40"/>
      <c r="AJ863" s="40"/>
      <c r="AK863" s="40"/>
      <c r="AL863" s="40"/>
      <c r="AM863" s="40"/>
      <c r="AO863" s="40"/>
    </row>
    <row r="864" spans="2:41" ht="12.75" customHeight="1" x14ac:dyDescent="0.25">
      <c r="B864" s="40"/>
      <c r="C864" s="40"/>
      <c r="D864" s="40"/>
      <c r="E864" s="40"/>
      <c r="F864" s="40"/>
      <c r="G864" s="40"/>
      <c r="H864" s="5"/>
      <c r="Q864" s="40"/>
      <c r="R864" s="40"/>
      <c r="S864" s="40"/>
      <c r="T864" s="40"/>
      <c r="U864" s="40"/>
      <c r="W864" s="40"/>
      <c r="X864" s="40"/>
      <c r="Y864" s="40"/>
      <c r="Z864" s="40"/>
      <c r="AA864" s="41"/>
      <c r="AB864" s="41"/>
      <c r="AC864" s="41"/>
      <c r="AD864" s="41"/>
      <c r="AE864" s="40"/>
      <c r="AF864" s="42"/>
      <c r="AG864" s="5"/>
      <c r="AH864" s="5"/>
      <c r="AI864" s="40"/>
      <c r="AJ864" s="40"/>
      <c r="AK864" s="40"/>
      <c r="AL864" s="40"/>
      <c r="AM864" s="40"/>
      <c r="AO864" s="40"/>
    </row>
    <row r="865" spans="2:41" ht="12.75" customHeight="1" x14ac:dyDescent="0.25">
      <c r="B865" s="40"/>
      <c r="C865" s="40"/>
      <c r="D865" s="40"/>
      <c r="E865" s="40"/>
      <c r="F865" s="40"/>
      <c r="G865" s="40"/>
      <c r="H865" s="5"/>
      <c r="Q865" s="40"/>
      <c r="R865" s="40"/>
      <c r="S865" s="40"/>
      <c r="T865" s="40"/>
      <c r="U865" s="40"/>
      <c r="W865" s="40"/>
      <c r="X865" s="40"/>
      <c r="Y865" s="40"/>
      <c r="Z865" s="40"/>
      <c r="AA865" s="41"/>
      <c r="AB865" s="41"/>
      <c r="AC865" s="41"/>
      <c r="AD865" s="41"/>
      <c r="AE865" s="40"/>
      <c r="AF865" s="42"/>
      <c r="AG865" s="5"/>
      <c r="AH865" s="5"/>
      <c r="AI865" s="40"/>
      <c r="AJ865" s="40"/>
      <c r="AK865" s="40"/>
      <c r="AL865" s="40"/>
      <c r="AM865" s="40"/>
      <c r="AO865" s="40"/>
    </row>
    <row r="866" spans="2:41" ht="12.75" customHeight="1" x14ac:dyDescent="0.25">
      <c r="B866" s="40"/>
      <c r="C866" s="40"/>
      <c r="D866" s="40"/>
      <c r="E866" s="40"/>
      <c r="F866" s="40"/>
      <c r="G866" s="40"/>
      <c r="H866" s="5"/>
      <c r="Q866" s="40"/>
      <c r="R866" s="40"/>
      <c r="S866" s="40"/>
      <c r="T866" s="40"/>
      <c r="U866" s="40"/>
      <c r="W866" s="40"/>
      <c r="X866" s="40"/>
      <c r="Y866" s="40"/>
      <c r="Z866" s="40"/>
      <c r="AA866" s="41"/>
      <c r="AB866" s="41"/>
      <c r="AC866" s="41"/>
      <c r="AD866" s="41"/>
      <c r="AE866" s="40"/>
      <c r="AF866" s="42"/>
      <c r="AG866" s="5"/>
      <c r="AH866" s="5"/>
      <c r="AI866" s="40"/>
      <c r="AJ866" s="40"/>
      <c r="AK866" s="40"/>
      <c r="AL866" s="40"/>
      <c r="AM866" s="40"/>
      <c r="AO866" s="40"/>
    </row>
    <row r="867" spans="2:41" ht="12.75" customHeight="1" x14ac:dyDescent="0.25">
      <c r="B867" s="40"/>
      <c r="C867" s="40"/>
      <c r="D867" s="40"/>
      <c r="E867" s="40"/>
      <c r="F867" s="40"/>
      <c r="G867" s="40"/>
      <c r="H867" s="5"/>
      <c r="Q867" s="40"/>
      <c r="R867" s="40"/>
      <c r="S867" s="40"/>
      <c r="T867" s="40"/>
      <c r="U867" s="40"/>
      <c r="W867" s="40"/>
      <c r="X867" s="40"/>
      <c r="Y867" s="40"/>
      <c r="Z867" s="40"/>
      <c r="AA867" s="41"/>
      <c r="AB867" s="41"/>
      <c r="AC867" s="41"/>
      <c r="AD867" s="41"/>
      <c r="AE867" s="40"/>
      <c r="AF867" s="42"/>
      <c r="AG867" s="5"/>
      <c r="AH867" s="5"/>
      <c r="AI867" s="40"/>
      <c r="AJ867" s="40"/>
      <c r="AK867" s="40"/>
      <c r="AL867" s="40"/>
      <c r="AM867" s="40"/>
      <c r="AO867" s="40"/>
    </row>
    <row r="868" spans="2:41" ht="12.75" customHeight="1" x14ac:dyDescent="0.25">
      <c r="B868" s="40"/>
      <c r="C868" s="40"/>
      <c r="D868" s="40"/>
      <c r="E868" s="40"/>
      <c r="F868" s="40"/>
      <c r="G868" s="40"/>
      <c r="H868" s="5"/>
      <c r="Q868" s="40"/>
      <c r="R868" s="40"/>
      <c r="S868" s="40"/>
      <c r="T868" s="40"/>
      <c r="U868" s="40"/>
      <c r="W868" s="40"/>
      <c r="X868" s="40"/>
      <c r="Y868" s="40"/>
      <c r="Z868" s="40"/>
      <c r="AA868" s="41"/>
      <c r="AB868" s="41"/>
      <c r="AC868" s="41"/>
      <c r="AD868" s="41"/>
      <c r="AE868" s="40"/>
      <c r="AF868" s="42"/>
      <c r="AG868" s="5"/>
      <c r="AH868" s="5"/>
      <c r="AI868" s="40"/>
      <c r="AJ868" s="40"/>
      <c r="AK868" s="40"/>
      <c r="AL868" s="40"/>
      <c r="AM868" s="40"/>
      <c r="AO868" s="40"/>
    </row>
    <row r="869" spans="2:41" ht="12.75" customHeight="1" x14ac:dyDescent="0.25">
      <c r="B869" s="40"/>
      <c r="C869" s="40"/>
      <c r="D869" s="40"/>
      <c r="E869" s="40"/>
      <c r="F869" s="40"/>
      <c r="G869" s="40"/>
      <c r="H869" s="5"/>
      <c r="Q869" s="40"/>
      <c r="R869" s="40"/>
      <c r="S869" s="40"/>
      <c r="T869" s="40"/>
      <c r="U869" s="40"/>
      <c r="W869" s="40"/>
      <c r="X869" s="40"/>
      <c r="Y869" s="40"/>
      <c r="Z869" s="40"/>
      <c r="AA869" s="41"/>
      <c r="AB869" s="41"/>
      <c r="AC869" s="41"/>
      <c r="AD869" s="41"/>
      <c r="AE869" s="40"/>
      <c r="AF869" s="42"/>
      <c r="AG869" s="5"/>
      <c r="AH869" s="5"/>
      <c r="AI869" s="40"/>
      <c r="AJ869" s="40"/>
      <c r="AK869" s="40"/>
      <c r="AL869" s="40"/>
      <c r="AM869" s="40"/>
      <c r="AO869" s="40"/>
    </row>
    <row r="870" spans="2:41" ht="12.75" customHeight="1" x14ac:dyDescent="0.25">
      <c r="B870" s="40"/>
      <c r="C870" s="40"/>
      <c r="D870" s="40"/>
      <c r="E870" s="40"/>
      <c r="F870" s="40"/>
      <c r="G870" s="40"/>
      <c r="H870" s="5"/>
      <c r="Q870" s="40"/>
      <c r="R870" s="40"/>
      <c r="S870" s="40"/>
      <c r="T870" s="40"/>
      <c r="U870" s="40"/>
      <c r="W870" s="40"/>
      <c r="X870" s="40"/>
      <c r="Y870" s="40"/>
      <c r="Z870" s="40"/>
      <c r="AA870" s="41"/>
      <c r="AB870" s="41"/>
      <c r="AC870" s="41"/>
      <c r="AD870" s="41"/>
      <c r="AE870" s="40"/>
      <c r="AF870" s="42"/>
      <c r="AG870" s="5"/>
      <c r="AH870" s="5"/>
      <c r="AI870" s="40"/>
      <c r="AJ870" s="40"/>
      <c r="AK870" s="40"/>
      <c r="AL870" s="40"/>
      <c r="AM870" s="40"/>
      <c r="AO870" s="40"/>
    </row>
    <row r="871" spans="2:41" ht="12.75" customHeight="1" x14ac:dyDescent="0.25">
      <c r="B871" s="40"/>
      <c r="C871" s="40"/>
      <c r="D871" s="40"/>
      <c r="E871" s="40"/>
      <c r="F871" s="40"/>
      <c r="G871" s="40"/>
      <c r="H871" s="5"/>
      <c r="Q871" s="40"/>
      <c r="R871" s="40"/>
      <c r="S871" s="40"/>
      <c r="T871" s="40"/>
      <c r="U871" s="40"/>
      <c r="W871" s="40"/>
      <c r="X871" s="40"/>
      <c r="Y871" s="40"/>
      <c r="Z871" s="40"/>
      <c r="AA871" s="41"/>
      <c r="AB871" s="41"/>
      <c r="AC871" s="41"/>
      <c r="AD871" s="41"/>
      <c r="AE871" s="40"/>
      <c r="AF871" s="42"/>
      <c r="AG871" s="5"/>
      <c r="AH871" s="5"/>
      <c r="AI871" s="40"/>
      <c r="AJ871" s="40"/>
      <c r="AK871" s="40"/>
      <c r="AL871" s="40"/>
      <c r="AM871" s="40"/>
      <c r="AO871" s="40"/>
    </row>
    <row r="872" spans="2:41" ht="12.75" customHeight="1" x14ac:dyDescent="0.25">
      <c r="B872" s="40"/>
      <c r="C872" s="40"/>
      <c r="D872" s="40"/>
      <c r="E872" s="40"/>
      <c r="F872" s="40"/>
      <c r="G872" s="40"/>
      <c r="H872" s="5"/>
      <c r="Q872" s="40"/>
      <c r="R872" s="40"/>
      <c r="S872" s="40"/>
      <c r="T872" s="40"/>
      <c r="U872" s="40"/>
      <c r="W872" s="40"/>
      <c r="X872" s="40"/>
      <c r="Y872" s="40"/>
      <c r="Z872" s="40"/>
      <c r="AA872" s="41"/>
      <c r="AB872" s="41"/>
      <c r="AC872" s="41"/>
      <c r="AD872" s="41"/>
      <c r="AE872" s="40"/>
      <c r="AF872" s="42"/>
      <c r="AG872" s="5"/>
      <c r="AH872" s="5"/>
      <c r="AI872" s="40"/>
      <c r="AJ872" s="40"/>
      <c r="AK872" s="40"/>
      <c r="AL872" s="40"/>
      <c r="AM872" s="40"/>
      <c r="AO872" s="40"/>
    </row>
    <row r="873" spans="2:41" ht="12.75" customHeight="1" x14ac:dyDescent="0.25">
      <c r="B873" s="40"/>
      <c r="C873" s="40"/>
      <c r="D873" s="40"/>
      <c r="E873" s="40"/>
      <c r="F873" s="40"/>
      <c r="G873" s="40"/>
      <c r="H873" s="5"/>
      <c r="Q873" s="40"/>
      <c r="R873" s="40"/>
      <c r="S873" s="40"/>
      <c r="T873" s="40"/>
      <c r="U873" s="40"/>
      <c r="W873" s="40"/>
      <c r="X873" s="40"/>
      <c r="Y873" s="40"/>
      <c r="Z873" s="40"/>
      <c r="AA873" s="41"/>
      <c r="AB873" s="41"/>
      <c r="AC873" s="41"/>
      <c r="AD873" s="41"/>
      <c r="AE873" s="40"/>
      <c r="AF873" s="42"/>
      <c r="AG873" s="5"/>
      <c r="AH873" s="5"/>
      <c r="AI873" s="40"/>
      <c r="AJ873" s="40"/>
      <c r="AK873" s="40"/>
      <c r="AL873" s="40"/>
      <c r="AM873" s="40"/>
      <c r="AO873" s="40"/>
    </row>
    <row r="874" spans="2:41" ht="12.75" customHeight="1" x14ac:dyDescent="0.25">
      <c r="B874" s="40"/>
      <c r="C874" s="40"/>
      <c r="D874" s="40"/>
      <c r="E874" s="40"/>
      <c r="F874" s="40"/>
      <c r="G874" s="40"/>
      <c r="H874" s="5"/>
      <c r="Q874" s="40"/>
      <c r="R874" s="40"/>
      <c r="S874" s="40"/>
      <c r="T874" s="40"/>
      <c r="U874" s="40"/>
      <c r="W874" s="40"/>
      <c r="X874" s="40"/>
      <c r="Y874" s="40"/>
      <c r="Z874" s="40"/>
      <c r="AA874" s="41"/>
      <c r="AB874" s="41"/>
      <c r="AC874" s="41"/>
      <c r="AD874" s="41"/>
      <c r="AE874" s="40"/>
      <c r="AF874" s="42"/>
      <c r="AG874" s="5"/>
      <c r="AH874" s="5"/>
      <c r="AI874" s="40"/>
      <c r="AJ874" s="40"/>
      <c r="AK874" s="40"/>
      <c r="AL874" s="40"/>
      <c r="AM874" s="40"/>
      <c r="AO874" s="40"/>
    </row>
    <row r="875" spans="2:41" ht="12.75" customHeight="1" x14ac:dyDescent="0.25">
      <c r="B875" s="40"/>
      <c r="C875" s="40"/>
      <c r="D875" s="40"/>
      <c r="E875" s="40"/>
      <c r="F875" s="40"/>
      <c r="G875" s="40"/>
      <c r="H875" s="5"/>
      <c r="Q875" s="40"/>
      <c r="R875" s="40"/>
      <c r="S875" s="40"/>
      <c r="T875" s="40"/>
      <c r="U875" s="40"/>
      <c r="W875" s="40"/>
      <c r="X875" s="40"/>
      <c r="Y875" s="40"/>
      <c r="Z875" s="40"/>
      <c r="AA875" s="41"/>
      <c r="AB875" s="41"/>
      <c r="AC875" s="41"/>
      <c r="AD875" s="41"/>
      <c r="AE875" s="40"/>
      <c r="AF875" s="42"/>
      <c r="AG875" s="5"/>
      <c r="AH875" s="5"/>
      <c r="AI875" s="40"/>
      <c r="AJ875" s="40"/>
      <c r="AK875" s="40"/>
      <c r="AL875" s="40"/>
      <c r="AM875" s="40"/>
      <c r="AO875" s="40"/>
    </row>
    <row r="876" spans="2:41" ht="12.75" customHeight="1" x14ac:dyDescent="0.25">
      <c r="B876" s="40"/>
      <c r="C876" s="40"/>
      <c r="D876" s="40"/>
      <c r="E876" s="40"/>
      <c r="F876" s="40"/>
      <c r="G876" s="40"/>
      <c r="H876" s="5"/>
      <c r="Q876" s="40"/>
      <c r="R876" s="40"/>
      <c r="S876" s="40"/>
      <c r="T876" s="40"/>
      <c r="U876" s="40"/>
      <c r="W876" s="40"/>
      <c r="X876" s="40"/>
      <c r="Y876" s="40"/>
      <c r="Z876" s="40"/>
      <c r="AA876" s="41"/>
      <c r="AB876" s="41"/>
      <c r="AC876" s="41"/>
      <c r="AD876" s="41"/>
      <c r="AE876" s="40"/>
      <c r="AF876" s="42"/>
      <c r="AG876" s="5"/>
      <c r="AH876" s="5"/>
      <c r="AI876" s="40"/>
      <c r="AJ876" s="40"/>
      <c r="AK876" s="40"/>
      <c r="AL876" s="40"/>
      <c r="AM876" s="40"/>
      <c r="AO876" s="40"/>
    </row>
    <row r="877" spans="2:41" ht="12.75" customHeight="1" x14ac:dyDescent="0.25">
      <c r="B877" s="40"/>
      <c r="C877" s="40"/>
      <c r="D877" s="40"/>
      <c r="E877" s="40"/>
      <c r="F877" s="40"/>
      <c r="G877" s="40"/>
      <c r="H877" s="5"/>
      <c r="Q877" s="40"/>
      <c r="R877" s="40"/>
      <c r="S877" s="40"/>
      <c r="T877" s="40"/>
      <c r="U877" s="40"/>
      <c r="W877" s="40"/>
      <c r="X877" s="40"/>
      <c r="Y877" s="40"/>
      <c r="Z877" s="40"/>
      <c r="AA877" s="41"/>
      <c r="AB877" s="41"/>
      <c r="AC877" s="41"/>
      <c r="AD877" s="41"/>
      <c r="AE877" s="40"/>
      <c r="AF877" s="42"/>
      <c r="AG877" s="5"/>
      <c r="AH877" s="5"/>
      <c r="AI877" s="40"/>
      <c r="AJ877" s="40"/>
      <c r="AK877" s="40"/>
      <c r="AL877" s="40"/>
      <c r="AM877" s="40"/>
      <c r="AO877" s="40"/>
    </row>
    <row r="878" spans="2:41" ht="12.75" customHeight="1" x14ac:dyDescent="0.25">
      <c r="B878" s="40"/>
      <c r="C878" s="40"/>
      <c r="D878" s="40"/>
      <c r="E878" s="40"/>
      <c r="F878" s="40"/>
      <c r="G878" s="40"/>
      <c r="H878" s="5"/>
      <c r="Q878" s="40"/>
      <c r="R878" s="40"/>
      <c r="S878" s="40"/>
      <c r="T878" s="40"/>
      <c r="U878" s="40"/>
      <c r="W878" s="40"/>
      <c r="X878" s="40"/>
      <c r="Y878" s="40"/>
      <c r="Z878" s="40"/>
      <c r="AA878" s="41"/>
      <c r="AB878" s="41"/>
      <c r="AC878" s="41"/>
      <c r="AD878" s="41"/>
      <c r="AE878" s="40"/>
      <c r="AF878" s="42"/>
      <c r="AG878" s="5"/>
      <c r="AH878" s="5"/>
      <c r="AI878" s="40"/>
      <c r="AJ878" s="40"/>
      <c r="AK878" s="40"/>
      <c r="AL878" s="40"/>
      <c r="AM878" s="40"/>
      <c r="AO878" s="40"/>
    </row>
    <row r="879" spans="2:41" ht="12.75" customHeight="1" x14ac:dyDescent="0.25">
      <c r="B879" s="40"/>
      <c r="C879" s="40"/>
      <c r="D879" s="40"/>
      <c r="E879" s="40"/>
      <c r="F879" s="40"/>
      <c r="G879" s="40"/>
      <c r="H879" s="5"/>
      <c r="Q879" s="40"/>
      <c r="R879" s="40"/>
      <c r="S879" s="40"/>
      <c r="T879" s="40"/>
      <c r="U879" s="40"/>
      <c r="W879" s="40"/>
      <c r="X879" s="40"/>
      <c r="Y879" s="40"/>
      <c r="Z879" s="40"/>
      <c r="AA879" s="41"/>
      <c r="AB879" s="41"/>
      <c r="AC879" s="41"/>
      <c r="AD879" s="41"/>
      <c r="AE879" s="40"/>
      <c r="AF879" s="42"/>
      <c r="AG879" s="5"/>
      <c r="AH879" s="5"/>
      <c r="AI879" s="40"/>
      <c r="AJ879" s="40"/>
      <c r="AK879" s="40"/>
      <c r="AL879" s="40"/>
      <c r="AM879" s="40"/>
      <c r="AO879" s="40"/>
    </row>
    <row r="880" spans="2:41" ht="12.75" customHeight="1" x14ac:dyDescent="0.25">
      <c r="B880" s="40"/>
      <c r="C880" s="40"/>
      <c r="D880" s="40"/>
      <c r="E880" s="40"/>
      <c r="F880" s="40"/>
      <c r="G880" s="40"/>
      <c r="H880" s="5"/>
      <c r="Q880" s="40"/>
      <c r="R880" s="40"/>
      <c r="S880" s="40"/>
      <c r="T880" s="40"/>
      <c r="U880" s="40"/>
      <c r="W880" s="40"/>
      <c r="X880" s="40"/>
      <c r="Y880" s="40"/>
      <c r="Z880" s="40"/>
      <c r="AA880" s="41"/>
      <c r="AB880" s="41"/>
      <c r="AC880" s="41"/>
      <c r="AD880" s="41"/>
      <c r="AE880" s="40"/>
      <c r="AF880" s="42"/>
      <c r="AG880" s="5"/>
      <c r="AH880" s="5"/>
      <c r="AI880" s="40"/>
      <c r="AJ880" s="40"/>
      <c r="AK880" s="40"/>
      <c r="AL880" s="40"/>
      <c r="AM880" s="40"/>
      <c r="AO880" s="40"/>
    </row>
    <row r="881" spans="2:41" ht="12.75" customHeight="1" x14ac:dyDescent="0.25">
      <c r="B881" s="40"/>
      <c r="C881" s="40"/>
      <c r="D881" s="40"/>
      <c r="E881" s="40"/>
      <c r="F881" s="40"/>
      <c r="G881" s="40"/>
      <c r="H881" s="5"/>
      <c r="Q881" s="40"/>
      <c r="R881" s="40"/>
      <c r="S881" s="40"/>
      <c r="T881" s="40"/>
      <c r="U881" s="40"/>
      <c r="W881" s="40"/>
      <c r="X881" s="40"/>
      <c r="Y881" s="40"/>
      <c r="Z881" s="40"/>
      <c r="AA881" s="41"/>
      <c r="AB881" s="41"/>
      <c r="AC881" s="41"/>
      <c r="AD881" s="41"/>
      <c r="AE881" s="40"/>
      <c r="AF881" s="42"/>
      <c r="AG881" s="5"/>
      <c r="AH881" s="5"/>
      <c r="AI881" s="40"/>
      <c r="AJ881" s="40"/>
      <c r="AK881" s="40"/>
      <c r="AL881" s="40"/>
      <c r="AM881" s="40"/>
      <c r="AO881" s="40"/>
    </row>
    <row r="882" spans="2:41" ht="12.75" customHeight="1" x14ac:dyDescent="0.25">
      <c r="B882" s="40"/>
      <c r="C882" s="40"/>
      <c r="D882" s="40"/>
      <c r="E882" s="40"/>
      <c r="F882" s="40"/>
      <c r="G882" s="40"/>
      <c r="H882" s="5"/>
      <c r="Q882" s="40"/>
      <c r="R882" s="40"/>
      <c r="S882" s="40"/>
      <c r="T882" s="40"/>
      <c r="U882" s="40"/>
      <c r="W882" s="40"/>
      <c r="X882" s="40"/>
      <c r="Y882" s="40"/>
      <c r="Z882" s="40"/>
      <c r="AA882" s="41"/>
      <c r="AB882" s="41"/>
      <c r="AC882" s="41"/>
      <c r="AD882" s="41"/>
      <c r="AE882" s="40"/>
      <c r="AF882" s="42"/>
      <c r="AG882" s="5"/>
      <c r="AH882" s="5"/>
      <c r="AI882" s="40"/>
      <c r="AJ882" s="40"/>
      <c r="AK882" s="40"/>
      <c r="AL882" s="40"/>
      <c r="AM882" s="40"/>
      <c r="AO882" s="40"/>
    </row>
    <row r="883" spans="2:41" ht="12.75" customHeight="1" x14ac:dyDescent="0.25">
      <c r="B883" s="40"/>
      <c r="C883" s="40"/>
      <c r="D883" s="40"/>
      <c r="E883" s="40"/>
      <c r="F883" s="40"/>
      <c r="G883" s="40"/>
      <c r="H883" s="5"/>
      <c r="Q883" s="40"/>
      <c r="R883" s="40"/>
      <c r="S883" s="40"/>
      <c r="T883" s="40"/>
      <c r="U883" s="40"/>
      <c r="W883" s="40"/>
      <c r="X883" s="40"/>
      <c r="Y883" s="40"/>
      <c r="Z883" s="40"/>
      <c r="AA883" s="41"/>
      <c r="AB883" s="41"/>
      <c r="AC883" s="41"/>
      <c r="AD883" s="41"/>
      <c r="AE883" s="40"/>
      <c r="AF883" s="42"/>
      <c r="AG883" s="5"/>
      <c r="AH883" s="5"/>
      <c r="AI883" s="40"/>
      <c r="AJ883" s="40"/>
      <c r="AK883" s="40"/>
      <c r="AL883" s="40"/>
      <c r="AM883" s="40"/>
      <c r="AO883" s="40"/>
    </row>
    <row r="884" spans="2:41" ht="12.75" customHeight="1" x14ac:dyDescent="0.25">
      <c r="B884" s="40"/>
      <c r="C884" s="40"/>
      <c r="D884" s="40"/>
      <c r="E884" s="40"/>
      <c r="F884" s="40"/>
      <c r="G884" s="40"/>
      <c r="H884" s="5"/>
      <c r="Q884" s="40"/>
      <c r="R884" s="40"/>
      <c r="S884" s="40"/>
      <c r="T884" s="40"/>
      <c r="U884" s="40"/>
      <c r="W884" s="40"/>
      <c r="X884" s="40"/>
      <c r="Y884" s="40"/>
      <c r="Z884" s="40"/>
      <c r="AA884" s="41"/>
      <c r="AB884" s="41"/>
      <c r="AC884" s="41"/>
      <c r="AD884" s="41"/>
      <c r="AE884" s="40"/>
      <c r="AF884" s="42"/>
      <c r="AG884" s="5"/>
      <c r="AH884" s="5"/>
      <c r="AI884" s="40"/>
      <c r="AJ884" s="40"/>
      <c r="AK884" s="40"/>
      <c r="AL884" s="40"/>
      <c r="AM884" s="40"/>
      <c r="AO884" s="40"/>
    </row>
    <row r="885" spans="2:41" ht="12.75" customHeight="1" x14ac:dyDescent="0.25">
      <c r="B885" s="40"/>
      <c r="C885" s="40"/>
      <c r="D885" s="40"/>
      <c r="E885" s="40"/>
      <c r="F885" s="40"/>
      <c r="G885" s="40"/>
      <c r="H885" s="5"/>
      <c r="Q885" s="40"/>
      <c r="R885" s="40"/>
      <c r="S885" s="40"/>
      <c r="T885" s="40"/>
      <c r="U885" s="40"/>
      <c r="W885" s="40"/>
      <c r="X885" s="40"/>
      <c r="Y885" s="40"/>
      <c r="Z885" s="40"/>
      <c r="AA885" s="41"/>
      <c r="AB885" s="41"/>
      <c r="AC885" s="41"/>
      <c r="AD885" s="41"/>
      <c r="AE885" s="40"/>
      <c r="AF885" s="42"/>
      <c r="AG885" s="5"/>
      <c r="AH885" s="5"/>
      <c r="AI885" s="40"/>
      <c r="AJ885" s="40"/>
      <c r="AK885" s="40"/>
      <c r="AL885" s="40"/>
      <c r="AM885" s="40"/>
      <c r="AO885" s="40"/>
    </row>
    <row r="886" spans="2:41" ht="12.75" customHeight="1" x14ac:dyDescent="0.25">
      <c r="B886" s="40"/>
      <c r="C886" s="40"/>
      <c r="D886" s="40"/>
      <c r="E886" s="40"/>
      <c r="F886" s="40"/>
      <c r="G886" s="40"/>
      <c r="H886" s="5"/>
      <c r="Q886" s="40"/>
      <c r="R886" s="40"/>
      <c r="S886" s="40"/>
      <c r="T886" s="40"/>
      <c r="U886" s="40"/>
      <c r="W886" s="40"/>
      <c r="X886" s="40"/>
      <c r="Y886" s="40"/>
      <c r="Z886" s="40"/>
      <c r="AA886" s="41"/>
      <c r="AB886" s="41"/>
      <c r="AC886" s="41"/>
      <c r="AD886" s="41"/>
      <c r="AE886" s="40"/>
      <c r="AF886" s="42"/>
      <c r="AG886" s="5"/>
      <c r="AH886" s="5"/>
      <c r="AI886" s="40"/>
      <c r="AJ886" s="40"/>
      <c r="AK886" s="40"/>
      <c r="AL886" s="40"/>
      <c r="AM886" s="40"/>
      <c r="AO886" s="40"/>
    </row>
    <row r="887" spans="2:41" ht="12.75" customHeight="1" x14ac:dyDescent="0.25">
      <c r="B887" s="40"/>
      <c r="C887" s="40"/>
      <c r="D887" s="40"/>
      <c r="E887" s="40"/>
      <c r="F887" s="40"/>
      <c r="G887" s="40"/>
      <c r="H887" s="5"/>
      <c r="Q887" s="40"/>
      <c r="R887" s="40"/>
      <c r="S887" s="40"/>
      <c r="T887" s="40"/>
      <c r="U887" s="40"/>
      <c r="W887" s="40"/>
      <c r="X887" s="40"/>
      <c r="Y887" s="40"/>
      <c r="Z887" s="40"/>
      <c r="AA887" s="41"/>
      <c r="AB887" s="41"/>
      <c r="AC887" s="41"/>
      <c r="AD887" s="41"/>
      <c r="AE887" s="40"/>
      <c r="AF887" s="42"/>
      <c r="AG887" s="5"/>
      <c r="AH887" s="5"/>
      <c r="AI887" s="40"/>
      <c r="AJ887" s="40"/>
      <c r="AK887" s="40"/>
      <c r="AL887" s="40"/>
      <c r="AM887" s="40"/>
      <c r="AO887" s="40"/>
    </row>
    <row r="888" spans="2:41" ht="12.75" customHeight="1" x14ac:dyDescent="0.25">
      <c r="B888" s="40"/>
      <c r="C888" s="40"/>
      <c r="D888" s="40"/>
      <c r="E888" s="40"/>
      <c r="F888" s="40"/>
      <c r="G888" s="40"/>
      <c r="H888" s="5"/>
      <c r="Q888" s="40"/>
      <c r="R888" s="40"/>
      <c r="S888" s="40"/>
      <c r="T888" s="40"/>
      <c r="U888" s="40"/>
      <c r="W888" s="40"/>
      <c r="X888" s="40"/>
      <c r="Y888" s="40"/>
      <c r="Z888" s="40"/>
      <c r="AA888" s="41"/>
      <c r="AB888" s="41"/>
      <c r="AC888" s="41"/>
      <c r="AD888" s="41"/>
      <c r="AE888" s="40"/>
      <c r="AF888" s="42"/>
      <c r="AG888" s="5"/>
      <c r="AH888" s="5"/>
      <c r="AI888" s="40"/>
      <c r="AJ888" s="40"/>
      <c r="AK888" s="40"/>
      <c r="AL888" s="40"/>
      <c r="AM888" s="40"/>
      <c r="AO888" s="40"/>
    </row>
    <row r="889" spans="2:41" ht="12.75" customHeight="1" x14ac:dyDescent="0.25">
      <c r="B889" s="40"/>
      <c r="C889" s="40"/>
      <c r="D889" s="40"/>
      <c r="E889" s="40"/>
      <c r="F889" s="40"/>
      <c r="G889" s="40"/>
      <c r="H889" s="5"/>
      <c r="Q889" s="40"/>
      <c r="R889" s="40"/>
      <c r="S889" s="40"/>
      <c r="T889" s="40"/>
      <c r="U889" s="40"/>
      <c r="W889" s="40"/>
      <c r="X889" s="40"/>
      <c r="Y889" s="40"/>
      <c r="Z889" s="40"/>
      <c r="AA889" s="41"/>
      <c r="AB889" s="41"/>
      <c r="AC889" s="41"/>
      <c r="AD889" s="41"/>
      <c r="AE889" s="40"/>
      <c r="AF889" s="42"/>
      <c r="AG889" s="5"/>
      <c r="AH889" s="5"/>
      <c r="AI889" s="40"/>
      <c r="AJ889" s="40"/>
      <c r="AK889" s="40"/>
      <c r="AL889" s="40"/>
      <c r="AM889" s="40"/>
      <c r="AO889" s="40"/>
    </row>
    <row r="890" spans="2:41" ht="12.75" customHeight="1" x14ac:dyDescent="0.25">
      <c r="B890" s="40"/>
      <c r="C890" s="40"/>
      <c r="D890" s="40"/>
      <c r="E890" s="40"/>
      <c r="F890" s="40"/>
      <c r="G890" s="40"/>
      <c r="H890" s="5"/>
      <c r="Q890" s="40"/>
      <c r="R890" s="40"/>
      <c r="S890" s="40"/>
      <c r="T890" s="40"/>
      <c r="U890" s="40"/>
      <c r="W890" s="40"/>
      <c r="X890" s="40"/>
      <c r="Y890" s="40"/>
      <c r="Z890" s="40"/>
      <c r="AA890" s="41"/>
      <c r="AB890" s="41"/>
      <c r="AC890" s="41"/>
      <c r="AD890" s="41"/>
      <c r="AE890" s="40"/>
      <c r="AF890" s="42"/>
      <c r="AG890" s="5"/>
      <c r="AH890" s="5"/>
      <c r="AI890" s="40"/>
      <c r="AJ890" s="40"/>
      <c r="AK890" s="40"/>
      <c r="AL890" s="40"/>
      <c r="AM890" s="40"/>
      <c r="AO890" s="40"/>
    </row>
    <row r="891" spans="2:41" ht="12.75" customHeight="1" x14ac:dyDescent="0.25">
      <c r="B891" s="40"/>
      <c r="C891" s="40"/>
      <c r="D891" s="40"/>
      <c r="E891" s="40"/>
      <c r="F891" s="40"/>
      <c r="G891" s="40"/>
      <c r="H891" s="5"/>
      <c r="Q891" s="40"/>
      <c r="R891" s="40"/>
      <c r="S891" s="40"/>
      <c r="T891" s="40"/>
      <c r="U891" s="40"/>
      <c r="W891" s="40"/>
      <c r="X891" s="40"/>
      <c r="Y891" s="40"/>
      <c r="Z891" s="40"/>
      <c r="AA891" s="41"/>
      <c r="AB891" s="41"/>
      <c r="AC891" s="41"/>
      <c r="AD891" s="41"/>
      <c r="AE891" s="40"/>
      <c r="AF891" s="42"/>
      <c r="AG891" s="5"/>
      <c r="AH891" s="5"/>
      <c r="AI891" s="40"/>
      <c r="AJ891" s="40"/>
      <c r="AK891" s="40"/>
      <c r="AL891" s="40"/>
      <c r="AM891" s="40"/>
      <c r="AO891" s="40"/>
    </row>
    <row r="892" spans="2:41" ht="12.75" customHeight="1" x14ac:dyDescent="0.25">
      <c r="B892" s="40"/>
      <c r="C892" s="40"/>
      <c r="D892" s="40"/>
      <c r="E892" s="40"/>
      <c r="F892" s="40"/>
      <c r="G892" s="40"/>
      <c r="H892" s="5"/>
      <c r="Q892" s="40"/>
      <c r="R892" s="40"/>
      <c r="S892" s="40"/>
      <c r="T892" s="40"/>
      <c r="U892" s="40"/>
      <c r="W892" s="40"/>
      <c r="X892" s="40"/>
      <c r="Y892" s="40"/>
      <c r="Z892" s="40"/>
      <c r="AA892" s="41"/>
      <c r="AB892" s="41"/>
      <c r="AC892" s="41"/>
      <c r="AD892" s="41"/>
      <c r="AE892" s="40"/>
      <c r="AF892" s="42"/>
      <c r="AG892" s="5"/>
      <c r="AH892" s="5"/>
      <c r="AI892" s="40"/>
      <c r="AJ892" s="40"/>
      <c r="AK892" s="40"/>
      <c r="AL892" s="40"/>
      <c r="AM892" s="40"/>
      <c r="AO892" s="40"/>
    </row>
    <row r="893" spans="2:41" ht="12.75" customHeight="1" x14ac:dyDescent="0.25">
      <c r="B893" s="40"/>
      <c r="C893" s="40"/>
      <c r="D893" s="40"/>
      <c r="E893" s="40"/>
      <c r="F893" s="40"/>
      <c r="G893" s="40"/>
      <c r="H893" s="5"/>
      <c r="Q893" s="40"/>
      <c r="R893" s="40"/>
      <c r="S893" s="40"/>
      <c r="T893" s="40"/>
      <c r="U893" s="40"/>
      <c r="W893" s="40"/>
      <c r="X893" s="40"/>
      <c r="Y893" s="40"/>
      <c r="Z893" s="40"/>
      <c r="AA893" s="41"/>
      <c r="AB893" s="41"/>
      <c r="AC893" s="41"/>
      <c r="AD893" s="41"/>
      <c r="AE893" s="40"/>
      <c r="AF893" s="42"/>
      <c r="AG893" s="5"/>
      <c r="AH893" s="5"/>
      <c r="AI893" s="40"/>
      <c r="AJ893" s="40"/>
      <c r="AK893" s="40"/>
      <c r="AL893" s="40"/>
      <c r="AM893" s="40"/>
      <c r="AO893" s="40"/>
    </row>
    <row r="894" spans="2:41" ht="12.75" customHeight="1" x14ac:dyDescent="0.25">
      <c r="B894" s="40"/>
      <c r="C894" s="40"/>
      <c r="D894" s="40"/>
      <c r="E894" s="40"/>
      <c r="F894" s="40"/>
      <c r="G894" s="40"/>
      <c r="H894" s="5"/>
      <c r="Q894" s="40"/>
      <c r="R894" s="40"/>
      <c r="S894" s="40"/>
      <c r="T894" s="40"/>
      <c r="U894" s="40"/>
      <c r="W894" s="40"/>
      <c r="X894" s="40"/>
      <c r="Y894" s="40"/>
      <c r="Z894" s="40"/>
      <c r="AA894" s="41"/>
      <c r="AB894" s="41"/>
      <c r="AC894" s="41"/>
      <c r="AD894" s="41"/>
      <c r="AE894" s="40"/>
      <c r="AF894" s="42"/>
      <c r="AG894" s="5"/>
      <c r="AH894" s="5"/>
      <c r="AI894" s="40"/>
      <c r="AJ894" s="40"/>
      <c r="AK894" s="40"/>
      <c r="AL894" s="40"/>
      <c r="AM894" s="40"/>
      <c r="AO894" s="40"/>
    </row>
    <row r="895" spans="2:41" ht="12.75" customHeight="1" x14ac:dyDescent="0.25">
      <c r="B895" s="40"/>
      <c r="C895" s="40"/>
      <c r="D895" s="40"/>
      <c r="E895" s="40"/>
      <c r="F895" s="40"/>
      <c r="G895" s="40"/>
      <c r="H895" s="5"/>
      <c r="Q895" s="40"/>
      <c r="R895" s="40"/>
      <c r="S895" s="40"/>
      <c r="T895" s="40"/>
      <c r="U895" s="40"/>
      <c r="W895" s="40"/>
      <c r="X895" s="40"/>
      <c r="Y895" s="40"/>
      <c r="Z895" s="40"/>
      <c r="AA895" s="41"/>
      <c r="AB895" s="41"/>
      <c r="AC895" s="41"/>
      <c r="AD895" s="41"/>
      <c r="AE895" s="40"/>
      <c r="AF895" s="42"/>
      <c r="AG895" s="5"/>
      <c r="AH895" s="5"/>
      <c r="AI895" s="40"/>
      <c r="AJ895" s="40"/>
      <c r="AK895" s="40"/>
      <c r="AL895" s="40"/>
      <c r="AM895" s="40"/>
      <c r="AO895" s="40"/>
    </row>
    <row r="896" spans="2:41" ht="12.75" customHeight="1" x14ac:dyDescent="0.25">
      <c r="B896" s="40"/>
      <c r="C896" s="40"/>
      <c r="D896" s="40"/>
      <c r="E896" s="40"/>
      <c r="F896" s="40"/>
      <c r="G896" s="40"/>
      <c r="H896" s="5"/>
      <c r="Q896" s="40"/>
      <c r="R896" s="40"/>
      <c r="S896" s="40"/>
      <c r="T896" s="40"/>
      <c r="U896" s="40"/>
      <c r="W896" s="40"/>
      <c r="X896" s="40"/>
      <c r="Y896" s="40"/>
      <c r="Z896" s="40"/>
      <c r="AA896" s="41"/>
      <c r="AB896" s="41"/>
      <c r="AC896" s="41"/>
      <c r="AD896" s="41"/>
      <c r="AE896" s="40"/>
      <c r="AF896" s="42"/>
      <c r="AG896" s="5"/>
      <c r="AH896" s="5"/>
      <c r="AI896" s="40"/>
      <c r="AJ896" s="40"/>
      <c r="AK896" s="40"/>
      <c r="AL896" s="40"/>
      <c r="AM896" s="40"/>
      <c r="AO896" s="40"/>
    </row>
    <row r="897" spans="2:41" ht="12.75" customHeight="1" x14ac:dyDescent="0.25">
      <c r="B897" s="40"/>
      <c r="C897" s="40"/>
      <c r="D897" s="40"/>
      <c r="E897" s="40"/>
      <c r="F897" s="40"/>
      <c r="G897" s="40"/>
      <c r="H897" s="5"/>
      <c r="Q897" s="40"/>
      <c r="R897" s="40"/>
      <c r="S897" s="40"/>
      <c r="T897" s="40"/>
      <c r="U897" s="40"/>
      <c r="W897" s="40"/>
      <c r="X897" s="40"/>
      <c r="Y897" s="40"/>
      <c r="Z897" s="40"/>
      <c r="AA897" s="41"/>
      <c r="AB897" s="41"/>
      <c r="AC897" s="41"/>
      <c r="AD897" s="41"/>
      <c r="AE897" s="40"/>
      <c r="AF897" s="42"/>
      <c r="AG897" s="5"/>
      <c r="AH897" s="5"/>
      <c r="AI897" s="40"/>
      <c r="AJ897" s="40"/>
      <c r="AK897" s="40"/>
      <c r="AL897" s="40"/>
      <c r="AM897" s="40"/>
      <c r="AO897" s="40"/>
    </row>
    <row r="898" spans="2:41" ht="12.75" customHeight="1" x14ac:dyDescent="0.25">
      <c r="B898" s="40"/>
      <c r="C898" s="40"/>
      <c r="D898" s="40"/>
      <c r="E898" s="40"/>
      <c r="F898" s="40"/>
      <c r="G898" s="40"/>
      <c r="H898" s="5"/>
      <c r="Q898" s="40"/>
      <c r="R898" s="40"/>
      <c r="S898" s="40"/>
      <c r="T898" s="40"/>
      <c r="U898" s="40"/>
      <c r="W898" s="40"/>
      <c r="X898" s="40"/>
      <c r="Y898" s="40"/>
      <c r="Z898" s="40"/>
      <c r="AA898" s="41"/>
      <c r="AB898" s="41"/>
      <c r="AC898" s="41"/>
      <c r="AD898" s="41"/>
      <c r="AE898" s="40"/>
      <c r="AF898" s="42"/>
      <c r="AG898" s="5"/>
      <c r="AH898" s="5"/>
      <c r="AI898" s="40"/>
      <c r="AJ898" s="40"/>
      <c r="AK898" s="40"/>
      <c r="AL898" s="40"/>
      <c r="AM898" s="40"/>
      <c r="AO898" s="40"/>
    </row>
    <row r="899" spans="2:41" ht="12.75" customHeight="1" x14ac:dyDescent="0.25">
      <c r="B899" s="40"/>
      <c r="C899" s="40"/>
      <c r="D899" s="40"/>
      <c r="E899" s="40"/>
      <c r="F899" s="40"/>
      <c r="G899" s="40"/>
      <c r="H899" s="5"/>
      <c r="Q899" s="40"/>
      <c r="R899" s="40"/>
      <c r="S899" s="40"/>
      <c r="T899" s="40"/>
      <c r="U899" s="40"/>
      <c r="W899" s="40"/>
      <c r="X899" s="40"/>
      <c r="Y899" s="40"/>
      <c r="Z899" s="40"/>
      <c r="AA899" s="41"/>
      <c r="AB899" s="41"/>
      <c r="AC899" s="41"/>
      <c r="AD899" s="41"/>
      <c r="AE899" s="40"/>
      <c r="AF899" s="42"/>
      <c r="AG899" s="5"/>
      <c r="AH899" s="5"/>
      <c r="AI899" s="40"/>
      <c r="AJ899" s="40"/>
      <c r="AK899" s="40"/>
      <c r="AL899" s="40"/>
      <c r="AM899" s="40"/>
      <c r="AO899" s="40"/>
    </row>
    <row r="900" spans="2:41" ht="12.75" customHeight="1" x14ac:dyDescent="0.25">
      <c r="B900" s="40"/>
      <c r="C900" s="40"/>
      <c r="D900" s="40"/>
      <c r="E900" s="40"/>
      <c r="F900" s="40"/>
      <c r="G900" s="40"/>
      <c r="H900" s="5"/>
      <c r="Q900" s="40"/>
      <c r="R900" s="40"/>
      <c r="S900" s="40"/>
      <c r="T900" s="40"/>
      <c r="U900" s="40"/>
      <c r="W900" s="40"/>
      <c r="X900" s="40"/>
      <c r="Y900" s="40"/>
      <c r="Z900" s="40"/>
      <c r="AA900" s="41"/>
      <c r="AB900" s="41"/>
      <c r="AC900" s="41"/>
      <c r="AD900" s="41"/>
      <c r="AE900" s="40"/>
      <c r="AF900" s="42"/>
      <c r="AG900" s="5"/>
      <c r="AH900" s="5"/>
      <c r="AI900" s="40"/>
      <c r="AJ900" s="40"/>
      <c r="AK900" s="40"/>
      <c r="AL900" s="40"/>
      <c r="AM900" s="40"/>
      <c r="AO900" s="40"/>
    </row>
    <row r="901" spans="2:41" ht="12.75" customHeight="1" x14ac:dyDescent="0.25">
      <c r="B901" s="40"/>
      <c r="C901" s="40"/>
      <c r="D901" s="40"/>
      <c r="E901" s="40"/>
      <c r="F901" s="40"/>
      <c r="G901" s="40"/>
      <c r="H901" s="5"/>
      <c r="Q901" s="40"/>
      <c r="R901" s="40"/>
      <c r="S901" s="40"/>
      <c r="T901" s="40"/>
      <c r="U901" s="40"/>
      <c r="W901" s="40"/>
      <c r="X901" s="40"/>
      <c r="Y901" s="40"/>
      <c r="Z901" s="40"/>
      <c r="AA901" s="41"/>
      <c r="AB901" s="41"/>
      <c r="AC901" s="41"/>
      <c r="AD901" s="41"/>
      <c r="AE901" s="40"/>
      <c r="AF901" s="42"/>
      <c r="AG901" s="5"/>
      <c r="AH901" s="5"/>
      <c r="AI901" s="40"/>
      <c r="AJ901" s="40"/>
      <c r="AK901" s="40"/>
      <c r="AL901" s="40"/>
      <c r="AM901" s="40"/>
      <c r="AO901" s="40"/>
    </row>
    <row r="902" spans="2:41" ht="12.75" customHeight="1" x14ac:dyDescent="0.25">
      <c r="B902" s="40"/>
      <c r="C902" s="40"/>
      <c r="D902" s="40"/>
      <c r="E902" s="40"/>
      <c r="F902" s="40"/>
      <c r="G902" s="40"/>
      <c r="H902" s="5"/>
      <c r="Q902" s="40"/>
      <c r="R902" s="40"/>
      <c r="S902" s="40"/>
      <c r="T902" s="40"/>
      <c r="U902" s="40"/>
      <c r="W902" s="40"/>
      <c r="X902" s="40"/>
      <c r="Y902" s="40"/>
      <c r="Z902" s="40"/>
      <c r="AA902" s="41"/>
      <c r="AB902" s="41"/>
      <c r="AC902" s="41"/>
      <c r="AD902" s="41"/>
      <c r="AE902" s="40"/>
      <c r="AF902" s="42"/>
      <c r="AG902" s="5"/>
      <c r="AH902" s="5"/>
      <c r="AI902" s="40"/>
      <c r="AJ902" s="40"/>
      <c r="AK902" s="40"/>
      <c r="AL902" s="40"/>
      <c r="AM902" s="40"/>
      <c r="AO902" s="40"/>
    </row>
    <row r="903" spans="2:41" ht="12.75" customHeight="1" x14ac:dyDescent="0.25">
      <c r="B903" s="40"/>
      <c r="C903" s="40"/>
      <c r="D903" s="40"/>
      <c r="E903" s="40"/>
      <c r="F903" s="40"/>
      <c r="G903" s="40"/>
      <c r="H903" s="5"/>
      <c r="Q903" s="40"/>
      <c r="R903" s="40"/>
      <c r="S903" s="40"/>
      <c r="T903" s="40"/>
      <c r="U903" s="40"/>
      <c r="W903" s="40"/>
      <c r="X903" s="40"/>
      <c r="Y903" s="40"/>
      <c r="Z903" s="40"/>
      <c r="AA903" s="41"/>
      <c r="AB903" s="41"/>
      <c r="AC903" s="41"/>
      <c r="AD903" s="41"/>
      <c r="AE903" s="40"/>
      <c r="AF903" s="42"/>
      <c r="AG903" s="5"/>
      <c r="AH903" s="5"/>
      <c r="AI903" s="40"/>
      <c r="AJ903" s="40"/>
      <c r="AK903" s="40"/>
      <c r="AL903" s="40"/>
      <c r="AM903" s="40"/>
      <c r="AO903" s="40"/>
    </row>
    <row r="904" spans="2:41" ht="12.75" customHeight="1" x14ac:dyDescent="0.25">
      <c r="B904" s="40"/>
      <c r="C904" s="40"/>
      <c r="D904" s="40"/>
      <c r="E904" s="40"/>
      <c r="F904" s="40"/>
      <c r="G904" s="40"/>
      <c r="H904" s="5"/>
      <c r="Q904" s="40"/>
      <c r="R904" s="40"/>
      <c r="S904" s="40"/>
      <c r="T904" s="40"/>
      <c r="U904" s="40"/>
      <c r="W904" s="40"/>
      <c r="X904" s="40"/>
      <c r="Y904" s="40"/>
      <c r="Z904" s="40"/>
      <c r="AA904" s="41"/>
      <c r="AB904" s="41"/>
      <c r="AC904" s="41"/>
      <c r="AD904" s="41"/>
      <c r="AE904" s="40"/>
      <c r="AF904" s="42"/>
      <c r="AG904" s="5"/>
      <c r="AH904" s="5"/>
      <c r="AI904" s="40"/>
      <c r="AJ904" s="40"/>
      <c r="AK904" s="40"/>
      <c r="AL904" s="40"/>
      <c r="AM904" s="40"/>
      <c r="AO904" s="40"/>
    </row>
    <row r="905" spans="2:41" ht="12.75" customHeight="1" x14ac:dyDescent="0.25">
      <c r="B905" s="40"/>
      <c r="C905" s="40"/>
      <c r="D905" s="40"/>
      <c r="E905" s="40"/>
      <c r="F905" s="40"/>
      <c r="G905" s="40"/>
      <c r="H905" s="5"/>
      <c r="Q905" s="40"/>
      <c r="R905" s="40"/>
      <c r="S905" s="40"/>
      <c r="T905" s="40"/>
      <c r="U905" s="40"/>
      <c r="W905" s="40"/>
      <c r="X905" s="40"/>
      <c r="Y905" s="40"/>
      <c r="Z905" s="40"/>
      <c r="AA905" s="41"/>
      <c r="AB905" s="41"/>
      <c r="AC905" s="41"/>
      <c r="AD905" s="41"/>
      <c r="AE905" s="40"/>
      <c r="AF905" s="42"/>
      <c r="AG905" s="5"/>
      <c r="AH905" s="5"/>
      <c r="AI905" s="40"/>
      <c r="AJ905" s="40"/>
      <c r="AK905" s="40"/>
      <c r="AL905" s="40"/>
      <c r="AM905" s="40"/>
      <c r="AO905" s="40"/>
    </row>
    <row r="906" spans="2:41" ht="12.75" customHeight="1" x14ac:dyDescent="0.25">
      <c r="B906" s="40"/>
      <c r="C906" s="40"/>
      <c r="D906" s="40"/>
      <c r="E906" s="40"/>
      <c r="F906" s="40"/>
      <c r="G906" s="40"/>
      <c r="H906" s="5"/>
      <c r="Q906" s="40"/>
      <c r="R906" s="40"/>
      <c r="S906" s="40"/>
      <c r="T906" s="40"/>
      <c r="U906" s="40"/>
      <c r="W906" s="40"/>
      <c r="X906" s="40"/>
      <c r="Y906" s="40"/>
      <c r="Z906" s="40"/>
      <c r="AA906" s="41"/>
      <c r="AB906" s="41"/>
      <c r="AC906" s="41"/>
      <c r="AD906" s="41"/>
      <c r="AE906" s="40"/>
      <c r="AF906" s="42"/>
      <c r="AG906" s="5"/>
      <c r="AH906" s="5"/>
      <c r="AI906" s="40"/>
      <c r="AJ906" s="40"/>
      <c r="AK906" s="40"/>
      <c r="AL906" s="40"/>
      <c r="AM906" s="40"/>
      <c r="AO906" s="40"/>
    </row>
    <row r="907" spans="2:41" ht="12.75" customHeight="1" x14ac:dyDescent="0.25">
      <c r="B907" s="40"/>
      <c r="C907" s="40"/>
      <c r="D907" s="40"/>
      <c r="E907" s="40"/>
      <c r="F907" s="40"/>
      <c r="G907" s="40"/>
      <c r="H907" s="5"/>
      <c r="Q907" s="40"/>
      <c r="R907" s="40"/>
      <c r="S907" s="40"/>
      <c r="T907" s="40"/>
      <c r="U907" s="40"/>
      <c r="W907" s="40"/>
      <c r="X907" s="40"/>
      <c r="Y907" s="40"/>
      <c r="Z907" s="40"/>
      <c r="AA907" s="41"/>
      <c r="AB907" s="41"/>
      <c r="AC907" s="41"/>
      <c r="AD907" s="41"/>
      <c r="AE907" s="40"/>
      <c r="AF907" s="42"/>
      <c r="AG907" s="5"/>
      <c r="AH907" s="5"/>
      <c r="AI907" s="40"/>
      <c r="AJ907" s="40"/>
      <c r="AK907" s="40"/>
      <c r="AL907" s="40"/>
      <c r="AM907" s="40"/>
      <c r="AO907" s="40"/>
    </row>
    <row r="908" spans="2:41" ht="12.75" customHeight="1" x14ac:dyDescent="0.25">
      <c r="B908" s="40"/>
      <c r="C908" s="40"/>
      <c r="D908" s="40"/>
      <c r="E908" s="40"/>
      <c r="F908" s="40"/>
      <c r="G908" s="40"/>
      <c r="H908" s="5"/>
      <c r="Q908" s="40"/>
      <c r="R908" s="40"/>
      <c r="S908" s="40"/>
      <c r="T908" s="40"/>
      <c r="U908" s="40"/>
      <c r="W908" s="40"/>
      <c r="X908" s="40"/>
      <c r="Y908" s="40"/>
      <c r="Z908" s="40"/>
      <c r="AA908" s="41"/>
      <c r="AB908" s="41"/>
      <c r="AC908" s="41"/>
      <c r="AD908" s="41"/>
      <c r="AE908" s="40"/>
      <c r="AF908" s="42"/>
      <c r="AG908" s="5"/>
      <c r="AH908" s="5"/>
      <c r="AI908" s="40"/>
      <c r="AJ908" s="40"/>
      <c r="AK908" s="40"/>
      <c r="AL908" s="40"/>
      <c r="AM908" s="40"/>
      <c r="AO908" s="40"/>
    </row>
    <row r="909" spans="2:41" ht="12.75" customHeight="1" x14ac:dyDescent="0.25">
      <c r="B909" s="40"/>
      <c r="C909" s="40"/>
      <c r="D909" s="40"/>
      <c r="E909" s="40"/>
      <c r="F909" s="40"/>
      <c r="G909" s="40"/>
      <c r="H909" s="5"/>
      <c r="Q909" s="40"/>
      <c r="R909" s="40"/>
      <c r="S909" s="40"/>
      <c r="T909" s="40"/>
      <c r="U909" s="40"/>
      <c r="W909" s="40"/>
      <c r="X909" s="40"/>
      <c r="Y909" s="40"/>
      <c r="Z909" s="40"/>
      <c r="AA909" s="41"/>
      <c r="AB909" s="41"/>
      <c r="AC909" s="41"/>
      <c r="AD909" s="41"/>
      <c r="AE909" s="40"/>
      <c r="AF909" s="42"/>
      <c r="AG909" s="5"/>
      <c r="AH909" s="5"/>
      <c r="AI909" s="40"/>
      <c r="AJ909" s="40"/>
      <c r="AK909" s="40"/>
      <c r="AL909" s="40"/>
      <c r="AM909" s="40"/>
      <c r="AO909" s="40"/>
    </row>
    <row r="910" spans="2:41" ht="12.75" customHeight="1" x14ac:dyDescent="0.25">
      <c r="B910" s="40"/>
      <c r="C910" s="40"/>
      <c r="D910" s="40"/>
      <c r="E910" s="40"/>
      <c r="F910" s="40"/>
      <c r="G910" s="40"/>
      <c r="H910" s="5"/>
      <c r="Q910" s="40"/>
      <c r="R910" s="40"/>
      <c r="S910" s="40"/>
      <c r="T910" s="40"/>
      <c r="U910" s="40"/>
      <c r="W910" s="40"/>
      <c r="X910" s="40"/>
      <c r="Y910" s="40"/>
      <c r="Z910" s="40"/>
      <c r="AA910" s="41"/>
      <c r="AB910" s="41"/>
      <c r="AC910" s="41"/>
      <c r="AD910" s="41"/>
      <c r="AE910" s="40"/>
      <c r="AF910" s="42"/>
      <c r="AG910" s="5"/>
      <c r="AH910" s="5"/>
      <c r="AI910" s="40"/>
      <c r="AJ910" s="40"/>
      <c r="AK910" s="40"/>
      <c r="AL910" s="40"/>
      <c r="AM910" s="40"/>
      <c r="AO910" s="40"/>
    </row>
    <row r="911" spans="2:41" ht="12.75" customHeight="1" x14ac:dyDescent="0.25">
      <c r="B911" s="40"/>
      <c r="C911" s="40"/>
      <c r="D911" s="40"/>
      <c r="E911" s="40"/>
      <c r="F911" s="40"/>
      <c r="G911" s="40"/>
      <c r="H911" s="5"/>
      <c r="Q911" s="40"/>
      <c r="R911" s="40"/>
      <c r="S911" s="40"/>
      <c r="T911" s="40"/>
      <c r="U911" s="40"/>
      <c r="W911" s="40"/>
      <c r="X911" s="40"/>
      <c r="Y911" s="40"/>
      <c r="Z911" s="40"/>
      <c r="AA911" s="41"/>
      <c r="AB911" s="41"/>
      <c r="AC911" s="41"/>
      <c r="AD911" s="41"/>
      <c r="AE911" s="40"/>
      <c r="AF911" s="42"/>
      <c r="AG911" s="5"/>
      <c r="AH911" s="5"/>
      <c r="AI911" s="40"/>
      <c r="AJ911" s="40"/>
      <c r="AK911" s="40"/>
      <c r="AL911" s="40"/>
      <c r="AM911" s="40"/>
      <c r="AO911" s="40"/>
    </row>
    <row r="912" spans="2:41" ht="12.75" customHeight="1" x14ac:dyDescent="0.25">
      <c r="B912" s="40"/>
      <c r="C912" s="40"/>
      <c r="D912" s="40"/>
      <c r="E912" s="40"/>
      <c r="F912" s="40"/>
      <c r="G912" s="40"/>
      <c r="H912" s="5"/>
      <c r="Q912" s="40"/>
      <c r="R912" s="40"/>
      <c r="S912" s="40"/>
      <c r="T912" s="40"/>
      <c r="U912" s="40"/>
      <c r="W912" s="40"/>
      <c r="X912" s="40"/>
      <c r="Y912" s="40"/>
      <c r="Z912" s="40"/>
      <c r="AA912" s="41"/>
      <c r="AB912" s="41"/>
      <c r="AC912" s="41"/>
      <c r="AD912" s="41"/>
      <c r="AE912" s="40"/>
      <c r="AF912" s="42"/>
      <c r="AG912" s="5"/>
      <c r="AH912" s="5"/>
      <c r="AI912" s="40"/>
      <c r="AJ912" s="40"/>
      <c r="AK912" s="40"/>
      <c r="AL912" s="40"/>
      <c r="AM912" s="40"/>
      <c r="AO912" s="40"/>
    </row>
    <row r="913" spans="2:41" ht="12.75" customHeight="1" x14ac:dyDescent="0.25">
      <c r="B913" s="40"/>
      <c r="C913" s="40"/>
      <c r="D913" s="40"/>
      <c r="E913" s="40"/>
      <c r="F913" s="40"/>
      <c r="G913" s="40"/>
      <c r="H913" s="5"/>
      <c r="Q913" s="40"/>
      <c r="R913" s="40"/>
      <c r="S913" s="40"/>
      <c r="T913" s="40"/>
      <c r="U913" s="40"/>
      <c r="W913" s="40"/>
      <c r="X913" s="40"/>
      <c r="Y913" s="40"/>
      <c r="Z913" s="40"/>
      <c r="AA913" s="41"/>
      <c r="AB913" s="41"/>
      <c r="AC913" s="41"/>
      <c r="AD913" s="41"/>
      <c r="AE913" s="40"/>
      <c r="AF913" s="42"/>
      <c r="AG913" s="5"/>
      <c r="AH913" s="5"/>
      <c r="AI913" s="40"/>
      <c r="AJ913" s="40"/>
      <c r="AK913" s="40"/>
      <c r="AL913" s="40"/>
      <c r="AM913" s="40"/>
      <c r="AO913" s="40"/>
    </row>
    <row r="914" spans="2:41" ht="12.75" customHeight="1" x14ac:dyDescent="0.25">
      <c r="B914" s="40"/>
      <c r="C914" s="40"/>
      <c r="D914" s="40"/>
      <c r="E914" s="40"/>
      <c r="F914" s="40"/>
      <c r="G914" s="40"/>
      <c r="H914" s="5"/>
      <c r="Q914" s="40"/>
      <c r="R914" s="40"/>
      <c r="S914" s="40"/>
      <c r="T914" s="40"/>
      <c r="U914" s="40"/>
      <c r="W914" s="40"/>
      <c r="X914" s="40"/>
      <c r="Y914" s="40"/>
      <c r="Z914" s="40"/>
      <c r="AA914" s="41"/>
      <c r="AB914" s="41"/>
      <c r="AC914" s="41"/>
      <c r="AD914" s="41"/>
      <c r="AE914" s="40"/>
      <c r="AF914" s="42"/>
      <c r="AG914" s="5"/>
      <c r="AH914" s="5"/>
      <c r="AI914" s="40"/>
      <c r="AJ914" s="40"/>
      <c r="AK914" s="40"/>
      <c r="AL914" s="40"/>
      <c r="AM914" s="40"/>
      <c r="AO914" s="40"/>
    </row>
    <row r="915" spans="2:41" ht="12.75" customHeight="1" x14ac:dyDescent="0.25">
      <c r="B915" s="40"/>
      <c r="C915" s="40"/>
      <c r="D915" s="40"/>
      <c r="E915" s="40"/>
      <c r="F915" s="40"/>
      <c r="G915" s="40"/>
      <c r="H915" s="5"/>
      <c r="Q915" s="40"/>
      <c r="R915" s="40"/>
      <c r="S915" s="40"/>
      <c r="T915" s="40"/>
      <c r="U915" s="40"/>
      <c r="W915" s="40"/>
      <c r="X915" s="40"/>
      <c r="Y915" s="40"/>
      <c r="Z915" s="40"/>
      <c r="AA915" s="41"/>
      <c r="AB915" s="41"/>
      <c r="AC915" s="41"/>
      <c r="AD915" s="41"/>
      <c r="AE915" s="40"/>
      <c r="AF915" s="42"/>
      <c r="AG915" s="5"/>
      <c r="AH915" s="5"/>
      <c r="AI915" s="40"/>
      <c r="AJ915" s="40"/>
      <c r="AK915" s="40"/>
      <c r="AL915" s="40"/>
      <c r="AM915" s="40"/>
      <c r="AO915" s="40"/>
    </row>
    <row r="916" spans="2:41" ht="12.75" customHeight="1" x14ac:dyDescent="0.25">
      <c r="B916" s="40"/>
      <c r="C916" s="40"/>
      <c r="D916" s="40"/>
      <c r="E916" s="40"/>
      <c r="F916" s="40"/>
      <c r="G916" s="40"/>
      <c r="H916" s="5"/>
      <c r="Q916" s="40"/>
      <c r="R916" s="40"/>
      <c r="S916" s="40"/>
      <c r="T916" s="40"/>
      <c r="U916" s="40"/>
      <c r="W916" s="40"/>
      <c r="X916" s="40"/>
      <c r="Y916" s="40"/>
      <c r="Z916" s="40"/>
      <c r="AA916" s="41"/>
      <c r="AB916" s="41"/>
      <c r="AC916" s="41"/>
      <c r="AD916" s="41"/>
      <c r="AE916" s="40"/>
      <c r="AF916" s="42"/>
      <c r="AG916" s="5"/>
      <c r="AH916" s="5"/>
      <c r="AI916" s="40"/>
      <c r="AJ916" s="40"/>
      <c r="AK916" s="40"/>
      <c r="AL916" s="40"/>
      <c r="AM916" s="40"/>
      <c r="AO916" s="40"/>
    </row>
    <row r="917" spans="2:41" ht="12.75" customHeight="1" x14ac:dyDescent="0.25">
      <c r="B917" s="40"/>
      <c r="C917" s="40"/>
      <c r="D917" s="40"/>
      <c r="E917" s="40"/>
      <c r="F917" s="40"/>
      <c r="G917" s="40"/>
      <c r="H917" s="5"/>
      <c r="Q917" s="40"/>
      <c r="R917" s="40"/>
      <c r="S917" s="40"/>
      <c r="T917" s="40"/>
      <c r="U917" s="40"/>
      <c r="W917" s="40"/>
      <c r="X917" s="40"/>
      <c r="Y917" s="40"/>
      <c r="Z917" s="40"/>
      <c r="AA917" s="41"/>
      <c r="AB917" s="41"/>
      <c r="AC917" s="41"/>
      <c r="AD917" s="41"/>
      <c r="AE917" s="40"/>
      <c r="AF917" s="42"/>
      <c r="AG917" s="5"/>
      <c r="AH917" s="5"/>
      <c r="AI917" s="40"/>
      <c r="AJ917" s="40"/>
      <c r="AK917" s="40"/>
      <c r="AL917" s="40"/>
      <c r="AM917" s="40"/>
      <c r="AO917" s="40"/>
    </row>
    <row r="918" spans="2:41" ht="12.75" customHeight="1" x14ac:dyDescent="0.25">
      <c r="B918" s="40"/>
      <c r="C918" s="40"/>
      <c r="D918" s="40"/>
      <c r="E918" s="40"/>
      <c r="F918" s="40"/>
      <c r="G918" s="40"/>
      <c r="H918" s="5"/>
      <c r="Q918" s="40"/>
      <c r="R918" s="40"/>
      <c r="S918" s="40"/>
      <c r="T918" s="40"/>
      <c r="U918" s="40"/>
      <c r="W918" s="40"/>
      <c r="X918" s="40"/>
      <c r="Y918" s="40"/>
      <c r="Z918" s="40"/>
      <c r="AA918" s="41"/>
      <c r="AB918" s="41"/>
      <c r="AC918" s="41"/>
      <c r="AD918" s="41"/>
      <c r="AE918" s="40"/>
      <c r="AF918" s="42"/>
      <c r="AG918" s="5"/>
      <c r="AH918" s="5"/>
      <c r="AI918" s="40"/>
      <c r="AJ918" s="40"/>
      <c r="AK918" s="40"/>
      <c r="AL918" s="40"/>
      <c r="AM918" s="40"/>
      <c r="AO918" s="40"/>
    </row>
    <row r="919" spans="2:41" ht="12.75" customHeight="1" x14ac:dyDescent="0.25">
      <c r="B919" s="40"/>
      <c r="C919" s="40"/>
      <c r="D919" s="40"/>
      <c r="E919" s="40"/>
      <c r="F919" s="40"/>
      <c r="G919" s="40"/>
      <c r="H919" s="5"/>
      <c r="Q919" s="40"/>
      <c r="R919" s="40"/>
      <c r="S919" s="40"/>
      <c r="T919" s="40"/>
      <c r="U919" s="40"/>
      <c r="W919" s="40"/>
      <c r="X919" s="40"/>
      <c r="Y919" s="40"/>
      <c r="Z919" s="40"/>
      <c r="AA919" s="41"/>
      <c r="AB919" s="41"/>
      <c r="AC919" s="41"/>
      <c r="AD919" s="41"/>
      <c r="AE919" s="40"/>
      <c r="AF919" s="42"/>
      <c r="AG919" s="5"/>
      <c r="AH919" s="5"/>
      <c r="AI919" s="40"/>
      <c r="AJ919" s="40"/>
      <c r="AK919" s="40"/>
      <c r="AL919" s="40"/>
      <c r="AM919" s="40"/>
      <c r="AO919" s="40"/>
    </row>
    <row r="920" spans="2:41" ht="12.75" customHeight="1" x14ac:dyDescent="0.25">
      <c r="B920" s="40"/>
      <c r="C920" s="40"/>
      <c r="D920" s="40"/>
      <c r="E920" s="40"/>
      <c r="F920" s="40"/>
      <c r="G920" s="40"/>
      <c r="H920" s="5"/>
      <c r="Q920" s="40"/>
      <c r="R920" s="40"/>
      <c r="S920" s="40"/>
      <c r="T920" s="40"/>
      <c r="U920" s="40"/>
      <c r="W920" s="40"/>
      <c r="X920" s="40"/>
      <c r="Y920" s="40"/>
      <c r="Z920" s="40"/>
      <c r="AA920" s="41"/>
      <c r="AB920" s="41"/>
      <c r="AC920" s="41"/>
      <c r="AD920" s="41"/>
      <c r="AE920" s="40"/>
      <c r="AF920" s="42"/>
      <c r="AG920" s="5"/>
      <c r="AH920" s="5"/>
      <c r="AI920" s="40"/>
      <c r="AJ920" s="40"/>
      <c r="AK920" s="40"/>
      <c r="AL920" s="40"/>
      <c r="AM920" s="40"/>
      <c r="AO920" s="40"/>
    </row>
    <row r="921" spans="2:41" ht="12.75" customHeight="1" x14ac:dyDescent="0.25">
      <c r="B921" s="40"/>
      <c r="C921" s="40"/>
      <c r="D921" s="40"/>
      <c r="E921" s="40"/>
      <c r="F921" s="40"/>
      <c r="G921" s="40"/>
      <c r="H921" s="5"/>
      <c r="Q921" s="40"/>
      <c r="R921" s="40"/>
      <c r="S921" s="40"/>
      <c r="T921" s="40"/>
      <c r="U921" s="40"/>
      <c r="W921" s="40"/>
      <c r="X921" s="40"/>
      <c r="Y921" s="40"/>
      <c r="Z921" s="40"/>
      <c r="AA921" s="41"/>
      <c r="AB921" s="41"/>
      <c r="AC921" s="41"/>
      <c r="AD921" s="41"/>
      <c r="AE921" s="40"/>
      <c r="AF921" s="42"/>
      <c r="AG921" s="5"/>
      <c r="AH921" s="5"/>
      <c r="AI921" s="40"/>
      <c r="AJ921" s="40"/>
      <c r="AK921" s="40"/>
      <c r="AL921" s="40"/>
      <c r="AM921" s="40"/>
      <c r="AO921" s="40"/>
    </row>
    <row r="922" spans="2:41" ht="12.75" customHeight="1" x14ac:dyDescent="0.25">
      <c r="B922" s="40"/>
      <c r="C922" s="40"/>
      <c r="D922" s="40"/>
      <c r="E922" s="40"/>
      <c r="F922" s="40"/>
      <c r="G922" s="40"/>
      <c r="H922" s="5"/>
      <c r="Q922" s="40"/>
      <c r="R922" s="40"/>
      <c r="S922" s="40"/>
      <c r="T922" s="40"/>
      <c r="U922" s="40"/>
      <c r="W922" s="40"/>
      <c r="X922" s="40"/>
      <c r="Y922" s="40"/>
      <c r="Z922" s="40"/>
      <c r="AA922" s="41"/>
      <c r="AB922" s="41"/>
      <c r="AC922" s="41"/>
      <c r="AD922" s="41"/>
      <c r="AE922" s="40"/>
      <c r="AF922" s="42"/>
      <c r="AG922" s="5"/>
      <c r="AH922" s="5"/>
      <c r="AI922" s="40"/>
      <c r="AJ922" s="40"/>
      <c r="AK922" s="40"/>
      <c r="AL922" s="40"/>
      <c r="AM922" s="40"/>
      <c r="AO922" s="40"/>
    </row>
    <row r="923" spans="2:41" ht="12.75" customHeight="1" x14ac:dyDescent="0.25">
      <c r="B923" s="40"/>
      <c r="C923" s="40"/>
      <c r="D923" s="40"/>
      <c r="E923" s="40"/>
      <c r="F923" s="40"/>
      <c r="G923" s="40"/>
      <c r="H923" s="5"/>
      <c r="Q923" s="40"/>
      <c r="R923" s="40"/>
      <c r="S923" s="40"/>
      <c r="T923" s="40"/>
      <c r="U923" s="40"/>
      <c r="W923" s="40"/>
      <c r="X923" s="40"/>
      <c r="Y923" s="40"/>
      <c r="Z923" s="40"/>
      <c r="AA923" s="41"/>
      <c r="AB923" s="41"/>
      <c r="AC923" s="41"/>
      <c r="AD923" s="41"/>
      <c r="AE923" s="40"/>
      <c r="AF923" s="42"/>
      <c r="AG923" s="5"/>
      <c r="AH923" s="5"/>
      <c r="AI923" s="40"/>
      <c r="AJ923" s="40"/>
      <c r="AK923" s="40"/>
      <c r="AL923" s="40"/>
      <c r="AM923" s="40"/>
      <c r="AO923" s="40"/>
    </row>
    <row r="924" spans="2:41" ht="12.75" customHeight="1" x14ac:dyDescent="0.25">
      <c r="B924" s="40"/>
      <c r="C924" s="40"/>
      <c r="D924" s="40"/>
      <c r="E924" s="40"/>
      <c r="F924" s="40"/>
      <c r="G924" s="40"/>
      <c r="H924" s="5"/>
      <c r="Q924" s="40"/>
      <c r="R924" s="40"/>
      <c r="S924" s="40"/>
      <c r="T924" s="40"/>
      <c r="U924" s="40"/>
      <c r="W924" s="40"/>
      <c r="X924" s="40"/>
      <c r="Y924" s="40"/>
      <c r="Z924" s="40"/>
      <c r="AA924" s="41"/>
      <c r="AB924" s="41"/>
      <c r="AC924" s="41"/>
      <c r="AD924" s="41"/>
      <c r="AE924" s="40"/>
      <c r="AF924" s="42"/>
      <c r="AG924" s="5"/>
      <c r="AH924" s="5"/>
      <c r="AI924" s="40"/>
      <c r="AJ924" s="40"/>
      <c r="AK924" s="40"/>
      <c r="AL924" s="40"/>
      <c r="AM924" s="40"/>
      <c r="AO924" s="40"/>
    </row>
    <row r="925" spans="2:41" ht="12.75" customHeight="1" x14ac:dyDescent="0.25">
      <c r="B925" s="40"/>
      <c r="C925" s="40"/>
      <c r="D925" s="40"/>
      <c r="E925" s="40"/>
      <c r="F925" s="40"/>
      <c r="G925" s="40"/>
      <c r="H925" s="5"/>
      <c r="Q925" s="40"/>
      <c r="R925" s="40"/>
      <c r="S925" s="40"/>
      <c r="T925" s="40"/>
      <c r="U925" s="40"/>
      <c r="W925" s="40"/>
      <c r="X925" s="40"/>
      <c r="Y925" s="40"/>
      <c r="Z925" s="40"/>
      <c r="AA925" s="41"/>
      <c r="AB925" s="41"/>
      <c r="AC925" s="41"/>
      <c r="AD925" s="41"/>
      <c r="AE925" s="40"/>
      <c r="AF925" s="42"/>
      <c r="AG925" s="5"/>
      <c r="AH925" s="5"/>
      <c r="AI925" s="40"/>
      <c r="AJ925" s="40"/>
      <c r="AK925" s="40"/>
      <c r="AL925" s="40"/>
      <c r="AM925" s="40"/>
      <c r="AO925" s="40"/>
    </row>
    <row r="926" spans="2:41" ht="12.75" customHeight="1" x14ac:dyDescent="0.25">
      <c r="B926" s="40"/>
      <c r="C926" s="40"/>
      <c r="D926" s="40"/>
      <c r="E926" s="40"/>
      <c r="F926" s="40"/>
      <c r="G926" s="40"/>
      <c r="H926" s="5"/>
      <c r="Q926" s="40"/>
      <c r="R926" s="40"/>
      <c r="S926" s="40"/>
      <c r="T926" s="40"/>
      <c r="U926" s="40"/>
      <c r="W926" s="40"/>
      <c r="X926" s="40"/>
      <c r="Y926" s="40"/>
      <c r="Z926" s="40"/>
      <c r="AA926" s="41"/>
      <c r="AB926" s="41"/>
      <c r="AC926" s="41"/>
      <c r="AD926" s="41"/>
      <c r="AE926" s="40"/>
      <c r="AF926" s="42"/>
      <c r="AG926" s="5"/>
      <c r="AH926" s="5"/>
      <c r="AI926" s="40"/>
      <c r="AJ926" s="40"/>
      <c r="AK926" s="40"/>
      <c r="AL926" s="40"/>
      <c r="AM926" s="40"/>
      <c r="AO926" s="40"/>
    </row>
    <row r="927" spans="2:41" ht="12.75" customHeight="1" x14ac:dyDescent="0.25">
      <c r="B927" s="40"/>
      <c r="C927" s="40"/>
      <c r="D927" s="40"/>
      <c r="E927" s="40"/>
      <c r="F927" s="40"/>
      <c r="G927" s="40"/>
      <c r="H927" s="5"/>
      <c r="Q927" s="40"/>
      <c r="R927" s="40"/>
      <c r="S927" s="40"/>
      <c r="T927" s="40"/>
      <c r="U927" s="40"/>
      <c r="W927" s="40"/>
      <c r="X927" s="40"/>
      <c r="Y927" s="40"/>
      <c r="Z927" s="40"/>
      <c r="AA927" s="41"/>
      <c r="AB927" s="41"/>
      <c r="AC927" s="41"/>
      <c r="AD927" s="41"/>
      <c r="AE927" s="40"/>
      <c r="AF927" s="42"/>
      <c r="AG927" s="5"/>
      <c r="AH927" s="5"/>
      <c r="AI927" s="40"/>
      <c r="AJ927" s="40"/>
      <c r="AK927" s="40"/>
      <c r="AL927" s="40"/>
      <c r="AM927" s="40"/>
      <c r="AO927" s="40"/>
    </row>
    <row r="928" spans="2:41" ht="12.75" customHeight="1" x14ac:dyDescent="0.25">
      <c r="B928" s="40"/>
      <c r="C928" s="40"/>
      <c r="D928" s="40"/>
      <c r="E928" s="40"/>
      <c r="F928" s="40"/>
      <c r="G928" s="40"/>
      <c r="H928" s="5"/>
      <c r="Q928" s="40"/>
      <c r="R928" s="40"/>
      <c r="S928" s="40"/>
      <c r="T928" s="40"/>
      <c r="U928" s="40"/>
      <c r="W928" s="40"/>
      <c r="X928" s="40"/>
      <c r="Y928" s="40"/>
      <c r="Z928" s="40"/>
      <c r="AA928" s="41"/>
      <c r="AB928" s="41"/>
      <c r="AC928" s="41"/>
      <c r="AD928" s="41"/>
      <c r="AE928" s="40"/>
      <c r="AF928" s="42"/>
      <c r="AG928" s="5"/>
      <c r="AH928" s="5"/>
      <c r="AI928" s="40"/>
      <c r="AJ928" s="40"/>
      <c r="AK928" s="40"/>
      <c r="AL928" s="40"/>
      <c r="AM928" s="40"/>
      <c r="AO928" s="40"/>
    </row>
    <row r="929" spans="2:41" ht="12.75" customHeight="1" x14ac:dyDescent="0.25">
      <c r="B929" s="40"/>
      <c r="C929" s="40"/>
      <c r="D929" s="40"/>
      <c r="E929" s="40"/>
      <c r="F929" s="40"/>
      <c r="G929" s="40"/>
      <c r="H929" s="5"/>
      <c r="Q929" s="40"/>
      <c r="R929" s="40"/>
      <c r="S929" s="40"/>
      <c r="T929" s="40"/>
      <c r="U929" s="40"/>
      <c r="W929" s="40"/>
      <c r="X929" s="40"/>
      <c r="Y929" s="40"/>
      <c r="Z929" s="40"/>
      <c r="AA929" s="41"/>
      <c r="AB929" s="41"/>
      <c r="AC929" s="41"/>
      <c r="AD929" s="41"/>
      <c r="AE929" s="40"/>
      <c r="AF929" s="42"/>
      <c r="AG929" s="5"/>
      <c r="AH929" s="5"/>
      <c r="AI929" s="40"/>
      <c r="AJ929" s="40"/>
      <c r="AK929" s="40"/>
      <c r="AL929" s="40"/>
      <c r="AM929" s="40"/>
      <c r="AO929" s="40"/>
    </row>
    <row r="930" spans="2:41" ht="12.75" customHeight="1" x14ac:dyDescent="0.25">
      <c r="B930" s="40"/>
      <c r="C930" s="40"/>
      <c r="D930" s="40"/>
      <c r="E930" s="40"/>
      <c r="F930" s="40"/>
      <c r="G930" s="40"/>
      <c r="H930" s="5"/>
      <c r="Q930" s="40"/>
      <c r="R930" s="40"/>
      <c r="S930" s="40"/>
      <c r="T930" s="40"/>
      <c r="U930" s="40"/>
      <c r="W930" s="40"/>
      <c r="X930" s="40"/>
      <c r="Y930" s="40"/>
      <c r="Z930" s="40"/>
      <c r="AA930" s="41"/>
      <c r="AB930" s="41"/>
      <c r="AC930" s="41"/>
      <c r="AD930" s="41"/>
      <c r="AE930" s="40"/>
      <c r="AF930" s="42"/>
      <c r="AG930" s="5"/>
      <c r="AH930" s="5"/>
      <c r="AI930" s="40"/>
      <c r="AJ930" s="40"/>
      <c r="AK930" s="40"/>
      <c r="AL930" s="40"/>
      <c r="AM930" s="40"/>
      <c r="AO930" s="40"/>
    </row>
    <row r="931" spans="2:41" ht="12.75" customHeight="1" x14ac:dyDescent="0.25">
      <c r="B931" s="40"/>
      <c r="C931" s="40"/>
      <c r="D931" s="40"/>
      <c r="E931" s="40"/>
      <c r="F931" s="40"/>
      <c r="G931" s="40"/>
      <c r="H931" s="5"/>
      <c r="Q931" s="40"/>
      <c r="R931" s="40"/>
      <c r="S931" s="40"/>
      <c r="T931" s="40"/>
      <c r="U931" s="40"/>
      <c r="W931" s="40"/>
      <c r="X931" s="40"/>
      <c r="Y931" s="40"/>
      <c r="Z931" s="40"/>
      <c r="AA931" s="41"/>
      <c r="AB931" s="41"/>
      <c r="AC931" s="41"/>
      <c r="AD931" s="41"/>
      <c r="AE931" s="40"/>
      <c r="AF931" s="42"/>
      <c r="AG931" s="5"/>
      <c r="AH931" s="5"/>
      <c r="AI931" s="40"/>
      <c r="AJ931" s="40"/>
      <c r="AK931" s="40"/>
      <c r="AL931" s="40"/>
      <c r="AM931" s="40"/>
      <c r="AO931" s="40"/>
    </row>
    <row r="932" spans="2:41" ht="12.75" customHeight="1" x14ac:dyDescent="0.25">
      <c r="B932" s="40"/>
      <c r="C932" s="40"/>
      <c r="D932" s="40"/>
      <c r="E932" s="40"/>
      <c r="F932" s="40"/>
      <c r="G932" s="40"/>
      <c r="H932" s="5"/>
      <c r="Q932" s="40"/>
      <c r="R932" s="40"/>
      <c r="S932" s="40"/>
      <c r="T932" s="40"/>
      <c r="U932" s="40"/>
      <c r="W932" s="40"/>
      <c r="X932" s="40"/>
      <c r="Y932" s="40"/>
      <c r="Z932" s="40"/>
      <c r="AA932" s="41"/>
      <c r="AB932" s="41"/>
      <c r="AC932" s="41"/>
      <c r="AD932" s="41"/>
      <c r="AE932" s="40"/>
      <c r="AF932" s="42"/>
      <c r="AG932" s="5"/>
      <c r="AH932" s="5"/>
      <c r="AI932" s="40"/>
      <c r="AJ932" s="40"/>
      <c r="AK932" s="40"/>
      <c r="AL932" s="40"/>
      <c r="AM932" s="40"/>
      <c r="AO932" s="40"/>
    </row>
    <row r="933" spans="2:41" ht="12.75" customHeight="1" x14ac:dyDescent="0.25">
      <c r="B933" s="40"/>
      <c r="C933" s="40"/>
      <c r="D933" s="40"/>
      <c r="E933" s="40"/>
      <c r="F933" s="40"/>
      <c r="G933" s="40"/>
      <c r="H933" s="5"/>
      <c r="Q933" s="40"/>
      <c r="R933" s="40"/>
      <c r="S933" s="40"/>
      <c r="T933" s="40"/>
      <c r="U933" s="40"/>
      <c r="W933" s="40"/>
      <c r="X933" s="40"/>
      <c r="Y933" s="40"/>
      <c r="Z933" s="40"/>
      <c r="AA933" s="41"/>
      <c r="AB933" s="41"/>
      <c r="AC933" s="41"/>
      <c r="AD933" s="41"/>
      <c r="AE933" s="40"/>
      <c r="AF933" s="42"/>
      <c r="AG933" s="5"/>
      <c r="AH933" s="5"/>
      <c r="AI933" s="40"/>
      <c r="AJ933" s="40"/>
      <c r="AK933" s="40"/>
      <c r="AL933" s="40"/>
      <c r="AM933" s="40"/>
      <c r="AO933" s="40"/>
    </row>
    <row r="934" spans="2:41" ht="12.75" customHeight="1" x14ac:dyDescent="0.25">
      <c r="B934" s="40"/>
      <c r="C934" s="40"/>
      <c r="D934" s="40"/>
      <c r="E934" s="40"/>
      <c r="F934" s="40"/>
      <c r="G934" s="40"/>
      <c r="H934" s="5"/>
      <c r="Q934" s="40"/>
      <c r="R934" s="40"/>
      <c r="S934" s="40"/>
      <c r="T934" s="40"/>
      <c r="U934" s="40"/>
      <c r="W934" s="40"/>
      <c r="X934" s="40"/>
      <c r="Y934" s="40"/>
      <c r="Z934" s="40"/>
      <c r="AA934" s="41"/>
      <c r="AB934" s="41"/>
      <c r="AC934" s="41"/>
      <c r="AD934" s="41"/>
      <c r="AE934" s="40"/>
      <c r="AF934" s="42"/>
      <c r="AG934" s="5"/>
      <c r="AH934" s="5"/>
      <c r="AI934" s="40"/>
      <c r="AJ934" s="40"/>
      <c r="AK934" s="40"/>
      <c r="AL934" s="40"/>
      <c r="AM934" s="40"/>
      <c r="AO934" s="40"/>
    </row>
    <row r="935" spans="2:41" ht="12.75" customHeight="1" x14ac:dyDescent="0.25">
      <c r="B935" s="40"/>
      <c r="C935" s="40"/>
      <c r="D935" s="40"/>
      <c r="E935" s="40"/>
      <c r="F935" s="40"/>
      <c r="G935" s="40"/>
      <c r="H935" s="5"/>
      <c r="Q935" s="40"/>
      <c r="R935" s="40"/>
      <c r="S935" s="40"/>
      <c r="T935" s="40"/>
      <c r="U935" s="40"/>
      <c r="W935" s="40"/>
      <c r="X935" s="40"/>
      <c r="Y935" s="40"/>
      <c r="Z935" s="40"/>
      <c r="AA935" s="41"/>
      <c r="AB935" s="41"/>
      <c r="AC935" s="41"/>
      <c r="AD935" s="41"/>
      <c r="AE935" s="40"/>
      <c r="AF935" s="42"/>
      <c r="AG935" s="5"/>
      <c r="AH935" s="5"/>
      <c r="AI935" s="40"/>
      <c r="AJ935" s="40"/>
      <c r="AK935" s="40"/>
      <c r="AL935" s="40"/>
      <c r="AM935" s="40"/>
      <c r="AO935" s="40"/>
    </row>
    <row r="936" spans="2:41" ht="12.75" customHeight="1" x14ac:dyDescent="0.25">
      <c r="B936" s="40"/>
      <c r="C936" s="40"/>
      <c r="D936" s="40"/>
      <c r="E936" s="40"/>
      <c r="F936" s="40"/>
      <c r="G936" s="40"/>
      <c r="H936" s="5"/>
      <c r="Q936" s="40"/>
      <c r="R936" s="40"/>
      <c r="S936" s="40"/>
      <c r="T936" s="40"/>
      <c r="U936" s="40"/>
      <c r="W936" s="40"/>
      <c r="X936" s="40"/>
      <c r="Y936" s="40"/>
      <c r="Z936" s="40"/>
      <c r="AA936" s="41"/>
      <c r="AB936" s="41"/>
      <c r="AC936" s="41"/>
      <c r="AD936" s="41"/>
      <c r="AE936" s="40"/>
      <c r="AF936" s="42"/>
      <c r="AG936" s="5"/>
      <c r="AH936" s="5"/>
      <c r="AI936" s="40"/>
      <c r="AJ936" s="40"/>
      <c r="AK936" s="40"/>
      <c r="AL936" s="40"/>
      <c r="AM936" s="40"/>
      <c r="AO936" s="40"/>
    </row>
  </sheetData>
  <autoFilter ref="A5:AP5" xr:uid="{88F29E37-E746-44E9-8201-DD701AA31FCF}">
    <filterColumn colId="1" showButton="0"/>
    <filterColumn colId="8" showButton="0"/>
    <filterColumn colId="10" showButton="0"/>
    <filterColumn colId="12" showButton="0"/>
    <filterColumn colId="14" showButton="0"/>
    <filterColumn colId="31" showButton="0"/>
    <filterColumn colId="32" showButton="0"/>
    <filterColumn colId="33" showButton="0"/>
  </autoFilter>
  <mergeCells count="13">
    <mergeCell ref="X3:AD3"/>
    <mergeCell ref="AF5:AI5"/>
    <mergeCell ref="AF4:AI4"/>
    <mergeCell ref="B4:C4"/>
    <mergeCell ref="B5:C5"/>
    <mergeCell ref="K4:L4"/>
    <mergeCell ref="I4:J4"/>
    <mergeCell ref="O4:P4"/>
    <mergeCell ref="K5:L5"/>
    <mergeCell ref="I5:J5"/>
    <mergeCell ref="O5:P5"/>
    <mergeCell ref="M4:N4"/>
    <mergeCell ref="M5:N5"/>
  </mergeCells>
  <phoneticPr fontId="21" type="noConversion"/>
  <conditionalFormatting sqref="A3">
    <cfRule type="containsText" dxfId="554" priority="66" operator="containsText" text="N/A">
      <formula>NOT(ISERROR(SEARCH("N/A",A3)))</formula>
    </cfRule>
  </conditionalFormatting>
  <conditionalFormatting sqref="A6:A800">
    <cfRule type="expression" dxfId="553" priority="63">
      <formula>ISTEXT(A6)</formula>
    </cfRule>
  </conditionalFormatting>
  <conditionalFormatting sqref="B6:B800">
    <cfRule type="expression" dxfId="552" priority="62">
      <formula>ISTEXT(A6)</formula>
    </cfRule>
  </conditionalFormatting>
  <conditionalFormatting sqref="B7:C21">
    <cfRule type="containsText" dxfId="551" priority="80" operator="containsText" text="N/A">
      <formula>NOT(ISERROR(SEARCH("N/A",B7)))</formula>
    </cfRule>
  </conditionalFormatting>
  <conditionalFormatting sqref="C6:C800">
    <cfRule type="expression" dxfId="550" priority="61">
      <formula>ISTEXT(A6)</formula>
    </cfRule>
  </conditionalFormatting>
  <conditionalFormatting sqref="D6:D800">
    <cfRule type="expression" dxfId="549" priority="60">
      <formula>ISTEXT(A6)</formula>
    </cfRule>
  </conditionalFormatting>
  <conditionalFormatting sqref="E6:E800">
    <cfRule type="expression" dxfId="548" priority="59">
      <formula>ISTEXT(A6)</formula>
    </cfRule>
  </conditionalFormatting>
  <conditionalFormatting sqref="F6:F800">
    <cfRule type="expression" dxfId="547" priority="58">
      <formula>ISTEXT(A6)</formula>
    </cfRule>
  </conditionalFormatting>
  <conditionalFormatting sqref="H4">
    <cfRule type="containsText" dxfId="546" priority="14" operator="containsText" text="N/A">
      <formula>NOT(ISERROR(SEARCH("N/A",H4)))</formula>
    </cfRule>
  </conditionalFormatting>
  <conditionalFormatting sqref="H6:H800">
    <cfRule type="expression" dxfId="545" priority="56">
      <formula>ISTEXT(A6)</formula>
    </cfRule>
  </conditionalFormatting>
  <conditionalFormatting sqref="I1:I1048576">
    <cfRule type="cellIs" dxfId="544" priority="17" operator="lessThan">
      <formula>0</formula>
    </cfRule>
  </conditionalFormatting>
  <conditionalFormatting sqref="I4">
    <cfRule type="dataBar" priority="28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{16605D5B-378C-4387-A9BB-980A6FCB87F3}</x14:id>
        </ext>
      </extLst>
    </cfRule>
  </conditionalFormatting>
  <conditionalFormatting sqref="I5">
    <cfRule type="dataBar" priority="26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{0D70D29F-43D3-4C1E-B7A6-DD3A69BDF1B4}</x14:id>
        </ext>
      </extLst>
    </cfRule>
  </conditionalFormatting>
  <conditionalFormatting sqref="I6:I800">
    <cfRule type="expression" dxfId="543" priority="57">
      <formula>ISTEXT(A6)</formula>
    </cfRule>
  </conditionalFormatting>
  <conditionalFormatting sqref="J1:J3 J6:J1048576">
    <cfRule type="dataBar" priority="102">
      <dataBar>
        <cfvo type="formula" val="$J$2"/>
        <cfvo type="formula" val="$J$1"/>
        <color rgb="FF4E6D6E"/>
      </dataBar>
      <extLst>
        <ext xmlns:x14="http://schemas.microsoft.com/office/spreadsheetml/2009/9/main" uri="{B025F937-C7B1-47D3-B67F-A62EFF666E3E}">
          <x14:id>{69BC82EB-486B-45C1-899E-7174737E4340}</x14:id>
        </ext>
      </extLst>
    </cfRule>
  </conditionalFormatting>
  <conditionalFormatting sqref="J4:J5">
    <cfRule type="dataBar" priority="18">
      <dataBar>
        <cfvo type="formula" val="$J$2"/>
        <cfvo type="formula" val="$J$1"/>
        <color rgb="FF4E6D6E"/>
      </dataBar>
      <extLst>
        <ext xmlns:x14="http://schemas.microsoft.com/office/spreadsheetml/2009/9/main" uri="{B025F937-C7B1-47D3-B67F-A62EFF666E3E}">
          <x14:id>{88557543-B251-4633-A0EA-4401B716D77C}</x14:id>
        </ext>
      </extLst>
    </cfRule>
  </conditionalFormatting>
  <conditionalFormatting sqref="J6:J800">
    <cfRule type="expression" dxfId="542" priority="55">
      <formula>ISTEXT(A6)</formula>
    </cfRule>
  </conditionalFormatting>
  <conditionalFormatting sqref="K6:K800">
    <cfRule type="expression" dxfId="541" priority="54">
      <formula>ISTEXT(A6)</formula>
    </cfRule>
  </conditionalFormatting>
  <conditionalFormatting sqref="L1:L3 L6:L1048576">
    <cfRule type="dataBar" priority="70">
      <dataBar>
        <cfvo type="formula" val="$J$2"/>
        <cfvo type="formula" val="$J$1"/>
        <color rgb="FF6A9495"/>
      </dataBar>
      <extLst>
        <ext xmlns:x14="http://schemas.microsoft.com/office/spreadsheetml/2009/9/main" uri="{B025F937-C7B1-47D3-B67F-A62EFF666E3E}">
          <x14:id>{21198524-C648-4886-B4BE-6405DA10C808}</x14:id>
        </ext>
      </extLst>
    </cfRule>
  </conditionalFormatting>
  <conditionalFormatting sqref="L4:L5">
    <cfRule type="dataBar" priority="19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{25D43D24-012C-4A28-BFF9-5625912D35C1}</x14:id>
        </ext>
      </extLst>
    </cfRule>
  </conditionalFormatting>
  <conditionalFormatting sqref="L6:L800">
    <cfRule type="expression" dxfId="540" priority="53">
      <formula>ISTEXT(A6)</formula>
    </cfRule>
  </conditionalFormatting>
  <conditionalFormatting sqref="M6:M800">
    <cfRule type="expression" dxfId="539" priority="52">
      <formula>ISTEXT(A6)</formula>
    </cfRule>
  </conditionalFormatting>
  <conditionalFormatting sqref="N1:N3 N6:N1048576">
    <cfRule type="dataBar" priority="69">
      <dataBar>
        <cfvo type="formula" val="$J$2"/>
        <cfvo type="formula" val="$J$1"/>
        <color rgb="FF6A9495"/>
      </dataBar>
      <extLst>
        <ext xmlns:x14="http://schemas.microsoft.com/office/spreadsheetml/2009/9/main" uri="{B025F937-C7B1-47D3-B67F-A62EFF666E3E}">
          <x14:id>{B5DC1D7A-0CFC-4791-B64E-2E4D1EC20EA7}</x14:id>
        </ext>
      </extLst>
    </cfRule>
  </conditionalFormatting>
  <conditionalFormatting sqref="N4:N5">
    <cfRule type="dataBar" priority="20">
      <dataBar>
        <cfvo type="formula" val="$J$2"/>
        <cfvo type="formula" val="$J$1"/>
        <color rgb="FF8AAAAC"/>
      </dataBar>
      <extLst>
        <ext xmlns:x14="http://schemas.microsoft.com/office/spreadsheetml/2009/9/main" uri="{B025F937-C7B1-47D3-B67F-A62EFF666E3E}">
          <x14:id>{465928AE-5533-4753-BAA7-5970EF1AFF2E}</x14:id>
        </ext>
      </extLst>
    </cfRule>
  </conditionalFormatting>
  <conditionalFormatting sqref="N6:N800">
    <cfRule type="expression" dxfId="538" priority="51">
      <formula>ISTEXT(A6)</formula>
    </cfRule>
  </conditionalFormatting>
  <conditionalFormatting sqref="O4:O5">
    <cfRule type="containsText" dxfId="537" priority="25" operator="containsText" text="N/A">
      <formula>NOT(ISERROR(SEARCH("N/A",O4)))</formula>
    </cfRule>
  </conditionalFormatting>
  <conditionalFormatting sqref="O6:O800">
    <cfRule type="expression" dxfId="536" priority="50">
      <formula>ISTEXT(A6)</formula>
    </cfRule>
  </conditionalFormatting>
  <conditionalFormatting sqref="P1:P3 P6:P1048576">
    <cfRule type="dataBar" priority="68">
      <dataBar>
        <cfvo type="formula" val="$J$2"/>
        <cfvo type="formula" val="$J$1"/>
        <color rgb="FFB3C8C9"/>
      </dataBar>
      <extLst>
        <ext xmlns:x14="http://schemas.microsoft.com/office/spreadsheetml/2009/9/main" uri="{B025F937-C7B1-47D3-B67F-A62EFF666E3E}">
          <x14:id>{C6571DF3-9F59-43CE-BCB9-4298838D67DD}</x14:id>
        </ext>
      </extLst>
    </cfRule>
  </conditionalFormatting>
  <conditionalFormatting sqref="P4:P5">
    <cfRule type="dataBar" priority="30">
      <dataBar>
        <cfvo type="formula" val="$J$2"/>
        <cfvo type="formula" val="$J$1"/>
        <color rgb="FFB3C8C9"/>
      </dataBar>
      <extLst>
        <ext xmlns:x14="http://schemas.microsoft.com/office/spreadsheetml/2009/9/main" uri="{B025F937-C7B1-47D3-B67F-A62EFF666E3E}">
          <x14:id>{BDACD0BA-CEC9-4B9A-9E7D-585EBA07D479}</x14:id>
        </ext>
      </extLst>
    </cfRule>
  </conditionalFormatting>
  <conditionalFormatting sqref="P6:P800">
    <cfRule type="expression" dxfId="535" priority="49">
      <formula>ISTEXT(A6)</formula>
    </cfRule>
  </conditionalFormatting>
  <conditionalFormatting sqref="Q4 Q5:U5 D12:G12">
    <cfRule type="containsText" dxfId="534" priority="146" operator="containsText" text="N/A">
      <formula>NOT(ISERROR(SEARCH("N/A",D4)))</formula>
    </cfRule>
  </conditionalFormatting>
  <conditionalFormatting sqref="Q6:R800">
    <cfRule type="expression" dxfId="533" priority="47">
      <formula>ISTEXT(A6)</formula>
    </cfRule>
  </conditionalFormatting>
  <conditionalFormatting sqref="R4">
    <cfRule type="containsText" dxfId="532" priority="6" operator="containsText" text="N/A">
      <formula>NOT(ISERROR(SEARCH("N/A",R4)))</formula>
    </cfRule>
  </conditionalFormatting>
  <conditionalFormatting sqref="R6:R800">
    <cfRule type="expression" dxfId="531" priority="5">
      <formula>ISTEXT(A6)</formula>
    </cfRule>
  </conditionalFormatting>
  <conditionalFormatting sqref="S6:T800">
    <cfRule type="expression" dxfId="530" priority="46">
      <formula>ISTEXT(A6)</formula>
    </cfRule>
  </conditionalFormatting>
  <conditionalFormatting sqref="S4:U4">
    <cfRule type="containsText" dxfId="529" priority="21" operator="containsText" text="N/A">
      <formula>NOT(ISERROR(SEARCH("N/A",S4)))</formula>
    </cfRule>
  </conditionalFormatting>
  <conditionalFormatting sqref="T1:T15 I4:Q4 Q5:S15 U5:W1048576 A6:P1048576 Z6:AJ1048576 AL1:XFD3 AJ4:XFD4 AE5:XFD5 AL6:XFD1048576 H5:P5 S4:V4 A1:S3 X4:Y1048576 X1:AJ2 U1:W3 AK1:AK1048576 X3 AE3:AJ3 A4:G5 Q16:T1048576">
    <cfRule type="containsText" dxfId="528" priority="154" operator="containsText" text="N/A">
      <formula>NOT(ISERROR(SEARCH("N/A",A1)))</formula>
    </cfRule>
  </conditionalFormatting>
  <conditionalFormatting sqref="T6:T800">
    <cfRule type="expression" dxfId="527" priority="48">
      <formula>ISTEXT(A6)</formula>
    </cfRule>
  </conditionalFormatting>
  <conditionalFormatting sqref="U6:U800">
    <cfRule type="expression" dxfId="526" priority="45">
      <formula>ISTEXT(A6)</formula>
    </cfRule>
  </conditionalFormatting>
  <conditionalFormatting sqref="W4">
    <cfRule type="containsText" dxfId="525" priority="3" operator="containsText" text="N/A">
      <formula>NOT(ISERROR(SEARCH("N/A",W4)))</formula>
    </cfRule>
  </conditionalFormatting>
  <conditionalFormatting sqref="W6:W800">
    <cfRule type="expression" dxfId="524" priority="1">
      <formula>ISTEXT(A6)</formula>
    </cfRule>
  </conditionalFormatting>
  <conditionalFormatting sqref="W4:X4">
    <cfRule type="containsText" dxfId="523" priority="2" operator="containsText" text="N/A">
      <formula>NOT(ISERROR(SEARCH("N/A",W4)))</formula>
    </cfRule>
  </conditionalFormatting>
  <conditionalFormatting sqref="W6:X800">
    <cfRule type="expression" dxfId="522" priority="4">
      <formula>ISTEXT(XFD6)</formula>
    </cfRule>
  </conditionalFormatting>
  <conditionalFormatting sqref="Y6:Y800">
    <cfRule type="expression" dxfId="521" priority="43">
      <formula>ISTEXT(A6)</formula>
    </cfRule>
  </conditionalFormatting>
  <conditionalFormatting sqref="Z4:Z5">
    <cfRule type="containsText" dxfId="520" priority="11" operator="containsText" text="N/A">
      <formula>NOT(ISERROR(SEARCH("N/A",Z4)))</formula>
    </cfRule>
  </conditionalFormatting>
  <conditionalFormatting sqref="Z6:Z800">
    <cfRule type="expression" dxfId="519" priority="41">
      <formula>ISTEXT(A6)</formula>
    </cfRule>
  </conditionalFormatting>
  <conditionalFormatting sqref="AA6:AA800">
    <cfRule type="expression" dxfId="518" priority="40">
      <formula>ISTEXT(A6)</formula>
    </cfRule>
  </conditionalFormatting>
  <conditionalFormatting sqref="AA5:AD5">
    <cfRule type="containsText" dxfId="517" priority="7" operator="containsText" text="N/A">
      <formula>NOT(ISERROR(SEARCH("N/A",AA5)))</formula>
    </cfRule>
  </conditionalFormatting>
  <conditionalFormatting sqref="AA4:AI4">
    <cfRule type="containsText" dxfId="516" priority="15" operator="containsText" text="N/A">
      <formula>NOT(ISERROR(SEARCH("N/A",AA4)))</formula>
    </cfRule>
  </conditionalFormatting>
  <conditionalFormatting sqref="AB6:AB800">
    <cfRule type="expression" dxfId="515" priority="39">
      <formula>ISTEXT(A6)</formula>
    </cfRule>
  </conditionalFormatting>
  <conditionalFormatting sqref="AC6:AC800">
    <cfRule type="expression" dxfId="514" priority="38">
      <formula>ISTEXT(A6)</formula>
    </cfRule>
  </conditionalFormatting>
  <conditionalFormatting sqref="AD6:AD800">
    <cfRule type="expression" dxfId="513" priority="37">
      <formula>ISTEXT(A6)</formula>
    </cfRule>
  </conditionalFormatting>
  <conditionalFormatting sqref="AF6:AF800">
    <cfRule type="expression" dxfId="512" priority="36">
      <formula>ISTEXT(A6)</formula>
    </cfRule>
  </conditionalFormatting>
  <conditionalFormatting sqref="AG6:AG172">
    <cfRule type="containsText" dxfId="511" priority="159" operator="containsText" text="E">
      <formula>NOT(ISERROR(SEARCH("E",AG6)))</formula>
    </cfRule>
    <cfRule type="containsText" dxfId="510" priority="158" operator="containsText" text="C">
      <formula>NOT(ISERROR(SEARCH("C",AG6)))</formula>
    </cfRule>
    <cfRule type="containsText" dxfId="509" priority="157" operator="containsText" text="B">
      <formula>NOT(ISERROR(SEARCH("B",AG6)))</formula>
    </cfRule>
    <cfRule type="containsText" dxfId="508" priority="156" operator="containsText" text="A2">
      <formula>NOT(ISERROR(SEARCH("A2",AG6)))</formula>
    </cfRule>
    <cfRule type="containsText" dxfId="507" priority="155" operator="containsText" text="A1">
      <formula>NOT(ISERROR(SEARCH("A1",AG6)))</formula>
    </cfRule>
    <cfRule type="containsText" dxfId="506" priority="160" operator="containsText" text="F">
      <formula>NOT(ISERROR(SEARCH("F",AG6)))</formula>
    </cfRule>
    <cfRule type="containsText" dxfId="505" priority="161" operator="containsText" text="D">
      <formula>NOT(ISERROR(SEARCH("D",AG6)))</formula>
    </cfRule>
  </conditionalFormatting>
  <conditionalFormatting sqref="AH6:AH177">
    <cfRule type="expression" dxfId="504" priority="106">
      <formula>AG6="B"</formula>
    </cfRule>
    <cfRule type="expression" dxfId="503" priority="107">
      <formula>AG6="C"</formula>
    </cfRule>
    <cfRule type="expression" dxfId="502" priority="108">
      <formula>AG6="D"</formula>
    </cfRule>
    <cfRule type="expression" dxfId="501" priority="109">
      <formula>AG6="E"</formula>
    </cfRule>
    <cfRule type="expression" dxfId="500" priority="110">
      <formula>AG6="F"</formula>
    </cfRule>
    <cfRule type="expression" dxfId="499" priority="104">
      <formula>AG6="A1"</formula>
    </cfRule>
    <cfRule type="expression" dxfId="498" priority="105">
      <formula>AG6="A2"</formula>
    </cfRule>
  </conditionalFormatting>
  <conditionalFormatting sqref="AI6:AI800">
    <cfRule type="expression" dxfId="497" priority="35">
      <formula>ISTEXT(A6)</formula>
    </cfRule>
  </conditionalFormatting>
  <conditionalFormatting sqref="AK6:AK800">
    <cfRule type="expression" dxfId="496" priority="42">
      <formula>ISTEXT(A6)</formula>
    </cfRule>
  </conditionalFormatting>
  <conditionalFormatting sqref="AL6:AL800">
    <cfRule type="expression" dxfId="495" priority="34">
      <formula>ISTEXT(A6)</formula>
    </cfRule>
  </conditionalFormatting>
  <conditionalFormatting sqref="AM6:AM800">
    <cfRule type="expression" dxfId="494" priority="33">
      <formula>ISTEXT(A6)</formula>
    </cfRule>
  </conditionalFormatting>
  <conditionalFormatting sqref="AO6 AO16">
    <cfRule type="expression" dxfId="493" priority="382">
      <formula>ISTEXT(#REF!)</formula>
    </cfRule>
  </conditionalFormatting>
  <conditionalFormatting sqref="AO6:AO800">
    <cfRule type="expression" dxfId="492" priority="32">
      <formula>ISTEXT(A6)</formula>
    </cfRule>
  </conditionalFormatting>
  <conditionalFormatting sqref="AP6:AP800">
    <cfRule type="expression" dxfId="491" priority="31">
      <formula>ISTEXT(A6)</formula>
    </cfRule>
  </conditionalFormatting>
  <conditionalFormatting sqref="AQ1:AQ1048576">
    <cfRule type="containsText" dxfId="490" priority="101" operator="containsText" text="N/A">
      <formula>NOT(ISERROR(SEARCH("N/A",AQ1)))</formula>
    </cfRule>
  </conditionalFormatting>
  <hyperlinks>
    <hyperlink ref="AO8" r:id="rId1" xr:uid="{11173021-A60F-489B-8812-4A25D9AA5854}"/>
    <hyperlink ref="AO7" r:id="rId2" xr:uid="{609A8C82-F0C1-48B8-951C-2D7E046BD5C4}"/>
    <hyperlink ref="AO9" r:id="rId3" xr:uid="{FE1ABB19-6E8C-4F7A-BEE9-CB2AA0147577}"/>
    <hyperlink ref="AO15" r:id="rId4" xr:uid="{316F5F00-158A-4855-93D1-246582301FB0}"/>
    <hyperlink ref="AO17" r:id="rId5" xr:uid="{AFA517E5-0007-4E90-8E2F-913D4D92311D}"/>
    <hyperlink ref="E15" r:id="rId6" xr:uid="{33E80532-6C22-4BC4-AE67-E78BF926794B}"/>
    <hyperlink ref="E16" r:id="rId7" xr:uid="{4B46C6C6-DD64-41F4-ABB0-35E86C849D7C}"/>
    <hyperlink ref="E6" r:id="rId8" xr:uid="{45DC8944-04B4-4079-9D06-AC5F66F9D705}"/>
    <hyperlink ref="Q11" r:id="rId9" display="Produktspecifik" xr:uid="{25C2FB2F-0094-4CA1-B17C-9296657687FE}"/>
    <hyperlink ref="E13:E14" r:id="rId10" display="Italien" xr:uid="{FD4E1FF4-0A24-4552-A99F-B9D1FE60CADC}"/>
    <hyperlink ref="E10" r:id="rId11" xr:uid="{4F0405B7-6BF2-42F5-930A-8F46176E533C}"/>
    <hyperlink ref="E11" r:id="rId12" xr:uid="{9614D664-C487-4D60-A93C-93464DC2A26B}"/>
    <hyperlink ref="E12" r:id="rId13" xr:uid="{286E55F7-D2DB-4A7B-99FD-85D9BCB8D1E4}"/>
    <hyperlink ref="AO19" r:id="rId14" xr:uid="{D5CAF17A-F649-413B-9168-7FCD881F1601}"/>
    <hyperlink ref="AO18" r:id="rId15" xr:uid="{BC11FFAB-289D-4A1C-A549-024E87F3861C}"/>
    <hyperlink ref="AP18" r:id="rId16" xr:uid="{B4F142CD-FACE-4C8A-9B0F-9EBF3BD64C1F}"/>
    <hyperlink ref="Q10" r:id="rId17" display="Produktspecifik" xr:uid="{9CB84D1B-07CC-40F4-85AB-21B0F9769AC2}"/>
    <hyperlink ref="E20:E21" r:id="rId18" display="Italien" xr:uid="{68684C5D-09FE-46BF-AB15-27ECE0D4EB60}"/>
    <hyperlink ref="AO20:AO21" r:id="rId19" display="Link" xr:uid="{99D95AEC-71CD-4003-B873-0DC519204545}"/>
    <hyperlink ref="AO6" r:id="rId20" xr:uid="{06F57F8E-F6E4-42FE-B5D4-F22999F3AAFC}"/>
    <hyperlink ref="AO10" r:id="rId21" xr:uid="{4EE0B8DD-D4FA-49D5-838A-E5CDEAF0327C}"/>
    <hyperlink ref="AO11:AO14" r:id="rId22" display="Link" xr:uid="{3784AC4D-13DE-40B0-96E0-CE5FC581DA3A}"/>
    <hyperlink ref="AO16" r:id="rId23" xr:uid="{DD608D45-4EBC-4394-A69E-FB86D5D0AB53}"/>
  </hyperlinks>
  <pageMargins left="0.7" right="0.7" top="0.75" bottom="0.75" header="0.3" footer="0.3"/>
  <pageSetup paperSize="9" orientation="portrait" r:id="rId24"/>
  <drawing r:id="rId25"/>
  <legacyDrawing r:id="rId2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605D5B-378C-4387-A9BB-980A6FCB87F3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I4</xm:sqref>
        </x14:conditionalFormatting>
        <x14:conditionalFormatting xmlns:xm="http://schemas.microsoft.com/office/excel/2006/main">
          <x14:cfRule type="dataBar" id="{0D70D29F-43D3-4C1E-B7A6-DD3A69BDF1B4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I5</xm:sqref>
        </x14:conditionalFormatting>
        <x14:conditionalFormatting xmlns:xm="http://schemas.microsoft.com/office/excel/2006/main">
          <x14:cfRule type="dataBar" id="{69BC82EB-486B-45C1-899E-7174737E4340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theme="0" tint="-0.14999847407452621"/>
              <x14:negativeFillColor rgb="FFC6951C"/>
              <x14:axisColor rgb="FF000000"/>
            </x14:dataBar>
          </x14:cfRule>
          <xm:sqref>J1:J3 J6:J1048576</xm:sqref>
        </x14:conditionalFormatting>
        <x14:conditionalFormatting xmlns:xm="http://schemas.microsoft.com/office/excel/2006/main">
          <x14:cfRule type="dataBar" id="{88557543-B251-4633-A0EA-4401B716D77C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C6951C"/>
              <x14:axisColor rgb="FF000000"/>
            </x14:dataBar>
          </x14:cfRule>
          <xm:sqref>J4:J5</xm:sqref>
        </x14:conditionalFormatting>
        <x14:conditionalFormatting xmlns:xm="http://schemas.microsoft.com/office/excel/2006/main">
          <x14:cfRule type="dataBar" id="{21198524-C648-4886-B4BE-6405DA10C808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theme="0" tint="-0.14999847407452621"/>
              <x14:negativeFillColor rgb="FFECCC7C"/>
              <x14:axisColor rgb="FF000000"/>
            </x14:dataBar>
          </x14:cfRule>
          <xm:sqref>L1:L3 L6:L1048576</xm:sqref>
        </x14:conditionalFormatting>
        <x14:conditionalFormatting xmlns:xm="http://schemas.microsoft.com/office/excel/2006/main">
          <x14:cfRule type="dataBar" id="{25D43D24-012C-4A28-BFF9-5625912D35C1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L4:L5</xm:sqref>
        </x14:conditionalFormatting>
        <x14:conditionalFormatting xmlns:xm="http://schemas.microsoft.com/office/excel/2006/main">
          <x14:cfRule type="dataBar" id="{B5DC1D7A-0CFC-4791-B64E-2E4D1EC20EA7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theme="0" tint="-0.14999847407452621"/>
              <x14:negativeFillColor rgb="FFECCC7C"/>
              <x14:axisColor rgb="FF000000"/>
            </x14:dataBar>
          </x14:cfRule>
          <xm:sqref>N1:N3 N6:N1048576</xm:sqref>
        </x14:conditionalFormatting>
        <x14:conditionalFormatting xmlns:xm="http://schemas.microsoft.com/office/excel/2006/main">
          <x14:cfRule type="dataBar" id="{465928AE-5533-4753-BAA7-5970EF1AFF2E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ECCC7C"/>
              <x14:axisColor rgb="FF000000"/>
            </x14:dataBar>
          </x14:cfRule>
          <xm:sqref>N4:N5</xm:sqref>
        </x14:conditionalFormatting>
        <x14:conditionalFormatting xmlns:xm="http://schemas.microsoft.com/office/excel/2006/main">
          <x14:cfRule type="dataBar" id="{C6571DF3-9F59-43CE-BCB9-4298838D67DD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theme="0" tint="-0.14999847407452621"/>
              <x14:negativeFillColor rgb="FFF6E7C2"/>
              <x14:axisColor rgb="FF000000"/>
            </x14:dataBar>
          </x14:cfRule>
          <xm:sqref>P1:P3 P6:P1048576</xm:sqref>
        </x14:conditionalFormatting>
        <x14:conditionalFormatting xmlns:xm="http://schemas.microsoft.com/office/excel/2006/main">
          <x14:cfRule type="dataBar" id="{BDACD0BA-CEC9-4B9A-9E7D-585EBA07D479}">
            <x14:dataBar minLength="0" maxLength="100" border="1" gradient="0">
              <x14:cfvo type="formula">
                <xm:f>$J$2</xm:f>
              </x14:cfvo>
              <x14:cfvo type="formula">
                <xm:f>$J$1</xm:f>
              </x14:cfvo>
              <x14:borderColor rgb="FFEDF3F3"/>
              <x14:negativeFillColor rgb="FFF6E7C2"/>
              <x14:axisColor rgb="FF000000"/>
            </x14:dataBar>
          </x14:cfRule>
          <xm:sqref>P4:P5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865E-050E-4C7E-BDF0-E0F28CC14714}">
  <sheetPr>
    <tabColor rgb="FF6A9495"/>
  </sheetPr>
  <dimension ref="A1:AT928"/>
  <sheetViews>
    <sheetView showGridLines="0" zoomScale="60" zoomScaleNormal="60" workbookViewId="0">
      <pane xSplit="1" ySplit="5" topLeftCell="B6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14.44140625" defaultRowHeight="14.4" outlineLevelCol="1" x14ac:dyDescent="0.15"/>
  <cols>
    <col min="1" max="1" width="46.6640625" style="17" customWidth="1"/>
    <col min="2" max="2" width="12.5546875" style="16" customWidth="1"/>
    <col min="3" max="3" width="10.33203125" style="16" customWidth="1"/>
    <col min="4" max="4" width="21.33203125" style="16" customWidth="1"/>
    <col min="5" max="5" width="18.33203125" style="16" customWidth="1"/>
    <col min="6" max="6" width="11.33203125" style="16" customWidth="1"/>
    <col min="7" max="7" width="13.5546875" style="16" customWidth="1"/>
    <col min="8" max="8" width="3.6640625" style="49" customWidth="1"/>
    <col min="9" max="9" width="9.6640625" style="8" customWidth="1"/>
    <col min="10" max="10" width="10.6640625" style="50" customWidth="1"/>
    <col min="11" max="11" width="15.6640625" style="156" customWidth="1"/>
    <col min="12" max="12" width="10.6640625" style="50" customWidth="1"/>
    <col min="13" max="13" width="15.6640625" style="156" customWidth="1"/>
    <col min="14" max="14" width="10.6640625" style="50" customWidth="1"/>
    <col min="15" max="15" width="15.6640625" style="156" customWidth="1"/>
    <col min="16" max="16" width="10.6640625" style="50" customWidth="1"/>
    <col min="17" max="17" width="15.6640625" style="157" customWidth="1"/>
    <col min="18" max="18" width="9.33203125" style="16" customWidth="1"/>
    <col min="19" max="19" width="13.6640625" style="16" customWidth="1"/>
    <col min="20" max="20" width="16.88671875" style="16" customWidth="1"/>
    <col min="21" max="21" width="23.33203125" style="16" customWidth="1"/>
    <col min="22" max="22" width="10.6640625" style="16" customWidth="1"/>
    <col min="23" max="23" width="3.6640625" style="48" hidden="1" customWidth="1" outlineLevel="1"/>
    <col min="24" max="24" width="28.33203125" style="16" hidden="1" customWidth="1" outlineLevel="1"/>
    <col min="25" max="25" width="16.33203125" style="16" hidden="1" customWidth="1" outlineLevel="1"/>
    <col min="26" max="26" width="13.5546875" style="16" hidden="1" customWidth="1" outlineLevel="1"/>
    <col min="27" max="27" width="20.6640625" style="19" hidden="1" customWidth="1" outlineLevel="1"/>
    <col min="28" max="28" width="17" style="19" hidden="1" customWidth="1" outlineLevel="1"/>
    <col min="29" max="29" width="18.33203125" style="19" hidden="1" customWidth="1" outlineLevel="1"/>
    <col min="30" max="30" width="18" style="19" hidden="1" customWidth="1" outlineLevel="1"/>
    <col min="31" max="31" width="23.33203125" style="19" hidden="1" customWidth="1" outlineLevel="1"/>
    <col min="32" max="32" width="3.6640625" style="16" customWidth="1" collapsed="1"/>
    <col min="33" max="33" width="2.33203125" style="16" customWidth="1"/>
    <col min="34" max="35" width="4.33203125" style="4" customWidth="1"/>
    <col min="36" max="36" width="2.33203125" style="16" customWidth="1"/>
    <col min="37" max="37" width="3.6640625" style="16" customWidth="1"/>
    <col min="38" max="38" width="12.44140625" style="16" customWidth="1"/>
    <col min="39" max="39" width="12.109375" style="16" customWidth="1"/>
    <col min="40" max="40" width="3.6640625" style="48" customWidth="1"/>
    <col min="41" max="42" width="7.6640625" style="16" customWidth="1"/>
    <col min="43" max="43" width="3.6640625" style="16" customWidth="1"/>
    <col min="44" max="44" width="33.6640625" style="17" customWidth="1"/>
    <col min="45" max="45" width="34.33203125" style="17" customWidth="1"/>
    <col min="46" max="46" width="14.44140625" style="48"/>
    <col min="47" max="16384" width="14.44140625" style="17"/>
  </cols>
  <sheetData>
    <row r="1" spans="1:44" ht="25.2" hidden="1" customHeight="1" x14ac:dyDescent="0.25">
      <c r="J1" s="44" t="s">
        <v>297</v>
      </c>
      <c r="K1" s="142">
        <f>SUBTOTAL(4,J6:Q799)</f>
        <v>38.300000000000004</v>
      </c>
    </row>
    <row r="2" spans="1:44" ht="34.950000000000003" hidden="1" customHeight="1" x14ac:dyDescent="0.25">
      <c r="J2" s="44" t="s">
        <v>298</v>
      </c>
      <c r="K2" s="142">
        <f>SUBTOTAL(5,J6:Q155)</f>
        <v>-32.726737999999997</v>
      </c>
    </row>
    <row r="3" spans="1:44" ht="49.95" customHeight="1" x14ac:dyDescent="0.15">
      <c r="A3" s="16"/>
      <c r="X3" s="48"/>
      <c r="Y3" s="284" t="s">
        <v>372</v>
      </c>
      <c r="Z3" s="284"/>
      <c r="AA3" s="284"/>
      <c r="AB3" s="284"/>
      <c r="AC3" s="284"/>
      <c r="AD3" s="284"/>
      <c r="AE3" s="284"/>
    </row>
    <row r="4" spans="1:44" s="9" customFormat="1" ht="30" customHeight="1" x14ac:dyDescent="0.3">
      <c r="A4" s="56" t="s">
        <v>0</v>
      </c>
      <c r="B4" s="288" t="s">
        <v>207</v>
      </c>
      <c r="C4" s="288"/>
      <c r="D4" s="56" t="s">
        <v>1</v>
      </c>
      <c r="E4" s="56" t="s">
        <v>134</v>
      </c>
      <c r="F4" s="56" t="s">
        <v>2</v>
      </c>
      <c r="G4" s="56" t="s">
        <v>1176</v>
      </c>
      <c r="H4" s="126"/>
      <c r="I4" s="56" t="s">
        <v>245</v>
      </c>
      <c r="J4" s="291" t="s">
        <v>197</v>
      </c>
      <c r="K4" s="291"/>
      <c r="L4" s="287" t="s">
        <v>198</v>
      </c>
      <c r="M4" s="288"/>
      <c r="N4" s="287" t="s">
        <v>303</v>
      </c>
      <c r="O4" s="288"/>
      <c r="P4" s="291" t="s">
        <v>202</v>
      </c>
      <c r="Q4" s="291"/>
      <c r="R4" s="56" t="s">
        <v>5</v>
      </c>
      <c r="S4" s="20" t="s">
        <v>371</v>
      </c>
      <c r="T4" s="20" t="s">
        <v>242</v>
      </c>
      <c r="U4" s="56" t="s">
        <v>4</v>
      </c>
      <c r="V4" s="20" t="s">
        <v>243</v>
      </c>
      <c r="W4" s="51"/>
      <c r="X4" s="20" t="s">
        <v>532</v>
      </c>
      <c r="Y4" s="20" t="s">
        <v>193</v>
      </c>
      <c r="Z4" s="20" t="s">
        <v>246</v>
      </c>
      <c r="AA4" s="20" t="s">
        <v>203</v>
      </c>
      <c r="AB4" s="56" t="s">
        <v>6</v>
      </c>
      <c r="AC4" s="56" t="s">
        <v>7</v>
      </c>
      <c r="AD4" s="56" t="s">
        <v>8</v>
      </c>
      <c r="AE4" s="20" t="s">
        <v>202</v>
      </c>
      <c r="AF4" s="131"/>
      <c r="AG4" s="287" t="s">
        <v>199</v>
      </c>
      <c r="AH4" s="288"/>
      <c r="AI4" s="288"/>
      <c r="AJ4" s="288"/>
      <c r="AK4" s="126"/>
      <c r="AL4" s="20" t="s">
        <v>166</v>
      </c>
      <c r="AM4" s="56" t="s">
        <v>3</v>
      </c>
      <c r="AN4" s="130"/>
      <c r="AO4" s="56" t="s">
        <v>186</v>
      </c>
      <c r="AP4" s="56"/>
      <c r="AQ4" s="51"/>
      <c r="AR4" s="51" t="s">
        <v>241</v>
      </c>
    </row>
    <row r="5" spans="1:44" s="23" customFormat="1" ht="20.399999999999999" customHeight="1" x14ac:dyDescent="0.3">
      <c r="A5" s="24"/>
      <c r="B5" s="290"/>
      <c r="C5" s="290"/>
      <c r="D5" s="22"/>
      <c r="E5" s="22"/>
      <c r="F5" s="22"/>
      <c r="G5" s="22"/>
      <c r="H5" s="127"/>
      <c r="I5" s="22" t="s">
        <v>288</v>
      </c>
      <c r="J5" s="293" t="s">
        <v>275</v>
      </c>
      <c r="K5" s="293"/>
      <c r="L5" s="289" t="s">
        <v>275</v>
      </c>
      <c r="M5" s="289"/>
      <c r="N5" s="289" t="s">
        <v>275</v>
      </c>
      <c r="O5" s="289"/>
      <c r="P5" s="293" t="s">
        <v>275</v>
      </c>
      <c r="Q5" s="293"/>
      <c r="R5" s="22"/>
      <c r="S5" s="22"/>
      <c r="T5" s="22"/>
      <c r="U5" s="22" t="s">
        <v>194</v>
      </c>
      <c r="V5" s="22" t="s">
        <v>10</v>
      </c>
      <c r="W5" s="43"/>
      <c r="X5" s="22"/>
      <c r="Y5" s="22"/>
      <c r="Z5" s="22" t="s">
        <v>206</v>
      </c>
      <c r="AA5" s="22" t="s">
        <v>373</v>
      </c>
      <c r="AB5" s="22" t="s">
        <v>373</v>
      </c>
      <c r="AC5" s="22" t="s">
        <v>373</v>
      </c>
      <c r="AD5" s="22" t="s">
        <v>373</v>
      </c>
      <c r="AE5" s="22" t="s">
        <v>373</v>
      </c>
      <c r="AF5" s="132"/>
      <c r="AG5" s="290" t="s">
        <v>11</v>
      </c>
      <c r="AH5" s="290"/>
      <c r="AI5" s="290"/>
      <c r="AJ5" s="290"/>
      <c r="AK5" s="127"/>
      <c r="AL5" s="22" t="s">
        <v>206</v>
      </c>
      <c r="AM5" s="22" t="s">
        <v>229</v>
      </c>
      <c r="AN5" s="129"/>
      <c r="AO5" s="22"/>
      <c r="AP5" s="22"/>
      <c r="AQ5" s="43"/>
    </row>
    <row r="6" spans="1:44" s="25" customFormat="1" ht="25.2" customHeight="1" x14ac:dyDescent="0.15">
      <c r="A6" s="25" t="s">
        <v>63</v>
      </c>
      <c r="B6" s="47" t="s">
        <v>208</v>
      </c>
      <c r="C6" s="47" t="str">
        <f>""</f>
        <v/>
      </c>
      <c r="D6" s="47" t="s">
        <v>64</v>
      </c>
      <c r="E6" s="82" t="s">
        <v>146</v>
      </c>
      <c r="F6" s="85" t="s">
        <v>168</v>
      </c>
      <c r="G6" s="85" t="s">
        <v>291</v>
      </c>
      <c r="H6" s="85"/>
      <c r="I6" s="111">
        <v>1</v>
      </c>
      <c r="J6" s="52" t="str">
        <f t="shared" ref="J6:J24" si="0">IF(AC6="N/A","N/A",IF(K6="","N/A",K6))</f>
        <v>N/A</v>
      </c>
      <c r="K6" s="148" t="str" cm="1">
        <f t="array" ref="K6">IF(AC6="N/A","",_xlfn.IFS(Y6="m2",((AA6/(Z6/AL6))*I6),Y6="m3",((AA6/(Z6/AL6))*I6),Y6="kg",(((AA6*AM6)/(1/AL6))*I6),Y6="ton",(((AA6/1000*AM6)/(1/AL6))*I6),Y6="N/A",""))</f>
        <v/>
      </c>
      <c r="L6" s="52" t="str">
        <f>IF(M6="","N/A",M6)</f>
        <v>N/A</v>
      </c>
      <c r="M6" s="148" t="str" cm="1">
        <f t="array" ref="M6">(_xlfn.IFS(Y6="m2",((AB6/(Z6/AL6))*I6),Y6="m3",((AB6/(Z6/AL6))*I6),Y6="kg",(((AB6*AM6)/(1/AL6))*I6),Y6="ton",(((AB6/1000*AM6)/(1/AL6))*I6),Y6="N/A",""))</f>
        <v/>
      </c>
      <c r="N6" s="52" t="str">
        <f>IF(O6="","N/A",O6)</f>
        <v>N/A</v>
      </c>
      <c r="O6" s="148" t="str" cm="1">
        <f t="array" ref="O6">IF(AC6="N/A","",_xlfn.IFS(Y6="m2",((AC6/(Z6/AL6))*I6),Y6="m3",((AC6/(Z6/AL6))*I6),Y6="kg",(((AC6*AM6)/(1/AL6))*I6),Y6="ton",(((AC6/1000*AM6)/(1/AL6))*I6),Y6="N/A",""))</f>
        <v/>
      </c>
      <c r="P6" s="52" t="str">
        <f>IF(Q6="","N/A",Q6)</f>
        <v>N/A</v>
      </c>
      <c r="Q6" s="155" t="str" cm="1">
        <f t="array" ref="Q6">IF(AE6="N/A","",_xlfn.IFS(Y6="m2",((AE6/(Z6/AL6))*I6),Y6="m3",((AE6/(Z6/AL6))*I6),Y6="kg",(((AE6*AM6)/(1/AL6))*I6),Y6="ton",(((AE6/1000*AM6)/(1/AL6))*I6),Y6="N/A",""))</f>
        <v/>
      </c>
      <c r="R6" s="47" t="s">
        <v>191</v>
      </c>
      <c r="S6" s="47"/>
      <c r="T6" s="47" t="s">
        <v>191</v>
      </c>
      <c r="U6" s="47" t="s">
        <v>191</v>
      </c>
      <c r="V6" s="47" t="s">
        <v>191</v>
      </c>
      <c r="X6" s="47" t="s">
        <v>191</v>
      </c>
      <c r="Y6" s="47" t="s">
        <v>191</v>
      </c>
      <c r="Z6" s="47" t="s">
        <v>191</v>
      </c>
      <c r="AA6" s="52" t="str">
        <f>IF(AC6="N/A","N/A",SUM(AB6:AC6))</f>
        <v>N/A</v>
      </c>
      <c r="AB6" s="52" t="s">
        <v>191</v>
      </c>
      <c r="AC6" s="52" t="s">
        <v>191</v>
      </c>
      <c r="AD6" s="52" t="s">
        <v>191</v>
      </c>
      <c r="AE6" s="52" t="s">
        <v>191</v>
      </c>
      <c r="AF6" s="47"/>
      <c r="AG6" s="115" t="str">
        <f>AH6&amp;" "&amp;AI6</f>
        <v xml:space="preserve">F </v>
      </c>
      <c r="AH6" s="122" t="s">
        <v>82</v>
      </c>
      <c r="AI6" s="123"/>
      <c r="AJ6" s="47"/>
      <c r="AK6" s="47"/>
      <c r="AL6" s="47" t="s">
        <v>191</v>
      </c>
      <c r="AM6" s="47" t="s">
        <v>191</v>
      </c>
      <c r="AO6" s="80" t="s">
        <v>17</v>
      </c>
      <c r="AP6" s="81"/>
      <c r="AQ6" s="47"/>
    </row>
    <row r="7" spans="1:44" s="25" customFormat="1" ht="25.2" customHeight="1" x14ac:dyDescent="0.15">
      <c r="A7" s="25" t="s">
        <v>138</v>
      </c>
      <c r="B7" s="47" t="s">
        <v>208</v>
      </c>
      <c r="C7" s="47" t="str">
        <f>""</f>
        <v/>
      </c>
      <c r="D7" s="47" t="s">
        <v>135</v>
      </c>
      <c r="E7" s="82" t="s">
        <v>137</v>
      </c>
      <c r="F7" s="47" t="s">
        <v>136</v>
      </c>
      <c r="G7" s="85" t="s">
        <v>291</v>
      </c>
      <c r="H7" s="47"/>
      <c r="I7" s="111">
        <v>1</v>
      </c>
      <c r="J7" s="52">
        <f t="shared" si="0"/>
        <v>0.81000000000000072</v>
      </c>
      <c r="K7" s="148" cm="1">
        <f t="array" ref="K7">IF(AC7="N/A","",_xlfn.IFS(Y7="m2",((AA7/(Z7/AL7))*I7),Y7="m3",((AA7/(Z7/AL7))*I7),Y7="kg",(((AA7*AM7)/(1/AL7))*I7),Y7="ton",(((AA7/1000*AM7)/(1/AL7))*I7),Y7="N/A",""))</f>
        <v>0.81000000000000072</v>
      </c>
      <c r="L7" s="52">
        <f t="shared" ref="L7:L13" si="1">IF(M7="","N/A",M7)</f>
        <v>17.55</v>
      </c>
      <c r="M7" s="148" cm="1">
        <f t="array" ref="M7">(_xlfn.IFS(Y7="m2",((AB7/(Z7/AL7))*I7),Y7="m3",((AB7/(Z7/AL7))*I7),Y7="kg",(((AB7*AM7)/(1/AL7))*I7),Y7="ton",(((AB7/1000*AM7)/(1/AL7))*I7),Y7="N/A",""))</f>
        <v>17.55</v>
      </c>
      <c r="N7" s="52">
        <f t="shared" ref="N7:N13" si="2">IF(O7="","N/A",O7)</f>
        <v>-16.739999999999998</v>
      </c>
      <c r="O7" s="148" cm="1">
        <f t="array" ref="O7">IF(AC7="N/A","",_xlfn.IFS(Y7="m2",((AC7/(Z7/AL7))*I7),Y7="m3",((AC7/(Z7/AL7))*I7),Y7="kg",(((AC7*AM7)/(1/AL7))*I7),Y7="ton",(((AC7/1000*AM7)/(1/AL7))*I7),Y7="N/A",""))</f>
        <v>-16.739999999999998</v>
      </c>
      <c r="P7" s="52" t="str">
        <f t="shared" ref="P7:P13" si="3">IF(Q7="","N/A",Q7)</f>
        <v>N/A</v>
      </c>
      <c r="Q7" s="155" t="str" cm="1">
        <f t="array" ref="Q7">IF(AE7="N/A","",_xlfn.IFS(Y7="m2",((AE7/(Z7/AL7))*I7),Y7="m3",((AE7/(Z7/AL7))*I7),Y7="kg",(((AE7*AM7)/(1/AL7))*I7),Y7="ton",(((AE7/1000*AM7)/(1/AL7))*I7),Y7="N/A",""))</f>
        <v/>
      </c>
      <c r="R7" s="82" t="s">
        <v>5</v>
      </c>
      <c r="S7" s="82"/>
      <c r="T7" s="47">
        <v>2025</v>
      </c>
      <c r="U7" s="47" t="s">
        <v>14</v>
      </c>
      <c r="V7" s="47" t="s">
        <v>191</v>
      </c>
      <c r="X7" s="47" t="s">
        <v>569</v>
      </c>
      <c r="Y7" s="47" t="s">
        <v>61</v>
      </c>
      <c r="Z7" s="47">
        <v>1</v>
      </c>
      <c r="AA7" s="52">
        <f>IF(AC7="N/A","N/A",SUM(AB7:AC7))</f>
        <v>3.6000000000000032E-2</v>
      </c>
      <c r="AB7" s="52">
        <v>0.78</v>
      </c>
      <c r="AC7" s="52">
        <v>-0.74399999999999999</v>
      </c>
      <c r="AD7" s="52" t="s">
        <v>191</v>
      </c>
      <c r="AE7" s="52" t="s">
        <v>191</v>
      </c>
      <c r="AF7" s="47"/>
      <c r="AG7" s="115" t="str">
        <f t="shared" ref="AG7:AG24" si="4">AH7&amp;" "&amp;AI7</f>
        <v>B s1
d0</v>
      </c>
      <c r="AH7" s="122" t="s">
        <v>178</v>
      </c>
      <c r="AI7" s="124" t="s">
        <v>176</v>
      </c>
      <c r="AJ7" s="47"/>
      <c r="AK7" s="47"/>
      <c r="AL7" s="47">
        <v>1.7999999999999999E-2</v>
      </c>
      <c r="AM7" s="47">
        <v>1250</v>
      </c>
      <c r="AO7" s="105" t="s">
        <v>17</v>
      </c>
      <c r="AP7" s="73"/>
      <c r="AQ7" s="47"/>
    </row>
    <row r="8" spans="1:44" s="25" customFormat="1" ht="25.2" customHeight="1" x14ac:dyDescent="0.15">
      <c r="A8" s="25" t="s">
        <v>139</v>
      </c>
      <c r="B8" s="47" t="s">
        <v>208</v>
      </c>
      <c r="C8" s="47" t="str">
        <f>""</f>
        <v/>
      </c>
      <c r="D8" s="47" t="s">
        <v>135</v>
      </c>
      <c r="E8" s="82" t="s">
        <v>137</v>
      </c>
      <c r="F8" s="47" t="s">
        <v>136</v>
      </c>
      <c r="G8" s="85" t="s">
        <v>291</v>
      </c>
      <c r="H8" s="47"/>
      <c r="I8" s="111">
        <v>1</v>
      </c>
      <c r="J8" s="52">
        <f t="shared" si="0"/>
        <v>1.3662000000000012</v>
      </c>
      <c r="K8" s="148" cm="1">
        <f t="array" ref="K8">IF(AC8="N/A","",_xlfn.IFS(Y8="m2",((AA8/(Z8/AL8))*I8),Y8="m3",((AA8/(Z8/AL8))*I8),Y8="kg",(((AA8*AM8)/(1/AL8))*I8),Y8="ton",(((AA8/1000*AM8)/(1/AL8))*I8),Y8="N/A",""))</f>
        <v>1.3662000000000012</v>
      </c>
      <c r="L8" s="52">
        <f t="shared" si="1"/>
        <v>16.767000000000003</v>
      </c>
      <c r="M8" s="148" cm="1">
        <f t="array" ref="M8">(_xlfn.IFS(Y8="m2",((AB8/(Z8/AL8))*I8),Y8="m3",((AB8/(Z8/AL8))*I8),Y8="kg",(((AB8*AM8)/(1/AL8))*I8),Y8="ton",(((AB8/1000*AM8)/(1/AL8))*I8),Y8="N/A",""))</f>
        <v>16.767000000000003</v>
      </c>
      <c r="N8" s="52">
        <f t="shared" si="2"/>
        <v>-15.4008</v>
      </c>
      <c r="O8" s="148" cm="1">
        <f t="array" ref="O8">IF(AC8="N/A","",_xlfn.IFS(Y8="m2",((AC8/(Z8/AL8))*I8),Y8="m3",((AC8/(Z8/AL8))*I8),Y8="kg",(((AC8*AM8)/(1/AL8))*I8),Y8="ton",(((AC8/1000*AM8)/(1/AL8))*I8),Y8="N/A",""))</f>
        <v>-15.4008</v>
      </c>
      <c r="P8" s="52" t="str">
        <f t="shared" si="3"/>
        <v>N/A</v>
      </c>
      <c r="Q8" s="155" t="str" cm="1">
        <f t="array" ref="Q8">IF(AE8="N/A","",_xlfn.IFS(Y8="m2",((AE8/(Z8/AL8))*I8),Y8="m3",((AE8/(Z8/AL8))*I8),Y8="kg",(((AE8*AM8)/(1/AL8))*I8),Y8="ton",(((AE8/1000*AM8)/(1/AL8))*I8),Y8="N/A",""))</f>
        <v/>
      </c>
      <c r="R8" s="82" t="s">
        <v>5</v>
      </c>
      <c r="S8" s="82"/>
      <c r="T8" s="47">
        <v>2025</v>
      </c>
      <c r="U8" s="47" t="s">
        <v>14</v>
      </c>
      <c r="V8" s="47" t="s">
        <v>191</v>
      </c>
      <c r="X8" s="47" t="s">
        <v>569</v>
      </c>
      <c r="Y8" s="47" t="s">
        <v>61</v>
      </c>
      <c r="Z8" s="47">
        <v>1</v>
      </c>
      <c r="AA8" s="52">
        <f t="shared" ref="AA8:AA13" si="5">IF(AC8="N/A","N/A",SUM(AB8:AC8))</f>
        <v>6.6000000000000059E-2</v>
      </c>
      <c r="AB8" s="52">
        <v>0.81</v>
      </c>
      <c r="AC8" s="52">
        <v>-0.74399999999999999</v>
      </c>
      <c r="AD8" s="52" t="s">
        <v>191</v>
      </c>
      <c r="AE8" s="52" t="s">
        <v>191</v>
      </c>
      <c r="AF8" s="47"/>
      <c r="AG8" s="115" t="str">
        <f t="shared" si="4"/>
        <v>B s1
d0</v>
      </c>
      <c r="AH8" s="122" t="s">
        <v>178</v>
      </c>
      <c r="AI8" s="124" t="s">
        <v>176</v>
      </c>
      <c r="AJ8" s="47"/>
      <c r="AK8" s="47"/>
      <c r="AL8" s="47">
        <v>1.7999999999999999E-2</v>
      </c>
      <c r="AM8" s="47">
        <v>1150</v>
      </c>
      <c r="AO8" s="105" t="s">
        <v>17</v>
      </c>
      <c r="AP8" s="73"/>
      <c r="AQ8" s="47"/>
    </row>
    <row r="9" spans="1:44" s="25" customFormat="1" ht="25.2" customHeight="1" x14ac:dyDescent="0.15">
      <c r="A9" s="25" t="s">
        <v>160</v>
      </c>
      <c r="B9" s="47" t="s">
        <v>208</v>
      </c>
      <c r="C9" s="47" t="str">
        <f>""</f>
        <v/>
      </c>
      <c r="D9" s="47" t="s">
        <v>161</v>
      </c>
      <c r="E9" s="82" t="s">
        <v>162</v>
      </c>
      <c r="F9" s="47" t="s">
        <v>136</v>
      </c>
      <c r="G9" s="85" t="s">
        <v>291</v>
      </c>
      <c r="H9" s="47"/>
      <c r="I9" s="111">
        <v>1</v>
      </c>
      <c r="J9" s="52">
        <f t="shared" si="0"/>
        <v>30.868000000000006</v>
      </c>
      <c r="K9" s="148" cm="1">
        <f t="array" ref="K9">IF(AC9="N/A","",_xlfn.IFS(Y9="m2",((AA9/(Z9/AL9))*I9),Y9="m3",((AA9/(Z9/AL9))*I9),Y9="kg",(((AA9*AM9)/(1/AL9))*I9),Y9="ton",(((AA9/1000*AM9)/(1/AL9))*I9),Y9="N/A",""))</f>
        <v>30.868000000000006</v>
      </c>
      <c r="L9" s="52">
        <f t="shared" si="1"/>
        <v>-7.4319999999999986</v>
      </c>
      <c r="M9" s="148" cm="1">
        <f t="array" ref="M9">(_xlfn.IFS(Y9="m2",((AB9/(Z9/AL9))*I9),Y9="m3",((AB9/(Z9/AL9))*I9),Y9="kg",(((AB9*AM9)/(1/AL9))*I9),Y9="ton",(((AB9/1000*AM9)/(1/AL9))*I9),Y9="N/A",""))</f>
        <v>-7.4319999999999986</v>
      </c>
      <c r="N9" s="52">
        <f t="shared" si="2"/>
        <v>38.300000000000004</v>
      </c>
      <c r="O9" s="148" cm="1">
        <f t="array" ref="O9">IF(AC9="N/A","",_xlfn.IFS(Y9="m2",((AC9/(Z9/AL9))*I9),Y9="m3",((AC9/(Z9/AL9))*I9),Y9="kg",(((AC9*AM9)/(1/AL9))*I9),Y9="ton",(((AC9/1000*AM9)/(1/AL9))*I9),Y9="N/A",""))</f>
        <v>38.300000000000004</v>
      </c>
      <c r="P9" s="52">
        <f t="shared" si="3"/>
        <v>-32.726737999999997</v>
      </c>
      <c r="Q9" s="155" cm="1">
        <f t="array" ref="Q9">IF(AE9="N/A","",_xlfn.IFS(Y9="m2",((AE9/(Z9/AL9))*I9),Y9="m3",((AE9/(Z9/AL9))*I9),Y9="kg",(((AE9*AM9)/(1/AL9))*I9),Y9="ton",(((AE9/1000*AM9)/(1/AL9))*I9),Y9="N/A",""))</f>
        <v>-32.726737999999997</v>
      </c>
      <c r="R9" s="82" t="s">
        <v>5</v>
      </c>
      <c r="S9" s="82"/>
      <c r="T9" s="47">
        <v>2027</v>
      </c>
      <c r="U9" s="47" t="s">
        <v>28</v>
      </c>
      <c r="V9" s="47">
        <v>25</v>
      </c>
      <c r="X9" s="47" t="s">
        <v>574</v>
      </c>
      <c r="Y9" s="47" t="s">
        <v>15</v>
      </c>
      <c r="Z9" s="47">
        <v>0.02</v>
      </c>
      <c r="AA9" s="52">
        <f t="shared" si="5"/>
        <v>30.868000000000006</v>
      </c>
      <c r="AB9" s="52">
        <f>-22.8+0.568+14.8</f>
        <v>-7.4319999999999986</v>
      </c>
      <c r="AC9" s="52">
        <f>36.6+1.7</f>
        <v>38.300000000000004</v>
      </c>
      <c r="AD9" s="52">
        <f>-12.9</f>
        <v>-12.9</v>
      </c>
      <c r="AE9" s="52">
        <f>-32+(2.62*10^-4)-0.727</f>
        <v>-32.726737999999997</v>
      </c>
      <c r="AF9" s="52"/>
      <c r="AG9" s="115" t="str">
        <f t="shared" si="4"/>
        <v xml:space="preserve">F </v>
      </c>
      <c r="AH9" s="122" t="s">
        <v>82</v>
      </c>
      <c r="AI9" s="123"/>
      <c r="AJ9" s="47"/>
      <c r="AK9" s="47"/>
      <c r="AL9" s="47">
        <v>0.02</v>
      </c>
      <c r="AM9" s="47">
        <v>1150</v>
      </c>
      <c r="AO9" s="80" t="s">
        <v>17</v>
      </c>
      <c r="AP9" s="73"/>
      <c r="AQ9" s="47"/>
    </row>
    <row r="10" spans="1:44" s="25" customFormat="1" ht="25.2" customHeight="1" x14ac:dyDescent="0.15">
      <c r="A10" s="25" t="s">
        <v>169</v>
      </c>
      <c r="B10" s="47" t="s">
        <v>208</v>
      </c>
      <c r="C10" s="47" t="str">
        <f>""</f>
        <v/>
      </c>
      <c r="D10" s="47" t="s">
        <v>171</v>
      </c>
      <c r="E10" s="47" t="s">
        <v>152</v>
      </c>
      <c r="F10" s="47" t="s">
        <v>168</v>
      </c>
      <c r="G10" s="85" t="s">
        <v>291</v>
      </c>
      <c r="H10" s="47"/>
      <c r="I10" s="111">
        <v>1</v>
      </c>
      <c r="J10" s="52" t="str">
        <f t="shared" si="0"/>
        <v>N/A</v>
      </c>
      <c r="K10" s="148" t="str" cm="1">
        <f t="array" ref="K10">IF(AC10="N/A","",_xlfn.IFS(Y10="m2",((AA10/(Z10/AL10))*I10),Y10="m3",((AA10/(Z10/AL10))*I10),Y10="kg",(((AA10*AM10)/(1/AL10))*I10),Y10="ton",(((AA10/1000*AM10)/(1/AL10))*I10),Y10="N/A",""))</f>
        <v/>
      </c>
      <c r="L10" s="52" t="str">
        <f t="shared" si="1"/>
        <v>N/A</v>
      </c>
      <c r="M10" s="148" t="str" cm="1">
        <f t="array" ref="M10">(_xlfn.IFS(Y10="m2",((AB10/(Z10/AL10))*I10),Y10="m3",((AB10/(Z10/AL10))*I10),Y10="kg",(((AB10*AM10)/(1/AL10))*I10),Y10="ton",(((AB10/1000*AM10)/(1/AL10))*I10),Y10="N/A",""))</f>
        <v/>
      </c>
      <c r="N10" s="52" t="str">
        <f t="shared" si="2"/>
        <v>N/A</v>
      </c>
      <c r="O10" s="148" t="str" cm="1">
        <f t="array" ref="O10">IF(AC10="N/A","",_xlfn.IFS(Y10="m2",((AC10/(Z10/AL10))*I10),Y10="m3",((AC10/(Z10/AL10))*I10),Y10="kg",(((AC10*AM10)/(1/AL10))*I10),Y10="ton",(((AC10/1000*AM10)/(1/AL10))*I10),Y10="N/A",""))</f>
        <v/>
      </c>
      <c r="P10" s="52" t="str">
        <f t="shared" si="3"/>
        <v>N/A</v>
      </c>
      <c r="Q10" s="155" t="str" cm="1">
        <f t="array" ref="Q10">IF(AE10="N/A","",_xlfn.IFS(Y10="m2",((AE10/(Z10/AL10))*I10),Y10="m3",((AE10/(Z10/AL10))*I10),Y10="kg",(((AE10*AM10)/(1/AL10))*I10),Y10="ton",(((AE10/1000*AM10)/(1/AL10))*I10),Y10="N/A",""))</f>
        <v/>
      </c>
      <c r="R10" s="47" t="s">
        <v>191</v>
      </c>
      <c r="S10" s="47"/>
      <c r="T10" s="47" t="s">
        <v>191</v>
      </c>
      <c r="U10" s="47" t="s">
        <v>191</v>
      </c>
      <c r="V10" s="47" t="s">
        <v>191</v>
      </c>
      <c r="X10" s="47" t="s">
        <v>191</v>
      </c>
      <c r="Y10" s="47" t="s">
        <v>191</v>
      </c>
      <c r="Z10" s="47" t="s">
        <v>191</v>
      </c>
      <c r="AA10" s="52" t="str">
        <f t="shared" si="5"/>
        <v>N/A</v>
      </c>
      <c r="AB10" s="52" t="s">
        <v>191</v>
      </c>
      <c r="AC10" s="52" t="s">
        <v>191</v>
      </c>
      <c r="AD10" s="52" t="s">
        <v>191</v>
      </c>
      <c r="AE10" s="52" t="s">
        <v>191</v>
      </c>
      <c r="AF10" s="47"/>
      <c r="AG10" s="115" t="str">
        <f t="shared" si="4"/>
        <v xml:space="preserve">F </v>
      </c>
      <c r="AH10" s="122" t="s">
        <v>82</v>
      </c>
      <c r="AI10" s="123"/>
      <c r="AJ10" s="47"/>
      <c r="AK10" s="47"/>
      <c r="AL10" s="47" t="s">
        <v>191</v>
      </c>
      <c r="AM10" s="47" t="s">
        <v>191</v>
      </c>
      <c r="AO10" s="80" t="s">
        <v>17</v>
      </c>
      <c r="AP10" s="81" t="s">
        <v>17</v>
      </c>
      <c r="AQ10" s="47"/>
    </row>
    <row r="11" spans="1:44" s="25" customFormat="1" ht="25.2" customHeight="1" x14ac:dyDescent="0.15">
      <c r="A11" s="25" t="s">
        <v>170</v>
      </c>
      <c r="B11" s="47" t="s">
        <v>208</v>
      </c>
      <c r="C11" s="47" t="str">
        <f>""</f>
        <v/>
      </c>
      <c r="D11" s="47" t="s">
        <v>172</v>
      </c>
      <c r="E11" s="47" t="s">
        <v>153</v>
      </c>
      <c r="F11" s="47" t="s">
        <v>168</v>
      </c>
      <c r="G11" s="85" t="s">
        <v>291</v>
      </c>
      <c r="H11" s="47"/>
      <c r="I11" s="111">
        <v>1</v>
      </c>
      <c r="J11" s="52" t="str">
        <f t="shared" si="0"/>
        <v>N/A</v>
      </c>
      <c r="K11" s="148" t="str" cm="1">
        <f t="array" ref="K11">IF(AC11="N/A","",_xlfn.IFS(Y11="m2",((AA11/(Z11/AL11))*I11),Y11="m3",((AA11/(Z11/AL11))*I11),Y11="kg",(((AA11*AM11)/(1/AL11))*I11),Y11="ton",(((AA11/1000*AM11)/(1/AL11))*I11),Y11="N/A",""))</f>
        <v/>
      </c>
      <c r="L11" s="52" t="str">
        <f t="shared" si="1"/>
        <v>N/A</v>
      </c>
      <c r="M11" s="148" t="str" cm="1">
        <f t="array" ref="M11">(_xlfn.IFS(Y11="m2",((AB11/(Z11/AL11))*I11),Y11="m3",((AB11/(Z11/AL11))*I11),Y11="kg",(((AB11*AM11)/(1/AL11))*I11),Y11="ton",(((AB11/1000*AM11)/(1/AL11))*I11),Y11="N/A",""))</f>
        <v/>
      </c>
      <c r="N11" s="52" t="str">
        <f t="shared" si="2"/>
        <v>N/A</v>
      </c>
      <c r="O11" s="148" t="str" cm="1">
        <f t="array" ref="O11">IF(AC11="N/A","",_xlfn.IFS(Y11="m2",((AC11/(Z11/AL11))*I11),Y11="m3",((AC11/(Z11/AL11))*I11),Y11="kg",(((AC11*AM11)/(1/AL11))*I11),Y11="ton",(((AC11/1000*AM11)/(1/AL11))*I11),Y11="N/A",""))</f>
        <v/>
      </c>
      <c r="P11" s="52" t="str">
        <f t="shared" si="3"/>
        <v>N/A</v>
      </c>
      <c r="Q11" s="155" t="str" cm="1">
        <f t="array" ref="Q11">IF(AE11="N/A","",_xlfn.IFS(Y11="m2",((AE11/(Z11/AL11))*I11),Y11="m3",((AE11/(Z11/AL11))*I11),Y11="kg",(((AE11*AM11)/(1/AL11))*I11),Y11="ton",(((AE11/1000*AM11)/(1/AL11))*I11),Y11="N/A",""))</f>
        <v/>
      </c>
      <c r="R11" s="47" t="s">
        <v>191</v>
      </c>
      <c r="S11" s="47"/>
      <c r="T11" s="47" t="s">
        <v>191</v>
      </c>
      <c r="U11" s="47" t="s">
        <v>191</v>
      </c>
      <c r="V11" s="47" t="s">
        <v>191</v>
      </c>
      <c r="X11" s="47" t="s">
        <v>191</v>
      </c>
      <c r="Y11" s="47" t="s">
        <v>191</v>
      </c>
      <c r="Z11" s="47" t="s">
        <v>191</v>
      </c>
      <c r="AA11" s="52" t="str">
        <f t="shared" si="5"/>
        <v>N/A</v>
      </c>
      <c r="AB11" s="52" t="s">
        <v>191</v>
      </c>
      <c r="AC11" s="52" t="s">
        <v>191</v>
      </c>
      <c r="AD11" s="52" t="s">
        <v>191</v>
      </c>
      <c r="AE11" s="52" t="s">
        <v>191</v>
      </c>
      <c r="AF11" s="47"/>
      <c r="AG11" s="115" t="str">
        <f t="shared" si="4"/>
        <v xml:space="preserve">F </v>
      </c>
      <c r="AH11" s="122" t="s">
        <v>82</v>
      </c>
      <c r="AI11" s="123"/>
      <c r="AJ11" s="47"/>
      <c r="AK11" s="47"/>
      <c r="AL11" s="47" t="s">
        <v>191</v>
      </c>
      <c r="AM11" s="47" t="s">
        <v>191</v>
      </c>
      <c r="AO11" s="80" t="s">
        <v>17</v>
      </c>
      <c r="AP11" s="73"/>
      <c r="AQ11" s="47"/>
    </row>
    <row r="12" spans="1:44" s="25" customFormat="1" ht="25.2" customHeight="1" x14ac:dyDescent="0.15">
      <c r="A12" s="25" t="s">
        <v>174</v>
      </c>
      <c r="B12" s="47" t="s">
        <v>208</v>
      </c>
      <c r="C12" s="47" t="str">
        <f>""</f>
        <v/>
      </c>
      <c r="D12" s="47" t="s">
        <v>173</v>
      </c>
      <c r="E12" s="88" t="s">
        <v>149</v>
      </c>
      <c r="F12" s="47" t="s">
        <v>55</v>
      </c>
      <c r="G12" s="85" t="s">
        <v>291</v>
      </c>
      <c r="H12" s="47"/>
      <c r="I12" s="111">
        <v>1</v>
      </c>
      <c r="J12" s="52">
        <f t="shared" si="0"/>
        <v>2.4000000000000004</v>
      </c>
      <c r="K12" s="148" cm="1">
        <f t="array" ref="K12">IF(AC12="N/A","",_xlfn.IFS(Y12="m2",((AA12/(Z12/AL12))*I12),Y12="m3",((AA12/(Z12/AL12))*I12),Y12="kg",(((AA12*AM12)/(1/AL12))*I12),Y12="ton",(((AA12/1000*AM12)/(1/AL12))*I12),Y12="N/A",""))</f>
        <v>2.4000000000000004</v>
      </c>
      <c r="L12" s="52">
        <f t="shared" si="1"/>
        <v>-14.4</v>
      </c>
      <c r="M12" s="148" cm="1">
        <f t="array" ref="M12">(_xlfn.IFS(Y12="m2",((AB12/(Z12/AL12))*I12),Y12="m3",((AB12/(Z12/AL12))*I12),Y12="kg",(((AB12*AM12)/(1/AL12))*I12),Y12="ton",(((AB12/1000*AM12)/(1/AL12))*I12),Y12="N/A",""))</f>
        <v>-14.4</v>
      </c>
      <c r="N12" s="52">
        <f t="shared" si="2"/>
        <v>16.8</v>
      </c>
      <c r="O12" s="148" cm="1">
        <f t="array" ref="O12">IF(AC12="N/A","",_xlfn.IFS(Y12="m2",((AC12/(Z12/AL12))*I12),Y12="m3",((AC12/(Z12/AL12))*I12),Y12="kg",(((AC12*AM12)/(1/AL12))*I12),Y12="ton",(((AC12/1000*AM12)/(1/AL12))*I12),Y12="N/A",""))</f>
        <v>16.8</v>
      </c>
      <c r="P12" s="52">
        <f t="shared" si="3"/>
        <v>-16.899999999999999</v>
      </c>
      <c r="Q12" s="155" cm="1">
        <f t="array" ref="Q12">IF(AE12="N/A","",_xlfn.IFS(Y12="m2",((AE12/(Z12/AL12))*I12),Y12="m3",((AE12/(Z12/AL12))*I12),Y12="kg",(((AE12*AM12)/(1/AL12))*I12),Y12="ton",(((AE12/1000*AM12)/(1/AL12))*I12),Y12="N/A",""))</f>
        <v>-16.899999999999999</v>
      </c>
      <c r="R12" s="82" t="s">
        <v>5</v>
      </c>
      <c r="S12" s="82"/>
      <c r="T12" s="47">
        <v>2026</v>
      </c>
      <c r="U12" s="47" t="s">
        <v>28</v>
      </c>
      <c r="V12" s="47" t="s">
        <v>191</v>
      </c>
      <c r="X12" s="47" t="s">
        <v>610</v>
      </c>
      <c r="Y12" s="47" t="s">
        <v>15</v>
      </c>
      <c r="Z12" s="47">
        <v>1.4999999999999999E-2</v>
      </c>
      <c r="AA12" s="52">
        <f t="shared" si="5"/>
        <v>2.4000000000000004</v>
      </c>
      <c r="AB12" s="52">
        <v>-14.4</v>
      </c>
      <c r="AC12" s="52">
        <f>16.8+0</f>
        <v>16.8</v>
      </c>
      <c r="AD12" s="52">
        <v>-7.05</v>
      </c>
      <c r="AE12" s="52">
        <f>-16.9</f>
        <v>-16.899999999999999</v>
      </c>
      <c r="AF12" s="52"/>
      <c r="AG12" s="115" t="str">
        <f t="shared" si="4"/>
        <v xml:space="preserve">F </v>
      </c>
      <c r="AH12" s="122" t="s">
        <v>82</v>
      </c>
      <c r="AI12" s="123"/>
      <c r="AJ12" s="47"/>
      <c r="AK12" s="47"/>
      <c r="AL12" s="47">
        <v>1.4999999999999999E-2</v>
      </c>
      <c r="AM12" s="47" t="s">
        <v>191</v>
      </c>
      <c r="AO12" s="80" t="s">
        <v>17</v>
      </c>
      <c r="AP12" s="73"/>
      <c r="AQ12" s="47"/>
    </row>
    <row r="13" spans="1:44" s="25" customFormat="1" ht="25.2" customHeight="1" x14ac:dyDescent="0.15">
      <c r="A13" s="25" t="s">
        <v>183</v>
      </c>
      <c r="B13" s="47" t="s">
        <v>208</v>
      </c>
      <c r="C13" s="47" t="str">
        <f>""</f>
        <v/>
      </c>
      <c r="D13" s="47" t="s">
        <v>135</v>
      </c>
      <c r="E13" s="82" t="s">
        <v>137</v>
      </c>
      <c r="F13" s="47" t="s">
        <v>136</v>
      </c>
      <c r="G13" s="85" t="s">
        <v>291</v>
      </c>
      <c r="H13" s="47"/>
      <c r="I13" s="111">
        <v>1</v>
      </c>
      <c r="J13" s="52" t="str">
        <f t="shared" si="0"/>
        <v>N/A</v>
      </c>
      <c r="K13" s="148" t="str" cm="1">
        <f t="array" ref="K13">IF(AC13="N/A","",_xlfn.IFS(Y13="m2",((AA13/(Z13/AL13))*I13),Y13="m3",((AA13/(Z13/AL13))*I13),Y13="kg",(((AA13*AM13)/(1/AL13))*I13),Y13="ton",(((AA13/1000*AM13)/(1/AL13))*I13),Y13="N/A",""))</f>
        <v/>
      </c>
      <c r="L13" s="52" t="str">
        <f t="shared" si="1"/>
        <v>N/A</v>
      </c>
      <c r="M13" s="148" t="str" cm="1">
        <f t="array" ref="M13">(_xlfn.IFS(Y13="m2",((AB13/(Z13/AL13))*I13),Y13="m3",((AB13/(Z13/AL13))*I13),Y13="kg",(((AB13*AM13)/(1/AL13))*I13),Y13="ton",(((AB13/1000*AM13)/(1/AL13))*I13),Y13="N/A",""))</f>
        <v/>
      </c>
      <c r="N13" s="52" t="str">
        <f t="shared" si="2"/>
        <v>N/A</v>
      </c>
      <c r="O13" s="148" t="str" cm="1">
        <f t="array" ref="O13">IF(AC13="N/A","",_xlfn.IFS(Y13="m2",((AC13/(Z13/AL13))*I13),Y13="m3",((AC13/(Z13/AL13))*I13),Y13="kg",(((AC13*AM13)/(1/AL13))*I13),Y13="ton",(((AC13/1000*AM13)/(1/AL13))*I13),Y13="N/A",""))</f>
        <v/>
      </c>
      <c r="P13" s="52" t="str">
        <f t="shared" si="3"/>
        <v>N/A</v>
      </c>
      <c r="Q13" s="155" t="str" cm="1">
        <f t="array" ref="Q13">IF(AE13="N/A","",_xlfn.IFS(Y13="m2",((AE13/(Z13/AL13))*I13),Y13="m3",((AE13/(Z13/AL13))*I13),Y13="kg",(((AE13*AM13)/(1/AL13))*I13),Y13="ton",(((AE13/1000*AM13)/(1/AL13))*I13),Y13="N/A",""))</f>
        <v/>
      </c>
      <c r="R13" s="47" t="s">
        <v>191</v>
      </c>
      <c r="S13" s="47"/>
      <c r="T13" s="47" t="s">
        <v>191</v>
      </c>
      <c r="U13" s="47" t="s">
        <v>191</v>
      </c>
      <c r="V13" s="47" t="s">
        <v>191</v>
      </c>
      <c r="X13" s="47" t="s">
        <v>191</v>
      </c>
      <c r="Y13" s="47" t="s">
        <v>191</v>
      </c>
      <c r="Z13" s="47" t="s">
        <v>191</v>
      </c>
      <c r="AA13" s="52" t="str">
        <f t="shared" si="5"/>
        <v>N/A</v>
      </c>
      <c r="AB13" s="52" t="s">
        <v>191</v>
      </c>
      <c r="AC13" s="52" t="s">
        <v>191</v>
      </c>
      <c r="AD13" s="52" t="s">
        <v>191</v>
      </c>
      <c r="AE13" s="52" t="s">
        <v>191</v>
      </c>
      <c r="AF13" s="47"/>
      <c r="AG13" s="115" t="str">
        <f t="shared" si="4"/>
        <v xml:space="preserve">F </v>
      </c>
      <c r="AH13" s="122" t="s">
        <v>82</v>
      </c>
      <c r="AI13" s="123"/>
      <c r="AJ13" s="47"/>
      <c r="AK13" s="47"/>
      <c r="AL13" s="47" t="s">
        <v>191</v>
      </c>
      <c r="AM13" s="47" t="s">
        <v>191</v>
      </c>
      <c r="AO13" s="105" t="s">
        <v>17</v>
      </c>
      <c r="AP13" s="73"/>
      <c r="AQ13" s="47"/>
    </row>
    <row r="14" spans="1:44" s="25" customFormat="1" ht="25.2" customHeight="1" x14ac:dyDescent="0.15">
      <c r="A14" s="25" t="s">
        <v>311</v>
      </c>
      <c r="B14" s="47" t="s">
        <v>208</v>
      </c>
      <c r="C14" s="47" t="str">
        <f>""</f>
        <v/>
      </c>
      <c r="D14" s="47" t="s">
        <v>312</v>
      </c>
      <c r="E14" s="88" t="s">
        <v>146</v>
      </c>
      <c r="F14" s="47" t="s">
        <v>55</v>
      </c>
      <c r="G14" s="85" t="s">
        <v>291</v>
      </c>
      <c r="H14" s="47"/>
      <c r="I14" s="111">
        <v>1</v>
      </c>
      <c r="J14" s="52" t="str">
        <f t="shared" si="0"/>
        <v>N/A</v>
      </c>
      <c r="K14" s="148" t="str" cm="1">
        <f t="array" ref="K14">IF(AC14="N/A","",_xlfn.IFS(Y14="m2",((AA14/(Z14/AL14))*I14),Y14="m3",((AA14/(Z14/AL14))*I14),Y14="kg",(((AA14*AM14)/(1/AL14))*I14),Y14="ton",(((AA14/1000*AM14)/(1/AL14))*I14),Y14="N/A",""))</f>
        <v/>
      </c>
      <c r="L14" s="52" t="str">
        <f t="shared" ref="L14:L15" si="6">IF(M14="","N/A",M14)</f>
        <v>N/A</v>
      </c>
      <c r="M14" s="148" t="str" cm="1">
        <f t="array" ref="M14">(_xlfn.IFS(Y14="m2",((AB14/(Z14/AL14))*I14),Y14="m3",((AB14/(Z14/AL14))*I14),Y14="kg",(((AB14*AM14)/(1/AL14))*I14),Y14="ton",(((AB14/1000*AM14)/(1/AL14))*I14),Y14="N/A",""))</f>
        <v/>
      </c>
      <c r="N14" s="52" t="str">
        <f t="shared" ref="N14:N15" si="7">IF(O14="","N/A",O14)</f>
        <v>N/A</v>
      </c>
      <c r="O14" s="148" t="str" cm="1">
        <f t="array" ref="O14">IF(AC14="N/A","",_xlfn.IFS(Y14="m2",((AC14/(Z14/AL14))*I14),Y14="m3",((AC14/(Z14/AL14))*I14),Y14="kg",(((AC14*AM14)/(1/AL14))*I14),Y14="ton",(((AC14/1000*AM14)/(1/AL14))*I14),Y14="N/A",""))</f>
        <v/>
      </c>
      <c r="P14" s="52" t="str">
        <f t="shared" ref="P14:P15" si="8">IF(Q14="","N/A",Q14)</f>
        <v>N/A</v>
      </c>
      <c r="Q14" s="155" t="str" cm="1">
        <f t="array" ref="Q14">IF(AE14="N/A","",_xlfn.IFS(Y14="m2",((AE14/(Z14/AL14))*I14),Y14="m3",((AE14/(Z14/AL14))*I14),Y14="kg",(((AE14*AM14)/(1/AL14))*I14),Y14="ton",(((AE14/1000*AM14)/(1/AL14))*I14),Y14="N/A",""))</f>
        <v/>
      </c>
      <c r="R14" s="47" t="s">
        <v>191</v>
      </c>
      <c r="S14" s="47"/>
      <c r="T14" s="47" t="s">
        <v>191</v>
      </c>
      <c r="U14" s="47" t="s">
        <v>191</v>
      </c>
      <c r="V14" s="47" t="s">
        <v>191</v>
      </c>
      <c r="X14" s="47" t="s">
        <v>191</v>
      </c>
      <c r="Y14" s="47" t="s">
        <v>191</v>
      </c>
      <c r="Z14" s="47" t="s">
        <v>191</v>
      </c>
      <c r="AA14" s="52" t="str">
        <f t="shared" ref="AA14:AA15" si="9">IF(AC14="N/A","N/A",SUM(AB14:AC14))</f>
        <v>N/A</v>
      </c>
      <c r="AB14" s="52" t="s">
        <v>191</v>
      </c>
      <c r="AC14" s="52" t="s">
        <v>191</v>
      </c>
      <c r="AD14" s="52" t="s">
        <v>191</v>
      </c>
      <c r="AE14" s="52" t="s">
        <v>191</v>
      </c>
      <c r="AF14" s="47"/>
      <c r="AG14" s="115" t="str">
        <f t="shared" si="4"/>
        <v xml:space="preserve">F </v>
      </c>
      <c r="AH14" s="122" t="s">
        <v>82</v>
      </c>
      <c r="AI14" s="123"/>
      <c r="AJ14" s="47"/>
      <c r="AK14" s="47"/>
      <c r="AL14" s="47">
        <v>2.1999999999999999E-2</v>
      </c>
      <c r="AM14" s="47">
        <f>11*1/AL14</f>
        <v>500.00000000000006</v>
      </c>
      <c r="AO14" s="105" t="s">
        <v>17</v>
      </c>
      <c r="AP14" s="106" t="s">
        <v>17</v>
      </c>
      <c r="AQ14" s="47"/>
    </row>
    <row r="15" spans="1:44" s="25" customFormat="1" ht="25.2" customHeight="1" x14ac:dyDescent="0.15">
      <c r="A15" s="25" t="s">
        <v>313</v>
      </c>
      <c r="B15" s="47" t="s">
        <v>208</v>
      </c>
      <c r="C15" s="47" t="str">
        <f>""</f>
        <v/>
      </c>
      <c r="D15" s="47" t="s">
        <v>314</v>
      </c>
      <c r="E15" s="47" t="s">
        <v>191</v>
      </c>
      <c r="F15" s="47" t="s">
        <v>19</v>
      </c>
      <c r="G15" s="85" t="s">
        <v>291</v>
      </c>
      <c r="H15" s="47"/>
      <c r="I15" s="111">
        <v>1</v>
      </c>
      <c r="J15" s="52" t="str">
        <f t="shared" si="0"/>
        <v>N/A</v>
      </c>
      <c r="K15" s="148" t="str" cm="1">
        <f t="array" ref="K15">IF(AC15="N/A","",_xlfn.IFS(Y15="m2",((AA15/(Z15/AL15))*I15),Y15="m3",((AA15/(Z15/AL15))*I15),Y15="kg",(((AA15*AM15)/(1/AL15))*I15),Y15="ton",(((AA15/1000*AM15)/(1/AL15))*I15),Y15="N/A",""))</f>
        <v/>
      </c>
      <c r="L15" s="52" t="str">
        <f t="shared" si="6"/>
        <v>N/A</v>
      </c>
      <c r="M15" s="148" t="str" cm="1">
        <f t="array" ref="M15">(_xlfn.IFS(Y15="m2",((AB15/(Z15/AL15))*I15),Y15="m3",((AB15/(Z15/AL15))*I15),Y15="kg",(((AB15*AM15)/(1/AL15))*I15),Y15="ton",(((AB15/1000*AM15)/(1/AL15))*I15),Y15="N/A",""))</f>
        <v/>
      </c>
      <c r="N15" s="52" t="str">
        <f t="shared" si="7"/>
        <v>N/A</v>
      </c>
      <c r="O15" s="148" t="str" cm="1">
        <f t="array" ref="O15">IF(AC15="N/A","",_xlfn.IFS(Y15="m2",((AC15/(Z15/AL15))*I15),Y15="m3",((AC15/(Z15/AL15))*I15),Y15="kg",(((AC15*AM15)/(1/AL15))*I15),Y15="ton",(((AC15/1000*AM15)/(1/AL15))*I15),Y15="N/A",""))</f>
        <v/>
      </c>
      <c r="P15" s="52" t="str">
        <f t="shared" si="8"/>
        <v>N/A</v>
      </c>
      <c r="Q15" s="155" t="str" cm="1">
        <f t="array" ref="Q15">IF(AE15="N/A","",_xlfn.IFS(Y15="m2",((AE15/(Z15/AL15))*I15),Y15="m3",((AE15/(Z15/AL15))*I15),Y15="kg",(((AE15*AM15)/(1/AL15))*I15),Y15="ton",(((AE15/1000*AM15)/(1/AL15))*I15),Y15="N/A",""))</f>
        <v/>
      </c>
      <c r="R15" s="47" t="s">
        <v>191</v>
      </c>
      <c r="S15" s="47"/>
      <c r="T15" s="47" t="s">
        <v>191</v>
      </c>
      <c r="U15" s="47" t="s">
        <v>191</v>
      </c>
      <c r="V15" s="47" t="s">
        <v>191</v>
      </c>
      <c r="X15" s="47" t="s">
        <v>191</v>
      </c>
      <c r="Y15" s="47" t="s">
        <v>191</v>
      </c>
      <c r="Z15" s="47" t="s">
        <v>191</v>
      </c>
      <c r="AA15" s="52" t="str">
        <f t="shared" si="9"/>
        <v>N/A</v>
      </c>
      <c r="AB15" s="52" t="s">
        <v>191</v>
      </c>
      <c r="AC15" s="52" t="s">
        <v>191</v>
      </c>
      <c r="AD15" s="52" t="s">
        <v>191</v>
      </c>
      <c r="AE15" s="52" t="s">
        <v>191</v>
      </c>
      <c r="AF15" s="47"/>
      <c r="AG15" s="115" t="str">
        <f t="shared" si="4"/>
        <v xml:space="preserve">F </v>
      </c>
      <c r="AH15" s="122" t="s">
        <v>82</v>
      </c>
      <c r="AI15" s="123"/>
      <c r="AJ15" s="47"/>
      <c r="AK15" s="47"/>
      <c r="AL15" s="47">
        <v>7.0000000000000001E-3</v>
      </c>
      <c r="AM15" s="47" t="s">
        <v>191</v>
      </c>
      <c r="AO15" s="105" t="s">
        <v>17</v>
      </c>
      <c r="AP15" s="73"/>
      <c r="AQ15" s="47"/>
    </row>
    <row r="16" spans="1:44" s="25" customFormat="1" ht="25.2" customHeight="1" x14ac:dyDescent="0.15">
      <c r="A16" s="25" t="s">
        <v>315</v>
      </c>
      <c r="B16" s="47" t="s">
        <v>208</v>
      </c>
      <c r="C16" s="47" t="str">
        <f>""</f>
        <v/>
      </c>
      <c r="D16" s="47" t="s">
        <v>314</v>
      </c>
      <c r="E16" s="47" t="s">
        <v>191</v>
      </c>
      <c r="F16" s="47" t="s">
        <v>19</v>
      </c>
      <c r="G16" s="85" t="s">
        <v>291</v>
      </c>
      <c r="H16" s="47"/>
      <c r="I16" s="111">
        <v>1</v>
      </c>
      <c r="J16" s="52" t="str">
        <f t="shared" si="0"/>
        <v>N/A</v>
      </c>
      <c r="K16" s="148" t="str" cm="1">
        <f t="array" ref="K16">IF(AC16="N/A","",_xlfn.IFS(Y16="m2",((AA16/(Z16/AL16))*I16),Y16="m3",((AA16/(Z16/AL16))*I16),Y16="kg",(((AA16*AM16)/(1/AL16))*I16),Y16="ton",(((AA16/1000*AM16)/(1/AL16))*I16),Y16="N/A",""))</f>
        <v/>
      </c>
      <c r="L16" s="52" t="str">
        <f t="shared" ref="L16:L18" si="10">IF(M16="","N/A",M16)</f>
        <v>N/A</v>
      </c>
      <c r="M16" s="148" t="str" cm="1">
        <f t="array" ref="M16">(_xlfn.IFS(Y16="m2",((AB16/(Z16/AL16))*I16),Y16="m3",((AB16/(Z16/AL16))*I16),Y16="kg",(((AB16*AM16)/(1/AL16))*I16),Y16="ton",(((AB16/1000*AM16)/(1/AL16))*I16),Y16="N/A",""))</f>
        <v/>
      </c>
      <c r="N16" s="52" t="str">
        <f t="shared" ref="N16:N18" si="11">IF(O16="","N/A",O16)</f>
        <v>N/A</v>
      </c>
      <c r="O16" s="148" t="str" cm="1">
        <f t="array" ref="O16">IF(AC16="N/A","",_xlfn.IFS(Y16="m2",((AC16/(Z16/AL16))*I16),Y16="m3",((AC16/(Z16/AL16))*I16),Y16="kg",(((AC16*AM16)/(1/AL16))*I16),Y16="ton",(((AC16/1000*AM16)/(1/AL16))*I16),Y16="N/A",""))</f>
        <v/>
      </c>
      <c r="P16" s="52" t="str">
        <f t="shared" ref="P16:P18" si="12">IF(Q16="","N/A",Q16)</f>
        <v>N/A</v>
      </c>
      <c r="Q16" s="155" t="str" cm="1">
        <f t="array" ref="Q16">IF(AE16="N/A","",_xlfn.IFS(Y16="m2",((AE16/(Z16/AL16))*I16),Y16="m3",((AE16/(Z16/AL16))*I16),Y16="kg",(((AE16*AM16)/(1/AL16))*I16),Y16="ton",(((AE16/1000*AM16)/(1/AL16))*I16),Y16="N/A",""))</f>
        <v/>
      </c>
      <c r="R16" s="47" t="s">
        <v>191</v>
      </c>
      <c r="S16" s="47"/>
      <c r="T16" s="47" t="s">
        <v>191</v>
      </c>
      <c r="U16" s="47" t="s">
        <v>191</v>
      </c>
      <c r="V16" s="47" t="s">
        <v>191</v>
      </c>
      <c r="X16" s="47" t="s">
        <v>191</v>
      </c>
      <c r="Y16" s="47" t="s">
        <v>191</v>
      </c>
      <c r="Z16" s="47" t="s">
        <v>191</v>
      </c>
      <c r="AA16" s="52" t="str">
        <f t="shared" ref="AA16:AA18" si="13">IF(AC16="N/A","N/A",SUM(AB16:AC16))</f>
        <v>N/A</v>
      </c>
      <c r="AB16" s="52" t="s">
        <v>191</v>
      </c>
      <c r="AC16" s="52" t="s">
        <v>191</v>
      </c>
      <c r="AD16" s="52" t="s">
        <v>191</v>
      </c>
      <c r="AE16" s="52" t="s">
        <v>191</v>
      </c>
      <c r="AF16" s="47"/>
      <c r="AG16" s="115" t="str">
        <f t="shared" si="4"/>
        <v xml:space="preserve">F </v>
      </c>
      <c r="AH16" s="122" t="s">
        <v>82</v>
      </c>
      <c r="AI16" s="123"/>
      <c r="AJ16" s="47"/>
      <c r="AK16" s="47"/>
      <c r="AL16" s="47">
        <v>7.0000000000000001E-3</v>
      </c>
      <c r="AM16" s="47" t="s">
        <v>191</v>
      </c>
      <c r="AO16" s="105" t="s">
        <v>17</v>
      </c>
      <c r="AP16" s="73"/>
      <c r="AQ16" s="47"/>
    </row>
    <row r="17" spans="1:44" s="25" customFormat="1" ht="25.2" customHeight="1" x14ac:dyDescent="0.15">
      <c r="A17" s="25" t="s">
        <v>316</v>
      </c>
      <c r="B17" s="47" t="s">
        <v>208</v>
      </c>
      <c r="C17" s="47" t="str">
        <f>""</f>
        <v/>
      </c>
      <c r="D17" s="47" t="s">
        <v>314</v>
      </c>
      <c r="E17" s="47" t="s">
        <v>191</v>
      </c>
      <c r="F17" s="47" t="s">
        <v>19</v>
      </c>
      <c r="G17" s="85" t="s">
        <v>291</v>
      </c>
      <c r="H17" s="47"/>
      <c r="I17" s="111">
        <v>1</v>
      </c>
      <c r="J17" s="52" t="str">
        <f t="shared" si="0"/>
        <v>N/A</v>
      </c>
      <c r="K17" s="148" t="str" cm="1">
        <f t="array" ref="K17">IF(AC17="N/A","",_xlfn.IFS(Y17="m2",((AA17/(Z17/AL17))*I17),Y17="m3",((AA17/(Z17/AL17))*I17),Y17="kg",(((AA17*AM17)/(1/AL17))*I17),Y17="ton",(((AA17/1000*AM17)/(1/AL17))*I17),Y17="N/A",""))</f>
        <v/>
      </c>
      <c r="L17" s="52" t="str">
        <f t="shared" si="10"/>
        <v>N/A</v>
      </c>
      <c r="M17" s="148" t="str" cm="1">
        <f t="array" ref="M17">(_xlfn.IFS(Y17="m2",((AB17/(Z17/AL17))*I17),Y17="m3",((AB17/(Z17/AL17))*I17),Y17="kg",(((AB17*AM17)/(1/AL17))*I17),Y17="ton",(((AB17/1000*AM17)/(1/AL17))*I17),Y17="N/A",""))</f>
        <v/>
      </c>
      <c r="N17" s="52" t="str">
        <f t="shared" si="11"/>
        <v>N/A</v>
      </c>
      <c r="O17" s="148" t="str" cm="1">
        <f t="array" ref="O17">IF(AC17="N/A","",_xlfn.IFS(Y17="m2",((AC17/(Z17/AL17))*I17),Y17="m3",((AC17/(Z17/AL17))*I17),Y17="kg",(((AC17*AM17)/(1/AL17))*I17),Y17="ton",(((AC17/1000*AM17)/(1/AL17))*I17),Y17="N/A",""))</f>
        <v/>
      </c>
      <c r="P17" s="52" t="str">
        <f t="shared" si="12"/>
        <v>N/A</v>
      </c>
      <c r="Q17" s="155" t="str" cm="1">
        <f t="array" ref="Q17">IF(AE17="N/A","",_xlfn.IFS(Y17="m2",((AE17/(Z17/AL17))*I17),Y17="m3",((AE17/(Z17/AL17))*I17),Y17="kg",(((AE17*AM17)/(1/AL17))*I17),Y17="ton",(((AE17/1000*AM17)/(1/AL17))*I17),Y17="N/A",""))</f>
        <v/>
      </c>
      <c r="R17" s="47" t="s">
        <v>191</v>
      </c>
      <c r="S17" s="47"/>
      <c r="T17" s="47" t="s">
        <v>191</v>
      </c>
      <c r="U17" s="47" t="s">
        <v>191</v>
      </c>
      <c r="V17" s="47" t="s">
        <v>191</v>
      </c>
      <c r="X17" s="47" t="s">
        <v>191</v>
      </c>
      <c r="Y17" s="47" t="s">
        <v>191</v>
      </c>
      <c r="Z17" s="47" t="s">
        <v>191</v>
      </c>
      <c r="AA17" s="52" t="str">
        <f t="shared" si="13"/>
        <v>N/A</v>
      </c>
      <c r="AB17" s="52" t="s">
        <v>191</v>
      </c>
      <c r="AC17" s="52" t="s">
        <v>191</v>
      </c>
      <c r="AD17" s="52" t="s">
        <v>191</v>
      </c>
      <c r="AE17" s="52" t="s">
        <v>191</v>
      </c>
      <c r="AF17" s="47"/>
      <c r="AG17" s="115" t="str">
        <f t="shared" si="4"/>
        <v xml:space="preserve">F </v>
      </c>
      <c r="AH17" s="122" t="s">
        <v>82</v>
      </c>
      <c r="AI17" s="123"/>
      <c r="AJ17" s="47"/>
      <c r="AK17" s="47"/>
      <c r="AL17" s="47">
        <v>7.0000000000000001E-3</v>
      </c>
      <c r="AM17" s="47" t="s">
        <v>191</v>
      </c>
      <c r="AO17" s="105" t="s">
        <v>17</v>
      </c>
      <c r="AP17" s="73"/>
      <c r="AQ17" s="47"/>
    </row>
    <row r="18" spans="1:44" s="25" customFormat="1" ht="25.2" customHeight="1" x14ac:dyDescent="0.15">
      <c r="A18" s="25" t="s">
        <v>317</v>
      </c>
      <c r="B18" s="47" t="s">
        <v>208</v>
      </c>
      <c r="C18" s="47" t="str">
        <f>""</f>
        <v/>
      </c>
      <c r="D18" s="47" t="s">
        <v>314</v>
      </c>
      <c r="E18" s="47" t="s">
        <v>191</v>
      </c>
      <c r="F18" s="47" t="s">
        <v>19</v>
      </c>
      <c r="G18" s="85" t="s">
        <v>291</v>
      </c>
      <c r="H18" s="47"/>
      <c r="I18" s="111">
        <v>1</v>
      </c>
      <c r="J18" s="52" t="str">
        <f t="shared" si="0"/>
        <v>N/A</v>
      </c>
      <c r="K18" s="148" t="str" cm="1">
        <f t="array" ref="K18">IF(AC18="N/A","",_xlfn.IFS(Y18="m2",((AA18/(Z18/AL18))*I18),Y18="m3",((AA18/(Z18/AL18))*I18),Y18="kg",(((AA18*AM18)/(1/AL18))*I18),Y18="ton",(((AA18/1000*AM18)/(1/AL18))*I18),Y18="N/A",""))</f>
        <v/>
      </c>
      <c r="L18" s="52" t="str">
        <f t="shared" si="10"/>
        <v>N/A</v>
      </c>
      <c r="M18" s="148" t="str" cm="1">
        <f t="array" ref="M18">(_xlfn.IFS(Y18="m2",((AB18/(Z18/AL18))*I18),Y18="m3",((AB18/(Z18/AL18))*I18),Y18="kg",(((AB18*AM18)/(1/AL18))*I18),Y18="ton",(((AB18/1000*AM18)/(1/AL18))*I18),Y18="N/A",""))</f>
        <v/>
      </c>
      <c r="N18" s="52" t="str">
        <f t="shared" si="11"/>
        <v>N/A</v>
      </c>
      <c r="O18" s="148" t="str" cm="1">
        <f t="array" ref="O18">IF(AC18="N/A","",_xlfn.IFS(Y18="m2",((AC18/(Z18/AL18))*I18),Y18="m3",((AC18/(Z18/AL18))*I18),Y18="kg",(((AC18*AM18)/(1/AL18))*I18),Y18="ton",(((AC18/1000*AM18)/(1/AL18))*I18),Y18="N/A",""))</f>
        <v/>
      </c>
      <c r="P18" s="52" t="str">
        <f t="shared" si="12"/>
        <v>N/A</v>
      </c>
      <c r="Q18" s="155" t="str" cm="1">
        <f t="array" ref="Q18">IF(AE18="N/A","",_xlfn.IFS(Y18="m2",((AE18/(Z18/AL18))*I18),Y18="m3",((AE18/(Z18/AL18))*I18),Y18="kg",(((AE18*AM18)/(1/AL18))*I18),Y18="ton",(((AE18/1000*AM18)/(1/AL18))*I18),Y18="N/A",""))</f>
        <v/>
      </c>
      <c r="R18" s="47" t="s">
        <v>191</v>
      </c>
      <c r="S18" s="47"/>
      <c r="T18" s="47" t="s">
        <v>191</v>
      </c>
      <c r="U18" s="47" t="s">
        <v>191</v>
      </c>
      <c r="V18" s="47" t="s">
        <v>191</v>
      </c>
      <c r="X18" s="47" t="s">
        <v>191</v>
      </c>
      <c r="Y18" s="47" t="s">
        <v>191</v>
      </c>
      <c r="Z18" s="47" t="s">
        <v>191</v>
      </c>
      <c r="AA18" s="52" t="str">
        <f t="shared" si="13"/>
        <v>N/A</v>
      </c>
      <c r="AB18" s="52" t="s">
        <v>191</v>
      </c>
      <c r="AC18" s="52" t="s">
        <v>191</v>
      </c>
      <c r="AD18" s="52" t="s">
        <v>191</v>
      </c>
      <c r="AE18" s="52" t="s">
        <v>191</v>
      </c>
      <c r="AF18" s="47"/>
      <c r="AG18" s="115" t="str">
        <f t="shared" si="4"/>
        <v xml:space="preserve">F </v>
      </c>
      <c r="AH18" s="122" t="s">
        <v>82</v>
      </c>
      <c r="AI18" s="123"/>
      <c r="AJ18" s="47"/>
      <c r="AK18" s="47"/>
      <c r="AL18" s="47">
        <v>4.0000000000000001E-3</v>
      </c>
      <c r="AM18" s="47" t="s">
        <v>191</v>
      </c>
      <c r="AO18" s="105" t="s">
        <v>17</v>
      </c>
      <c r="AP18" s="73"/>
      <c r="AQ18" s="47"/>
    </row>
    <row r="19" spans="1:44" s="25" customFormat="1" ht="25.2" customHeight="1" x14ac:dyDescent="0.15">
      <c r="A19" s="25" t="s">
        <v>331</v>
      </c>
      <c r="B19" s="47" t="s">
        <v>208</v>
      </c>
      <c r="C19" s="47" t="str">
        <f>""</f>
        <v/>
      </c>
      <c r="D19" s="47" t="s">
        <v>330</v>
      </c>
      <c r="E19" s="47" t="s">
        <v>191</v>
      </c>
      <c r="F19" s="47" t="s">
        <v>55</v>
      </c>
      <c r="G19" s="85" t="s">
        <v>291</v>
      </c>
      <c r="H19" s="46"/>
      <c r="I19" s="111">
        <v>1</v>
      </c>
      <c r="J19" s="52" t="str">
        <f t="shared" si="0"/>
        <v>N/A</v>
      </c>
      <c r="K19" s="148" t="str" cm="1">
        <f t="array" ref="K19">IF(AC19="N/A","",_xlfn.IFS(Y19="m2",((AA19/(Z19/AL19))*I19),Y19="m3",((AA19/(Z19/AL19))*I19),Y19="kg",(((AA19*AM19)/(1/AL19))*I19),Y19="ton",(((AA19/1000*AM19)/(1/AL19))*I19),Y19="N/A",""))</f>
        <v/>
      </c>
      <c r="L19" s="52" t="str">
        <f t="shared" ref="L19:L23" si="14">IF(M19="","N/A",M19)</f>
        <v>N/A</v>
      </c>
      <c r="M19" s="148" t="str" cm="1">
        <f t="array" ref="M19">(_xlfn.IFS(Y19="m2",((AB19/(Z19/AL19))*I19),Y19="m3",((AB19/(Z19/AL19))*I19),Y19="kg",(((AB19*AM19)/(1/AL19))*I19),Y19="ton",(((AB19/1000*AM19)/(1/AL19))*I19),Y19="N/A",""))</f>
        <v/>
      </c>
      <c r="N19" s="52" t="str">
        <f t="shared" ref="N19:N23" si="15">IF(O19="","N/A",O19)</f>
        <v>N/A</v>
      </c>
      <c r="O19" s="148" t="str" cm="1">
        <f t="array" ref="O19">IF(AC19="N/A","",_xlfn.IFS(Y19="m2",((AC19/(Z19/AL19))*I19),Y19="m3",((AC19/(Z19/AL19))*I19),Y19="kg",(((AC19*AM19)/(1/AL19))*I19),Y19="ton",(((AC19/1000*AM19)/(1/AL19))*I19),Y19="N/A",""))</f>
        <v/>
      </c>
      <c r="P19" s="52" t="str">
        <f t="shared" ref="P19:P23" si="16">IF(Q19="","N/A",Q19)</f>
        <v>N/A</v>
      </c>
      <c r="Q19" s="155" t="str" cm="1">
        <f t="array" ref="Q19">IF(AE19="N/A","",_xlfn.IFS(Y19="m2",((AE19/(Z19/AL19))*I19),Y19="m3",((AE19/(Z19/AL19))*I19),Y19="kg",(((AE19*AM19)/(1/AL19))*I19),Y19="ton",(((AE19/1000*AM19)/(1/AL19))*I19),Y19="N/A",""))</f>
        <v/>
      </c>
      <c r="R19" s="47" t="s">
        <v>191</v>
      </c>
      <c r="S19" s="47"/>
      <c r="T19" s="47" t="s">
        <v>191</v>
      </c>
      <c r="U19" s="47" t="s">
        <v>191</v>
      </c>
      <c r="V19" s="47" t="s">
        <v>191</v>
      </c>
      <c r="X19" s="47" t="s">
        <v>191</v>
      </c>
      <c r="Y19" s="47" t="s">
        <v>191</v>
      </c>
      <c r="Z19" s="47" t="s">
        <v>191</v>
      </c>
      <c r="AA19" s="52" t="str">
        <f t="shared" ref="AA19:AA22" si="17">IF(AC19="N/A","N/A",SUM(AB19:AC19))</f>
        <v>N/A</v>
      </c>
      <c r="AB19" s="52" t="s">
        <v>191</v>
      </c>
      <c r="AC19" s="52" t="s">
        <v>191</v>
      </c>
      <c r="AD19" s="52" t="s">
        <v>191</v>
      </c>
      <c r="AE19" s="52" t="s">
        <v>191</v>
      </c>
      <c r="AF19" s="47"/>
      <c r="AG19" s="115" t="str">
        <f t="shared" si="4"/>
        <v xml:space="preserve">F </v>
      </c>
      <c r="AH19" s="122" t="s">
        <v>82</v>
      </c>
      <c r="AI19" s="125"/>
      <c r="AJ19" s="46"/>
      <c r="AK19" s="46"/>
      <c r="AL19" s="47" t="s">
        <v>191</v>
      </c>
      <c r="AM19" s="47" t="s">
        <v>191</v>
      </c>
      <c r="AO19" s="105" t="s">
        <v>17</v>
      </c>
      <c r="AP19" s="106" t="s">
        <v>17</v>
      </c>
      <c r="AQ19" s="46"/>
    </row>
    <row r="20" spans="1:44" s="25" customFormat="1" ht="25.2" customHeight="1" x14ac:dyDescent="0.15">
      <c r="A20" s="25" t="s">
        <v>332</v>
      </c>
      <c r="B20" s="47" t="s">
        <v>208</v>
      </c>
      <c r="C20" s="47" t="str">
        <f>""</f>
        <v/>
      </c>
      <c r="D20" s="47" t="s">
        <v>330</v>
      </c>
      <c r="E20" s="47" t="s">
        <v>191</v>
      </c>
      <c r="F20" s="47" t="s">
        <v>55</v>
      </c>
      <c r="G20" s="85" t="s">
        <v>291</v>
      </c>
      <c r="H20" s="46"/>
      <c r="I20" s="111">
        <v>1</v>
      </c>
      <c r="J20" s="52" t="str">
        <f t="shared" si="0"/>
        <v>N/A</v>
      </c>
      <c r="K20" s="148" t="str" cm="1">
        <f t="array" ref="K20">IF(AC20="N/A","",_xlfn.IFS(Y20="m2",((AA20/(Z20/AL20))*I20),Y20="m3",((AA20/(Z20/AL20))*I20),Y20="kg",(((AA20*AM20)/(1/AL20))*I20),Y20="ton",(((AA20/1000*AM20)/(1/AL20))*I20),Y20="N/A",""))</f>
        <v/>
      </c>
      <c r="L20" s="52" t="str">
        <f t="shared" si="14"/>
        <v>N/A</v>
      </c>
      <c r="M20" s="148" t="str" cm="1">
        <f t="array" ref="M20">(_xlfn.IFS(Y20="m2",((AB20/(Z20/AL20))*I20),Y20="m3",((AB20/(Z20/AL20))*I20),Y20="kg",(((AB20*AM20)/(1/AL20))*I20),Y20="ton",(((AB20/1000*AM20)/(1/AL20))*I20),Y20="N/A",""))</f>
        <v/>
      </c>
      <c r="N20" s="52" t="str">
        <f t="shared" si="15"/>
        <v>N/A</v>
      </c>
      <c r="O20" s="148" t="str" cm="1">
        <f t="array" ref="O20">IF(AC20="N/A","",_xlfn.IFS(Y20="m2",((AC20/(Z20/AL20))*I20),Y20="m3",((AC20/(Z20/AL20))*I20),Y20="kg",(((AC20*AM20)/(1/AL20))*I20),Y20="ton",(((AC20/1000*AM20)/(1/AL20))*I20),Y20="N/A",""))</f>
        <v/>
      </c>
      <c r="P20" s="52" t="str">
        <f t="shared" si="16"/>
        <v>N/A</v>
      </c>
      <c r="Q20" s="155" t="str" cm="1">
        <f t="array" ref="Q20">IF(AE20="N/A","",_xlfn.IFS(Y20="m2",((AE20/(Z20/AL20))*I20),Y20="m3",((AE20/(Z20/AL20))*I20),Y20="kg",(((AE20*AM20)/(1/AL20))*I20),Y20="ton",(((AE20/1000*AM20)/(1/AL20))*I20),Y20="N/A",""))</f>
        <v/>
      </c>
      <c r="R20" s="47" t="s">
        <v>191</v>
      </c>
      <c r="S20" s="47"/>
      <c r="T20" s="47" t="s">
        <v>191</v>
      </c>
      <c r="U20" s="47" t="s">
        <v>191</v>
      </c>
      <c r="V20" s="47" t="s">
        <v>191</v>
      </c>
      <c r="X20" s="47" t="s">
        <v>191</v>
      </c>
      <c r="Y20" s="47" t="s">
        <v>191</v>
      </c>
      <c r="Z20" s="47" t="s">
        <v>191</v>
      </c>
      <c r="AA20" s="52" t="str">
        <f t="shared" si="17"/>
        <v>N/A</v>
      </c>
      <c r="AB20" s="52" t="s">
        <v>191</v>
      </c>
      <c r="AC20" s="52" t="s">
        <v>191</v>
      </c>
      <c r="AD20" s="52" t="s">
        <v>191</v>
      </c>
      <c r="AE20" s="52" t="s">
        <v>191</v>
      </c>
      <c r="AF20" s="47"/>
      <c r="AG20" s="115" t="str">
        <f t="shared" si="4"/>
        <v xml:space="preserve">F </v>
      </c>
      <c r="AH20" s="122" t="s">
        <v>82</v>
      </c>
      <c r="AI20" s="125"/>
      <c r="AJ20" s="46"/>
      <c r="AK20" s="46"/>
      <c r="AL20" s="47" t="s">
        <v>191</v>
      </c>
      <c r="AM20" s="47" t="s">
        <v>191</v>
      </c>
      <c r="AO20" s="105" t="s">
        <v>17</v>
      </c>
      <c r="AP20" s="106" t="s">
        <v>17</v>
      </c>
      <c r="AQ20" s="46"/>
    </row>
    <row r="21" spans="1:44" s="25" customFormat="1" ht="25.2" customHeight="1" x14ac:dyDescent="0.15">
      <c r="A21" s="25" t="s">
        <v>333</v>
      </c>
      <c r="B21" s="47" t="s">
        <v>208</v>
      </c>
      <c r="C21" s="47" t="str">
        <f>""</f>
        <v/>
      </c>
      <c r="D21" s="47" t="s">
        <v>330</v>
      </c>
      <c r="E21" s="47" t="s">
        <v>191</v>
      </c>
      <c r="F21" s="47" t="s">
        <v>55</v>
      </c>
      <c r="G21" s="85" t="s">
        <v>291</v>
      </c>
      <c r="H21" s="46"/>
      <c r="I21" s="111">
        <v>1</v>
      </c>
      <c r="J21" s="52" t="str">
        <f t="shared" si="0"/>
        <v>N/A</v>
      </c>
      <c r="K21" s="148" t="str" cm="1">
        <f t="array" ref="K21">IF(AC21="N/A","",_xlfn.IFS(Y21="m2",((AA21/(Z21/AL21))*I21),Y21="m3",((AA21/(Z21/AL21))*I21),Y21="kg",(((AA21*AM21)/(1/AL21))*I21),Y21="ton",(((AA21/1000*AM21)/(1/AL21))*I21),Y21="N/A",""))</f>
        <v/>
      </c>
      <c r="L21" s="52" t="str">
        <f t="shared" si="14"/>
        <v>N/A</v>
      </c>
      <c r="M21" s="148" t="str" cm="1">
        <f t="array" ref="M21">(_xlfn.IFS(Y21="m2",((AB21/(Z21/AL21))*I21),Y21="m3",((AB21/(Z21/AL21))*I21),Y21="kg",(((AB21*AM21)/(1/AL21))*I21),Y21="ton",(((AB21/1000*AM21)/(1/AL21))*I21),Y21="N/A",""))</f>
        <v/>
      </c>
      <c r="N21" s="52" t="str">
        <f t="shared" si="15"/>
        <v>N/A</v>
      </c>
      <c r="O21" s="148" t="str" cm="1">
        <f t="array" ref="O21">IF(AC21="N/A","",_xlfn.IFS(Y21="m2",((AC21/(Z21/AL21))*I21),Y21="m3",((AC21/(Z21/AL21))*I21),Y21="kg",(((AC21*AM21)/(1/AL21))*I21),Y21="ton",(((AC21/1000*AM21)/(1/AL21))*I21),Y21="N/A",""))</f>
        <v/>
      </c>
      <c r="P21" s="52" t="str">
        <f t="shared" si="16"/>
        <v>N/A</v>
      </c>
      <c r="Q21" s="155" t="str" cm="1">
        <f t="array" ref="Q21">IF(AE21="N/A","",_xlfn.IFS(Y21="m2",((AE21/(Z21/AL21))*I21),Y21="m3",((AE21/(Z21/AL21))*I21),Y21="kg",(((AE21*AM21)/(1/AL21))*I21),Y21="ton",(((AE21/1000*AM21)/(1/AL21))*I21),Y21="N/A",""))</f>
        <v/>
      </c>
      <c r="R21" s="47" t="s">
        <v>191</v>
      </c>
      <c r="S21" s="47"/>
      <c r="T21" s="47" t="s">
        <v>191</v>
      </c>
      <c r="U21" s="47" t="s">
        <v>191</v>
      </c>
      <c r="V21" s="47" t="s">
        <v>191</v>
      </c>
      <c r="X21" s="47" t="s">
        <v>191</v>
      </c>
      <c r="Y21" s="47" t="s">
        <v>191</v>
      </c>
      <c r="Z21" s="47" t="s">
        <v>191</v>
      </c>
      <c r="AA21" s="52" t="str">
        <f t="shared" si="17"/>
        <v>N/A</v>
      </c>
      <c r="AB21" s="52" t="s">
        <v>191</v>
      </c>
      <c r="AC21" s="52" t="s">
        <v>191</v>
      </c>
      <c r="AD21" s="52" t="s">
        <v>191</v>
      </c>
      <c r="AE21" s="52" t="s">
        <v>191</v>
      </c>
      <c r="AF21" s="47"/>
      <c r="AG21" s="115" t="str">
        <f t="shared" si="4"/>
        <v xml:space="preserve">F </v>
      </c>
      <c r="AH21" s="122" t="s">
        <v>82</v>
      </c>
      <c r="AI21" s="125"/>
      <c r="AJ21" s="46"/>
      <c r="AK21" s="46"/>
      <c r="AL21" s="47" t="s">
        <v>191</v>
      </c>
      <c r="AM21" s="47" t="s">
        <v>191</v>
      </c>
      <c r="AO21" s="105" t="s">
        <v>17</v>
      </c>
      <c r="AP21" s="106" t="s">
        <v>17</v>
      </c>
      <c r="AQ21" s="46"/>
    </row>
    <row r="22" spans="1:44" s="25" customFormat="1" ht="25.2" customHeight="1" x14ac:dyDescent="0.15">
      <c r="A22" s="25" t="s">
        <v>334</v>
      </c>
      <c r="B22" s="47" t="s">
        <v>208</v>
      </c>
      <c r="C22" s="47" t="str">
        <f>""</f>
        <v/>
      </c>
      <c r="D22" s="47" t="s">
        <v>330</v>
      </c>
      <c r="E22" s="47" t="s">
        <v>191</v>
      </c>
      <c r="F22" s="47" t="s">
        <v>55</v>
      </c>
      <c r="G22" s="85" t="s">
        <v>291</v>
      </c>
      <c r="H22" s="46"/>
      <c r="I22" s="111">
        <v>1</v>
      </c>
      <c r="J22" s="52" t="str">
        <f t="shared" si="0"/>
        <v>N/A</v>
      </c>
      <c r="K22" s="148" t="str" cm="1">
        <f t="array" ref="K22">IF(AC22="N/A","",_xlfn.IFS(Y22="m2",((AA22/(Z22/AL22))*I22),Y22="m3",((AA22/(Z22/AL22))*I22),Y22="kg",(((AA22*AM22)/(1/AL22))*I22),Y22="ton",(((AA22/1000*AM22)/(1/AL22))*I22),Y22="N/A",""))</f>
        <v/>
      </c>
      <c r="L22" s="52" t="str">
        <f t="shared" si="14"/>
        <v>N/A</v>
      </c>
      <c r="M22" s="148" t="str" cm="1">
        <f t="array" ref="M22">(_xlfn.IFS(Y22="m2",((AB22/(Z22/AL22))*I22),Y22="m3",((AB22/(Z22/AL22))*I22),Y22="kg",(((AB22*AM22)/(1/AL22))*I22),Y22="ton",(((AB22/1000*AM22)/(1/AL22))*I22),Y22="N/A",""))</f>
        <v/>
      </c>
      <c r="N22" s="52" t="str">
        <f t="shared" si="15"/>
        <v>N/A</v>
      </c>
      <c r="O22" s="148" t="str" cm="1">
        <f t="array" ref="O22">IF(AC22="N/A","",_xlfn.IFS(Y22="m2",((AC22/(Z22/AL22))*I22),Y22="m3",((AC22/(Z22/AL22))*I22),Y22="kg",(((AC22*AM22)/(1/AL22))*I22),Y22="ton",(((AC22/1000*AM22)/(1/AL22))*I22),Y22="N/A",""))</f>
        <v/>
      </c>
      <c r="P22" s="52" t="str">
        <f t="shared" si="16"/>
        <v>N/A</v>
      </c>
      <c r="Q22" s="155" t="str" cm="1">
        <f t="array" ref="Q22">IF(AE22="N/A","",_xlfn.IFS(Y22="m2",((AE22/(Z22/AL22))*I22),Y22="m3",((AE22/(Z22/AL22))*I22),Y22="kg",(((AE22*AM22)/(1/AL22))*I22),Y22="ton",(((AE22/1000*AM22)/(1/AL22))*I22),Y22="N/A",""))</f>
        <v/>
      </c>
      <c r="R22" s="47" t="s">
        <v>191</v>
      </c>
      <c r="S22" s="47"/>
      <c r="T22" s="47" t="s">
        <v>191</v>
      </c>
      <c r="U22" s="47" t="s">
        <v>191</v>
      </c>
      <c r="V22" s="47" t="s">
        <v>191</v>
      </c>
      <c r="X22" s="47" t="s">
        <v>191</v>
      </c>
      <c r="Y22" s="47" t="s">
        <v>191</v>
      </c>
      <c r="Z22" s="47" t="s">
        <v>191</v>
      </c>
      <c r="AA22" s="52" t="str">
        <f t="shared" si="17"/>
        <v>N/A</v>
      </c>
      <c r="AB22" s="52" t="s">
        <v>191</v>
      </c>
      <c r="AC22" s="52" t="s">
        <v>191</v>
      </c>
      <c r="AD22" s="52" t="s">
        <v>191</v>
      </c>
      <c r="AE22" s="52" t="s">
        <v>191</v>
      </c>
      <c r="AF22" s="47"/>
      <c r="AG22" s="115" t="str">
        <f t="shared" si="4"/>
        <v xml:space="preserve">F </v>
      </c>
      <c r="AH22" s="122" t="s">
        <v>82</v>
      </c>
      <c r="AI22" s="125"/>
      <c r="AJ22" s="46"/>
      <c r="AK22" s="46"/>
      <c r="AL22" s="47" t="s">
        <v>191</v>
      </c>
      <c r="AM22" s="47" t="s">
        <v>191</v>
      </c>
      <c r="AO22" s="105" t="s">
        <v>17</v>
      </c>
      <c r="AP22" s="106" t="s">
        <v>17</v>
      </c>
      <c r="AQ22" s="46"/>
    </row>
    <row r="23" spans="1:44" s="16" customFormat="1" ht="25.2" customHeight="1" x14ac:dyDescent="0.15">
      <c r="A23" s="47" t="s">
        <v>336</v>
      </c>
      <c r="B23" s="47" t="s">
        <v>208</v>
      </c>
      <c r="C23" s="47" t="str">
        <f>""</f>
        <v/>
      </c>
      <c r="D23" s="47" t="s">
        <v>163</v>
      </c>
      <c r="E23" s="88" t="s">
        <v>153</v>
      </c>
      <c r="F23" s="47" t="s">
        <v>55</v>
      </c>
      <c r="G23" s="85" t="s">
        <v>291</v>
      </c>
      <c r="I23" s="111">
        <v>1</v>
      </c>
      <c r="J23" s="52">
        <f t="shared" si="0"/>
        <v>2.1276000000000006</v>
      </c>
      <c r="K23" s="148" cm="1">
        <f t="array" ref="K23">IF(AC23="N/A","",_xlfn.IFS(Y23="m2",((AA23/(Z23/AL23))*I23),Y23="m3",((AA23/(Z23/AL23))*I23),Y23="kg",(((AA23*AM23)/(1/AL23))*I23),Y23="ton",(((AA23/1000*AM23)/(1/AL23))*I23),Y23="N/A",""))</f>
        <v>2.1276000000000006</v>
      </c>
      <c r="L23" s="52">
        <f t="shared" si="14"/>
        <v>-16.919999999999998</v>
      </c>
      <c r="M23" s="148" cm="1">
        <f t="array" ref="M23">(_xlfn.IFS(Y23="m2",((AB23/(Z23/AL23))*I23),Y23="m3",((AB23/(Z23/AL23))*I23),Y23="kg",(((AB23*AM23)/(1/AL23))*I23),Y23="ton",(((AB23/1000*AM23)/(1/AL23))*I23),Y23="N/A",""))</f>
        <v>-16.919999999999998</v>
      </c>
      <c r="N23" s="52">
        <f t="shared" si="15"/>
        <v>19.047599999999999</v>
      </c>
      <c r="O23" s="148" cm="1">
        <f t="array" ref="O23">IF(AC23="N/A","",(_xlfn.IFS(Y23="m2",((AC23/(Z23/AL23))*I23),Y23="m3",((AC23/(Z23/AL23))*I23),Y23="kg",(((AC23*AM23)/(1/AL23))*I23),Y23="ton",(((AC23/1000*AM23)/(1/AL23))*I23),Y23="N/A","")))</f>
        <v>19.047599999999999</v>
      </c>
      <c r="P23" s="52">
        <f t="shared" si="16"/>
        <v>-27.18</v>
      </c>
      <c r="Q23" s="155" cm="1">
        <f t="array" ref="Q23">IF(AE23="N/A","",_xlfn.IFS(Y23="m2",((AE23/(Z23/AL23))*I23),Y23="m3",((AE23/(Z23/AL23))*I23),Y23="kg",(((AE23*AM23)/(1/AL23))*I23),Y23="ton",(((AE23/1000*AM23)/(1/AL23))*I23),Y23="N/A",""))</f>
        <v>-27.18</v>
      </c>
      <c r="R23" s="88" t="s">
        <v>5</v>
      </c>
      <c r="S23" s="88"/>
      <c r="T23" s="47">
        <v>2027</v>
      </c>
      <c r="U23" s="47" t="s">
        <v>28</v>
      </c>
      <c r="V23" s="47">
        <v>60</v>
      </c>
      <c r="W23" s="39"/>
      <c r="X23" s="47" t="s">
        <v>611</v>
      </c>
      <c r="Y23" s="47" t="s">
        <v>20</v>
      </c>
      <c r="Z23" s="47">
        <v>1</v>
      </c>
      <c r="AA23" s="52">
        <f t="shared" ref="AA23:AA30" si="18">IF(AC23="N/A","N/A",SUM(AB23:AC23))</f>
        <v>118.20000000000005</v>
      </c>
      <c r="AB23" s="52">
        <v>-940</v>
      </c>
      <c r="AC23" s="52">
        <f>1030+28.2</f>
        <v>1058.2</v>
      </c>
      <c r="AD23" s="52">
        <v>-682</v>
      </c>
      <c r="AE23" s="52">
        <v>-1510</v>
      </c>
      <c r="AF23" s="19"/>
      <c r="AG23" s="115" t="str">
        <f t="shared" si="4"/>
        <v xml:space="preserve">F </v>
      </c>
      <c r="AH23" s="75" t="s">
        <v>82</v>
      </c>
      <c r="AI23" s="83"/>
      <c r="AJ23" s="103"/>
      <c r="AL23" s="47">
        <v>1.7999999999999999E-2</v>
      </c>
      <c r="AM23" s="47">
        <v>670</v>
      </c>
      <c r="AO23" s="80" t="s">
        <v>17</v>
      </c>
      <c r="AP23" s="160" t="s">
        <v>17</v>
      </c>
      <c r="AQ23" s="73"/>
      <c r="AR23" s="26"/>
    </row>
    <row r="24" spans="1:44" s="16" customFormat="1" ht="25.2" customHeight="1" x14ac:dyDescent="0.15">
      <c r="A24" s="47" t="s">
        <v>337</v>
      </c>
      <c r="B24" s="47" t="s">
        <v>208</v>
      </c>
      <c r="C24" s="47" t="str">
        <f>""</f>
        <v/>
      </c>
      <c r="D24" s="47" t="s">
        <v>163</v>
      </c>
      <c r="E24" s="88" t="s">
        <v>153</v>
      </c>
      <c r="F24" s="47" t="s">
        <v>55</v>
      </c>
      <c r="G24" s="85" t="s">
        <v>291</v>
      </c>
      <c r="I24" s="111">
        <v>1</v>
      </c>
      <c r="J24" s="52">
        <f t="shared" si="0"/>
        <v>6.2117586000000005</v>
      </c>
      <c r="K24" s="148" cm="1">
        <f t="array" ref="K24">IF(AC24="N/A","",_xlfn.IFS(Y24="m2",((AA24/(Z24/AL24))*I24),Y24="m3",((AA24/(Z24/AL24))*I24),Y24="kg",(((AA24*AM24)/(1/AL24))*I24),Y24="ton",(((AA24/1000*AM24)/(1/AL24))*I24),Y24="N/A",""))</f>
        <v>6.2117586000000005</v>
      </c>
      <c r="L24" s="52">
        <f t="shared" ref="L24:L25" si="19">IF(M24="","N/A",M24)</f>
        <v>-12.87</v>
      </c>
      <c r="M24" s="148" cm="1">
        <f t="array" ref="M24">(_xlfn.IFS(Y24="m2",((AB24/(Z24/AL24))*I24),Y24="m3",((AB24/(Z24/AL24))*I24),Y24="kg",(((AB24*AM24)/(1/AL24))*I24),Y24="ton",(((AB24/1000*AM24)/(1/AL24))*I24),Y24="N/A",""))</f>
        <v>-12.87</v>
      </c>
      <c r="N24" s="52">
        <f t="shared" ref="N24:N25" si="20">IF(O24="","N/A",O24)</f>
        <v>19.081758600000001</v>
      </c>
      <c r="O24" s="148" cm="1">
        <f t="array" ref="O24">IF(AC24="N/A","",(_xlfn.IFS(Y24="m2",((AC24/(Z24/AL24))*I24),Y24="m3",((AC24/(Z24/AL24))*I24),Y24="kg",(((AC24*AM24)/(1/AL24))*I24),Y24="ton",(((AC24/1000*AM24)/(1/AL24))*I24),Y24="N/A","")))</f>
        <v>19.081758600000001</v>
      </c>
      <c r="P24" s="52">
        <f t="shared" ref="P24:P25" si="21">IF(Q24="","N/A",Q24)</f>
        <v>-18.899999999999999</v>
      </c>
      <c r="Q24" s="155" cm="1">
        <f t="array" ref="Q24">IF(AE24="N/A","",_xlfn.IFS(Y24="m2",((AE24/(Z24/AL24))*I24),Y24="m3",((AE24/(Z24/AL24))*I24),Y24="kg",(((AE24*AM24)/(1/AL24))*I24),Y24="ton",(((AE24/1000*AM24)/(1/AL24))*I24),Y24="N/A",""))</f>
        <v>-18.899999999999999</v>
      </c>
      <c r="R24" s="88" t="s">
        <v>5</v>
      </c>
      <c r="S24" s="88"/>
      <c r="T24" s="47">
        <v>2027</v>
      </c>
      <c r="U24" s="47" t="s">
        <v>28</v>
      </c>
      <c r="V24" s="47">
        <v>30</v>
      </c>
      <c r="W24" s="39"/>
      <c r="X24" s="47" t="s">
        <v>612</v>
      </c>
      <c r="Y24" s="47" t="s">
        <v>20</v>
      </c>
      <c r="Z24" s="47">
        <v>1</v>
      </c>
      <c r="AA24" s="52">
        <f t="shared" ref="AA24:AA31" si="22">IF(AC24="N/A","N/A",SUM(AB24:AC24))</f>
        <v>345.09770000000003</v>
      </c>
      <c r="AB24" s="52">
        <v>-715</v>
      </c>
      <c r="AC24" s="52">
        <f>1060+0.0977</f>
        <v>1060.0977</v>
      </c>
      <c r="AD24" s="52">
        <v>-1380</v>
      </c>
      <c r="AE24" s="52">
        <v>-1050</v>
      </c>
      <c r="AF24" s="19"/>
      <c r="AG24" s="115" t="str">
        <f t="shared" si="4"/>
        <v xml:space="preserve">F </v>
      </c>
      <c r="AH24" s="75" t="s">
        <v>82</v>
      </c>
      <c r="AI24" s="83"/>
      <c r="AJ24" s="103"/>
      <c r="AL24" s="47">
        <v>1.7999999999999999E-2</v>
      </c>
      <c r="AM24" s="47">
        <v>570</v>
      </c>
      <c r="AO24" s="80" t="s">
        <v>17</v>
      </c>
      <c r="AP24" s="160" t="s">
        <v>17</v>
      </c>
      <c r="AQ24" s="73"/>
      <c r="AR24" s="26"/>
    </row>
    <row r="25" spans="1:44" s="25" customFormat="1" ht="25.2" customHeight="1" x14ac:dyDescent="0.15">
      <c r="A25" s="25" t="s">
        <v>1185</v>
      </c>
      <c r="B25" s="47" t="s">
        <v>208</v>
      </c>
      <c r="C25" s="47" t="str">
        <f>""</f>
        <v/>
      </c>
      <c r="D25" s="47" t="s">
        <v>733</v>
      </c>
      <c r="E25" s="186" t="s">
        <v>146</v>
      </c>
      <c r="F25" s="47" t="s">
        <v>55</v>
      </c>
      <c r="G25" s="85" t="s">
        <v>291</v>
      </c>
      <c r="H25" s="46"/>
      <c r="I25" s="111">
        <v>1</v>
      </c>
      <c r="J25" s="52">
        <f t="shared" ref="J25:J31" si="23">IF(AC25="N/A","N/A",IF(K25="","N/A",K25))</f>
        <v>2.4000000000000004</v>
      </c>
      <c r="K25" s="148" cm="1">
        <f t="array" ref="K25">IF(AC25="N/A","",_xlfn.IFS(Y25="m2",((AA25/(Z25/AL25))*I25),Y25="m3",((AA25/(Z25/AL25))*I25),Y25="kg",(((AA25*AM25)/(1/AL25))*I25),Y25="ton",(((AA25/1000*AM25)/(1/AL25))*I25),Y25="N/A",""))</f>
        <v>2.4000000000000004</v>
      </c>
      <c r="L25" s="52">
        <f t="shared" si="19"/>
        <v>-13.1</v>
      </c>
      <c r="M25" s="148" cm="1">
        <f t="array" ref="M25">(_xlfn.IFS(Y25="m2",((AB25/(Z25/AL25))*I25),Y25="m3",((AB25/(Z25/AL25))*I25),Y25="kg",(((AB25*AM25)/(1/AL25))*I25),Y25="ton",(((AB25/1000*AM25)/(1/AL25))*I25),Y25="N/A",""))</f>
        <v>-13.1</v>
      </c>
      <c r="N25" s="52">
        <f t="shared" si="20"/>
        <v>15.5</v>
      </c>
      <c r="O25" s="148" cm="1">
        <f t="array" ref="O25">IF(AC25="N/A","",(_xlfn.IFS(Y25="m2",((AC25/(Z25/AL25))*I25),Y25="m3",((AC25/(Z25/AL25))*I25),Y25="kg",(((AC25*AM25)/(1/AL25))*I25),Y25="ton",(((AC25/1000*AM25)/(1/AL25))*I25),Y25="N/A","")))</f>
        <v>15.5</v>
      </c>
      <c r="P25" s="52">
        <f t="shared" si="21"/>
        <v>-15.3</v>
      </c>
      <c r="Q25" s="155" cm="1">
        <f t="array" ref="Q25">IF(AE25="N/A","",_xlfn.IFS(Y25="m2",((AE25/(Z25/AL25))*I25),Y25="m3",((AE25/(Z25/AL25))*I25),Y25="kg",(((AE25*AM25)/(1/AL25))*I25),Y25="ton",(((AE25/1000*AM25)/(1/AL25))*I25),Y25="N/A",""))</f>
        <v>-15.3</v>
      </c>
      <c r="R25" s="186" t="s">
        <v>5</v>
      </c>
      <c r="S25" s="47"/>
      <c r="T25" s="47">
        <v>2027</v>
      </c>
      <c r="U25" s="47" t="s">
        <v>28</v>
      </c>
      <c r="V25" s="47" t="s">
        <v>191</v>
      </c>
      <c r="X25" s="47" t="s">
        <v>734</v>
      </c>
      <c r="Y25" s="47" t="s">
        <v>15</v>
      </c>
      <c r="Z25" s="47">
        <v>1.4999999999999999E-2</v>
      </c>
      <c r="AA25" s="52">
        <f t="shared" si="18"/>
        <v>2.4000000000000004</v>
      </c>
      <c r="AB25" s="52">
        <f>-13.1</f>
        <v>-13.1</v>
      </c>
      <c r="AC25" s="52">
        <f>15.5+0</f>
        <v>15.5</v>
      </c>
      <c r="AD25" s="52">
        <f>-1.47</f>
        <v>-1.47</v>
      </c>
      <c r="AE25" s="52">
        <f>-15.3</f>
        <v>-15.3</v>
      </c>
      <c r="AF25" s="47"/>
      <c r="AG25" s="115"/>
      <c r="AH25" s="75" t="s">
        <v>82</v>
      </c>
      <c r="AI25" s="125"/>
      <c r="AJ25" s="46"/>
      <c r="AK25" s="46"/>
      <c r="AL25" s="47">
        <v>1.4999999999999999E-2</v>
      </c>
      <c r="AM25" s="47">
        <f>9.75*1/AL25</f>
        <v>650</v>
      </c>
      <c r="AO25" s="173" t="s">
        <v>17</v>
      </c>
      <c r="AP25" s="73"/>
      <c r="AQ25" s="46"/>
    </row>
    <row r="26" spans="1:44" s="25" customFormat="1" ht="25.2" customHeight="1" x14ac:dyDescent="0.15">
      <c r="A26" s="25" t="s">
        <v>1181</v>
      </c>
      <c r="B26" s="47" t="s">
        <v>208</v>
      </c>
      <c r="C26" s="47" t="str">
        <f>""</f>
        <v/>
      </c>
      <c r="D26" s="47" t="s">
        <v>733</v>
      </c>
      <c r="E26" s="186" t="s">
        <v>146</v>
      </c>
      <c r="F26" s="47" t="s">
        <v>55</v>
      </c>
      <c r="G26" s="85" t="s">
        <v>291</v>
      </c>
      <c r="H26" s="46"/>
      <c r="I26" s="111">
        <v>1</v>
      </c>
      <c r="J26" s="52">
        <f t="shared" si="23"/>
        <v>3.5</v>
      </c>
      <c r="K26" s="148" cm="1">
        <f t="array" ref="K26">IF(AC26="N/A","",_xlfn.IFS(Y26="m2",((AA26/(Z26/AL26))*I26),Y26="m3",((AA26/(Z26/AL26))*I26),Y26="kg",(((AA26*AM26)/(1/AL26))*I26),Y26="ton",(((AA26/1000*AM26)/(1/AL26))*I26),Y26="N/A",""))</f>
        <v>3.5</v>
      </c>
      <c r="L26" s="52">
        <f t="shared" ref="L26:L31" si="24">IF(M26="","N/A",M26)</f>
        <v>-13</v>
      </c>
      <c r="M26" s="148" cm="1">
        <f t="array" ref="M26">(_xlfn.IFS(Y26="m2",((AB26/(Z26/AL26))*I26),Y26="m3",((AB26/(Z26/AL26))*I26),Y26="kg",(((AB26*AM26)/(1/AL26))*I26),Y26="ton",(((AB26/1000*AM26)/(1/AL26))*I26),Y26="N/A",""))</f>
        <v>-13</v>
      </c>
      <c r="N26" s="52">
        <f t="shared" ref="N26:N31" si="25">IF(O26="","N/A",O26)</f>
        <v>16.5</v>
      </c>
      <c r="O26" s="148" cm="1">
        <f t="array" ref="O26">IF(AC26="N/A","",(_xlfn.IFS(Y26="m2",((AC26/(Z26/AL26))*I26),Y26="m3",((AC26/(Z26/AL26))*I26),Y26="kg",(((AC26*AM26)/(1/AL26))*I26),Y26="ton",(((AC26/1000*AM26)/(1/AL26))*I26),Y26="N/A","")))</f>
        <v>16.5</v>
      </c>
      <c r="P26" s="52">
        <f t="shared" ref="P26:P31" si="26">IF(Q26="","N/A",Q26)</f>
        <v>-16.3</v>
      </c>
      <c r="Q26" s="155" cm="1">
        <f t="array" ref="Q26">IF(AE26="N/A","",_xlfn.IFS(Y26="m2",((AE26/(Z26/AL26))*I26),Y26="m3",((AE26/(Z26/AL26))*I26),Y26="kg",(((AE26*AM26)/(1/AL26))*I26),Y26="ton",(((AE26/1000*AM26)/(1/AL26))*I26),Y26="N/A",""))</f>
        <v>-16.3</v>
      </c>
      <c r="R26" s="186" t="s">
        <v>5</v>
      </c>
      <c r="S26" s="47"/>
      <c r="T26" s="47">
        <v>2027</v>
      </c>
      <c r="U26" s="47" t="s">
        <v>28</v>
      </c>
      <c r="V26" s="47" t="s">
        <v>191</v>
      </c>
      <c r="X26" s="47" t="s">
        <v>734</v>
      </c>
      <c r="Y26" s="47" t="s">
        <v>15</v>
      </c>
      <c r="Z26" s="47">
        <v>1.6E-2</v>
      </c>
      <c r="AA26" s="52">
        <f t="shared" si="18"/>
        <v>3.5</v>
      </c>
      <c r="AB26" s="52">
        <v>-13</v>
      </c>
      <c r="AC26" s="52">
        <f>16.5+0</f>
        <v>16.5</v>
      </c>
      <c r="AD26" s="52">
        <f>-1.57</f>
        <v>-1.57</v>
      </c>
      <c r="AE26" s="52">
        <f>-16.3</f>
        <v>-16.3</v>
      </c>
      <c r="AF26" s="47"/>
      <c r="AG26" s="115"/>
      <c r="AH26" s="75" t="s">
        <v>82</v>
      </c>
      <c r="AI26" s="125"/>
      <c r="AJ26" s="46"/>
      <c r="AK26" s="46"/>
      <c r="AL26" s="47">
        <v>1.6E-2</v>
      </c>
      <c r="AM26" s="47">
        <f>10.4*1/AL26</f>
        <v>650</v>
      </c>
      <c r="AO26" s="173" t="s">
        <v>17</v>
      </c>
      <c r="AP26" s="73"/>
      <c r="AQ26" s="46"/>
    </row>
    <row r="27" spans="1:44" s="25" customFormat="1" ht="25.2" customHeight="1" x14ac:dyDescent="0.15">
      <c r="A27" s="25" t="s">
        <v>1180</v>
      </c>
      <c r="B27" s="47" t="s">
        <v>208</v>
      </c>
      <c r="C27" s="47" t="str">
        <f>""</f>
        <v/>
      </c>
      <c r="D27" s="47" t="s">
        <v>733</v>
      </c>
      <c r="E27" s="186" t="s">
        <v>146</v>
      </c>
      <c r="F27" s="47" t="s">
        <v>55</v>
      </c>
      <c r="G27" s="85" t="s">
        <v>291</v>
      </c>
      <c r="H27" s="46"/>
      <c r="I27" s="111">
        <v>1</v>
      </c>
      <c r="J27" s="52">
        <f t="shared" si="23"/>
        <v>3.5999999999999996</v>
      </c>
      <c r="K27" s="148" cm="1">
        <f t="array" ref="K27">IF(AC27="N/A","",_xlfn.IFS(Y27="m2",((AA27/(Z27/AL27))*I27),Y27="m3",((AA27/(Z27/AL27))*I27),Y27="kg",(((AA27*AM27)/(1/AL27))*I27),Y27="ton",(((AA27/1000*AM27)/(1/AL27))*I27),Y27="N/A",""))</f>
        <v>3.5999999999999996</v>
      </c>
      <c r="L27" s="52">
        <f t="shared" si="24"/>
        <v>-12.9</v>
      </c>
      <c r="M27" s="148" cm="1">
        <f t="array" ref="M27">(_xlfn.IFS(Y27="m2",((AB27/(Z27/AL27))*I27),Y27="m3",((AB27/(Z27/AL27))*I27),Y27="kg",(((AB27*AM27)/(1/AL27))*I27),Y27="ton",(((AB27/1000*AM27)/(1/AL27))*I27),Y27="N/A",""))</f>
        <v>-12.9</v>
      </c>
      <c r="N27" s="52">
        <f t="shared" si="25"/>
        <v>16.5</v>
      </c>
      <c r="O27" s="148" cm="1">
        <f t="array" ref="O27">IF(AC27="N/A","",(_xlfn.IFS(Y27="m2",((AC27/(Z27/AL27))*I27),Y27="m3",((AC27/(Z27/AL27))*I27),Y27="kg",(((AC27*AM27)/(1/AL27))*I27),Y27="ton",(((AC27/1000*AM27)/(1/AL27))*I27),Y27="N/A","")))</f>
        <v>16.5</v>
      </c>
      <c r="P27" s="52">
        <f t="shared" si="26"/>
        <v>-16.3</v>
      </c>
      <c r="Q27" s="155" cm="1">
        <f t="array" ref="Q27">IF(AE27="N/A","",_xlfn.IFS(Y27="m2",((AE27/(Z27/AL27))*I27),Y27="m3",((AE27/(Z27/AL27))*I27),Y27="kg",(((AE27*AM27)/(1/AL27))*I27),Y27="ton",(((AE27/1000*AM27)/(1/AL27))*I27),Y27="N/A",""))</f>
        <v>-16.3</v>
      </c>
      <c r="R27" s="186" t="s">
        <v>5</v>
      </c>
      <c r="S27" s="47"/>
      <c r="T27" s="47">
        <v>2027</v>
      </c>
      <c r="U27" s="47" t="s">
        <v>28</v>
      </c>
      <c r="V27" s="47" t="s">
        <v>191</v>
      </c>
      <c r="X27" s="47" t="s">
        <v>734</v>
      </c>
      <c r="Y27" s="47" t="s">
        <v>15</v>
      </c>
      <c r="Z27" s="47">
        <v>1.6E-2</v>
      </c>
      <c r="AA27" s="52">
        <f t="shared" si="22"/>
        <v>3.5999999999999996</v>
      </c>
      <c r="AB27" s="52">
        <f>-12.9</f>
        <v>-12.9</v>
      </c>
      <c r="AC27" s="52">
        <f>16.5+0</f>
        <v>16.5</v>
      </c>
      <c r="AD27" s="52">
        <f>-1.57</f>
        <v>-1.57</v>
      </c>
      <c r="AE27" s="52">
        <f>-16.3</f>
        <v>-16.3</v>
      </c>
      <c r="AF27" s="47"/>
      <c r="AG27" s="115"/>
      <c r="AH27" s="75" t="s">
        <v>82</v>
      </c>
      <c r="AI27" s="125"/>
      <c r="AJ27" s="46"/>
      <c r="AK27" s="46"/>
      <c r="AL27" s="47">
        <v>1.6E-2</v>
      </c>
      <c r="AM27" s="47">
        <f>10.4*1/AL27</f>
        <v>650</v>
      </c>
      <c r="AO27" s="173" t="s">
        <v>17</v>
      </c>
      <c r="AP27" s="73"/>
      <c r="AQ27" s="46"/>
    </row>
    <row r="28" spans="1:44" s="25" customFormat="1" ht="25.2" customHeight="1" x14ac:dyDescent="0.15">
      <c r="A28" s="25" t="s">
        <v>1182</v>
      </c>
      <c r="B28" s="47" t="s">
        <v>208</v>
      </c>
      <c r="C28" s="47" t="str">
        <f>""</f>
        <v/>
      </c>
      <c r="D28" s="47" t="s">
        <v>733</v>
      </c>
      <c r="E28" s="186" t="s">
        <v>146</v>
      </c>
      <c r="F28" s="47" t="s">
        <v>55</v>
      </c>
      <c r="G28" s="85" t="s">
        <v>291</v>
      </c>
      <c r="H28" s="46"/>
      <c r="I28" s="111">
        <v>1</v>
      </c>
      <c r="J28" s="52">
        <f t="shared" si="23"/>
        <v>1.8100000000000005</v>
      </c>
      <c r="K28" s="148" cm="1">
        <f t="array" ref="K28">IF(AC28="N/A","",_xlfn.IFS(Y28="m2",((AA28/(Z28/AL28))*I28),Y28="m3",((AA28/(Z28/AL28))*I28),Y28="kg",(((AA28*AM28)/(1/AL28))*I28),Y28="ton",(((AA28/1000*AM28)/(1/AL28))*I28),Y28="N/A",""))</f>
        <v>1.8100000000000005</v>
      </c>
      <c r="L28" s="52">
        <f t="shared" si="24"/>
        <v>-8.49</v>
      </c>
      <c r="M28" s="148" cm="1">
        <f t="array" ref="M28">(_xlfn.IFS(Y28="m2",((AB28/(Z28/AL28))*I28),Y28="m3",((AB28/(Z28/AL28))*I28),Y28="kg",(((AB28*AM28)/(1/AL28))*I28),Y28="ton",(((AB28/1000*AM28)/(1/AL28))*I28),Y28="N/A",""))</f>
        <v>-8.49</v>
      </c>
      <c r="N28" s="52">
        <f t="shared" si="25"/>
        <v>10.3</v>
      </c>
      <c r="O28" s="148" cm="1">
        <f t="array" ref="O28">IF(AC28="N/A","",(_xlfn.IFS(Y28="m2",((AC28/(Z28/AL28))*I28),Y28="m3",((AC28/(Z28/AL28))*I28),Y28="kg",(((AC28*AM28)/(1/AL28))*I28),Y28="ton",(((AC28/1000*AM28)/(1/AL28))*I28),Y28="N/A","")))</f>
        <v>10.3</v>
      </c>
      <c r="P28" s="52">
        <f t="shared" si="26"/>
        <v>-10.199999999999999</v>
      </c>
      <c r="Q28" s="155" cm="1">
        <f t="array" ref="Q28">IF(AE28="N/A","",_xlfn.IFS(Y28="m2",((AE28/(Z28/AL28))*I28),Y28="m3",((AE28/(Z28/AL28))*I28),Y28="kg",(((AE28*AM28)/(1/AL28))*I28),Y28="ton",(((AE28/1000*AM28)/(1/AL28))*I28),Y28="N/A",""))</f>
        <v>-10.199999999999999</v>
      </c>
      <c r="R28" s="186" t="s">
        <v>5</v>
      </c>
      <c r="S28" s="47"/>
      <c r="T28" s="47">
        <v>2027</v>
      </c>
      <c r="U28" s="47" t="s">
        <v>28</v>
      </c>
      <c r="V28" s="47" t="s">
        <v>191</v>
      </c>
      <c r="X28" s="47" t="s">
        <v>734</v>
      </c>
      <c r="Y28" s="47" t="s">
        <v>15</v>
      </c>
      <c r="Z28" s="47">
        <v>0.01</v>
      </c>
      <c r="AA28" s="52">
        <f t="shared" si="18"/>
        <v>1.8100000000000005</v>
      </c>
      <c r="AB28" s="52">
        <v>-8.49</v>
      </c>
      <c r="AC28" s="52">
        <f>10.3+0</f>
        <v>10.3</v>
      </c>
      <c r="AD28" s="52">
        <v>-0.97899999999999998</v>
      </c>
      <c r="AE28" s="52">
        <v>-10.199999999999999</v>
      </c>
      <c r="AF28" s="47"/>
      <c r="AG28" s="115"/>
      <c r="AH28" s="75" t="s">
        <v>82</v>
      </c>
      <c r="AI28" s="125"/>
      <c r="AJ28" s="46"/>
      <c r="AK28" s="46"/>
      <c r="AL28" s="47">
        <v>0.01</v>
      </c>
      <c r="AM28" s="47">
        <f>6.63*1/AL28</f>
        <v>663</v>
      </c>
      <c r="AO28" s="173" t="s">
        <v>17</v>
      </c>
      <c r="AP28" s="73"/>
      <c r="AQ28" s="46"/>
    </row>
    <row r="29" spans="1:44" s="25" customFormat="1" ht="25.2" customHeight="1" x14ac:dyDescent="0.15">
      <c r="A29" s="25" t="s">
        <v>1183</v>
      </c>
      <c r="B29" s="47" t="s">
        <v>208</v>
      </c>
      <c r="C29" s="47" t="str">
        <f>""</f>
        <v/>
      </c>
      <c r="D29" s="47" t="s">
        <v>733</v>
      </c>
      <c r="E29" s="186" t="s">
        <v>146</v>
      </c>
      <c r="F29" s="47" t="s">
        <v>55</v>
      </c>
      <c r="G29" s="85" t="s">
        <v>291</v>
      </c>
      <c r="H29" s="46"/>
      <c r="I29" s="111">
        <v>1</v>
      </c>
      <c r="J29" s="52">
        <f t="shared" si="23"/>
        <v>2.2900000000000009</v>
      </c>
      <c r="K29" s="148" cm="1">
        <f t="array" ref="K29">IF(AC29="N/A","",_xlfn.IFS(Y29="m2",((AA29/(Z29/AL29))*I29),Y29="m3",((AA29/(Z29/AL29))*I29),Y29="kg",(((AA29*AM29)/(1/AL29))*I29),Y29="ton",(((AA29/1000*AM29)/(1/AL29))*I29),Y29="N/A",""))</f>
        <v>2.2900000000000009</v>
      </c>
      <c r="L29" s="52">
        <f t="shared" si="24"/>
        <v>-8.01</v>
      </c>
      <c r="M29" s="148" cm="1">
        <f t="array" ref="M29">(_xlfn.IFS(Y29="m2",((AB29/(Z29/AL29))*I29),Y29="m3",((AB29/(Z29/AL29))*I29),Y29="kg",(((AB29*AM29)/(1/AL29))*I29),Y29="ton",(((AB29/1000*AM29)/(1/AL29))*I29),Y29="N/A",""))</f>
        <v>-8.01</v>
      </c>
      <c r="N29" s="52">
        <f t="shared" si="25"/>
        <v>10.3</v>
      </c>
      <c r="O29" s="148" cm="1">
        <f t="array" ref="O29">IF(AC29="N/A","",(_xlfn.IFS(Y29="m2",((AC29/(Z29/AL29))*I29),Y29="m3",((AC29/(Z29/AL29))*I29),Y29="kg",(((AC29*AM29)/(1/AL29))*I29),Y29="ton",(((AC29/1000*AM29)/(1/AL29))*I29),Y29="N/A","")))</f>
        <v>10.3</v>
      </c>
      <c r="P29" s="52">
        <f t="shared" si="26"/>
        <v>-10.199999999999999</v>
      </c>
      <c r="Q29" s="155" cm="1">
        <f t="array" ref="Q29">IF(AE29="N/A","",_xlfn.IFS(Y29="m2",((AE29/(Z29/AL29))*I29),Y29="m3",((AE29/(Z29/AL29))*I29),Y29="kg",(((AE29*AM29)/(1/AL29))*I29),Y29="ton",(((AE29/1000*AM29)/(1/AL29))*I29),Y29="N/A",""))</f>
        <v>-10.199999999999999</v>
      </c>
      <c r="R29" s="186" t="s">
        <v>5</v>
      </c>
      <c r="S29" s="47"/>
      <c r="T29" s="47">
        <v>2027</v>
      </c>
      <c r="U29" s="47" t="s">
        <v>28</v>
      </c>
      <c r="V29" s="47" t="s">
        <v>191</v>
      </c>
      <c r="X29" s="47" t="s">
        <v>734</v>
      </c>
      <c r="Y29" s="47" t="s">
        <v>15</v>
      </c>
      <c r="Z29" s="47">
        <v>0.01</v>
      </c>
      <c r="AA29" s="52">
        <f t="shared" si="22"/>
        <v>2.2900000000000009</v>
      </c>
      <c r="AB29" s="52">
        <f>-8.01</f>
        <v>-8.01</v>
      </c>
      <c r="AC29" s="52">
        <f>10.3+0</f>
        <v>10.3</v>
      </c>
      <c r="AD29" s="52">
        <v>-0.97899999999999998</v>
      </c>
      <c r="AE29" s="52">
        <v>-10.199999999999999</v>
      </c>
      <c r="AF29" s="47"/>
      <c r="AG29" s="115"/>
      <c r="AH29" s="75" t="s">
        <v>82</v>
      </c>
      <c r="AI29" s="125"/>
      <c r="AJ29" s="46"/>
      <c r="AK29" s="46"/>
      <c r="AL29" s="47">
        <v>0.01</v>
      </c>
      <c r="AM29" s="47">
        <f>6.5*1/AL29</f>
        <v>650</v>
      </c>
      <c r="AO29" s="173" t="s">
        <v>17</v>
      </c>
      <c r="AP29" s="73"/>
      <c r="AQ29" s="46"/>
    </row>
    <row r="30" spans="1:44" s="25" customFormat="1" ht="25.2" customHeight="1" x14ac:dyDescent="0.15">
      <c r="A30" s="25" t="s">
        <v>1184</v>
      </c>
      <c r="B30" s="47" t="s">
        <v>208</v>
      </c>
      <c r="C30" s="47" t="str">
        <f>""</f>
        <v/>
      </c>
      <c r="D30" s="47" t="s">
        <v>733</v>
      </c>
      <c r="E30" s="186" t="s">
        <v>146</v>
      </c>
      <c r="F30" s="47" t="s">
        <v>55</v>
      </c>
      <c r="G30" s="85" t="s">
        <v>291</v>
      </c>
      <c r="H30" s="46"/>
      <c r="I30" s="111">
        <v>1</v>
      </c>
      <c r="J30" s="52">
        <f t="shared" si="23"/>
        <v>3.5999999999999996</v>
      </c>
      <c r="K30" s="148" cm="1">
        <f t="array" ref="K30">IF(AC30="N/A","",_xlfn.IFS(Y30="m2",((AA30/(Z30/AL30))*I30),Y30="m3",((AA30/(Z30/AL30))*I30),Y30="kg",(((AA30*AM30)/(1/AL30))*I30),Y30="ton",(((AA30/1000*AM30)/(1/AL30))*I30),Y30="N/A",""))</f>
        <v>3.5999999999999996</v>
      </c>
      <c r="L30" s="52">
        <f t="shared" si="24"/>
        <v>-12.9</v>
      </c>
      <c r="M30" s="148" cm="1">
        <f t="array" ref="M30">(_xlfn.IFS(Y30="m2",((AB30/(Z30/AL30))*I30),Y30="m3",((AB30/(Z30/AL30))*I30),Y30="kg",(((AB30*AM30)/(1/AL30))*I30),Y30="ton",(((AB30/1000*AM30)/(1/AL30))*I30),Y30="N/A",""))</f>
        <v>-12.9</v>
      </c>
      <c r="N30" s="52">
        <f t="shared" si="25"/>
        <v>16.5</v>
      </c>
      <c r="O30" s="148" cm="1">
        <f t="array" ref="O30">IF(AC30="N/A","",(_xlfn.IFS(Y30="m2",((AC30/(Z30/AL30))*I30),Y30="m3",((AC30/(Z30/AL30))*I30),Y30="kg",(((AC30*AM30)/(1/AL30))*I30),Y30="ton",(((AC30/1000*AM30)/(1/AL30))*I30),Y30="N/A","")))</f>
        <v>16.5</v>
      </c>
      <c r="P30" s="52">
        <f t="shared" si="26"/>
        <v>-16.3</v>
      </c>
      <c r="Q30" s="155" cm="1">
        <f t="array" ref="Q30">IF(AE30="N/A","",_xlfn.IFS(Y30="m2",((AE30/(Z30/AL30))*I30),Y30="m3",((AE30/(Z30/AL30))*I30),Y30="kg",(((AE30*AM30)/(1/AL30))*I30),Y30="ton",(((AE30/1000*AM30)/(1/AL30))*I30),Y30="N/A",""))</f>
        <v>-16.3</v>
      </c>
      <c r="R30" s="186" t="s">
        <v>5</v>
      </c>
      <c r="S30" s="47"/>
      <c r="T30" s="47">
        <v>2027</v>
      </c>
      <c r="U30" s="47" t="s">
        <v>28</v>
      </c>
      <c r="V30" s="47" t="s">
        <v>191</v>
      </c>
      <c r="X30" s="47" t="s">
        <v>734</v>
      </c>
      <c r="Y30" s="47" t="s">
        <v>15</v>
      </c>
      <c r="Z30" s="47">
        <v>1.4999999999999999E-2</v>
      </c>
      <c r="AA30" s="52">
        <f t="shared" si="18"/>
        <v>3.5999999999999996</v>
      </c>
      <c r="AB30" s="52">
        <v>-12.9</v>
      </c>
      <c r="AC30" s="52">
        <f>16.5 +0</f>
        <v>16.5</v>
      </c>
      <c r="AD30" s="52">
        <v>-1.47</v>
      </c>
      <c r="AE30" s="52">
        <f>-16.3</f>
        <v>-16.3</v>
      </c>
      <c r="AF30" s="47"/>
      <c r="AG30" s="115"/>
      <c r="AH30" s="75" t="s">
        <v>82</v>
      </c>
      <c r="AI30" s="125"/>
      <c r="AJ30" s="46"/>
      <c r="AK30" s="46"/>
      <c r="AL30" s="47">
        <v>1.4999999999999999E-2</v>
      </c>
      <c r="AM30" s="116">
        <f>9.76*1/AL30</f>
        <v>650.66666666666663</v>
      </c>
      <c r="AO30" s="173" t="s">
        <v>17</v>
      </c>
      <c r="AP30" s="73"/>
      <c r="AQ30" s="46"/>
    </row>
    <row r="31" spans="1:44" s="25" customFormat="1" ht="25.2" customHeight="1" x14ac:dyDescent="0.15">
      <c r="A31" s="25" t="s">
        <v>1186</v>
      </c>
      <c r="B31" s="47" t="s">
        <v>208</v>
      </c>
      <c r="C31" s="47" t="str">
        <f>""</f>
        <v/>
      </c>
      <c r="D31" s="47" t="s">
        <v>733</v>
      </c>
      <c r="E31" s="186" t="s">
        <v>146</v>
      </c>
      <c r="F31" s="47" t="s">
        <v>55</v>
      </c>
      <c r="G31" s="85" t="s">
        <v>291</v>
      </c>
      <c r="H31" s="46"/>
      <c r="I31" s="111">
        <v>1</v>
      </c>
      <c r="J31" s="52">
        <f t="shared" si="23"/>
        <v>2.0699999999999994</v>
      </c>
      <c r="K31" s="148" cm="1">
        <f t="array" ref="K31">IF(AC31="N/A","",_xlfn.IFS(Y31="m2",((AA31/(Z31/AL31))*I31),Y31="m3",((AA31/(Z31/AL31))*I31),Y31="kg",(((AA31*AM31)/(1/AL31))*I31),Y31="ton",(((AA31/1000*AM31)/(1/AL31))*I31),Y31="N/A",""))</f>
        <v>2.0699999999999994</v>
      </c>
      <c r="L31" s="52">
        <f t="shared" si="24"/>
        <v>-6.2</v>
      </c>
      <c r="M31" s="148" cm="1">
        <f t="array" ref="M31">(_xlfn.IFS(Y31="m2",((AB31/(Z31/AL31))*I31),Y31="m3",((AB31/(Z31/AL31))*I31),Y31="kg",(((AB31*AM31)/(1/AL31))*I31),Y31="ton",(((AB31/1000*AM31)/(1/AL31))*I31),Y31="N/A",""))</f>
        <v>-6.2</v>
      </c>
      <c r="N31" s="52">
        <f t="shared" si="25"/>
        <v>8.27</v>
      </c>
      <c r="O31" s="148" cm="1">
        <f t="array" ref="O31">IF(AC31="N/A","",(_xlfn.IFS(Y31="m2",((AC31/(Z31/AL31))*I31),Y31="m3",((AC31/(Z31/AL31))*I31),Y31="kg",(((AC31*AM31)/(1/AL31))*I31),Y31="ton",(((AC31/1000*AM31)/(1/AL31))*I31),Y31="N/A","")))</f>
        <v>8.27</v>
      </c>
      <c r="P31" s="52">
        <f t="shared" si="26"/>
        <v>-8.15</v>
      </c>
      <c r="Q31" s="155" cm="1">
        <f t="array" ref="Q31">IF(AE31="N/A","",_xlfn.IFS(Y31="m2",((AE31/(Z31/AL31))*I31),Y31="m3",((AE31/(Z31/AL31))*I31),Y31="kg",(((AE31*AM31)/(1/AL31))*I31),Y31="ton",(((AE31/1000*AM31)/(1/AL31))*I31),Y31="N/A",""))</f>
        <v>-8.15</v>
      </c>
      <c r="R31" s="186" t="s">
        <v>5</v>
      </c>
      <c r="S31" s="47"/>
      <c r="T31" s="47">
        <v>2027</v>
      </c>
      <c r="U31" s="47" t="s">
        <v>28</v>
      </c>
      <c r="V31" s="47" t="s">
        <v>191</v>
      </c>
      <c r="X31" s="47" t="s">
        <v>734</v>
      </c>
      <c r="Y31" s="47" t="s">
        <v>15</v>
      </c>
      <c r="Z31" s="47">
        <v>8.0000000000000002E-3</v>
      </c>
      <c r="AA31" s="52">
        <f t="shared" si="22"/>
        <v>2.0699999999999994</v>
      </c>
      <c r="AB31" s="52">
        <v>-6.2</v>
      </c>
      <c r="AC31" s="52">
        <f>8.27+0</f>
        <v>8.27</v>
      </c>
      <c r="AD31" s="52">
        <v>-0.78300000000000003</v>
      </c>
      <c r="AE31" s="52">
        <f>-8.15</f>
        <v>-8.15</v>
      </c>
      <c r="AF31" s="47"/>
      <c r="AG31" s="115"/>
      <c r="AH31" s="75" t="s">
        <v>82</v>
      </c>
      <c r="AI31" s="125"/>
      <c r="AJ31" s="46"/>
      <c r="AK31" s="46"/>
      <c r="AL31" s="47">
        <v>8.0000000000000002E-3</v>
      </c>
      <c r="AM31" s="116">
        <f>5.22*1/AL31</f>
        <v>652.5</v>
      </c>
      <c r="AO31" s="173" t="s">
        <v>17</v>
      </c>
      <c r="AP31" s="73"/>
      <c r="AQ31" s="46"/>
    </row>
    <row r="32" spans="1:44" s="25" customFormat="1" ht="25.2" customHeight="1" x14ac:dyDescent="0.15">
      <c r="A32" s="25" t="s">
        <v>157</v>
      </c>
      <c r="B32" s="47" t="s">
        <v>208</v>
      </c>
      <c r="C32" s="47"/>
      <c r="D32" s="47" t="s">
        <v>156</v>
      </c>
      <c r="E32" s="47" t="s">
        <v>153</v>
      </c>
      <c r="F32" s="47" t="s">
        <v>132</v>
      </c>
      <c r="G32" s="47" t="s">
        <v>192</v>
      </c>
      <c r="H32" s="46"/>
      <c r="I32" s="111">
        <v>1</v>
      </c>
      <c r="J32" s="52">
        <f t="shared" ref="J32:J33" si="27">IF(AC32="N/A","N/A",IF(K32="","N/A",K32))</f>
        <v>13.699120000000001</v>
      </c>
      <c r="K32" s="148" cm="1">
        <f t="array" ref="K32">IF(AC32="N/A","",_xlfn.IFS(Y32="m2",((AA32/(Z32/AL32))*I32),Y32="m3",((AA32/(Z32/AL32))*I32),Y32="kg",(((AA32*AM32)/(1/AL32))*I32),Y32="ton",(((AA32/1000*AM32)/(1/AL32))*I32),Y32="N/A",""))</f>
        <v>13.699120000000001</v>
      </c>
      <c r="L32" s="52">
        <f t="shared" ref="L32:L33" si="28">IF(M32="","N/A",M32)</f>
        <v>0.39800000000000002</v>
      </c>
      <c r="M32" s="148" cm="1">
        <f t="array" ref="M32">(_xlfn.IFS(Y32="m2",((AB32/(Z32/AL32))*I32),Y32="m3",((AB32/(Z32/AL32))*I32),Y32="kg",(((AB32*AM32)/(1/AL32))*I32),Y32="ton",(((AB32/1000*AM32)/(1/AL32))*I32),Y32="N/A",""))</f>
        <v>0.39800000000000002</v>
      </c>
      <c r="N32" s="52">
        <f t="shared" ref="N32:N33" si="29">IF(O32="","N/A",O32)</f>
        <v>13.301120000000001</v>
      </c>
      <c r="O32" s="148" cm="1">
        <f t="array" ref="O32">IF(AC32="N/A","",(_xlfn.IFS(Y32="m2",((AC32/(Z32/AL32))*I32),Y32="m3",((AC32/(Z32/AL32))*I32),Y32="kg",(((AC32*AM32)/(1/AL32))*I32),Y32="ton",(((AC32/1000*AM32)/(1/AL32))*I32),Y32="N/A","")))</f>
        <v>13.301120000000001</v>
      </c>
      <c r="P32" s="52" t="str">
        <f t="shared" ref="P32:P33" si="30">IF(Q32="","N/A",Q32)</f>
        <v>N/A</v>
      </c>
      <c r="Q32" s="155" t="str" cm="1">
        <f t="array" ref="Q32">IF(AE32="N/A","",_xlfn.IFS(Y32="m2",((AE32/(Z32/AL32))*I32),Y32="m3",((AE32/(Z32/AL32))*I32),Y32="kg",(((AE32*AM32)/(1/AL32))*I32),Y32="ton",(((AE32/1000*AM32)/(1/AL32))*I32),Y32="N/A",""))</f>
        <v/>
      </c>
      <c r="R32" s="82" t="s">
        <v>5</v>
      </c>
      <c r="S32" s="164"/>
      <c r="T32" s="47">
        <v>2025</v>
      </c>
      <c r="U32" s="47" t="s">
        <v>14</v>
      </c>
      <c r="V32" s="47">
        <v>20</v>
      </c>
      <c r="W32" s="17"/>
      <c r="X32" s="47" t="s">
        <v>573</v>
      </c>
      <c r="Y32" s="47" t="s">
        <v>15</v>
      </c>
      <c r="Z32" s="47">
        <v>1.0200000000000001E-2</v>
      </c>
      <c r="AA32" s="52">
        <f t="shared" ref="AA32:AA39" si="31">IF(AC32="N/A","N/A",SUM(AB32:AC32))</f>
        <v>13.699120000000001</v>
      </c>
      <c r="AB32" s="52">
        <f>0.398</f>
        <v>0.39800000000000002</v>
      </c>
      <c r="AC32" s="52">
        <f>13.3+1.12*10^-3</f>
        <v>13.301120000000001</v>
      </c>
      <c r="AD32" s="52">
        <v>-3.78</v>
      </c>
      <c r="AE32" s="52" t="s">
        <v>191</v>
      </c>
      <c r="AF32" s="47"/>
      <c r="AG32" s="115"/>
      <c r="AH32" s="75" t="s">
        <v>8</v>
      </c>
      <c r="AI32" s="83" t="s">
        <v>176</v>
      </c>
      <c r="AJ32" s="96"/>
      <c r="AK32" s="17"/>
      <c r="AL32" s="47">
        <v>1.0200000000000001E-2</v>
      </c>
      <c r="AM32" s="47">
        <v>680</v>
      </c>
      <c r="AN32" s="47"/>
      <c r="AO32" s="80" t="s">
        <v>17</v>
      </c>
      <c r="AP32" s="110"/>
    </row>
    <row r="33" spans="1:43" s="25" customFormat="1" ht="25.2" customHeight="1" x14ac:dyDescent="0.15">
      <c r="A33" s="25" t="s">
        <v>69</v>
      </c>
      <c r="B33" s="47" t="s">
        <v>208</v>
      </c>
      <c r="C33" s="47"/>
      <c r="D33" s="47" t="s">
        <v>66</v>
      </c>
      <c r="E33" s="82" t="s">
        <v>146</v>
      </c>
      <c r="F33" s="47" t="s">
        <v>67</v>
      </c>
      <c r="G33" s="47" t="s">
        <v>192</v>
      </c>
      <c r="H33" s="46"/>
      <c r="I33" s="111">
        <v>1</v>
      </c>
      <c r="J33" s="52">
        <f t="shared" si="27"/>
        <v>2.0295179999999999</v>
      </c>
      <c r="K33" s="148" cm="1">
        <f t="array" ref="K33">IF(AC33="N/A","",_xlfn.IFS(Y33="m2",((AA33/(Z33/AL33))*I33),Y33="m3",((AA33/(Z33/AL33))*I33),Y33="kg",(((AA33*AM33)/(1/AL33))*I33),Y33="ton",(((AA33/1000*AM33)/(1/AL33))*I33),Y33="N/A",""))</f>
        <v>2.0295179999999999</v>
      </c>
      <c r="L33" s="52">
        <f t="shared" si="28"/>
        <v>-1.8421019999999999</v>
      </c>
      <c r="M33" s="148" cm="1">
        <f t="array" ref="M33">(_xlfn.IFS(Y33="m2",((AB33/(Z33/AL33))*I33),Y33="m3",((AB33/(Z33/AL33))*I33),Y33="kg",(((AB33*AM33)/(1/AL33))*I33),Y33="ton",(((AB33/1000*AM33)/(1/AL33))*I33),Y33="N/A",""))</f>
        <v>-1.8421019999999999</v>
      </c>
      <c r="N33" s="52">
        <f t="shared" si="29"/>
        <v>3.8716200000000001</v>
      </c>
      <c r="O33" s="148" cm="1">
        <f t="array" ref="O33">IF(AC33="N/A","",(_xlfn.IFS(Y33="m2",((AC33/(Z33/AL33))*I33),Y33="m3",((AC33/(Z33/AL33))*I33),Y33="kg",(((AC33*AM33)/(1/AL33))*I33),Y33="ton",(((AC33/1000*AM33)/(1/AL33))*I33),Y33="N/A","")))</f>
        <v>3.8716200000000001</v>
      </c>
      <c r="P33" s="52">
        <f t="shared" si="30"/>
        <v>-2.8852199999999999</v>
      </c>
      <c r="Q33" s="155" cm="1">
        <f t="array" ref="Q33">IF(AE33="N/A","",_xlfn.IFS(Y33="m2",((AE33/(Z33/AL33))*I33),Y33="m3",((AE33/(Z33/AL33))*I33),Y33="kg",(((AE33*AM33)/(1/AL33))*I33),Y33="ton",(((AE33/1000*AM33)/(1/AL33))*I33),Y33="N/A",""))</f>
        <v>-2.8852199999999999</v>
      </c>
      <c r="R33" s="82" t="s">
        <v>5</v>
      </c>
      <c r="S33" s="164"/>
      <c r="T33" s="47">
        <v>2026</v>
      </c>
      <c r="U33" s="47" t="s">
        <v>28</v>
      </c>
      <c r="V33" s="47" t="s">
        <v>191</v>
      </c>
      <c r="X33" s="47" t="s">
        <v>592</v>
      </c>
      <c r="Y33" s="47" t="s">
        <v>61</v>
      </c>
      <c r="Z33" s="47" t="s">
        <v>191</v>
      </c>
      <c r="AA33" s="52">
        <f t="shared" si="31"/>
        <v>0.82300000000000006</v>
      </c>
      <c r="AB33" s="52">
        <v>-0.747</v>
      </c>
      <c r="AC33" s="52">
        <f>1.57+0</f>
        <v>1.57</v>
      </c>
      <c r="AD33" s="52">
        <v>-0.35199999999999998</v>
      </c>
      <c r="AE33" s="52">
        <v>-1.17</v>
      </c>
      <c r="AF33" s="47"/>
      <c r="AG33" s="115"/>
      <c r="AH33" s="75" t="s">
        <v>82</v>
      </c>
      <c r="AI33" s="76"/>
      <c r="AJ33" s="96"/>
      <c r="AK33" s="17"/>
      <c r="AL33" s="47">
        <v>1.7999999999999999E-2</v>
      </c>
      <c r="AM33" s="47">
        <v>137</v>
      </c>
      <c r="AO33" s="80" t="s">
        <v>17</v>
      </c>
      <c r="AP33" s="73"/>
      <c r="AQ33" s="46"/>
    </row>
    <row r="34" spans="1:43" s="25" customFormat="1" ht="25.2" customHeight="1" x14ac:dyDescent="0.15">
      <c r="A34" s="25" t="s">
        <v>68</v>
      </c>
      <c r="B34" s="47" t="s">
        <v>208</v>
      </c>
      <c r="C34" s="47"/>
      <c r="D34" s="47" t="s">
        <v>66</v>
      </c>
      <c r="E34" s="82" t="s">
        <v>146</v>
      </c>
      <c r="F34" s="47" t="s">
        <v>67</v>
      </c>
      <c r="G34" s="47" t="s">
        <v>1177</v>
      </c>
      <c r="H34" s="46"/>
      <c r="I34" s="111">
        <v>1</v>
      </c>
      <c r="J34" s="52">
        <f t="shared" ref="J34:J35" si="32">IF(AC34="N/A","N/A",IF(K34="","N/A",K34))</f>
        <v>4.51004</v>
      </c>
      <c r="K34" s="148" cm="1">
        <f t="array" ref="K34">IF(AC34="N/A","",_xlfn.IFS(Y34="m2",((AA34/(Z34/AL34))*I34),Y34="m3",((AA34/(Z34/AL34))*I34),Y34="kg",(((AA34*AM34)/(1/AL34))*I34),Y34="ton",(((AA34/1000*AM34)/(1/AL34))*I34),Y34="N/A",""))</f>
        <v>4.51004</v>
      </c>
      <c r="L34" s="52">
        <f t="shared" ref="L34:L35" si="33">IF(M34="","N/A",M34)</f>
        <v>-4.0935600000000001</v>
      </c>
      <c r="M34" s="148" cm="1">
        <f t="array" ref="M34">(_xlfn.IFS(Y34="m2",((AB34/(Z34/AL34))*I34),Y34="m3",((AB34/(Z34/AL34))*I34),Y34="kg",(((AB34*AM34)/(1/AL34))*I34),Y34="ton",(((AB34/1000*AM34)/(1/AL34))*I34),Y34="N/A",""))</f>
        <v>-4.0935600000000001</v>
      </c>
      <c r="N34" s="52">
        <f t="shared" ref="N34:N35" si="34">IF(O34="","N/A",O34)</f>
        <v>8.6036000000000001</v>
      </c>
      <c r="O34" s="148" cm="1">
        <f t="array" ref="O34">IF(AC34="N/A","",(_xlfn.IFS(Y34="m2",((AC34/(Z34/AL34))*I34),Y34="m3",((AC34/(Z34/AL34))*I34),Y34="kg",(((AC34*AM34)/(1/AL34))*I34),Y34="ton",(((AC34/1000*AM34)/(1/AL34))*I34),Y34="N/A","")))</f>
        <v>8.6036000000000001</v>
      </c>
      <c r="P34" s="52">
        <f t="shared" ref="P34:P35" si="35">IF(Q34="","N/A",Q34)</f>
        <v>-6.4116</v>
      </c>
      <c r="Q34" s="155" cm="1">
        <f t="array" ref="Q34">IF(AE34="N/A","",_xlfn.IFS(Y34="m2",((AE34/(Z34/AL34))*I34),Y34="m3",((AE34/(Z34/AL34))*I34),Y34="kg",(((AE34*AM34)/(1/AL34))*I34),Y34="ton",(((AE34/1000*AM34)/(1/AL34))*I34),Y34="N/A",""))</f>
        <v>-6.4116</v>
      </c>
      <c r="R34" s="82" t="s">
        <v>5</v>
      </c>
      <c r="S34" s="164"/>
      <c r="T34" s="47">
        <v>2026</v>
      </c>
      <c r="U34" s="47" t="s">
        <v>28</v>
      </c>
      <c r="V34" s="47" t="s">
        <v>191</v>
      </c>
      <c r="X34" s="47" t="s">
        <v>592</v>
      </c>
      <c r="Y34" s="47" t="s">
        <v>61</v>
      </c>
      <c r="Z34" s="47" t="s">
        <v>191</v>
      </c>
      <c r="AA34" s="52">
        <f t="shared" si="31"/>
        <v>0.82300000000000006</v>
      </c>
      <c r="AB34" s="52">
        <v>-0.747</v>
      </c>
      <c r="AC34" s="52">
        <f>1.57+0</f>
        <v>1.57</v>
      </c>
      <c r="AD34" s="52">
        <v>-0.35199999999999998</v>
      </c>
      <c r="AE34" s="52">
        <v>-1.17</v>
      </c>
      <c r="AF34" s="47"/>
      <c r="AG34" s="115"/>
      <c r="AH34" s="75" t="s">
        <v>82</v>
      </c>
      <c r="AI34" s="76"/>
      <c r="AJ34" s="96"/>
      <c r="AK34" s="17"/>
      <c r="AL34" s="47">
        <v>0.04</v>
      </c>
      <c r="AM34" s="47">
        <v>137</v>
      </c>
      <c r="AO34" s="80" t="s">
        <v>17</v>
      </c>
      <c r="AP34" s="73"/>
      <c r="AQ34" s="46"/>
    </row>
    <row r="35" spans="1:43" s="25" customFormat="1" ht="25.2" customHeight="1" x14ac:dyDescent="0.15">
      <c r="A35" s="25" t="s">
        <v>65</v>
      </c>
      <c r="B35" s="47" t="s">
        <v>208</v>
      </c>
      <c r="C35" s="47"/>
      <c r="D35" s="47" t="s">
        <v>66</v>
      </c>
      <c r="E35" s="82" t="s">
        <v>146</v>
      </c>
      <c r="F35" s="47" t="s">
        <v>67</v>
      </c>
      <c r="G35" s="47" t="s">
        <v>1177</v>
      </c>
      <c r="H35" s="46"/>
      <c r="I35" s="111">
        <v>1</v>
      </c>
      <c r="J35" s="52">
        <f t="shared" si="32"/>
        <v>5.7243200000000005</v>
      </c>
      <c r="K35" s="148" cm="1">
        <f t="array" ref="K35">IF(AC35="N/A","",_xlfn.IFS(Y35="m2",((AA35/(Z35/AL35))*I35),Y35="m3",((AA35/(Z35/AL35))*I35),Y35="kg",(((AA35*AM35)/(1/AL35))*I35),Y35="ton",(((AA35/1000*AM35)/(1/AL35))*I35),Y35="N/A",""))</f>
        <v>5.7243200000000005</v>
      </c>
      <c r="L35" s="52">
        <f t="shared" si="33"/>
        <v>-1.93648</v>
      </c>
      <c r="M35" s="148" cm="1">
        <f t="array" ref="M35">(_xlfn.IFS(Y35="m2",((AB35/(Z35/AL35))*I35),Y35="m3",((AB35/(Z35/AL35))*I35),Y35="kg",(((AB35*AM35)/(1/AL35))*I35),Y35="ton",(((AB35/1000*AM35)/(1/AL35))*I35),Y35="N/A",""))</f>
        <v>-1.93648</v>
      </c>
      <c r="N35" s="52">
        <f t="shared" si="34"/>
        <v>7.6607999999999992</v>
      </c>
      <c r="O35" s="148" cm="1">
        <f t="array" ref="O35">IF(AC35="N/A","",(_xlfn.IFS(Y35="m2",((AC35/(Z35/AL35))*I35),Y35="m3",((AC35/(Z35/AL35))*I35),Y35="kg",(((AC35*AM35)/(1/AL35))*I35),Y35="ton",(((AC35/1000*AM35)/(1/AL35))*I35),Y35="N/A","")))</f>
        <v>7.6607999999999992</v>
      </c>
      <c r="P35" s="52">
        <f t="shared" si="35"/>
        <v>-5.0167599999999997</v>
      </c>
      <c r="Q35" s="155" cm="1">
        <f t="array" ref="Q35">IF(AE35="N/A","",_xlfn.IFS(Y35="m2",((AE35/(Z35/AL35))*I35),Y35="m3",((AE35/(Z35/AL35))*I35),Y35="kg",(((AE35*AM35)/(1/AL35))*I35),Y35="ton",(((AE35/1000*AM35)/(1/AL35))*I35),Y35="N/A",""))</f>
        <v>-5.0167599999999997</v>
      </c>
      <c r="R35" s="82" t="s">
        <v>5</v>
      </c>
      <c r="S35" s="164"/>
      <c r="T35" s="47">
        <v>2026</v>
      </c>
      <c r="U35" s="47" t="s">
        <v>28</v>
      </c>
      <c r="V35" s="47" t="s">
        <v>191</v>
      </c>
      <c r="X35" s="47" t="s">
        <v>592</v>
      </c>
      <c r="Y35" s="47" t="s">
        <v>61</v>
      </c>
      <c r="Z35" s="47" t="s">
        <v>191</v>
      </c>
      <c r="AA35" s="52">
        <f t="shared" si="31"/>
        <v>1.0760000000000001</v>
      </c>
      <c r="AB35" s="52">
        <v>-0.36399999999999999</v>
      </c>
      <c r="AC35" s="52">
        <f>1.44+0</f>
        <v>1.44</v>
      </c>
      <c r="AD35" s="52">
        <v>-0.318</v>
      </c>
      <c r="AE35" s="52">
        <v>-0.94299999999999995</v>
      </c>
      <c r="AF35" s="47"/>
      <c r="AG35" s="115"/>
      <c r="AH35" s="75" t="s">
        <v>184</v>
      </c>
      <c r="AI35" s="83" t="s">
        <v>185</v>
      </c>
      <c r="AJ35" s="96"/>
      <c r="AK35" s="17"/>
      <c r="AL35" s="47">
        <v>0.04</v>
      </c>
      <c r="AM35" s="47">
        <v>133</v>
      </c>
      <c r="AO35" s="80" t="s">
        <v>17</v>
      </c>
      <c r="AP35" s="73"/>
      <c r="AQ35" s="46"/>
    </row>
    <row r="36" spans="1:43" s="25" customFormat="1" ht="25.2" customHeight="1" x14ac:dyDescent="0.15">
      <c r="A36" s="171" t="s">
        <v>1178</v>
      </c>
      <c r="B36" s="47" t="s">
        <v>210</v>
      </c>
      <c r="C36" s="47"/>
      <c r="D36" s="47" t="s">
        <v>219</v>
      </c>
      <c r="E36" s="186" t="s">
        <v>146</v>
      </c>
      <c r="F36" s="47" t="s">
        <v>307</v>
      </c>
      <c r="G36" s="47" t="s">
        <v>1177</v>
      </c>
      <c r="H36" s="46"/>
      <c r="I36" s="111">
        <v>1</v>
      </c>
      <c r="J36" s="52">
        <f t="shared" ref="J36:J37" si="36">IF(AC36="N/A","N/A",IF(K36="","N/A",K36))</f>
        <v>2.4754999999999998</v>
      </c>
      <c r="K36" s="148" cm="1">
        <f t="array" ref="K36">IF(AC36="N/A","",_xlfn.IFS(Y36="m2",((AA36/(Z36/AL36))*I36),Y36="m3",((AA36/(Z36/AL36))*I36),Y36="kg",(((AA36*AM36)/(1/AL36))*I36),Y36="ton",(((AA36/1000*AM36)/(1/AL36))*I36),Y36="N/A",""))</f>
        <v>2.4754999999999998</v>
      </c>
      <c r="L36" s="52">
        <f t="shared" ref="L36:L37" si="37">IF(M36="","N/A",M36)</f>
        <v>1.67</v>
      </c>
      <c r="M36" s="148" cm="1">
        <f t="array" ref="M36">(_xlfn.IFS(Y36="m2",((AB36/(Z36/AL36))*I36),Y36="m3",((AB36/(Z36/AL36))*I36),Y36="kg",(((AB36*AM36)/(1/AL36))*I36),Y36="ton",(((AB36/1000*AM36)/(1/AL36))*I36),Y36="N/A",""))</f>
        <v>1.67</v>
      </c>
      <c r="N36" s="52">
        <f t="shared" ref="N36:N37" si="38">IF(O36="","N/A",O36)</f>
        <v>0.80549999999999999</v>
      </c>
      <c r="O36" s="148" cm="1">
        <f t="array" ref="O36">IF(AC36="N/A","",(_xlfn.IFS(Y36="m2",((AC36/(Z36/AL36))*I36),Y36="m3",((AC36/(Z36/AL36))*I36),Y36="kg",(((AC36*AM36)/(1/AL36))*I36),Y36="ton",(((AC36/1000*AM36)/(1/AL36))*I36),Y36="N/A","")))</f>
        <v>0.80549999999999999</v>
      </c>
      <c r="P36" s="52">
        <f t="shared" ref="P36:P37" si="39">IF(Q36="","N/A",Q36)</f>
        <v>-1.35</v>
      </c>
      <c r="Q36" s="155" cm="1">
        <f t="array" ref="Q36">IF(AE36="N/A","",_xlfn.IFS(Y36="m2",((AE36/(Z36/AL36))*I36),Y36="m3",((AE36/(Z36/AL36))*I36),Y36="kg",(((AE36*AM36)/(1/AL36))*I36),Y36="ton",(((AE36/1000*AM36)/(1/AL36))*I36),Y36="N/A",""))</f>
        <v>-1.35</v>
      </c>
      <c r="R36" s="186" t="s">
        <v>5</v>
      </c>
      <c r="S36" s="47"/>
      <c r="T36" s="47">
        <v>2027</v>
      </c>
      <c r="U36" s="47" t="s">
        <v>28</v>
      </c>
      <c r="V36" s="47">
        <v>60</v>
      </c>
      <c r="X36" s="47" t="s">
        <v>1179</v>
      </c>
      <c r="Y36" s="47" t="s">
        <v>15</v>
      </c>
      <c r="Z36" s="47">
        <v>1.2500000000000001E-2</v>
      </c>
      <c r="AA36" s="52">
        <f t="shared" si="31"/>
        <v>2.4754999999999998</v>
      </c>
      <c r="AB36" s="52">
        <v>1.67</v>
      </c>
      <c r="AC36" s="52">
        <f>0.0455+0.76</f>
        <v>0.80549999999999999</v>
      </c>
      <c r="AD36" s="52">
        <v>-0.26300000000000001</v>
      </c>
      <c r="AE36" s="52">
        <v>-1.35</v>
      </c>
      <c r="AF36" s="47"/>
      <c r="AG36" s="115"/>
      <c r="AH36" s="122" t="s">
        <v>214</v>
      </c>
      <c r="AI36" s="170" t="s">
        <v>176</v>
      </c>
      <c r="AJ36" s="46"/>
      <c r="AK36" s="46"/>
      <c r="AL36" s="47">
        <v>1.2500000000000001E-2</v>
      </c>
      <c r="AM36" s="47">
        <v>816</v>
      </c>
      <c r="AO36" s="173" t="s">
        <v>17</v>
      </c>
      <c r="AP36" s="205" t="s">
        <v>17</v>
      </c>
      <c r="AQ36" s="46"/>
    </row>
    <row r="37" spans="1:43" s="25" customFormat="1" ht="25.2" customHeight="1" x14ac:dyDescent="0.15">
      <c r="A37" s="25" t="s">
        <v>1187</v>
      </c>
      <c r="B37" s="47" t="s">
        <v>210</v>
      </c>
      <c r="C37" s="47"/>
      <c r="D37" s="47" t="s">
        <v>219</v>
      </c>
      <c r="E37" s="186" t="s">
        <v>146</v>
      </c>
      <c r="F37" s="47" t="s">
        <v>307</v>
      </c>
      <c r="G37" s="47" t="s">
        <v>1177</v>
      </c>
      <c r="H37" s="46"/>
      <c r="I37" s="111">
        <v>1</v>
      </c>
      <c r="J37" s="52">
        <f t="shared" si="36"/>
        <v>2.3855</v>
      </c>
      <c r="K37" s="148" cm="1">
        <f t="array" ref="K37">IF(AC37="N/A","",_xlfn.IFS(Y37="m2",((AA37/(Z37/AL37))*I37),Y37="m3",((AA37/(Z37/AL37))*I37),Y37="kg",(((AA37*AM37)/(1/AL37))*I37),Y37="ton",(((AA37/1000*AM37)/(1/AL37))*I37),Y37="N/A",""))</f>
        <v>2.3855</v>
      </c>
      <c r="L37" s="52">
        <f t="shared" si="37"/>
        <v>1.52</v>
      </c>
      <c r="M37" s="148" cm="1">
        <f t="array" ref="M37">(_xlfn.IFS(Y37="m2",((AB37/(Z37/AL37))*I37),Y37="m3",((AB37/(Z37/AL37))*I37),Y37="kg",(((AB37*AM37)/(1/AL37))*I37),Y37="ton",(((AB37/1000*AM37)/(1/AL37))*I37),Y37="N/A",""))</f>
        <v>1.52</v>
      </c>
      <c r="N37" s="52">
        <f t="shared" si="38"/>
        <v>0.86549999999999994</v>
      </c>
      <c r="O37" s="148" cm="1">
        <f t="array" ref="O37">IF(AC37="N/A","",(_xlfn.IFS(Y37="m2",((AC37/(Z37/AL37))*I37),Y37="m3",((AC37/(Z37/AL37))*I37),Y37="kg",(((AC37*AM37)/(1/AL37))*I37),Y37="ton",(((AC37/1000*AM37)/(1/AL37))*I37),Y37="N/A","")))</f>
        <v>0.86549999999999994</v>
      </c>
      <c r="P37" s="52">
        <f t="shared" si="39"/>
        <v>-0.99199999999999999</v>
      </c>
      <c r="Q37" s="155" cm="1">
        <f t="array" ref="Q37">IF(AE37="N/A","",_xlfn.IFS(Y37="m2",((AE37/(Z37/AL37))*I37),Y37="m3",((AE37/(Z37/AL37))*I37),Y37="kg",(((AE37*AM37)/(1/AL37))*I37),Y37="ton",(((AE37/1000*AM37)/(1/AL37))*I37),Y37="N/A",""))</f>
        <v>-0.99199999999999999</v>
      </c>
      <c r="R37" s="186" t="s">
        <v>5</v>
      </c>
      <c r="S37" s="47"/>
      <c r="T37" s="47">
        <v>2027</v>
      </c>
      <c r="U37" s="47" t="s">
        <v>28</v>
      </c>
      <c r="V37" s="47">
        <v>60</v>
      </c>
      <c r="X37" s="47" t="s">
        <v>1188</v>
      </c>
      <c r="Y37" s="47" t="s">
        <v>15</v>
      </c>
      <c r="Z37" s="47">
        <v>9.4999999999999998E-3</v>
      </c>
      <c r="AA37" s="52">
        <f t="shared" si="31"/>
        <v>2.3855</v>
      </c>
      <c r="AB37" s="52">
        <v>1.52</v>
      </c>
      <c r="AC37" s="52">
        <f>0.0425+0.823</f>
        <v>0.86549999999999994</v>
      </c>
      <c r="AD37" s="52">
        <v>-0.28299999999999997</v>
      </c>
      <c r="AE37" s="52">
        <v>-0.99199999999999999</v>
      </c>
      <c r="AF37" s="47"/>
      <c r="AG37" s="115"/>
      <c r="AH37" s="122" t="s">
        <v>178</v>
      </c>
      <c r="AI37" s="170" t="s">
        <v>176</v>
      </c>
      <c r="AJ37" s="46"/>
      <c r="AK37" s="46"/>
      <c r="AL37" s="47">
        <v>9.4999999999999998E-3</v>
      </c>
      <c r="AM37" s="116">
        <f>9.5*1/AL37</f>
        <v>1000</v>
      </c>
      <c r="AO37" s="173" t="s">
        <v>17</v>
      </c>
      <c r="AP37" s="73"/>
      <c r="AQ37" s="46"/>
    </row>
    <row r="38" spans="1:43" s="25" customFormat="1" ht="25.2" customHeight="1" x14ac:dyDescent="0.15">
      <c r="A38" s="171" t="s">
        <v>1190</v>
      </c>
      <c r="B38" s="47" t="s">
        <v>210</v>
      </c>
      <c r="C38" s="47"/>
      <c r="D38" s="47" t="s">
        <v>219</v>
      </c>
      <c r="E38" s="186" t="s">
        <v>146</v>
      </c>
      <c r="F38" s="47" t="s">
        <v>307</v>
      </c>
      <c r="G38" s="47" t="s">
        <v>1177</v>
      </c>
      <c r="H38" s="46"/>
      <c r="I38" s="111">
        <v>1</v>
      </c>
      <c r="J38" s="52">
        <f t="shared" ref="J38:J39" si="40">IF(AC38="N/A","N/A",IF(K38="","N/A",K38))</f>
        <v>3.7478000000000002</v>
      </c>
      <c r="K38" s="148" cm="1">
        <f t="array" ref="K38">IF(AC38="N/A","",_xlfn.IFS(Y38="m2",((AA38/(Z38/AL38))*I38),Y38="m3",((AA38/(Z38/AL38))*I38),Y38="kg",(((AA38*AM38)/(1/AL38))*I38),Y38="ton",(((AA38/1000*AM38)/(1/AL38))*I38),Y38="N/A",""))</f>
        <v>3.7478000000000002</v>
      </c>
      <c r="L38" s="52">
        <f t="shared" ref="L38:L39" si="41">IF(M38="","N/A",M38)</f>
        <v>2.66</v>
      </c>
      <c r="M38" s="148" cm="1">
        <f t="array" ref="M38">(_xlfn.IFS(Y38="m2",((AB38/(Z38/AL38))*I38),Y38="m3",((AB38/(Z38/AL38))*I38),Y38="kg",(((AB38*AM38)/(1/AL38))*I38),Y38="ton",(((AB38/1000*AM38)/(1/AL38))*I38),Y38="N/A",""))</f>
        <v>2.66</v>
      </c>
      <c r="N38" s="52">
        <f t="shared" ref="N38:N39" si="42">IF(O38="","N/A",O38)</f>
        <v>1.0878000000000001</v>
      </c>
      <c r="O38" s="148" cm="1">
        <f t="array" ref="O38">IF(AC38="N/A","",(_xlfn.IFS(Y38="m2",((AC38/(Z38/AL38))*I38),Y38="m3",((AC38/(Z38/AL38))*I38),Y38="kg",(((AC38*AM38)/(1/AL38))*I38),Y38="ton",(((AC38/1000*AM38)/(1/AL38))*I38),Y38="N/A","")))</f>
        <v>1.0878000000000001</v>
      </c>
      <c r="P38" s="52">
        <f t="shared" ref="P38:P39" si="43">IF(Q38="","N/A",Q38)</f>
        <v>-1.4</v>
      </c>
      <c r="Q38" s="155" cm="1">
        <f t="array" ref="Q38">IF(AE38="N/A","",_xlfn.IFS(Y38="m2",((AE38/(Z38/AL38))*I38),Y38="m3",((AE38/(Z38/AL38))*I38),Y38="kg",(((AE38*AM38)/(1/AL38))*I38),Y38="ton",(((AE38/1000*AM38)/(1/AL38))*I38),Y38="N/A",""))</f>
        <v>-1.4</v>
      </c>
      <c r="R38" s="186" t="s">
        <v>5</v>
      </c>
      <c r="S38" s="47"/>
      <c r="T38" s="47">
        <v>2027</v>
      </c>
      <c r="U38" s="47" t="s">
        <v>28</v>
      </c>
      <c r="V38" s="47">
        <v>60</v>
      </c>
      <c r="X38" s="47" t="s">
        <v>1189</v>
      </c>
      <c r="Y38" s="47" t="s">
        <v>15</v>
      </c>
      <c r="Z38" s="47">
        <v>1.2500000000000001E-2</v>
      </c>
      <c r="AA38" s="52">
        <f t="shared" si="31"/>
        <v>3.7478000000000002</v>
      </c>
      <c r="AB38" s="52">
        <v>2.66</v>
      </c>
      <c r="AC38" s="52">
        <f>0.0478+1.04</f>
        <v>1.0878000000000001</v>
      </c>
      <c r="AD38" s="52">
        <v>-0.76800000000000002</v>
      </c>
      <c r="AE38" s="52">
        <v>-1.4</v>
      </c>
      <c r="AF38" s="47"/>
      <c r="AG38" s="115"/>
      <c r="AH38" s="122" t="s">
        <v>214</v>
      </c>
      <c r="AI38" s="170" t="s">
        <v>176</v>
      </c>
      <c r="AJ38" s="46"/>
      <c r="AK38" s="46"/>
      <c r="AL38" s="47">
        <v>1.2500000000000001E-2</v>
      </c>
      <c r="AM38" s="47">
        <f>10.7*1/AL38</f>
        <v>855.99999999999989</v>
      </c>
      <c r="AO38" s="173" t="s">
        <v>17</v>
      </c>
      <c r="AP38" s="205" t="s">
        <v>17</v>
      </c>
      <c r="AQ38" s="46"/>
    </row>
    <row r="39" spans="1:43" s="25" customFormat="1" ht="25.2" customHeight="1" x14ac:dyDescent="0.15">
      <c r="A39" s="171" t="s">
        <v>1192</v>
      </c>
      <c r="B39" s="47" t="s">
        <v>210</v>
      </c>
      <c r="C39" s="47"/>
      <c r="D39" s="47" t="s">
        <v>219</v>
      </c>
      <c r="E39" s="186" t="s">
        <v>146</v>
      </c>
      <c r="F39" s="47" t="s">
        <v>307</v>
      </c>
      <c r="G39" s="47" t="s">
        <v>1177</v>
      </c>
      <c r="H39" s="46"/>
      <c r="I39" s="111">
        <v>1</v>
      </c>
      <c r="J39" s="52">
        <f t="shared" si="40"/>
        <v>2.9391999999999996</v>
      </c>
      <c r="K39" s="148" cm="1">
        <f t="array" ref="K39">IF(AC39="N/A","",_xlfn.IFS(Y39="m2",((AA39/(Z39/AL39))*I39),Y39="m3",((AA39/(Z39/AL39))*I39),Y39="kg",(((AA39*AM39)/(1/AL39))*I39),Y39="ton",(((AA39/1000*AM39)/(1/AL39))*I39),Y39="N/A",""))</f>
        <v>2.9391999999999996</v>
      </c>
      <c r="L39" s="52">
        <f t="shared" si="41"/>
        <v>1.91</v>
      </c>
      <c r="M39" s="148" cm="1">
        <f t="array" ref="M39">(_xlfn.IFS(Y39="m2",((AB39/(Z39/AL39))*I39),Y39="m3",((AB39/(Z39/AL39))*I39),Y39="kg",(((AB39*AM39)/(1/AL39))*I39),Y39="ton",(((AB39/1000*AM39)/(1/AL39))*I39),Y39="N/A",""))</f>
        <v>1.91</v>
      </c>
      <c r="N39" s="52">
        <f t="shared" si="42"/>
        <v>1.0291999999999999</v>
      </c>
      <c r="O39" s="148" cm="1">
        <f t="array" ref="O39">IF(AC39="N/A","",(_xlfn.IFS(Y39="m2",((AC39/(Z39/AL39))*I39),Y39="m3",((AC39/(Z39/AL39))*I39),Y39="kg",(((AC39*AM39)/(1/AL39))*I39),Y39="ton",(((AC39/1000*AM39)/(1/AL39))*I39),Y39="N/A","")))</f>
        <v>1.0291999999999999</v>
      </c>
      <c r="P39" s="52">
        <f t="shared" si="43"/>
        <v>-1.23</v>
      </c>
      <c r="Q39" s="155" cm="1">
        <f t="array" ref="Q39">IF(AE39="N/A","",_xlfn.IFS(Y39="m2",((AE39/(Z39/AL39))*I39),Y39="m3",((AE39/(Z39/AL39))*I39),Y39="kg",(((AE39*AM39)/(1/AL39))*I39),Y39="ton",(((AE39/1000*AM39)/(1/AL39))*I39),Y39="N/A",""))</f>
        <v>-1.23</v>
      </c>
      <c r="R39" s="186" t="s">
        <v>5</v>
      </c>
      <c r="S39" s="47"/>
      <c r="T39" s="47">
        <v>2027</v>
      </c>
      <c r="U39" s="47" t="s">
        <v>28</v>
      </c>
      <c r="V39" s="47">
        <v>60</v>
      </c>
      <c r="X39" s="47" t="s">
        <v>1191</v>
      </c>
      <c r="Y39" s="47" t="s">
        <v>15</v>
      </c>
      <c r="Z39" s="47">
        <v>1.2500000000000001E-2</v>
      </c>
      <c r="AA39" s="52">
        <f t="shared" si="31"/>
        <v>2.9391999999999996</v>
      </c>
      <c r="AB39" s="52">
        <v>1.91</v>
      </c>
      <c r="AC39" s="52">
        <f>0.0422+0.987</f>
        <v>1.0291999999999999</v>
      </c>
      <c r="AD39" s="52">
        <v>-0.317</v>
      </c>
      <c r="AE39" s="52">
        <f>-1.23</f>
        <v>-1.23</v>
      </c>
      <c r="AF39" s="47"/>
      <c r="AG39" s="115"/>
      <c r="AH39" s="122" t="s">
        <v>214</v>
      </c>
      <c r="AI39" s="170" t="s">
        <v>176</v>
      </c>
      <c r="AJ39" s="46"/>
      <c r="AK39" s="46"/>
      <c r="AL39" s="47">
        <v>1.2500000000000001E-2</v>
      </c>
      <c r="AM39" s="47">
        <f>9.5*1/AL39</f>
        <v>760</v>
      </c>
      <c r="AO39" s="173" t="s">
        <v>17</v>
      </c>
      <c r="AP39" s="205" t="s">
        <v>17</v>
      </c>
      <c r="AQ39" s="46"/>
    </row>
    <row r="40" spans="1:43" s="25" customFormat="1" ht="25.2" customHeight="1" x14ac:dyDescent="0.15">
      <c r="A40" s="171" t="s">
        <v>1193</v>
      </c>
      <c r="B40" s="47" t="s">
        <v>210</v>
      </c>
      <c r="C40" s="47"/>
      <c r="D40" s="47" t="s">
        <v>219</v>
      </c>
      <c r="E40" s="186" t="s">
        <v>146</v>
      </c>
      <c r="F40" s="47" t="s">
        <v>307</v>
      </c>
      <c r="G40" s="47" t="s">
        <v>1177</v>
      </c>
      <c r="H40" s="46"/>
      <c r="I40" s="111">
        <v>1</v>
      </c>
      <c r="J40" s="52">
        <f t="shared" ref="J40:J41" si="44">IF(AC40="N/A","N/A",IF(K40="","N/A",K40))</f>
        <v>3.2952000000000004</v>
      </c>
      <c r="K40" s="148" cm="1">
        <f t="array" ref="K40">IF(AC40="N/A","",_xlfn.IFS(Y40="m2",((AA40/(Z40/AL40))*I40),Y40="m3",((AA40/(Z40/AL40))*I40),Y40="kg",(((AA40*AM40)/(1/AL40))*I40),Y40="ton",(((AA40/1000*AM40)/(1/AL40))*I40),Y40="N/A",""))</f>
        <v>3.2952000000000004</v>
      </c>
      <c r="L40" s="52">
        <f t="shared" ref="L40:L41" si="45">IF(M40="","N/A",M40)</f>
        <v>2.35</v>
      </c>
      <c r="M40" s="148" cm="1">
        <f t="array" ref="M40">(_xlfn.IFS(Y40="m2",((AB40/(Z40/AL40))*I40),Y40="m3",((AB40/(Z40/AL40))*I40),Y40="kg",(((AB40*AM40)/(1/AL40))*I40),Y40="ton",(((AB40/1000*AM40)/(1/AL40))*I40),Y40="N/A",""))</f>
        <v>2.35</v>
      </c>
      <c r="N40" s="52">
        <f t="shared" ref="N40:N41" si="46">IF(O40="","N/A",O40)</f>
        <v>0.94520000000000004</v>
      </c>
      <c r="O40" s="148" cm="1">
        <f t="array" ref="O40">IF(AC40="N/A","",(_xlfn.IFS(Y40="m2",((AC40/(Z40/AL40))*I40),Y40="m3",((AC40/(Z40/AL40))*I40),Y40="kg",(((AC40*AM40)/(1/AL40))*I40),Y40="ton",(((AC40/1000*AM40)/(1/AL40))*I40),Y40="N/A","")))</f>
        <v>0.94520000000000004</v>
      </c>
      <c r="P40" s="52">
        <f t="shared" ref="P40:P41" si="47">IF(Q40="","N/A",Q40)</f>
        <v>-1.26</v>
      </c>
      <c r="Q40" s="155" cm="1">
        <f t="array" ref="Q40">IF(AE40="N/A","",_xlfn.IFS(Y40="m2",((AE40/(Z40/AL40))*I40),Y40="m3",((AE40/(Z40/AL40))*I40),Y40="kg",(((AE40*AM40)/(1/AL40))*I40),Y40="ton",(((AE40/1000*AM40)/(1/AL40))*I40),Y40="N/A",""))</f>
        <v>-1.26</v>
      </c>
      <c r="R40" s="186" t="s">
        <v>5</v>
      </c>
      <c r="S40" s="47"/>
      <c r="T40" s="47">
        <v>2027</v>
      </c>
      <c r="U40" s="47" t="s">
        <v>28</v>
      </c>
      <c r="V40" s="47">
        <v>60</v>
      </c>
      <c r="X40" s="47" t="s">
        <v>1196</v>
      </c>
      <c r="Y40" s="47" t="s">
        <v>15</v>
      </c>
      <c r="Z40" s="47">
        <v>1.2500000000000001E-2</v>
      </c>
      <c r="AA40" s="52">
        <f t="shared" ref="AA40:AA41" si="48">IF(AC40="N/A","N/A",SUM(AB40:AC40))</f>
        <v>3.2952000000000004</v>
      </c>
      <c r="AB40" s="52">
        <v>2.35</v>
      </c>
      <c r="AC40" s="52">
        <f>0.0472+0.898</f>
        <v>0.94520000000000004</v>
      </c>
      <c r="AD40" s="52">
        <v>-0.72899999999999998</v>
      </c>
      <c r="AE40" s="52">
        <v>-1.26</v>
      </c>
      <c r="AF40" s="47"/>
      <c r="AG40" s="115"/>
      <c r="AH40" s="122" t="s">
        <v>214</v>
      </c>
      <c r="AI40" s="170" t="s">
        <v>176</v>
      </c>
      <c r="AJ40" s="46"/>
      <c r="AK40" s="46"/>
      <c r="AL40" s="47">
        <v>1.2500000000000001E-2</v>
      </c>
      <c r="AM40" s="47">
        <f>10.6*1/AL40</f>
        <v>847.99999999999989</v>
      </c>
      <c r="AO40" s="173" t="s">
        <v>17</v>
      </c>
      <c r="AP40" s="205" t="s">
        <v>17</v>
      </c>
      <c r="AQ40" s="46"/>
    </row>
    <row r="41" spans="1:43" s="25" customFormat="1" ht="25.2" customHeight="1" x14ac:dyDescent="0.15">
      <c r="A41" s="171" t="s">
        <v>1194</v>
      </c>
      <c r="B41" s="47" t="s">
        <v>210</v>
      </c>
      <c r="C41" s="47"/>
      <c r="D41" s="47" t="s">
        <v>219</v>
      </c>
      <c r="E41" s="186" t="s">
        <v>146</v>
      </c>
      <c r="F41" s="47" t="s">
        <v>307</v>
      </c>
      <c r="G41" s="47" t="s">
        <v>1177</v>
      </c>
      <c r="H41" s="46"/>
      <c r="I41" s="111">
        <v>1</v>
      </c>
      <c r="J41" s="52">
        <f t="shared" si="44"/>
        <v>2.4996999999999998</v>
      </c>
      <c r="K41" s="148" cm="1">
        <f t="array" ref="K41">IF(AC41="N/A","",_xlfn.IFS(Y41="m2",((AA41/(Z41/AL41))*I41),Y41="m3",((AA41/(Z41/AL41))*I41),Y41="kg",(((AA41*AM41)/(1/AL41))*I41),Y41="ton",(((AA41/1000*AM41)/(1/AL41))*I41),Y41="N/A",""))</f>
        <v>2.4996999999999998</v>
      </c>
      <c r="L41" s="52">
        <f t="shared" si="45"/>
        <v>1.62</v>
      </c>
      <c r="M41" s="148" cm="1">
        <f t="array" ref="M41">(_xlfn.IFS(Y41="m2",((AB41/(Z41/AL41))*I41),Y41="m3",((AB41/(Z41/AL41))*I41),Y41="kg",(((AB41*AM41)/(1/AL41))*I41),Y41="ton",(((AB41/1000*AM41)/(1/AL41))*I41),Y41="N/A",""))</f>
        <v>1.62</v>
      </c>
      <c r="N41" s="52">
        <f t="shared" si="46"/>
        <v>0.87969999999999993</v>
      </c>
      <c r="O41" s="148" cm="1">
        <f t="array" ref="O41">IF(AC41="N/A","",(_xlfn.IFS(Y41="m2",((AC41/(Z41/AL41))*I41),Y41="m3",((AC41/(Z41/AL41))*I41),Y41="kg",(((AC41*AM41)/(1/AL41))*I41),Y41="ton",(((AC41/1000*AM41)/(1/AL41))*I41),Y41="N/A","")))</f>
        <v>0.87969999999999993</v>
      </c>
      <c r="P41" s="52">
        <f t="shared" si="47"/>
        <v>-1.1000000000000001</v>
      </c>
      <c r="Q41" s="155" cm="1">
        <f t="array" ref="Q41">IF(AE41="N/A","",_xlfn.IFS(Y41="m2",((AE41/(Z41/AL41))*I41),Y41="m3",((AE41/(Z41/AL41))*I41),Y41="kg",(((AE41*AM41)/(1/AL41))*I41),Y41="ton",(((AE41/1000*AM41)/(1/AL41))*I41),Y41="N/A",""))</f>
        <v>-1.1000000000000001</v>
      </c>
      <c r="R41" s="186" t="s">
        <v>5</v>
      </c>
      <c r="S41" s="47"/>
      <c r="T41" s="47">
        <v>2027</v>
      </c>
      <c r="U41" s="47" t="s">
        <v>28</v>
      </c>
      <c r="V41" s="47">
        <v>60</v>
      </c>
      <c r="X41" s="47" t="s">
        <v>1195</v>
      </c>
      <c r="Y41" s="47" t="s">
        <v>15</v>
      </c>
      <c r="Z41" s="47">
        <v>1.2500000000000001E-2</v>
      </c>
      <c r="AA41" s="52">
        <f t="shared" si="48"/>
        <v>2.4996999999999998</v>
      </c>
      <c r="AB41" s="52">
        <v>1.62</v>
      </c>
      <c r="AC41" s="52">
        <f>0.0417+0.838</f>
        <v>0.87969999999999993</v>
      </c>
      <c r="AD41" s="52">
        <v>-0.27700000000000002</v>
      </c>
      <c r="AE41" s="52">
        <f>-1.1</f>
        <v>-1.1000000000000001</v>
      </c>
      <c r="AF41" s="47"/>
      <c r="AG41" s="115"/>
      <c r="AH41" s="122" t="s">
        <v>214</v>
      </c>
      <c r="AI41" s="170" t="s">
        <v>176</v>
      </c>
      <c r="AJ41" s="46"/>
      <c r="AK41" s="46"/>
      <c r="AL41" s="47">
        <v>1.2500000000000001E-2</v>
      </c>
      <c r="AM41" s="47">
        <f>9.5*1/AL41</f>
        <v>760</v>
      </c>
      <c r="AO41" s="173" t="s">
        <v>17</v>
      </c>
      <c r="AP41" s="205" t="s">
        <v>17</v>
      </c>
      <c r="AQ41" s="46"/>
    </row>
    <row r="42" spans="1:43" s="25" customFormat="1" ht="25.2" customHeight="1" x14ac:dyDescent="0.15">
      <c r="A42" s="25" t="s">
        <v>1145</v>
      </c>
      <c r="B42" s="69" t="s">
        <v>208</v>
      </c>
      <c r="C42" s="73"/>
      <c r="D42" s="47" t="s">
        <v>1159</v>
      </c>
      <c r="E42" s="186" t="s">
        <v>153</v>
      </c>
      <c r="F42" s="47" t="s">
        <v>132</v>
      </c>
      <c r="G42" s="47" t="s">
        <v>192</v>
      </c>
      <c r="H42" s="46"/>
      <c r="I42" s="111">
        <v>1</v>
      </c>
      <c r="J42" s="52">
        <f t="shared" ref="J42:J43" si="49">IF(AC42="N/A","N/A",IF(K42="","N/A",K42))</f>
        <v>3.9300102000000008</v>
      </c>
      <c r="K42" s="148" cm="1">
        <f t="array" ref="K42">IF(AC42="N/A","",_xlfn.IFS(Y42="m2",((AA42/(Z42/AL42))*I42),Y42="m3",((AA42/(Z42/AL42))*I42),Y42="kg",(((AA42*AM42)/(1/AL42))*I42),Y42="ton",(((AA42/1000*AM42)/(1/AL42))*I42),Y42="N/A",""))</f>
        <v>3.9300102000000008</v>
      </c>
      <c r="L42" s="52">
        <f t="shared" ref="L42:L43" si="50">IF(M42="","N/A",M42)</f>
        <v>-4.28</v>
      </c>
      <c r="M42" s="148" cm="1">
        <f t="array" ref="M42">(_xlfn.IFS(Y42="m2",((AB42/(Z42/AL42))*I42),Y42="m3",((AB42/(Z42/AL42))*I42),Y42="kg",(((AB42*AM42)/(1/AL42))*I42),Y42="ton",(((AB42/1000*AM42)/(1/AL42))*I42),Y42="N/A",""))</f>
        <v>-4.28</v>
      </c>
      <c r="N42" s="52">
        <f t="shared" ref="N42:N43" si="51">IF(O42="","N/A",O42)</f>
        <v>8.210010200000001</v>
      </c>
      <c r="O42" s="148" cm="1">
        <f t="array" ref="O42">IF(AC42="N/A","",(_xlfn.IFS(Y42="m2",((AC42/(Z42/AL42))*I42),Y42="m3",((AC42/(Z42/AL42))*I42),Y42="kg",(((AC42*AM42)/(1/AL42))*I42),Y42="ton",(((AC42/1000*AM42)/(1/AL42))*I42),Y42="N/A","")))</f>
        <v>8.210010200000001</v>
      </c>
      <c r="P42" s="52">
        <f t="shared" ref="P42:P43" si="52">IF(Q42="","N/A",Q42)</f>
        <v>-7.65</v>
      </c>
      <c r="Q42" s="155" cm="1">
        <f t="array" ref="Q42">IF(AE42="N/A","",_xlfn.IFS(Y42="m2",((AE42/(Z42/AL42))*I42),Y42="m3",((AE42/(Z42/AL42))*I42),Y42="kg",(((AE42*AM42)/(1/AL42))*I42),Y42="ton",(((AE42/1000*AM42)/(1/AL42))*I42),Y42="N/A",""))</f>
        <v>-7.65</v>
      </c>
      <c r="R42" s="186" t="s">
        <v>5</v>
      </c>
      <c r="S42" s="47"/>
      <c r="T42" s="47">
        <v>2028</v>
      </c>
      <c r="U42" s="47" t="s">
        <v>28</v>
      </c>
      <c r="V42" s="47">
        <v>60</v>
      </c>
      <c r="W42" s="17"/>
      <c r="X42" s="52" t="s">
        <v>1170</v>
      </c>
      <c r="Y42" s="52" t="s">
        <v>15</v>
      </c>
      <c r="Z42" s="47">
        <v>1.2E-2</v>
      </c>
      <c r="AA42" s="52">
        <f t="shared" ref="AA42" si="53">IF(AC42="N/A","N/A",SUM(AB42:AC42))</f>
        <v>3.9300102000000008</v>
      </c>
      <c r="AB42" s="52">
        <v>-4.28</v>
      </c>
      <c r="AC42" s="52">
        <f>8.21+0.0000102</f>
        <v>8.210010200000001</v>
      </c>
      <c r="AD42" s="52">
        <v>-27.7</v>
      </c>
      <c r="AE42" s="52">
        <v>-7.65</v>
      </c>
      <c r="AF42" s="47"/>
      <c r="AG42" s="120"/>
      <c r="AH42" s="75" t="s">
        <v>8</v>
      </c>
      <c r="AI42" s="121" t="s">
        <v>177</v>
      </c>
      <c r="AJ42" s="120"/>
      <c r="AK42" s="45"/>
      <c r="AL42" s="47">
        <v>1.2E-2</v>
      </c>
      <c r="AM42" s="116">
        <f>8*1/0.012</f>
        <v>666.66666666666663</v>
      </c>
      <c r="AO42" s="173" t="s">
        <v>17</v>
      </c>
      <c r="AP42" s="205" t="s">
        <v>17</v>
      </c>
      <c r="AQ42" s="46"/>
    </row>
    <row r="43" spans="1:43" s="25" customFormat="1" ht="25.2" customHeight="1" x14ac:dyDescent="0.15">
      <c r="A43" s="25" t="s">
        <v>385</v>
      </c>
      <c r="B43" s="47" t="s">
        <v>208</v>
      </c>
      <c r="C43" s="47"/>
      <c r="D43" s="47" t="s">
        <v>96</v>
      </c>
      <c r="E43" s="82" t="s">
        <v>146</v>
      </c>
      <c r="F43" s="47" t="s">
        <v>133</v>
      </c>
      <c r="G43" s="47" t="s">
        <v>1177</v>
      </c>
      <c r="H43" s="46"/>
      <c r="I43" s="111">
        <v>1</v>
      </c>
      <c r="J43" s="52">
        <f t="shared" si="49"/>
        <v>9.3299999999999983</v>
      </c>
      <c r="K43" s="148" cm="1">
        <f t="array" ref="K43">IF(AC43="N/A","",_xlfn.IFS(Y43="m2",((AA43/(Z43/AL43))*I43),Y43="m3",((AA43/(Z43/AL43))*I43),Y43="kg",(((AA43*AM43)/(1/AL43))*I43),Y43="ton",(((AA43/1000*AM43)/(1/AL43))*I43),Y43="N/A",""))</f>
        <v>9.3299999999999983</v>
      </c>
      <c r="L43" s="52">
        <f t="shared" si="50"/>
        <v>1.29</v>
      </c>
      <c r="M43" s="148" cm="1">
        <f t="array" ref="M43">(_xlfn.IFS(Y43="m2",((AB43/(Z43/AL43))*I43),Y43="m3",((AB43/(Z43/AL43))*I43),Y43="kg",(((AB43*AM43)/(1/AL43))*I43),Y43="ton",(((AB43/1000*AM43)/(1/AL43))*I43),Y43="N/A",""))</f>
        <v>1.29</v>
      </c>
      <c r="N43" s="52">
        <f t="shared" si="51"/>
        <v>8.0399999999999991</v>
      </c>
      <c r="O43" s="148" cm="1">
        <f t="array" ref="O43">IF(AC43="N/A","",(_xlfn.IFS(Y43="m2",((AC43/(Z43/AL43))*I43),Y43="m3",((AC43/(Z43/AL43))*I43),Y43="kg",(((AC43*AM43)/(1/AL43))*I43),Y43="ton",(((AC43/1000*AM43)/(1/AL43))*I43),Y43="N/A","")))</f>
        <v>8.0399999999999991</v>
      </c>
      <c r="P43" s="52" t="str">
        <f t="shared" si="52"/>
        <v>N/A</v>
      </c>
      <c r="Q43" s="155" t="str" cm="1">
        <f t="array" ref="Q43">IF(AE43="N/A","",_xlfn.IFS(Y43="m2",((AE43/(Z43/AL43))*I43),Y43="m3",((AE43/(Z43/AL43))*I43),Y43="kg",(((AE43*AM43)/(1/AL43))*I43),Y43="ton",(((AE43/1000*AM43)/(1/AL43))*I43),Y43="N/A",""))</f>
        <v/>
      </c>
      <c r="R43" s="82" t="s">
        <v>5</v>
      </c>
      <c r="S43" s="164" t="s">
        <v>377</v>
      </c>
      <c r="T43" s="47">
        <v>2026</v>
      </c>
      <c r="U43" s="47" t="s">
        <v>14</v>
      </c>
      <c r="V43" s="47">
        <v>50</v>
      </c>
      <c r="W43" s="17"/>
      <c r="X43" s="47" t="s">
        <v>593</v>
      </c>
      <c r="Y43" s="47" t="s">
        <v>15</v>
      </c>
      <c r="Z43" s="47">
        <v>2.5000000000000001E-2</v>
      </c>
      <c r="AA43" s="52">
        <f t="shared" ref="AA43:AA53" si="54">IF(AC43="N/A","N/A",SUM(AB43:AC43))</f>
        <v>9.3299999999999983</v>
      </c>
      <c r="AB43" s="52">
        <v>1.29</v>
      </c>
      <c r="AC43" s="52">
        <v>8.0399999999999991</v>
      </c>
      <c r="AD43" s="52">
        <v>-0.55700000000000005</v>
      </c>
      <c r="AE43" s="52" t="s">
        <v>191</v>
      </c>
      <c r="AF43" s="16"/>
      <c r="AG43" s="103" t="str">
        <f t="shared" ref="AG43" si="55">AH43&amp;" "&amp;AI43</f>
        <v>B s1
d0</v>
      </c>
      <c r="AH43" s="75" t="s">
        <v>178</v>
      </c>
      <c r="AI43" s="83" t="s">
        <v>176</v>
      </c>
      <c r="AJ43" s="96"/>
      <c r="AK43" s="17"/>
      <c r="AL43" s="47">
        <v>2.5000000000000001E-2</v>
      </c>
      <c r="AM43" s="47">
        <v>449</v>
      </c>
      <c r="AO43" s="80" t="s">
        <v>17</v>
      </c>
      <c r="AP43" s="73"/>
      <c r="AQ43" s="46"/>
    </row>
    <row r="44" spans="1:43" s="25" customFormat="1" ht="25.2" customHeight="1" x14ac:dyDescent="0.15">
      <c r="A44" s="25" t="s">
        <v>1198</v>
      </c>
      <c r="B44" s="47" t="s">
        <v>208</v>
      </c>
      <c r="C44" s="47"/>
      <c r="D44" s="47" t="s">
        <v>96</v>
      </c>
      <c r="E44" s="186" t="s">
        <v>146</v>
      </c>
      <c r="F44" s="47" t="s">
        <v>133</v>
      </c>
      <c r="G44" s="47" t="s">
        <v>1177</v>
      </c>
      <c r="H44" s="46"/>
      <c r="I44" s="111">
        <v>1</v>
      </c>
      <c r="J44" s="52">
        <f t="shared" ref="J44:J45" si="56">IF(AC44="N/A","N/A",IF(K44="","N/A",K44))</f>
        <v>9.7200000000000006</v>
      </c>
      <c r="K44" s="148" cm="1">
        <f t="array" ref="K44">IF(AC44="N/A","",_xlfn.IFS(Y44="m2",((AA44/(Z44/AL44))*I44),Y44="m3",((AA44/(Z44/AL44))*I44),Y44="kg",(((AA44*AM44)/(1/AL44))*I44),Y44="ton",(((AA44/1000*AM44)/(1/AL44))*I44),Y44="N/A",""))</f>
        <v>9.7200000000000006</v>
      </c>
      <c r="L44" s="52">
        <f t="shared" ref="L44:L45" si="57">IF(M44="","N/A",M44)</f>
        <v>1.73</v>
      </c>
      <c r="M44" s="148" cm="1">
        <f t="array" ref="M44">(_xlfn.IFS(Y44="m2",((AB44/(Z44/AL44))*I44),Y44="m3",((AB44/(Z44/AL44))*I44),Y44="kg",(((AB44*AM44)/(1/AL44))*I44),Y44="ton",(((AB44/1000*AM44)/(1/AL44))*I44),Y44="N/A",""))</f>
        <v>1.73</v>
      </c>
      <c r="N44" s="52">
        <f t="shared" ref="N44:N45" si="58">IF(O44="","N/A",O44)</f>
        <v>7.99</v>
      </c>
      <c r="O44" s="148" cm="1">
        <f t="array" ref="O44">IF(AC44="N/A","",(_xlfn.IFS(Y44="m2",((AC44/(Z44/AL44))*I44),Y44="m3",((AC44/(Z44/AL44))*I44),Y44="kg",(((AC44*AM44)/(1/AL44))*I44),Y44="ton",(((AC44/1000*AM44)/(1/AL44))*I44),Y44="N/A","")))</f>
        <v>7.99</v>
      </c>
      <c r="P44" s="52" t="str">
        <f t="shared" ref="P44:P45" si="59">IF(Q44="","N/A",Q44)</f>
        <v>N/A</v>
      </c>
      <c r="Q44" s="155" t="str" cm="1">
        <f t="array" ref="Q44">IF(AE44="N/A","",_xlfn.IFS(Y44="m2",((AE44/(Z44/AL44))*I44),Y44="m3",((AE44/(Z44/AL44))*I44),Y44="kg",(((AE44*AM44)/(1/AL44))*I44),Y44="ton",(((AE44/1000*AM44)/(1/AL44))*I44),Y44="N/A",""))</f>
        <v/>
      </c>
      <c r="R44" s="186" t="s">
        <v>5</v>
      </c>
      <c r="S44" s="164" t="s">
        <v>377</v>
      </c>
      <c r="T44" s="47">
        <v>2026</v>
      </c>
      <c r="U44" s="47" t="s">
        <v>14</v>
      </c>
      <c r="V44" s="47">
        <v>50</v>
      </c>
      <c r="X44" s="47" t="s">
        <v>1197</v>
      </c>
      <c r="Y44" s="47" t="s">
        <v>15</v>
      </c>
      <c r="Z44" s="47">
        <v>2.5000000000000001E-2</v>
      </c>
      <c r="AA44" s="52">
        <f t="shared" si="54"/>
        <v>9.7200000000000006</v>
      </c>
      <c r="AB44" s="52">
        <v>1.73</v>
      </c>
      <c r="AC44" s="52">
        <f>0+7.99</f>
        <v>7.99</v>
      </c>
      <c r="AD44" s="52">
        <f>-0.554</f>
        <v>-0.55400000000000005</v>
      </c>
      <c r="AE44" s="52" t="s">
        <v>191</v>
      </c>
      <c r="AF44" s="47"/>
      <c r="AG44" s="115"/>
      <c r="AH44" s="122" t="s">
        <v>178</v>
      </c>
      <c r="AI44" s="170" t="s">
        <v>176</v>
      </c>
      <c r="AJ44" s="46"/>
      <c r="AK44" s="46"/>
      <c r="AL44" s="47">
        <v>2.5000000000000001E-2</v>
      </c>
      <c r="AM44" s="47">
        <v>469</v>
      </c>
      <c r="AO44" s="80" t="s">
        <v>17</v>
      </c>
      <c r="AP44" s="73"/>
      <c r="AQ44" s="46"/>
    </row>
    <row r="45" spans="1:43" s="25" customFormat="1" ht="25.2" customHeight="1" x14ac:dyDescent="0.15">
      <c r="A45" s="25" t="s">
        <v>1199</v>
      </c>
      <c r="B45" s="47" t="s">
        <v>208</v>
      </c>
      <c r="C45" s="47"/>
      <c r="D45" s="47" t="s">
        <v>96</v>
      </c>
      <c r="E45" s="186" t="s">
        <v>146</v>
      </c>
      <c r="F45" s="47" t="s">
        <v>133</v>
      </c>
      <c r="G45" s="47" t="s">
        <v>1177</v>
      </c>
      <c r="H45" s="46"/>
      <c r="I45" s="111">
        <v>1</v>
      </c>
      <c r="J45" s="52">
        <f t="shared" si="56"/>
        <v>8.8569999999999993</v>
      </c>
      <c r="K45" s="148" cm="1">
        <f t="array" ref="K45">IF(AC45="N/A","",_xlfn.IFS(Y45="m2",((AA45/(Z45/AL45))*I45),Y45="m3",((AA45/(Z45/AL45))*I45),Y45="kg",(((AA45*AM45)/(1/AL45))*I45),Y45="ton",(((AA45/1000*AM45)/(1/AL45))*I45),Y45="N/A",""))</f>
        <v>8.8569999999999993</v>
      </c>
      <c r="L45" s="52">
        <f t="shared" si="57"/>
        <v>0.67700000000000005</v>
      </c>
      <c r="M45" s="148" cm="1">
        <f t="array" ref="M45">(_xlfn.IFS(Y45="m2",((AB45/(Z45/AL45))*I45),Y45="m3",((AB45/(Z45/AL45))*I45),Y45="kg",(((AB45*AM45)/(1/AL45))*I45),Y45="ton",(((AB45/1000*AM45)/(1/AL45))*I45),Y45="N/A",""))</f>
        <v>0.67700000000000005</v>
      </c>
      <c r="N45" s="52">
        <f t="shared" si="58"/>
        <v>8.18</v>
      </c>
      <c r="O45" s="148" cm="1">
        <f t="array" ref="O45">IF(AC45="N/A","",(_xlfn.IFS(Y45="m2",((AC45/(Z45/AL45))*I45),Y45="m3",((AC45/(Z45/AL45))*I45),Y45="kg",(((AC45*AM45)/(1/AL45))*I45),Y45="ton",(((AC45/1000*AM45)/(1/AL45))*I45),Y45="N/A","")))</f>
        <v>8.18</v>
      </c>
      <c r="P45" s="52" t="str">
        <f t="shared" si="59"/>
        <v>N/A</v>
      </c>
      <c r="Q45" s="155" t="str" cm="1">
        <f t="array" ref="Q45">IF(AE45="N/A","",_xlfn.IFS(Y45="m2",((AE45/(Z45/AL45))*I45),Y45="m3",((AE45/(Z45/AL45))*I45),Y45="kg",(((AE45*AM45)/(1/AL45))*I45),Y45="ton",(((AE45/1000*AM45)/(1/AL45))*I45),Y45="N/A",""))</f>
        <v/>
      </c>
      <c r="R45" s="186" t="s">
        <v>5</v>
      </c>
      <c r="S45" s="164" t="s">
        <v>377</v>
      </c>
      <c r="T45" s="47">
        <v>2026</v>
      </c>
      <c r="U45" s="47" t="s">
        <v>14</v>
      </c>
      <c r="V45" s="47">
        <v>50</v>
      </c>
      <c r="X45" s="47" t="s">
        <v>1202</v>
      </c>
      <c r="Y45" s="47" t="s">
        <v>15</v>
      </c>
      <c r="Z45" s="47">
        <v>2.5000000000000001E-2</v>
      </c>
      <c r="AA45" s="52">
        <f t="shared" si="54"/>
        <v>8.8569999999999993</v>
      </c>
      <c r="AB45" s="52">
        <v>0.67700000000000005</v>
      </c>
      <c r="AC45" s="52">
        <v>8.18</v>
      </c>
      <c r="AD45" s="52">
        <v>-0.96899999999999997</v>
      </c>
      <c r="AE45" s="52" t="s">
        <v>191</v>
      </c>
      <c r="AF45" s="47"/>
      <c r="AG45" s="115"/>
      <c r="AH45" s="75" t="s">
        <v>178</v>
      </c>
      <c r="AI45" s="83" t="s">
        <v>176</v>
      </c>
      <c r="AJ45" s="46"/>
      <c r="AK45" s="46"/>
      <c r="AL45" s="47">
        <v>2.5000000000000001E-2</v>
      </c>
      <c r="AM45" s="47">
        <v>463</v>
      </c>
      <c r="AO45" s="80" t="s">
        <v>17</v>
      </c>
      <c r="AP45" s="73"/>
      <c r="AQ45" s="46"/>
    </row>
    <row r="46" spans="1:43" s="25" customFormat="1" ht="25.2" customHeight="1" x14ac:dyDescent="0.15">
      <c r="A46" s="25" t="s">
        <v>1200</v>
      </c>
      <c r="B46" s="47" t="s">
        <v>208</v>
      </c>
      <c r="C46" s="47"/>
      <c r="D46" s="47" t="s">
        <v>96</v>
      </c>
      <c r="E46" s="186" t="s">
        <v>146</v>
      </c>
      <c r="F46" s="47" t="s">
        <v>133</v>
      </c>
      <c r="G46" s="47" t="s">
        <v>1177</v>
      </c>
      <c r="H46" s="46"/>
      <c r="I46" s="111">
        <v>1</v>
      </c>
      <c r="J46" s="52">
        <f t="shared" ref="J46:J47" si="60">IF(AC46="N/A","N/A",IF(K46="","N/A",K46))</f>
        <v>9.25</v>
      </c>
      <c r="K46" s="148" cm="1">
        <f t="array" ref="K46">IF(AC46="N/A","",_xlfn.IFS(Y46="m2",((AA46/(Z46/AL46))*I46),Y46="m3",((AA46/(Z46/AL46))*I46),Y46="kg",(((AA46*AM46)/(1/AL46))*I46),Y46="ton",(((AA46/1000*AM46)/(1/AL46))*I46),Y46="N/A",""))</f>
        <v>9.25</v>
      </c>
      <c r="L46" s="52">
        <f t="shared" ref="L46:L47" si="61">IF(M46="","N/A",M46)</f>
        <v>1.1299999999999999</v>
      </c>
      <c r="M46" s="148" cm="1">
        <f t="array" ref="M46">(_xlfn.IFS(Y46="m2",((AB46/(Z46/AL46))*I46),Y46="m3",((AB46/(Z46/AL46))*I46),Y46="kg",(((AB46*AM46)/(1/AL46))*I46),Y46="ton",(((AB46/1000*AM46)/(1/AL46))*I46),Y46="N/A",""))</f>
        <v>1.1299999999999999</v>
      </c>
      <c r="N46" s="52">
        <f t="shared" ref="N46:N47" si="62">IF(O46="","N/A",O46)</f>
        <v>8.1199999999999992</v>
      </c>
      <c r="O46" s="148" cm="1">
        <f t="array" ref="O46">IF(AC46="N/A","",(_xlfn.IFS(Y46="m2",((AC46/(Z46/AL46))*I46),Y46="m3",((AC46/(Z46/AL46))*I46),Y46="kg",(((AC46*AM46)/(1/AL46))*I46),Y46="ton",(((AC46/1000*AM46)/(1/AL46))*I46),Y46="N/A","")))</f>
        <v>8.1199999999999992</v>
      </c>
      <c r="P46" s="52" t="str">
        <f t="shared" ref="P46:P47" si="63">IF(Q46="","N/A",Q46)</f>
        <v>N/A</v>
      </c>
      <c r="Q46" s="155" t="str" cm="1">
        <f t="array" ref="Q46">IF(AE46="N/A","",_xlfn.IFS(Y46="m2",((AE46/(Z46/AL46))*I46),Y46="m3",((AE46/(Z46/AL46))*I46),Y46="kg",(((AE46*AM46)/(1/AL46))*I46),Y46="ton",(((AE46/1000*AM46)/(1/AL46))*I46),Y46="N/A",""))</f>
        <v/>
      </c>
      <c r="R46" s="186" t="s">
        <v>5</v>
      </c>
      <c r="S46" s="164" t="s">
        <v>377</v>
      </c>
      <c r="T46" s="47">
        <v>2026</v>
      </c>
      <c r="U46" s="47" t="s">
        <v>14</v>
      </c>
      <c r="V46" s="47">
        <v>50</v>
      </c>
      <c r="X46" s="47" t="s">
        <v>1201</v>
      </c>
      <c r="Y46" s="47" t="s">
        <v>15</v>
      </c>
      <c r="Z46" s="47">
        <v>2.5000000000000001E-2</v>
      </c>
      <c r="AA46" s="52">
        <f t="shared" si="54"/>
        <v>9.25</v>
      </c>
      <c r="AB46" s="52">
        <v>1.1299999999999999</v>
      </c>
      <c r="AC46" s="52">
        <f>0+8.12</f>
        <v>8.1199999999999992</v>
      </c>
      <c r="AD46" s="52">
        <v>-0.96199999999999997</v>
      </c>
      <c r="AE46" s="52" t="s">
        <v>191</v>
      </c>
      <c r="AF46" s="47"/>
      <c r="AG46" s="115"/>
      <c r="AH46" s="122" t="s">
        <v>178</v>
      </c>
      <c r="AI46" s="170" t="s">
        <v>176</v>
      </c>
      <c r="AJ46" s="46"/>
      <c r="AK46" s="46"/>
      <c r="AL46" s="47">
        <v>2.5000000000000001E-2</v>
      </c>
      <c r="AM46" s="47">
        <v>471</v>
      </c>
      <c r="AO46" s="80" t="s">
        <v>17</v>
      </c>
      <c r="AP46" s="73"/>
      <c r="AQ46" s="46"/>
    </row>
    <row r="47" spans="1:43" s="25" customFormat="1" ht="25.2" customHeight="1" x14ac:dyDescent="0.15">
      <c r="A47" s="25" t="s">
        <v>1203</v>
      </c>
      <c r="B47" s="47" t="s">
        <v>208</v>
      </c>
      <c r="C47" s="47"/>
      <c r="D47" s="47" t="s">
        <v>96</v>
      </c>
      <c r="E47" s="186" t="s">
        <v>146</v>
      </c>
      <c r="F47" s="47" t="s">
        <v>133</v>
      </c>
      <c r="G47" s="47" t="s">
        <v>1177</v>
      </c>
      <c r="H47" s="46"/>
      <c r="I47" s="111">
        <v>1</v>
      </c>
      <c r="J47" s="52">
        <f t="shared" si="60"/>
        <v>6.5</v>
      </c>
      <c r="K47" s="148" cm="1">
        <f t="array" ref="K47">IF(AC47="N/A","",_xlfn.IFS(Y47="m2",((AA47/(Z47/AL47))*I47),Y47="m3",((AA47/(Z47/AL47))*I47),Y47="kg",(((AA47*AM47)/(1/AL47))*I47),Y47="ton",(((AA47/1000*AM47)/(1/AL47))*I47),Y47="N/A",""))</f>
        <v>6.5</v>
      </c>
      <c r="L47" s="52">
        <f t="shared" si="61"/>
        <v>-1.37</v>
      </c>
      <c r="M47" s="148" cm="1">
        <f t="array" ref="M47">(_xlfn.IFS(Y47="m2",((AB47/(Z47/AL47))*I47),Y47="m3",((AB47/(Z47/AL47))*I47),Y47="kg",(((AB47*AM47)/(1/AL47))*I47),Y47="ton",(((AB47/1000*AM47)/(1/AL47))*I47),Y47="N/A",""))</f>
        <v>-1.37</v>
      </c>
      <c r="N47" s="52">
        <f t="shared" si="62"/>
        <v>7.87</v>
      </c>
      <c r="O47" s="148" cm="1">
        <f t="array" ref="O47">IF(AC47="N/A","",(_xlfn.IFS(Y47="m2",((AC47/(Z47/AL47))*I47),Y47="m3",((AC47/(Z47/AL47))*I47),Y47="kg",(((AC47*AM47)/(1/AL47))*I47),Y47="ton",(((AC47/1000*AM47)/(1/AL47))*I47),Y47="N/A","")))</f>
        <v>7.87</v>
      </c>
      <c r="P47" s="52" t="str">
        <f t="shared" si="63"/>
        <v>N/A</v>
      </c>
      <c r="Q47" s="155" t="str" cm="1">
        <f t="array" ref="Q47">IF(AE47="N/A","",_xlfn.IFS(Y47="m2",((AE47/(Z47/AL47))*I47),Y47="m3",((AE47/(Z47/AL47))*I47),Y47="kg",(((AE47*AM47)/(1/AL47))*I47),Y47="ton",(((AE47/1000*AM47)/(1/AL47))*I47),Y47="N/A",""))</f>
        <v/>
      </c>
      <c r="R47" s="186" t="s">
        <v>5</v>
      </c>
      <c r="S47" s="164" t="s">
        <v>377</v>
      </c>
      <c r="T47" s="47">
        <v>2027</v>
      </c>
      <c r="U47" s="47" t="s">
        <v>14</v>
      </c>
      <c r="V47" s="47">
        <v>50</v>
      </c>
      <c r="X47" s="47" t="s">
        <v>1205</v>
      </c>
      <c r="Y47" s="47" t="s">
        <v>15</v>
      </c>
      <c r="Z47" s="47">
        <v>2.5000000000000001E-2</v>
      </c>
      <c r="AA47" s="52">
        <f t="shared" si="54"/>
        <v>6.5</v>
      </c>
      <c r="AB47" s="52">
        <v>-1.37</v>
      </c>
      <c r="AC47" s="52">
        <f>0+7.87</f>
        <v>7.87</v>
      </c>
      <c r="AD47" s="52">
        <v>-0.96899999999999997</v>
      </c>
      <c r="AE47" s="52" t="s">
        <v>191</v>
      </c>
      <c r="AF47" s="47"/>
      <c r="AG47" s="115"/>
      <c r="AH47" s="75" t="s">
        <v>178</v>
      </c>
      <c r="AI47" s="83" t="s">
        <v>176</v>
      </c>
      <c r="AJ47" s="46"/>
      <c r="AK47" s="46"/>
      <c r="AL47" s="47">
        <v>2.5000000000000001E-2</v>
      </c>
      <c r="AM47" s="47">
        <v>463</v>
      </c>
      <c r="AO47" s="80" t="s">
        <v>17</v>
      </c>
      <c r="AP47" s="73"/>
      <c r="AQ47" s="46"/>
    </row>
    <row r="48" spans="1:43" s="25" customFormat="1" ht="25.2" customHeight="1" x14ac:dyDescent="0.15">
      <c r="A48" s="25" t="s">
        <v>1204</v>
      </c>
      <c r="B48" s="47" t="s">
        <v>208</v>
      </c>
      <c r="C48" s="47"/>
      <c r="D48" s="47" t="s">
        <v>96</v>
      </c>
      <c r="E48" s="186" t="s">
        <v>146</v>
      </c>
      <c r="F48" s="47" t="s">
        <v>133</v>
      </c>
      <c r="G48" s="47" t="s">
        <v>1177</v>
      </c>
      <c r="H48" s="46"/>
      <c r="I48" s="111">
        <v>1</v>
      </c>
      <c r="J48" s="52">
        <f t="shared" ref="J48:J49" si="64">IF(AC48="N/A","N/A",IF(K48="","N/A",K48))</f>
        <v>7.0790000000000006</v>
      </c>
      <c r="K48" s="148" cm="1">
        <f t="array" ref="K48">IF(AC48="N/A","",_xlfn.IFS(Y48="m2",((AA48/(Z48/AL48))*I48),Y48="m3",((AA48/(Z48/AL48))*I48),Y48="kg",(((AA48*AM48)/(1/AL48))*I48),Y48="ton",(((AA48/1000*AM48)/(1/AL48))*I48),Y48="N/A",""))</f>
        <v>7.0790000000000006</v>
      </c>
      <c r="L48" s="52">
        <f t="shared" ref="L48:L49" si="65">IF(M48="","N/A",M48)</f>
        <v>-0.98099999999999998</v>
      </c>
      <c r="M48" s="148" cm="1">
        <f t="array" ref="M48">(_xlfn.IFS(Y48="m2",((AB48/(Z48/AL48))*I48),Y48="m3",((AB48/(Z48/AL48))*I48),Y48="kg",(((AB48*AM48)/(1/AL48))*I48),Y48="ton",(((AB48/1000*AM48)/(1/AL48))*I48),Y48="N/A",""))</f>
        <v>-0.98099999999999998</v>
      </c>
      <c r="N48" s="52">
        <f t="shared" ref="N48:N49" si="66">IF(O48="","N/A",O48)</f>
        <v>8.06</v>
      </c>
      <c r="O48" s="148" cm="1">
        <f t="array" ref="O48">IF(AC48="N/A","",(_xlfn.IFS(Y48="m2",((AC48/(Z48/AL48))*I48),Y48="m3",((AC48/(Z48/AL48))*I48),Y48="kg",(((AC48*AM48)/(1/AL48))*I48),Y48="ton",(((AC48/1000*AM48)/(1/AL48))*I48),Y48="N/A","")))</f>
        <v>8.06</v>
      </c>
      <c r="P48" s="52" t="str">
        <f t="shared" ref="P48:P49" si="67">IF(Q48="","N/A",Q48)</f>
        <v>N/A</v>
      </c>
      <c r="Q48" s="155" t="str" cm="1">
        <f t="array" ref="Q48">IF(AE48="N/A","",_xlfn.IFS(Y48="m2",((AE48/(Z48/AL48))*I48),Y48="m3",((AE48/(Z48/AL48))*I48),Y48="kg",(((AE48*AM48)/(1/AL48))*I48),Y48="ton",(((AE48/1000*AM48)/(1/AL48))*I48),Y48="N/A",""))</f>
        <v/>
      </c>
      <c r="R48" s="186" t="s">
        <v>5</v>
      </c>
      <c r="S48" s="164" t="s">
        <v>377</v>
      </c>
      <c r="T48" s="47">
        <v>2027</v>
      </c>
      <c r="U48" s="47" t="s">
        <v>14</v>
      </c>
      <c r="V48" s="47">
        <v>50</v>
      </c>
      <c r="X48" s="47" t="s">
        <v>1206</v>
      </c>
      <c r="Y48" s="47" t="s">
        <v>15</v>
      </c>
      <c r="Z48" s="47">
        <v>2.5000000000000001E-2</v>
      </c>
      <c r="AA48" s="52">
        <f t="shared" si="54"/>
        <v>7.0790000000000006</v>
      </c>
      <c r="AB48" s="52">
        <v>-0.98099999999999998</v>
      </c>
      <c r="AC48" s="52">
        <f>0+8.06</f>
        <v>8.06</v>
      </c>
      <c r="AD48" s="52">
        <v>-0.96199999999999997</v>
      </c>
      <c r="AE48" s="52" t="s">
        <v>191</v>
      </c>
      <c r="AF48" s="47"/>
      <c r="AG48" s="115"/>
      <c r="AH48" s="122" t="s">
        <v>178</v>
      </c>
      <c r="AI48" s="170" t="s">
        <v>176</v>
      </c>
      <c r="AJ48" s="46"/>
      <c r="AK48" s="46"/>
      <c r="AL48" s="47">
        <v>2.5000000000000001E-2</v>
      </c>
      <c r="AM48" s="47">
        <v>471</v>
      </c>
      <c r="AO48" s="80" t="s">
        <v>17</v>
      </c>
      <c r="AP48" s="73"/>
      <c r="AQ48" s="46"/>
    </row>
    <row r="49" spans="1:43" s="25" customFormat="1" ht="25.2" customHeight="1" x14ac:dyDescent="0.15">
      <c r="A49" s="25" t="s">
        <v>1207</v>
      </c>
      <c r="B49" s="47" t="s">
        <v>210</v>
      </c>
      <c r="C49" s="47"/>
      <c r="D49" s="47" t="s">
        <v>219</v>
      </c>
      <c r="E49" s="186" t="s">
        <v>146</v>
      </c>
      <c r="F49" s="47" t="s">
        <v>301</v>
      </c>
      <c r="G49" s="47" t="s">
        <v>1177</v>
      </c>
      <c r="H49" s="46"/>
      <c r="I49" s="111">
        <v>1</v>
      </c>
      <c r="J49" s="52">
        <f t="shared" si="64"/>
        <v>3.5700000000000003</v>
      </c>
      <c r="K49" s="148" cm="1">
        <f t="array" ref="K49">IF(AC49="N/A","",_xlfn.IFS(Y49="m2",((AA49/(Z49/AL49))*I49),Y49="m3",((AA49/(Z49/AL49))*I49),Y49="kg",(((AA49*AM49)/(1/AL49))*I49),Y49="ton",(((AA49/1000*AM49)/(1/AL49))*I49),Y49="N/A",""))</f>
        <v>3.5700000000000003</v>
      </c>
      <c r="L49" s="52">
        <f t="shared" si="65"/>
        <v>2.56</v>
      </c>
      <c r="M49" s="148" cm="1">
        <f t="array" ref="M49">(_xlfn.IFS(Y49="m2",((AB49/(Z49/AL49))*I49),Y49="m3",((AB49/(Z49/AL49))*I49),Y49="kg",(((AB49*AM49)/(1/AL49))*I49),Y49="ton",(((AB49/1000*AM49)/(1/AL49))*I49),Y49="N/A",""))</f>
        <v>2.56</v>
      </c>
      <c r="N49" s="52">
        <f t="shared" si="66"/>
        <v>1.01</v>
      </c>
      <c r="O49" s="148" cm="1">
        <f t="array" ref="O49">IF(AC49="N/A","",(_xlfn.IFS(Y49="m2",((AC49/(Z49/AL49))*I49),Y49="m3",((AC49/(Z49/AL49))*I49),Y49="kg",(((AC49*AM49)/(1/AL49))*I49),Y49="ton",(((AC49/1000*AM49)/(1/AL49))*I49),Y49="N/A","")))</f>
        <v>1.01</v>
      </c>
      <c r="P49" s="52">
        <f t="shared" si="67"/>
        <v>-0.92</v>
      </c>
      <c r="Q49" s="155" cm="1">
        <f t="array" ref="Q49">IF(AE49="N/A","",_xlfn.IFS(Y49="m2",((AE49/(Z49/AL49))*I49),Y49="m3",((AE49/(Z49/AL49))*I49),Y49="kg",(((AE49*AM49)/(1/AL49))*I49),Y49="ton",(((AE49/1000*AM49)/(1/AL49))*I49),Y49="N/A",""))</f>
        <v>-0.92</v>
      </c>
      <c r="R49" s="186" t="s">
        <v>5</v>
      </c>
      <c r="S49" s="47"/>
      <c r="T49" s="47">
        <v>2027</v>
      </c>
      <c r="U49" s="47" t="s">
        <v>28</v>
      </c>
      <c r="V49" s="47">
        <v>60</v>
      </c>
      <c r="X49" s="47" t="s">
        <v>1209</v>
      </c>
      <c r="Y49" s="47" t="s">
        <v>15</v>
      </c>
      <c r="Z49" s="47">
        <v>1.2E-2</v>
      </c>
      <c r="AA49" s="52">
        <f t="shared" si="54"/>
        <v>3.5700000000000003</v>
      </c>
      <c r="AB49" s="52">
        <v>2.56</v>
      </c>
      <c r="AC49" s="52">
        <f>1.01+0</f>
        <v>1.01</v>
      </c>
      <c r="AD49" s="52">
        <v>-0.318</v>
      </c>
      <c r="AE49" s="52">
        <v>-0.92</v>
      </c>
      <c r="AF49" s="47"/>
      <c r="AG49" s="115"/>
      <c r="AH49" s="122" t="s">
        <v>214</v>
      </c>
      <c r="AI49" s="170" t="s">
        <v>176</v>
      </c>
      <c r="AJ49" s="46"/>
      <c r="AK49" s="46"/>
      <c r="AL49" s="47">
        <v>1.2E-2</v>
      </c>
      <c r="AM49" s="116">
        <f>11*1/AL49</f>
        <v>916.66666666666663</v>
      </c>
      <c r="AO49" s="173" t="s">
        <v>17</v>
      </c>
      <c r="AP49" s="73"/>
      <c r="AQ49" s="46"/>
    </row>
    <row r="50" spans="1:43" s="25" customFormat="1" ht="25.2" customHeight="1" x14ac:dyDescent="0.15">
      <c r="A50" s="25" t="s">
        <v>1208</v>
      </c>
      <c r="B50" s="47" t="s">
        <v>210</v>
      </c>
      <c r="C50" s="47"/>
      <c r="D50" s="47" t="s">
        <v>219</v>
      </c>
      <c r="E50" s="186" t="s">
        <v>146</v>
      </c>
      <c r="F50" s="47" t="s">
        <v>301</v>
      </c>
      <c r="G50" s="47" t="s">
        <v>1177</v>
      </c>
      <c r="H50" s="46"/>
      <c r="I50" s="111">
        <v>1</v>
      </c>
      <c r="J50" s="52">
        <f t="shared" ref="J50:J51" si="68">IF(AC50="N/A","N/A",IF(K50="","N/A",K50))</f>
        <v>3.8200000000000003</v>
      </c>
      <c r="K50" s="148" cm="1">
        <f t="array" ref="K50">IF(AC50="N/A","",_xlfn.IFS(Y50="m2",((AA50/(Z50/AL50))*I50),Y50="m3",((AA50/(Z50/AL50))*I50),Y50="kg",(((AA50*AM50)/(1/AL50))*I50),Y50="ton",(((AA50/1000*AM50)/(1/AL50))*I50),Y50="N/A",""))</f>
        <v>3.8200000000000003</v>
      </c>
      <c r="L50" s="52">
        <f t="shared" ref="L50:L51" si="69">IF(M50="","N/A",M50)</f>
        <v>2.73</v>
      </c>
      <c r="M50" s="148" cm="1">
        <f t="array" ref="M50">(_xlfn.IFS(Y50="m2",((AB50/(Z50/AL50))*I50),Y50="m3",((AB50/(Z50/AL50))*I50),Y50="kg",(((AB50*AM50)/(1/AL50))*I50),Y50="ton",(((AB50/1000*AM50)/(1/AL50))*I50),Y50="N/A",""))</f>
        <v>2.73</v>
      </c>
      <c r="N50" s="52">
        <f t="shared" ref="N50:N51" si="70">IF(O50="","N/A",O50)</f>
        <v>1.0900000000000001</v>
      </c>
      <c r="O50" s="148" cm="1">
        <f t="array" ref="O50">IF(AC50="N/A","",(_xlfn.IFS(Y50="m2",((AC50/(Z50/AL50))*I50),Y50="m3",((AC50/(Z50/AL50))*I50),Y50="kg",(((AC50*AM50)/(1/AL50))*I50),Y50="ton",(((AC50/1000*AM50)/(1/AL50))*I50),Y50="N/A","")))</f>
        <v>1.0900000000000001</v>
      </c>
      <c r="P50" s="52">
        <f t="shared" ref="P50:P51" si="71">IF(Q50="","N/A",Q50)</f>
        <v>-0.96899999999999997</v>
      </c>
      <c r="Q50" s="155" cm="1">
        <f t="array" ref="Q50">IF(AE50="N/A","",_xlfn.IFS(Y50="m2",((AE50/(Z50/AL50))*I50),Y50="m3",((AE50/(Z50/AL50))*I50),Y50="kg",(((AE50*AM50)/(1/AL50))*I50),Y50="ton",(((AE50/1000*AM50)/(1/AL50))*I50),Y50="N/A",""))</f>
        <v>-0.96899999999999997</v>
      </c>
      <c r="R50" s="186" t="s">
        <v>5</v>
      </c>
      <c r="S50" s="47"/>
      <c r="T50" s="47">
        <v>2027</v>
      </c>
      <c r="U50" s="47" t="s">
        <v>28</v>
      </c>
      <c r="V50" s="47">
        <v>60</v>
      </c>
      <c r="X50" s="47" t="s">
        <v>1210</v>
      </c>
      <c r="Y50" s="47" t="s">
        <v>15</v>
      </c>
      <c r="Z50" s="47">
        <v>1.2E-2</v>
      </c>
      <c r="AA50" s="52">
        <f t="shared" si="54"/>
        <v>3.8200000000000003</v>
      </c>
      <c r="AB50" s="52">
        <v>2.73</v>
      </c>
      <c r="AC50" s="52">
        <f>1.09+0</f>
        <v>1.0900000000000001</v>
      </c>
      <c r="AD50" s="52">
        <v>-0.33500000000000002</v>
      </c>
      <c r="AE50" s="52">
        <v>-0.96899999999999997</v>
      </c>
      <c r="AF50" s="47"/>
      <c r="AG50" s="115"/>
      <c r="AH50" s="122" t="s">
        <v>214</v>
      </c>
      <c r="AI50" s="170" t="s">
        <v>176</v>
      </c>
      <c r="AJ50" s="46"/>
      <c r="AK50" s="46"/>
      <c r="AL50" s="47">
        <v>1.2E-2</v>
      </c>
      <c r="AM50" s="116">
        <f>10*1/AL50</f>
        <v>833.33333333333337</v>
      </c>
      <c r="AO50" s="173" t="s">
        <v>17</v>
      </c>
      <c r="AP50" s="73"/>
      <c r="AQ50" s="46"/>
    </row>
    <row r="51" spans="1:43" s="25" customFormat="1" ht="25.2" customHeight="1" x14ac:dyDescent="0.15">
      <c r="A51" s="25" t="s">
        <v>1211</v>
      </c>
      <c r="B51" s="47" t="s">
        <v>210</v>
      </c>
      <c r="C51" s="47"/>
      <c r="D51" s="47" t="s">
        <v>278</v>
      </c>
      <c r="E51" s="186" t="s">
        <v>1213</v>
      </c>
      <c r="F51" s="47" t="s">
        <v>301</v>
      </c>
      <c r="G51" s="47" t="s">
        <v>1177</v>
      </c>
      <c r="H51" s="46"/>
      <c r="I51" s="111">
        <v>1</v>
      </c>
      <c r="J51" s="52">
        <f t="shared" si="68"/>
        <v>2.75</v>
      </c>
      <c r="K51" s="148" cm="1">
        <f t="array" ref="K51">IF(AC51="N/A","",_xlfn.IFS(Y51="m2",((AA51/(Z51/AL51))*I51),Y51="m3",((AA51/(Z51/AL51))*I51),Y51="kg",(((AA51*AM51)/(1/AL51))*I51),Y51="ton",(((AA51/1000*AM51)/(1/AL51))*I51),Y51="N/A",""))</f>
        <v>2.75</v>
      </c>
      <c r="L51" s="52">
        <f t="shared" si="69"/>
        <v>2.6</v>
      </c>
      <c r="M51" s="148" cm="1">
        <f t="array" ref="M51">(_xlfn.IFS(Y51="m2",((AB51/(Z51/AL51))*I51),Y51="m3",((AB51/(Z51/AL51))*I51),Y51="kg",(((AB51*AM51)/(1/AL51))*I51),Y51="ton",(((AB51/1000*AM51)/(1/AL51))*I51),Y51="N/A",""))</f>
        <v>2.6</v>
      </c>
      <c r="N51" s="52">
        <f t="shared" si="70"/>
        <v>0.15</v>
      </c>
      <c r="O51" s="148" cm="1">
        <f t="array" ref="O51">IF(AC51="N/A","",(_xlfn.IFS(Y51="m2",((AC51/(Z51/AL51))*I51),Y51="m3",((AC51/(Z51/AL51))*I51),Y51="kg",(((AC51*AM51)/(1/AL51))*I51),Y51="ton",(((AC51/1000*AM51)/(1/AL51))*I51),Y51="N/A","")))</f>
        <v>0.15</v>
      </c>
      <c r="P51" s="52" t="str">
        <f t="shared" si="71"/>
        <v>N/A</v>
      </c>
      <c r="Q51" s="155" t="str" cm="1">
        <f t="array" ref="Q51">IF(AE51="N/A","",_xlfn.IFS(Y51="m2",((AE51/(Z51/AL51))*I51),Y51="m3",((AE51/(Z51/AL51))*I51),Y51="kg",(((AE51*AM51)/(1/AL51))*I51),Y51="ton",(((AE51/1000*AM51)/(1/AL51))*I51),Y51="N/A",""))</f>
        <v/>
      </c>
      <c r="R51" s="186" t="s">
        <v>5</v>
      </c>
      <c r="S51" s="47"/>
      <c r="T51" s="47">
        <v>2023</v>
      </c>
      <c r="U51" s="47" t="s">
        <v>14</v>
      </c>
      <c r="V51" s="47">
        <v>50</v>
      </c>
      <c r="X51" s="270" t="s">
        <v>1212</v>
      </c>
      <c r="Y51" s="47" t="s">
        <v>15</v>
      </c>
      <c r="Z51" s="47">
        <v>1.2500000000000001E-2</v>
      </c>
      <c r="AA51" s="52">
        <f t="shared" si="54"/>
        <v>2.75</v>
      </c>
      <c r="AB51" s="52">
        <v>2.6</v>
      </c>
      <c r="AC51" s="52">
        <f>0+0.15</f>
        <v>0.15</v>
      </c>
      <c r="AD51" s="52" t="s">
        <v>191</v>
      </c>
      <c r="AE51" s="52" t="s">
        <v>191</v>
      </c>
      <c r="AF51" s="47"/>
      <c r="AG51" s="115"/>
      <c r="AH51" s="122" t="s">
        <v>214</v>
      </c>
      <c r="AI51" s="170" t="s">
        <v>176</v>
      </c>
      <c r="AJ51" s="46"/>
      <c r="AK51" s="46"/>
      <c r="AL51" s="47">
        <v>1.2500000000000001E-2</v>
      </c>
      <c r="AM51" s="47">
        <v>680</v>
      </c>
      <c r="AO51" s="173" t="s">
        <v>17</v>
      </c>
      <c r="AP51" s="73"/>
      <c r="AQ51" s="46"/>
    </row>
    <row r="52" spans="1:43" s="25" customFormat="1" ht="25.2" customHeight="1" x14ac:dyDescent="0.15">
      <c r="A52" s="25" t="s">
        <v>1215</v>
      </c>
      <c r="B52" s="47" t="s">
        <v>210</v>
      </c>
      <c r="C52" s="47"/>
      <c r="D52" s="47" t="s">
        <v>278</v>
      </c>
      <c r="E52" s="186" t="s">
        <v>146</v>
      </c>
      <c r="F52" s="47" t="s">
        <v>301</v>
      </c>
      <c r="G52" s="47" t="s">
        <v>1177</v>
      </c>
      <c r="H52" s="46"/>
      <c r="I52" s="111">
        <v>1</v>
      </c>
      <c r="J52" s="52">
        <f t="shared" ref="J52:J53" si="72">IF(AC52="N/A","N/A",IF(K52="","N/A",K52))</f>
        <v>2.9499999999999997</v>
      </c>
      <c r="K52" s="148" cm="1">
        <f t="array" ref="K52">IF(AC52="N/A","",_xlfn.IFS(Y52="m2",((AA52/(Z52/AL52))*I52),Y52="m3",((AA52/(Z52/AL52))*I52),Y52="kg",(((AA52*AM52)/(1/AL52))*I52),Y52="ton",(((AA52/1000*AM52)/(1/AL52))*I52),Y52="N/A",""))</f>
        <v>2.9499999999999997</v>
      </c>
      <c r="L52" s="52">
        <f t="shared" ref="L52:L53" si="73">IF(M52="","N/A",M52)</f>
        <v>2.8</v>
      </c>
      <c r="M52" s="148" cm="1">
        <f t="array" ref="M52">(_xlfn.IFS(Y52="m2",((AB52/(Z52/AL52))*I52),Y52="m3",((AB52/(Z52/AL52))*I52),Y52="kg",(((AB52*AM52)/(1/AL52))*I52),Y52="ton",(((AB52/1000*AM52)/(1/AL52))*I52),Y52="N/A",""))</f>
        <v>2.8</v>
      </c>
      <c r="N52" s="52">
        <f t="shared" ref="N52:N53" si="74">IF(O52="","N/A",O52)</f>
        <v>0.15</v>
      </c>
      <c r="O52" s="148" cm="1">
        <f t="array" ref="O52">IF(AC52="N/A","",(_xlfn.IFS(Y52="m2",((AC52/(Z52/AL52))*I52),Y52="m3",((AC52/(Z52/AL52))*I52),Y52="kg",(((AC52*AM52)/(1/AL52))*I52),Y52="ton",(((AC52/1000*AM52)/(1/AL52))*I52),Y52="N/A","")))</f>
        <v>0.15</v>
      </c>
      <c r="P52" s="52" t="str">
        <f t="shared" ref="P52:P53" si="75">IF(Q52="","N/A",Q52)</f>
        <v>N/A</v>
      </c>
      <c r="Q52" s="155" t="str" cm="1">
        <f t="array" ref="Q52">IF(AE52="N/A","",_xlfn.IFS(Y52="m2",((AE52/(Z52/AL52))*I52),Y52="m3",((AE52/(Z52/AL52))*I52),Y52="kg",(((AE52*AM52)/(1/AL52))*I52),Y52="ton",(((AE52/1000*AM52)/(1/AL52))*I52),Y52="N/A",""))</f>
        <v/>
      </c>
      <c r="R52" s="186" t="s">
        <v>5</v>
      </c>
      <c r="S52" s="47"/>
      <c r="T52" s="47">
        <v>2023</v>
      </c>
      <c r="U52" s="47" t="s">
        <v>14</v>
      </c>
      <c r="V52" s="47">
        <v>50</v>
      </c>
      <c r="X52" s="47" t="s">
        <v>1214</v>
      </c>
      <c r="Y52" s="47" t="s">
        <v>15</v>
      </c>
      <c r="Z52" s="47">
        <v>1.2500000000000001E-2</v>
      </c>
      <c r="AA52" s="52">
        <f t="shared" si="54"/>
        <v>2.9499999999999997</v>
      </c>
      <c r="AB52" s="52">
        <v>2.8</v>
      </c>
      <c r="AC52" s="52">
        <f>0+0.15</f>
        <v>0.15</v>
      </c>
      <c r="AD52" s="52">
        <v>1.7000000000000001E-2</v>
      </c>
      <c r="AE52" s="52" t="s">
        <v>191</v>
      </c>
      <c r="AF52" s="47"/>
      <c r="AG52" s="115"/>
      <c r="AH52" s="122" t="s">
        <v>214</v>
      </c>
      <c r="AI52" s="170" t="s">
        <v>176</v>
      </c>
      <c r="AJ52" s="46"/>
      <c r="AK52" s="46"/>
      <c r="AL52" s="47">
        <v>1.2500000000000001E-2</v>
      </c>
      <c r="AM52" s="47">
        <v>736</v>
      </c>
      <c r="AO52" s="109"/>
      <c r="AP52" s="73"/>
      <c r="AQ52" s="46"/>
    </row>
    <row r="53" spans="1:43" s="25" customFormat="1" ht="25.2" customHeight="1" x14ac:dyDescent="0.15">
      <c r="A53" s="25" t="s">
        <v>1216</v>
      </c>
      <c r="B53" s="47" t="s">
        <v>210</v>
      </c>
      <c r="C53" s="47"/>
      <c r="D53" s="47" t="s">
        <v>278</v>
      </c>
      <c r="E53" s="186" t="s">
        <v>146</v>
      </c>
      <c r="F53" s="47" t="s">
        <v>301</v>
      </c>
      <c r="G53" s="47" t="s">
        <v>1177</v>
      </c>
      <c r="H53" s="46"/>
      <c r="I53" s="111">
        <v>1</v>
      </c>
      <c r="J53" s="52">
        <f t="shared" si="72"/>
        <v>2.3200000000000003</v>
      </c>
      <c r="K53" s="148" cm="1">
        <f t="array" ref="K53">IF(AC53="N/A","",_xlfn.IFS(Y53="m2",((AA53/(Z53/AL53))*I53),Y53="m3",((AA53/(Z53/AL53))*I53),Y53="kg",(((AA53*AM53)/(1/AL53))*I53),Y53="ton",(((AA53/1000*AM53)/(1/AL53))*I53),Y53="N/A",""))</f>
        <v>2.3200000000000003</v>
      </c>
      <c r="L53" s="52">
        <f t="shared" si="73"/>
        <v>2.2000000000000002</v>
      </c>
      <c r="M53" s="148" cm="1">
        <f t="array" ref="M53">(_xlfn.IFS(Y53="m2",((AB53/(Z53/AL53))*I53),Y53="m3",((AB53/(Z53/AL53))*I53),Y53="kg",(((AB53*AM53)/(1/AL53))*I53),Y53="ton",(((AB53/1000*AM53)/(1/AL53))*I53),Y53="N/A",""))</f>
        <v>2.2000000000000002</v>
      </c>
      <c r="N53" s="52">
        <f t="shared" si="74"/>
        <v>0.12</v>
      </c>
      <c r="O53" s="148" cm="1">
        <f t="array" ref="O53">IF(AC53="N/A","",(_xlfn.IFS(Y53="m2",((AC53/(Z53/AL53))*I53),Y53="m3",((AC53/(Z53/AL53))*I53),Y53="kg",(((AC53*AM53)/(1/AL53))*I53),Y53="ton",(((AC53/1000*AM53)/(1/AL53))*I53),Y53="N/A","")))</f>
        <v>0.12</v>
      </c>
      <c r="P53" s="52" t="str">
        <f t="shared" si="75"/>
        <v>N/A</v>
      </c>
      <c r="Q53" s="155" t="str" cm="1">
        <f t="array" ref="Q53">IF(AE53="N/A","",_xlfn.IFS(Y53="m2",((AE53/(Z53/AL53))*I53),Y53="m3",((AE53/(Z53/AL53))*I53),Y53="kg",(((AE53*AM53)/(1/AL53))*I53),Y53="ton",(((AE53/1000*AM53)/(1/AL53))*I53),Y53="N/A",""))</f>
        <v/>
      </c>
      <c r="R53" s="186" t="s">
        <v>5</v>
      </c>
      <c r="S53" s="47"/>
      <c r="T53" s="47">
        <v>2023</v>
      </c>
      <c r="U53" s="47" t="s">
        <v>14</v>
      </c>
      <c r="V53" s="47">
        <v>50</v>
      </c>
      <c r="X53" s="47" t="s">
        <v>1217</v>
      </c>
      <c r="Y53" s="47" t="s">
        <v>15</v>
      </c>
      <c r="Z53" s="47">
        <v>0.01</v>
      </c>
      <c r="AA53" s="52">
        <f t="shared" si="54"/>
        <v>2.3200000000000003</v>
      </c>
      <c r="AB53" s="52">
        <v>2.2000000000000002</v>
      </c>
      <c r="AC53" s="52">
        <f>0+0.12</f>
        <v>0.12</v>
      </c>
      <c r="AD53" s="52">
        <v>1.7000000000000001E-2</v>
      </c>
      <c r="AE53" s="52" t="s">
        <v>191</v>
      </c>
      <c r="AF53" s="47"/>
      <c r="AG53" s="115"/>
      <c r="AH53" s="122" t="s">
        <v>214</v>
      </c>
      <c r="AI53" s="170" t="s">
        <v>176</v>
      </c>
      <c r="AJ53" s="46"/>
      <c r="AK53" s="46"/>
      <c r="AL53" s="47">
        <v>0.01</v>
      </c>
      <c r="AM53" s="47">
        <v>740</v>
      </c>
      <c r="AO53" s="109"/>
      <c r="AP53" s="73"/>
      <c r="AQ53" s="46"/>
    </row>
    <row r="54" spans="1:43" s="25" customFormat="1" ht="25.2" customHeight="1" x14ac:dyDescent="0.15">
      <c r="B54" s="47"/>
      <c r="C54" s="47"/>
      <c r="D54" s="47"/>
      <c r="E54" s="47"/>
      <c r="F54" s="47"/>
      <c r="G54" s="47"/>
      <c r="H54" s="46"/>
      <c r="I54" s="111"/>
      <c r="J54" s="52"/>
      <c r="K54" s="148"/>
      <c r="L54" s="52"/>
      <c r="M54" s="148"/>
      <c r="N54" s="52"/>
      <c r="O54" s="148"/>
      <c r="P54" s="52"/>
      <c r="Q54" s="155"/>
      <c r="R54" s="47"/>
      <c r="S54" s="47"/>
      <c r="T54" s="47"/>
      <c r="U54" s="47"/>
      <c r="V54" s="47"/>
      <c r="X54" s="47"/>
      <c r="Y54" s="47"/>
      <c r="Z54" s="47"/>
      <c r="AA54" s="52"/>
      <c r="AB54" s="52"/>
      <c r="AC54" s="52"/>
      <c r="AD54" s="52"/>
      <c r="AE54" s="52"/>
      <c r="AF54" s="47"/>
      <c r="AG54" s="115"/>
      <c r="AH54" s="122"/>
      <c r="AI54" s="125"/>
      <c r="AJ54" s="46"/>
      <c r="AK54" s="46"/>
      <c r="AL54" s="47"/>
      <c r="AM54" s="47"/>
      <c r="AO54" s="109"/>
      <c r="AP54" s="73"/>
      <c r="AQ54" s="46"/>
    </row>
    <row r="55" spans="1:43" s="25" customFormat="1" ht="25.2" customHeight="1" x14ac:dyDescent="0.15">
      <c r="B55" s="47"/>
      <c r="C55" s="47"/>
      <c r="D55" s="47"/>
      <c r="E55" s="47"/>
      <c r="F55" s="47"/>
      <c r="G55" s="47"/>
      <c r="H55" s="46"/>
      <c r="I55" s="111"/>
      <c r="J55" s="52"/>
      <c r="K55" s="148"/>
      <c r="L55" s="52"/>
      <c r="M55" s="148"/>
      <c r="N55" s="52"/>
      <c r="O55" s="148"/>
      <c r="P55" s="52"/>
      <c r="Q55" s="155"/>
      <c r="R55" s="47"/>
      <c r="S55" s="47"/>
      <c r="T55" s="47"/>
      <c r="U55" s="47"/>
      <c r="V55" s="47"/>
      <c r="X55" s="47"/>
      <c r="Y55" s="47"/>
      <c r="Z55" s="47"/>
      <c r="AA55" s="52"/>
      <c r="AB55" s="52"/>
      <c r="AC55" s="52"/>
      <c r="AD55" s="52"/>
      <c r="AE55" s="52"/>
      <c r="AF55" s="47"/>
      <c r="AG55" s="115"/>
      <c r="AH55" s="122"/>
      <c r="AI55" s="125"/>
      <c r="AJ55" s="46"/>
      <c r="AK55" s="46"/>
      <c r="AL55" s="47"/>
      <c r="AM55" s="47"/>
      <c r="AO55" s="109"/>
      <c r="AP55" s="73"/>
      <c r="AQ55" s="46"/>
    </row>
    <row r="56" spans="1:43" s="25" customFormat="1" ht="25.2" customHeight="1" x14ac:dyDescent="0.15">
      <c r="B56" s="47"/>
      <c r="C56" s="47"/>
      <c r="D56" s="47"/>
      <c r="E56" s="47"/>
      <c r="F56" s="47"/>
      <c r="G56" s="47"/>
      <c r="H56" s="46"/>
      <c r="I56" s="111"/>
      <c r="J56" s="52"/>
      <c r="K56" s="148"/>
      <c r="L56" s="52"/>
      <c r="M56" s="148"/>
      <c r="N56" s="52"/>
      <c r="O56" s="148"/>
      <c r="P56" s="52"/>
      <c r="Q56" s="155"/>
      <c r="R56" s="47"/>
      <c r="S56" s="47"/>
      <c r="T56" s="47"/>
      <c r="U56" s="47"/>
      <c r="V56" s="47"/>
      <c r="X56" s="47"/>
      <c r="Y56" s="47"/>
      <c r="Z56" s="47"/>
      <c r="AA56" s="52"/>
      <c r="AB56" s="52"/>
      <c r="AC56" s="52"/>
      <c r="AD56" s="52"/>
      <c r="AE56" s="52"/>
      <c r="AF56" s="47"/>
      <c r="AG56" s="115"/>
      <c r="AH56" s="122"/>
      <c r="AI56" s="125"/>
      <c r="AJ56" s="46"/>
      <c r="AK56" s="46"/>
      <c r="AL56" s="47"/>
      <c r="AM56" s="47"/>
      <c r="AO56" s="109"/>
      <c r="AP56" s="73"/>
      <c r="AQ56" s="46"/>
    </row>
    <row r="57" spans="1:43" s="25" customFormat="1" ht="25.2" customHeight="1" x14ac:dyDescent="0.15">
      <c r="B57" s="47"/>
      <c r="C57" s="47"/>
      <c r="D57" s="47"/>
      <c r="E57" s="47"/>
      <c r="F57" s="47"/>
      <c r="G57" s="47"/>
      <c r="H57" s="46"/>
      <c r="I57" s="111"/>
      <c r="J57" s="52"/>
      <c r="K57" s="148"/>
      <c r="L57" s="52"/>
      <c r="M57" s="148"/>
      <c r="N57" s="52"/>
      <c r="O57" s="148"/>
      <c r="P57" s="52"/>
      <c r="Q57" s="155"/>
      <c r="R57" s="47"/>
      <c r="S57" s="47"/>
      <c r="T57" s="47"/>
      <c r="U57" s="47"/>
      <c r="V57" s="47"/>
      <c r="X57" s="47"/>
      <c r="Y57" s="47"/>
      <c r="Z57" s="47"/>
      <c r="AA57" s="52"/>
      <c r="AB57" s="52"/>
      <c r="AC57" s="52"/>
      <c r="AD57" s="52"/>
      <c r="AE57" s="52"/>
      <c r="AF57" s="47"/>
      <c r="AG57" s="115"/>
      <c r="AH57" s="122"/>
      <c r="AI57" s="125"/>
      <c r="AJ57" s="46"/>
      <c r="AK57" s="46"/>
      <c r="AL57" s="47"/>
      <c r="AM57" s="47"/>
      <c r="AO57" s="109"/>
      <c r="AP57" s="73"/>
      <c r="AQ57" s="46"/>
    </row>
    <row r="58" spans="1:43" s="25" customFormat="1" ht="25.2" customHeight="1" x14ac:dyDescent="0.15">
      <c r="B58" s="47"/>
      <c r="C58" s="47"/>
      <c r="D58" s="47"/>
      <c r="E58" s="47"/>
      <c r="F58" s="47"/>
      <c r="G58" s="47"/>
      <c r="H58" s="46"/>
      <c r="I58" s="111"/>
      <c r="J58" s="52"/>
      <c r="K58" s="148"/>
      <c r="L58" s="52"/>
      <c r="M58" s="148"/>
      <c r="N58" s="52"/>
      <c r="O58" s="148"/>
      <c r="P58" s="52"/>
      <c r="Q58" s="155"/>
      <c r="R58" s="47"/>
      <c r="S58" s="47"/>
      <c r="T58" s="47"/>
      <c r="U58" s="47"/>
      <c r="V58" s="47"/>
      <c r="X58" s="47"/>
      <c r="Y58" s="47"/>
      <c r="Z58" s="47"/>
      <c r="AA58" s="52"/>
      <c r="AB58" s="52"/>
      <c r="AC58" s="52"/>
      <c r="AD58" s="52"/>
      <c r="AE58" s="52"/>
      <c r="AF58" s="47"/>
      <c r="AG58" s="115"/>
      <c r="AH58" s="122"/>
      <c r="AI58" s="125"/>
      <c r="AJ58" s="46"/>
      <c r="AK58" s="46"/>
      <c r="AL58" s="47"/>
      <c r="AM58" s="47"/>
      <c r="AO58" s="109"/>
      <c r="AP58" s="73"/>
      <c r="AQ58" s="46"/>
    </row>
    <row r="59" spans="1:43" s="25" customFormat="1" ht="25.2" customHeight="1" x14ac:dyDescent="0.15">
      <c r="B59" s="47"/>
      <c r="C59" s="47"/>
      <c r="D59" s="47"/>
      <c r="E59" s="47"/>
      <c r="F59" s="47"/>
      <c r="G59" s="47"/>
      <c r="H59" s="46"/>
      <c r="I59" s="111"/>
      <c r="J59" s="52"/>
      <c r="K59" s="148"/>
      <c r="L59" s="52"/>
      <c r="M59" s="148"/>
      <c r="N59" s="52"/>
      <c r="O59" s="148"/>
      <c r="P59" s="52"/>
      <c r="Q59" s="155"/>
      <c r="R59" s="47"/>
      <c r="S59" s="47"/>
      <c r="T59" s="47"/>
      <c r="U59" s="47"/>
      <c r="V59" s="47"/>
      <c r="X59" s="47"/>
      <c r="Y59" s="47"/>
      <c r="Z59" s="47"/>
      <c r="AA59" s="52"/>
      <c r="AB59" s="52"/>
      <c r="AC59" s="52"/>
      <c r="AD59" s="52"/>
      <c r="AE59" s="52"/>
      <c r="AF59" s="47"/>
      <c r="AG59" s="115"/>
      <c r="AH59" s="122"/>
      <c r="AI59" s="125"/>
      <c r="AJ59" s="46"/>
      <c r="AK59" s="46"/>
      <c r="AL59" s="47"/>
      <c r="AM59" s="47"/>
      <c r="AO59" s="109"/>
      <c r="AP59" s="73"/>
      <c r="AQ59" s="46"/>
    </row>
    <row r="60" spans="1:43" s="25" customFormat="1" ht="25.2" customHeight="1" x14ac:dyDescent="0.15">
      <c r="B60" s="47"/>
      <c r="C60" s="47"/>
      <c r="D60" s="47"/>
      <c r="E60" s="47"/>
      <c r="F60" s="47"/>
      <c r="G60" s="47"/>
      <c r="H60" s="46"/>
      <c r="I60" s="111"/>
      <c r="J60" s="52"/>
      <c r="K60" s="148"/>
      <c r="L60" s="52"/>
      <c r="M60" s="148"/>
      <c r="N60" s="52"/>
      <c r="O60" s="148"/>
      <c r="P60" s="52"/>
      <c r="Q60" s="155"/>
      <c r="R60" s="47"/>
      <c r="S60" s="47"/>
      <c r="T60" s="47"/>
      <c r="U60" s="47"/>
      <c r="V60" s="47"/>
      <c r="X60" s="47"/>
      <c r="Y60" s="47"/>
      <c r="Z60" s="47"/>
      <c r="AA60" s="52"/>
      <c r="AB60" s="52"/>
      <c r="AC60" s="52"/>
      <c r="AD60" s="52"/>
      <c r="AE60" s="52"/>
      <c r="AF60" s="47"/>
      <c r="AG60" s="115"/>
      <c r="AH60" s="122"/>
      <c r="AI60" s="125"/>
      <c r="AJ60" s="46"/>
      <c r="AK60" s="46"/>
      <c r="AL60" s="47"/>
      <c r="AM60" s="47"/>
      <c r="AO60" s="109"/>
      <c r="AP60" s="73"/>
      <c r="AQ60" s="46"/>
    </row>
    <row r="61" spans="1:43" s="25" customFormat="1" ht="25.2" customHeight="1" x14ac:dyDescent="0.15">
      <c r="B61" s="47"/>
      <c r="C61" s="47"/>
      <c r="D61" s="47"/>
      <c r="E61" s="47"/>
      <c r="F61" s="47"/>
      <c r="G61" s="47"/>
      <c r="H61" s="46"/>
      <c r="I61" s="111"/>
      <c r="J61" s="52"/>
      <c r="K61" s="148"/>
      <c r="L61" s="52"/>
      <c r="M61" s="148"/>
      <c r="N61" s="52"/>
      <c r="O61" s="148"/>
      <c r="P61" s="52"/>
      <c r="Q61" s="155"/>
      <c r="R61" s="47"/>
      <c r="S61" s="47"/>
      <c r="T61" s="47"/>
      <c r="U61" s="47"/>
      <c r="V61" s="47"/>
      <c r="X61" s="47"/>
      <c r="Y61" s="47"/>
      <c r="Z61" s="47"/>
      <c r="AA61" s="52"/>
      <c r="AB61" s="52"/>
      <c r="AC61" s="52"/>
      <c r="AD61" s="52"/>
      <c r="AE61" s="52"/>
      <c r="AF61" s="47"/>
      <c r="AG61" s="115"/>
      <c r="AH61" s="122"/>
      <c r="AI61" s="125"/>
      <c r="AJ61" s="46"/>
      <c r="AK61" s="46"/>
      <c r="AL61" s="47"/>
      <c r="AM61" s="47"/>
      <c r="AO61" s="109"/>
      <c r="AP61" s="73"/>
      <c r="AQ61" s="46"/>
    </row>
    <row r="62" spans="1:43" s="25" customFormat="1" ht="25.2" customHeight="1" x14ac:dyDescent="0.15">
      <c r="B62" s="47"/>
      <c r="C62" s="47"/>
      <c r="D62" s="47"/>
      <c r="E62" s="47"/>
      <c r="F62" s="47"/>
      <c r="G62" s="47"/>
      <c r="H62" s="46"/>
      <c r="I62" s="111"/>
      <c r="J62" s="52"/>
      <c r="K62" s="148"/>
      <c r="L62" s="52"/>
      <c r="M62" s="148"/>
      <c r="N62" s="52"/>
      <c r="O62" s="148"/>
      <c r="P62" s="52"/>
      <c r="Q62" s="155"/>
      <c r="R62" s="47"/>
      <c r="S62" s="47"/>
      <c r="T62" s="47"/>
      <c r="U62" s="47"/>
      <c r="V62" s="47"/>
      <c r="X62" s="47"/>
      <c r="Y62" s="47"/>
      <c r="Z62" s="47"/>
      <c r="AA62" s="52"/>
      <c r="AB62" s="52"/>
      <c r="AC62" s="52"/>
      <c r="AD62" s="52"/>
      <c r="AE62" s="52"/>
      <c r="AF62" s="47"/>
      <c r="AG62" s="115"/>
      <c r="AH62" s="122"/>
      <c r="AI62" s="125"/>
      <c r="AJ62" s="46"/>
      <c r="AK62" s="46"/>
      <c r="AL62" s="47"/>
      <c r="AM62" s="47"/>
      <c r="AO62" s="109"/>
      <c r="AP62" s="73"/>
      <c r="AQ62" s="46"/>
    </row>
    <row r="63" spans="1:43" s="25" customFormat="1" ht="25.2" customHeight="1" x14ac:dyDescent="0.15">
      <c r="B63" s="47"/>
      <c r="C63" s="47"/>
      <c r="D63" s="47"/>
      <c r="E63" s="47"/>
      <c r="F63" s="47"/>
      <c r="G63" s="47"/>
      <c r="H63" s="46"/>
      <c r="I63" s="111"/>
      <c r="J63" s="52"/>
      <c r="K63" s="148"/>
      <c r="L63" s="52"/>
      <c r="M63" s="148"/>
      <c r="N63" s="52"/>
      <c r="O63" s="148"/>
      <c r="P63" s="52"/>
      <c r="Q63" s="155"/>
      <c r="R63" s="47"/>
      <c r="S63" s="47"/>
      <c r="T63" s="47"/>
      <c r="U63" s="47"/>
      <c r="V63" s="47"/>
      <c r="X63" s="47"/>
      <c r="Y63" s="47"/>
      <c r="Z63" s="47"/>
      <c r="AA63" s="52"/>
      <c r="AB63" s="52"/>
      <c r="AC63" s="52"/>
      <c r="AD63" s="52"/>
      <c r="AE63" s="52"/>
      <c r="AF63" s="47"/>
      <c r="AG63" s="115"/>
      <c r="AH63" s="122"/>
      <c r="AI63" s="125"/>
      <c r="AJ63" s="46"/>
      <c r="AK63" s="46"/>
      <c r="AL63" s="47"/>
      <c r="AM63" s="47"/>
      <c r="AO63" s="109"/>
      <c r="AP63" s="73"/>
      <c r="AQ63" s="46"/>
    </row>
    <row r="64" spans="1:43" s="25" customFormat="1" ht="25.2" customHeight="1" x14ac:dyDescent="0.15">
      <c r="B64" s="47"/>
      <c r="C64" s="47"/>
      <c r="D64" s="47"/>
      <c r="E64" s="47"/>
      <c r="F64" s="47"/>
      <c r="G64" s="47"/>
      <c r="H64" s="46"/>
      <c r="I64" s="111"/>
      <c r="J64" s="52"/>
      <c r="K64" s="148"/>
      <c r="L64" s="52"/>
      <c r="M64" s="148"/>
      <c r="N64" s="52"/>
      <c r="O64" s="148"/>
      <c r="P64" s="52"/>
      <c r="Q64" s="155"/>
      <c r="R64" s="47"/>
      <c r="S64" s="47"/>
      <c r="T64" s="47"/>
      <c r="U64" s="47"/>
      <c r="V64" s="47"/>
      <c r="X64" s="47"/>
      <c r="Y64" s="47"/>
      <c r="Z64" s="47"/>
      <c r="AA64" s="52"/>
      <c r="AB64" s="52"/>
      <c r="AC64" s="52"/>
      <c r="AD64" s="52"/>
      <c r="AE64" s="52"/>
      <c r="AF64" s="47"/>
      <c r="AG64" s="115"/>
      <c r="AH64" s="122"/>
      <c r="AI64" s="125"/>
      <c r="AJ64" s="46"/>
      <c r="AK64" s="46"/>
      <c r="AL64" s="47"/>
      <c r="AM64" s="47"/>
      <c r="AO64" s="109"/>
      <c r="AP64" s="73"/>
      <c r="AQ64" s="46"/>
    </row>
    <row r="65" spans="2:43" s="25" customFormat="1" ht="25.2" customHeight="1" x14ac:dyDescent="0.15">
      <c r="B65" s="47"/>
      <c r="C65" s="47"/>
      <c r="D65" s="47"/>
      <c r="E65" s="47"/>
      <c r="F65" s="47"/>
      <c r="G65" s="47"/>
      <c r="H65" s="46"/>
      <c r="I65" s="111"/>
      <c r="J65" s="52"/>
      <c r="K65" s="148"/>
      <c r="L65" s="52"/>
      <c r="M65" s="148"/>
      <c r="N65" s="52"/>
      <c r="O65" s="148"/>
      <c r="P65" s="52"/>
      <c r="Q65" s="155"/>
      <c r="R65" s="47"/>
      <c r="S65" s="47"/>
      <c r="T65" s="47"/>
      <c r="U65" s="47"/>
      <c r="V65" s="47"/>
      <c r="X65" s="47"/>
      <c r="Y65" s="47"/>
      <c r="Z65" s="47"/>
      <c r="AA65" s="52"/>
      <c r="AB65" s="52"/>
      <c r="AC65" s="52"/>
      <c r="AD65" s="52"/>
      <c r="AE65" s="52"/>
      <c r="AF65" s="47"/>
      <c r="AG65" s="115"/>
      <c r="AH65" s="122"/>
      <c r="AI65" s="125"/>
      <c r="AJ65" s="46"/>
      <c r="AK65" s="46"/>
      <c r="AL65" s="47"/>
      <c r="AM65" s="47"/>
      <c r="AO65" s="109"/>
      <c r="AP65" s="73"/>
      <c r="AQ65" s="46"/>
    </row>
    <row r="66" spans="2:43" s="25" customFormat="1" ht="25.2" customHeight="1" x14ac:dyDescent="0.15">
      <c r="B66" s="47"/>
      <c r="C66" s="47"/>
      <c r="D66" s="47"/>
      <c r="E66" s="47"/>
      <c r="F66" s="47"/>
      <c r="G66" s="47"/>
      <c r="H66" s="46"/>
      <c r="I66" s="111"/>
      <c r="J66" s="52"/>
      <c r="K66" s="148"/>
      <c r="L66" s="52"/>
      <c r="M66" s="148"/>
      <c r="N66" s="52"/>
      <c r="O66" s="148"/>
      <c r="P66" s="52"/>
      <c r="Q66" s="155"/>
      <c r="R66" s="47"/>
      <c r="S66" s="47"/>
      <c r="T66" s="47"/>
      <c r="U66" s="47"/>
      <c r="V66" s="47"/>
      <c r="X66" s="47"/>
      <c r="Y66" s="47"/>
      <c r="Z66" s="47"/>
      <c r="AA66" s="52"/>
      <c r="AB66" s="52"/>
      <c r="AC66" s="52"/>
      <c r="AD66" s="52"/>
      <c r="AE66" s="52"/>
      <c r="AF66" s="47"/>
      <c r="AG66" s="115"/>
      <c r="AH66" s="122"/>
      <c r="AI66" s="125"/>
      <c r="AJ66" s="46"/>
      <c r="AK66" s="46"/>
      <c r="AL66" s="47"/>
      <c r="AM66" s="47"/>
      <c r="AO66" s="109"/>
      <c r="AP66" s="73"/>
      <c r="AQ66" s="46"/>
    </row>
    <row r="67" spans="2:43" s="25" customFormat="1" ht="25.2" customHeight="1" x14ac:dyDescent="0.15">
      <c r="B67" s="47"/>
      <c r="C67" s="47"/>
      <c r="D67" s="47"/>
      <c r="E67" s="47"/>
      <c r="F67" s="47"/>
      <c r="G67" s="47"/>
      <c r="H67" s="46"/>
      <c r="I67" s="111"/>
      <c r="J67" s="52"/>
      <c r="K67" s="148"/>
      <c r="L67" s="52"/>
      <c r="M67" s="148"/>
      <c r="N67" s="52"/>
      <c r="O67" s="148"/>
      <c r="P67" s="52"/>
      <c r="Q67" s="155"/>
      <c r="R67" s="47"/>
      <c r="S67" s="47"/>
      <c r="T67" s="47"/>
      <c r="U67" s="47"/>
      <c r="V67" s="47"/>
      <c r="X67" s="47"/>
      <c r="Y67" s="47"/>
      <c r="Z67" s="47"/>
      <c r="AA67" s="52"/>
      <c r="AB67" s="52"/>
      <c r="AC67" s="52"/>
      <c r="AD67" s="52"/>
      <c r="AE67" s="52"/>
      <c r="AF67" s="47"/>
      <c r="AG67" s="115"/>
      <c r="AH67" s="122"/>
      <c r="AI67" s="125"/>
      <c r="AJ67" s="46"/>
      <c r="AK67" s="46"/>
      <c r="AL67" s="47"/>
      <c r="AM67" s="47"/>
      <c r="AO67" s="109"/>
      <c r="AP67" s="73"/>
      <c r="AQ67" s="46"/>
    </row>
    <row r="68" spans="2:43" s="25" customFormat="1" ht="25.2" customHeight="1" x14ac:dyDescent="0.15">
      <c r="B68" s="47"/>
      <c r="C68" s="47"/>
      <c r="D68" s="47"/>
      <c r="E68" s="47"/>
      <c r="F68" s="47"/>
      <c r="G68" s="47"/>
      <c r="H68" s="46"/>
      <c r="I68" s="111"/>
      <c r="J68" s="52"/>
      <c r="K68" s="148"/>
      <c r="L68" s="52"/>
      <c r="M68" s="148"/>
      <c r="N68" s="52"/>
      <c r="O68" s="148"/>
      <c r="P68" s="52"/>
      <c r="Q68" s="155"/>
      <c r="R68" s="47"/>
      <c r="S68" s="47"/>
      <c r="T68" s="47"/>
      <c r="U68" s="47"/>
      <c r="V68" s="47"/>
      <c r="X68" s="47"/>
      <c r="Y68" s="47"/>
      <c r="Z68" s="47"/>
      <c r="AA68" s="52"/>
      <c r="AB68" s="52"/>
      <c r="AC68" s="52"/>
      <c r="AD68" s="52"/>
      <c r="AE68" s="52"/>
      <c r="AF68" s="47"/>
      <c r="AG68" s="115"/>
      <c r="AH68" s="122"/>
      <c r="AI68" s="125"/>
      <c r="AJ68" s="46"/>
      <c r="AK68" s="46"/>
      <c r="AL68" s="47"/>
      <c r="AM68" s="47"/>
      <c r="AO68" s="109"/>
      <c r="AP68" s="73"/>
      <c r="AQ68" s="46"/>
    </row>
    <row r="69" spans="2:43" s="25" customFormat="1" ht="25.2" customHeight="1" x14ac:dyDescent="0.15">
      <c r="B69" s="47"/>
      <c r="C69" s="47"/>
      <c r="D69" s="47"/>
      <c r="E69" s="47"/>
      <c r="F69" s="47"/>
      <c r="G69" s="47"/>
      <c r="H69" s="46"/>
      <c r="I69" s="111"/>
      <c r="J69" s="52"/>
      <c r="K69" s="148"/>
      <c r="L69" s="52"/>
      <c r="M69" s="148"/>
      <c r="N69" s="52"/>
      <c r="O69" s="148"/>
      <c r="P69" s="52"/>
      <c r="Q69" s="155"/>
      <c r="R69" s="47"/>
      <c r="S69" s="47"/>
      <c r="T69" s="47"/>
      <c r="U69" s="47"/>
      <c r="V69" s="47"/>
      <c r="X69" s="47"/>
      <c r="Y69" s="47"/>
      <c r="Z69" s="47"/>
      <c r="AA69" s="52"/>
      <c r="AB69" s="52"/>
      <c r="AC69" s="52"/>
      <c r="AD69" s="52"/>
      <c r="AE69" s="52"/>
      <c r="AF69" s="47"/>
      <c r="AG69" s="115"/>
      <c r="AH69" s="122"/>
      <c r="AI69" s="125"/>
      <c r="AJ69" s="46"/>
      <c r="AK69" s="46"/>
      <c r="AL69" s="47"/>
      <c r="AM69" s="47"/>
      <c r="AO69" s="109"/>
      <c r="AP69" s="73"/>
      <c r="AQ69" s="46"/>
    </row>
    <row r="70" spans="2:43" s="25" customFormat="1" ht="25.2" customHeight="1" x14ac:dyDescent="0.15">
      <c r="B70" s="47"/>
      <c r="C70" s="47"/>
      <c r="D70" s="47"/>
      <c r="E70" s="47"/>
      <c r="F70" s="47"/>
      <c r="G70" s="47"/>
      <c r="H70" s="46"/>
      <c r="I70" s="111"/>
      <c r="J70" s="52"/>
      <c r="K70" s="148"/>
      <c r="L70" s="52"/>
      <c r="M70" s="148"/>
      <c r="N70" s="52"/>
      <c r="O70" s="148"/>
      <c r="P70" s="52"/>
      <c r="Q70" s="155"/>
      <c r="R70" s="47"/>
      <c r="S70" s="47"/>
      <c r="T70" s="47"/>
      <c r="U70" s="47"/>
      <c r="V70" s="47"/>
      <c r="X70" s="47"/>
      <c r="Y70" s="47"/>
      <c r="Z70" s="47"/>
      <c r="AA70" s="52"/>
      <c r="AB70" s="52"/>
      <c r="AC70" s="52"/>
      <c r="AD70" s="52"/>
      <c r="AE70" s="52"/>
      <c r="AF70" s="47"/>
      <c r="AG70" s="115"/>
      <c r="AH70" s="122"/>
      <c r="AI70" s="125"/>
      <c r="AJ70" s="46"/>
      <c r="AK70" s="46"/>
      <c r="AL70" s="47"/>
      <c r="AM70" s="47"/>
      <c r="AO70" s="109"/>
      <c r="AP70" s="73"/>
      <c r="AQ70" s="46"/>
    </row>
    <row r="71" spans="2:43" s="25" customFormat="1" ht="25.2" customHeight="1" x14ac:dyDescent="0.15">
      <c r="B71" s="47"/>
      <c r="C71" s="47"/>
      <c r="D71" s="47"/>
      <c r="E71" s="47"/>
      <c r="F71" s="47"/>
      <c r="G71" s="47"/>
      <c r="H71" s="46"/>
      <c r="I71" s="111"/>
      <c r="J71" s="52"/>
      <c r="K71" s="148"/>
      <c r="L71" s="52"/>
      <c r="M71" s="148"/>
      <c r="N71" s="52"/>
      <c r="O71" s="148"/>
      <c r="P71" s="52"/>
      <c r="Q71" s="155"/>
      <c r="R71" s="47"/>
      <c r="S71" s="47"/>
      <c r="T71" s="47"/>
      <c r="U71" s="47"/>
      <c r="V71" s="47"/>
      <c r="X71" s="47"/>
      <c r="Y71" s="47"/>
      <c r="Z71" s="47"/>
      <c r="AA71" s="52"/>
      <c r="AB71" s="52"/>
      <c r="AC71" s="52"/>
      <c r="AD71" s="52"/>
      <c r="AE71" s="52"/>
      <c r="AF71" s="47"/>
      <c r="AG71" s="115"/>
      <c r="AH71" s="122"/>
      <c r="AI71" s="125"/>
      <c r="AJ71" s="46"/>
      <c r="AK71" s="46"/>
      <c r="AL71" s="47"/>
      <c r="AM71" s="47"/>
      <c r="AO71" s="109"/>
      <c r="AP71" s="73"/>
      <c r="AQ71" s="46"/>
    </row>
    <row r="72" spans="2:43" s="25" customFormat="1" ht="25.2" customHeight="1" x14ac:dyDescent="0.15">
      <c r="B72" s="47"/>
      <c r="C72" s="47"/>
      <c r="D72" s="47"/>
      <c r="E72" s="47"/>
      <c r="F72" s="47"/>
      <c r="G72" s="47"/>
      <c r="H72" s="46"/>
      <c r="I72" s="111"/>
      <c r="J72" s="52"/>
      <c r="K72" s="148"/>
      <c r="L72" s="52"/>
      <c r="M72" s="148"/>
      <c r="N72" s="52"/>
      <c r="O72" s="148"/>
      <c r="P72" s="52"/>
      <c r="Q72" s="155"/>
      <c r="R72" s="47"/>
      <c r="S72" s="47"/>
      <c r="T72" s="47"/>
      <c r="U72" s="47"/>
      <c r="V72" s="47"/>
      <c r="X72" s="47"/>
      <c r="Y72" s="47"/>
      <c r="Z72" s="47"/>
      <c r="AA72" s="52"/>
      <c r="AB72" s="52"/>
      <c r="AC72" s="52"/>
      <c r="AD72" s="52"/>
      <c r="AE72" s="52"/>
      <c r="AF72" s="47"/>
      <c r="AG72" s="115"/>
      <c r="AH72" s="122"/>
      <c r="AI72" s="125"/>
      <c r="AJ72" s="46"/>
      <c r="AK72" s="46"/>
      <c r="AL72" s="47"/>
      <c r="AM72" s="47"/>
      <c r="AO72" s="109"/>
      <c r="AP72" s="73"/>
      <c r="AQ72" s="46"/>
    </row>
    <row r="73" spans="2:43" s="25" customFormat="1" ht="25.2" customHeight="1" x14ac:dyDescent="0.15">
      <c r="B73" s="47"/>
      <c r="C73" s="47"/>
      <c r="D73" s="47"/>
      <c r="E73" s="47"/>
      <c r="F73" s="47"/>
      <c r="G73" s="47"/>
      <c r="H73" s="46"/>
      <c r="I73" s="111"/>
      <c r="J73" s="52"/>
      <c r="K73" s="148"/>
      <c r="L73" s="52"/>
      <c r="M73" s="148"/>
      <c r="N73" s="52"/>
      <c r="O73" s="148"/>
      <c r="P73" s="52"/>
      <c r="Q73" s="155"/>
      <c r="R73" s="47"/>
      <c r="S73" s="47"/>
      <c r="T73" s="47"/>
      <c r="U73" s="47"/>
      <c r="V73" s="47"/>
      <c r="X73" s="47"/>
      <c r="Y73" s="47"/>
      <c r="Z73" s="47"/>
      <c r="AA73" s="52"/>
      <c r="AB73" s="52"/>
      <c r="AC73" s="52"/>
      <c r="AD73" s="52"/>
      <c r="AE73" s="52"/>
      <c r="AF73" s="47"/>
      <c r="AG73" s="115"/>
      <c r="AH73" s="122"/>
      <c r="AI73" s="125"/>
      <c r="AJ73" s="46"/>
      <c r="AK73" s="46"/>
      <c r="AL73" s="47"/>
      <c r="AM73" s="47"/>
      <c r="AO73" s="109"/>
      <c r="AP73" s="73"/>
      <c r="AQ73" s="46"/>
    </row>
    <row r="74" spans="2:43" s="25" customFormat="1" ht="25.2" customHeight="1" x14ac:dyDescent="0.15">
      <c r="B74" s="47"/>
      <c r="C74" s="47"/>
      <c r="D74" s="47"/>
      <c r="E74" s="47"/>
      <c r="F74" s="47"/>
      <c r="G74" s="47"/>
      <c r="H74" s="46"/>
      <c r="I74" s="111"/>
      <c r="J74" s="52"/>
      <c r="K74" s="148"/>
      <c r="L74" s="52"/>
      <c r="M74" s="148"/>
      <c r="N74" s="52"/>
      <c r="O74" s="148"/>
      <c r="P74" s="52"/>
      <c r="Q74" s="155"/>
      <c r="R74" s="47"/>
      <c r="S74" s="47"/>
      <c r="T74" s="47"/>
      <c r="U74" s="47"/>
      <c r="V74" s="47"/>
      <c r="X74" s="47"/>
      <c r="Y74" s="47"/>
      <c r="Z74" s="47"/>
      <c r="AA74" s="52"/>
      <c r="AB74" s="52"/>
      <c r="AC74" s="52"/>
      <c r="AD74" s="52"/>
      <c r="AE74" s="52"/>
      <c r="AF74" s="47"/>
      <c r="AG74" s="115"/>
      <c r="AH74" s="122"/>
      <c r="AI74" s="125"/>
      <c r="AJ74" s="46"/>
      <c r="AK74" s="46"/>
      <c r="AL74" s="47"/>
      <c r="AM74" s="47"/>
      <c r="AO74" s="109"/>
      <c r="AP74" s="73"/>
      <c r="AQ74" s="46"/>
    </row>
    <row r="75" spans="2:43" s="25" customFormat="1" ht="25.2" customHeight="1" x14ac:dyDescent="0.15">
      <c r="B75" s="47"/>
      <c r="C75" s="47"/>
      <c r="D75" s="47"/>
      <c r="E75" s="47"/>
      <c r="F75" s="47"/>
      <c r="G75" s="47"/>
      <c r="H75" s="46"/>
      <c r="I75" s="111"/>
      <c r="J75" s="52"/>
      <c r="K75" s="148"/>
      <c r="L75" s="52"/>
      <c r="M75" s="148"/>
      <c r="N75" s="52"/>
      <c r="O75" s="148"/>
      <c r="P75" s="52"/>
      <c r="Q75" s="155"/>
      <c r="R75" s="47"/>
      <c r="S75" s="47"/>
      <c r="T75" s="47"/>
      <c r="U75" s="47"/>
      <c r="V75" s="47"/>
      <c r="X75" s="47"/>
      <c r="Y75" s="47"/>
      <c r="Z75" s="47"/>
      <c r="AA75" s="52"/>
      <c r="AB75" s="52"/>
      <c r="AC75" s="52"/>
      <c r="AD75" s="52"/>
      <c r="AE75" s="52"/>
      <c r="AF75" s="47"/>
      <c r="AG75" s="115"/>
      <c r="AH75" s="122"/>
      <c r="AI75" s="125"/>
      <c r="AJ75" s="46"/>
      <c r="AK75" s="46"/>
      <c r="AL75" s="47"/>
      <c r="AM75" s="47"/>
      <c r="AO75" s="109"/>
      <c r="AP75" s="73"/>
      <c r="AQ75" s="46"/>
    </row>
    <row r="76" spans="2:43" s="25" customFormat="1" ht="25.2" customHeight="1" x14ac:dyDescent="0.15">
      <c r="B76" s="47"/>
      <c r="C76" s="47"/>
      <c r="D76" s="47"/>
      <c r="E76" s="47"/>
      <c r="F76" s="47"/>
      <c r="G76" s="47"/>
      <c r="H76" s="46"/>
      <c r="I76" s="111"/>
      <c r="J76" s="52"/>
      <c r="K76" s="148"/>
      <c r="L76" s="52"/>
      <c r="M76" s="148"/>
      <c r="N76" s="52"/>
      <c r="O76" s="148"/>
      <c r="P76" s="52"/>
      <c r="Q76" s="155"/>
      <c r="R76" s="47"/>
      <c r="S76" s="47"/>
      <c r="T76" s="47"/>
      <c r="U76" s="47"/>
      <c r="V76" s="47"/>
      <c r="X76" s="47"/>
      <c r="Y76" s="47"/>
      <c r="Z76" s="47"/>
      <c r="AA76" s="52"/>
      <c r="AB76" s="52"/>
      <c r="AC76" s="52"/>
      <c r="AD76" s="52"/>
      <c r="AE76" s="52"/>
      <c r="AF76" s="47"/>
      <c r="AG76" s="115"/>
      <c r="AH76" s="122"/>
      <c r="AI76" s="125"/>
      <c r="AJ76" s="46"/>
      <c r="AK76" s="46"/>
      <c r="AL76" s="47"/>
      <c r="AM76" s="47"/>
      <c r="AO76" s="109"/>
      <c r="AP76" s="73"/>
      <c r="AQ76" s="46"/>
    </row>
    <row r="77" spans="2:43" s="25" customFormat="1" ht="25.2" customHeight="1" x14ac:dyDescent="0.15">
      <c r="B77" s="47"/>
      <c r="C77" s="47"/>
      <c r="D77" s="47"/>
      <c r="E77" s="47"/>
      <c r="F77" s="47"/>
      <c r="G77" s="47"/>
      <c r="H77" s="46"/>
      <c r="I77" s="111"/>
      <c r="J77" s="52"/>
      <c r="K77" s="148"/>
      <c r="L77" s="52"/>
      <c r="M77" s="148"/>
      <c r="N77" s="52"/>
      <c r="O77" s="148"/>
      <c r="P77" s="52"/>
      <c r="Q77" s="155"/>
      <c r="R77" s="47"/>
      <c r="S77" s="47"/>
      <c r="T77" s="47"/>
      <c r="U77" s="47"/>
      <c r="V77" s="47"/>
      <c r="X77" s="47"/>
      <c r="Y77" s="47"/>
      <c r="Z77" s="47"/>
      <c r="AA77" s="52"/>
      <c r="AB77" s="52"/>
      <c r="AC77" s="52"/>
      <c r="AD77" s="52"/>
      <c r="AE77" s="52"/>
      <c r="AF77" s="47"/>
      <c r="AG77" s="115"/>
      <c r="AH77" s="122"/>
      <c r="AI77" s="125"/>
      <c r="AJ77" s="46"/>
      <c r="AK77" s="46"/>
      <c r="AL77" s="47"/>
      <c r="AM77" s="47"/>
      <c r="AO77" s="109"/>
      <c r="AP77" s="73"/>
      <c r="AQ77" s="46"/>
    </row>
    <row r="78" spans="2:43" s="25" customFormat="1" ht="25.2" customHeight="1" x14ac:dyDescent="0.15">
      <c r="B78" s="47"/>
      <c r="C78" s="47"/>
      <c r="D78" s="47"/>
      <c r="E78" s="47"/>
      <c r="F78" s="47"/>
      <c r="G78" s="47"/>
      <c r="H78" s="46"/>
      <c r="I78" s="111"/>
      <c r="J78" s="52"/>
      <c r="K78" s="148"/>
      <c r="L78" s="52"/>
      <c r="M78" s="148"/>
      <c r="N78" s="52"/>
      <c r="O78" s="148"/>
      <c r="P78" s="52"/>
      <c r="Q78" s="155"/>
      <c r="R78" s="47"/>
      <c r="S78" s="47"/>
      <c r="T78" s="47"/>
      <c r="U78" s="47"/>
      <c r="V78" s="47"/>
      <c r="X78" s="47"/>
      <c r="Y78" s="47"/>
      <c r="Z78" s="47"/>
      <c r="AA78" s="52"/>
      <c r="AB78" s="52"/>
      <c r="AC78" s="52"/>
      <c r="AD78" s="52"/>
      <c r="AE78" s="52"/>
      <c r="AF78" s="47"/>
      <c r="AG78" s="115"/>
      <c r="AH78" s="122"/>
      <c r="AI78" s="125"/>
      <c r="AJ78" s="46"/>
      <c r="AK78" s="46"/>
      <c r="AL78" s="47"/>
      <c r="AM78" s="47"/>
      <c r="AO78" s="109"/>
      <c r="AP78" s="73"/>
      <c r="AQ78" s="46"/>
    </row>
    <row r="79" spans="2:43" s="25" customFormat="1" ht="25.2" customHeight="1" x14ac:dyDescent="0.15">
      <c r="B79" s="47"/>
      <c r="C79" s="47"/>
      <c r="D79" s="47"/>
      <c r="E79" s="47"/>
      <c r="F79" s="47"/>
      <c r="G79" s="47"/>
      <c r="H79" s="46"/>
      <c r="I79" s="111"/>
      <c r="J79" s="52"/>
      <c r="K79" s="148"/>
      <c r="L79" s="52"/>
      <c r="M79" s="148"/>
      <c r="N79" s="52"/>
      <c r="O79" s="148"/>
      <c r="P79" s="52"/>
      <c r="Q79" s="155"/>
      <c r="R79" s="47"/>
      <c r="S79" s="47"/>
      <c r="T79" s="47"/>
      <c r="U79" s="47"/>
      <c r="V79" s="47"/>
      <c r="X79" s="47"/>
      <c r="Y79" s="47"/>
      <c r="Z79" s="47"/>
      <c r="AA79" s="52"/>
      <c r="AB79" s="52"/>
      <c r="AC79" s="52"/>
      <c r="AD79" s="52"/>
      <c r="AE79" s="52"/>
      <c r="AF79" s="47"/>
      <c r="AG79" s="115"/>
      <c r="AH79" s="122"/>
      <c r="AI79" s="125"/>
      <c r="AJ79" s="46"/>
      <c r="AK79" s="46"/>
      <c r="AL79" s="47"/>
      <c r="AM79" s="47"/>
      <c r="AO79" s="109"/>
      <c r="AP79" s="73"/>
      <c r="AQ79" s="46"/>
    </row>
    <row r="80" spans="2:43" s="25" customFormat="1" ht="25.2" customHeight="1" x14ac:dyDescent="0.15">
      <c r="B80" s="47"/>
      <c r="C80" s="47"/>
      <c r="D80" s="47"/>
      <c r="E80" s="47"/>
      <c r="F80" s="47"/>
      <c r="G80" s="47"/>
      <c r="H80" s="46"/>
      <c r="I80" s="111"/>
      <c r="J80" s="52"/>
      <c r="K80" s="148"/>
      <c r="L80" s="52"/>
      <c r="M80" s="148"/>
      <c r="N80" s="52"/>
      <c r="O80" s="148"/>
      <c r="P80" s="52"/>
      <c r="Q80" s="155"/>
      <c r="R80" s="47"/>
      <c r="S80" s="47"/>
      <c r="T80" s="47"/>
      <c r="U80" s="47"/>
      <c r="V80" s="47"/>
      <c r="X80" s="47"/>
      <c r="Y80" s="47"/>
      <c r="Z80" s="47"/>
      <c r="AA80" s="52"/>
      <c r="AB80" s="52"/>
      <c r="AC80" s="52"/>
      <c r="AD80" s="52"/>
      <c r="AE80" s="52"/>
      <c r="AF80" s="47"/>
      <c r="AG80" s="115"/>
      <c r="AH80" s="122"/>
      <c r="AI80" s="125"/>
      <c r="AJ80" s="46"/>
      <c r="AK80" s="46"/>
      <c r="AL80" s="47"/>
      <c r="AM80" s="47"/>
      <c r="AO80" s="109"/>
      <c r="AP80" s="73"/>
      <c r="AQ80" s="46"/>
    </row>
    <row r="81" spans="2:43" s="25" customFormat="1" ht="25.2" customHeight="1" x14ac:dyDescent="0.15">
      <c r="B81" s="47"/>
      <c r="C81" s="47"/>
      <c r="D81" s="47"/>
      <c r="E81" s="47"/>
      <c r="F81" s="47"/>
      <c r="G81" s="47"/>
      <c r="H81" s="46"/>
      <c r="I81" s="111"/>
      <c r="J81" s="52"/>
      <c r="K81" s="148"/>
      <c r="L81" s="52"/>
      <c r="M81" s="148"/>
      <c r="N81" s="52"/>
      <c r="O81" s="148"/>
      <c r="P81" s="52"/>
      <c r="Q81" s="155"/>
      <c r="R81" s="47"/>
      <c r="S81" s="47"/>
      <c r="T81" s="47"/>
      <c r="U81" s="47"/>
      <c r="V81" s="47"/>
      <c r="X81" s="47"/>
      <c r="Y81" s="47"/>
      <c r="Z81" s="47"/>
      <c r="AA81" s="52"/>
      <c r="AB81" s="52"/>
      <c r="AC81" s="52"/>
      <c r="AD81" s="52"/>
      <c r="AE81" s="52"/>
      <c r="AF81" s="47"/>
      <c r="AG81" s="115"/>
      <c r="AH81" s="122"/>
      <c r="AI81" s="125"/>
      <c r="AJ81" s="46"/>
      <c r="AK81" s="46"/>
      <c r="AL81" s="47"/>
      <c r="AM81" s="47"/>
      <c r="AO81" s="109"/>
      <c r="AP81" s="73"/>
      <c r="AQ81" s="46"/>
    </row>
    <row r="82" spans="2:43" s="25" customFormat="1" ht="25.2" customHeight="1" x14ac:dyDescent="0.15">
      <c r="B82" s="47"/>
      <c r="C82" s="47"/>
      <c r="D82" s="47"/>
      <c r="E82" s="47"/>
      <c r="F82" s="47"/>
      <c r="G82" s="47"/>
      <c r="H82" s="46"/>
      <c r="I82" s="111"/>
      <c r="J82" s="52"/>
      <c r="K82" s="148"/>
      <c r="L82" s="52"/>
      <c r="M82" s="148"/>
      <c r="N82" s="52"/>
      <c r="O82" s="148"/>
      <c r="P82" s="52"/>
      <c r="Q82" s="155"/>
      <c r="R82" s="47"/>
      <c r="S82" s="47"/>
      <c r="T82" s="47"/>
      <c r="U82" s="47"/>
      <c r="V82" s="47"/>
      <c r="X82" s="47"/>
      <c r="Y82" s="47"/>
      <c r="Z82" s="47"/>
      <c r="AA82" s="52"/>
      <c r="AB82" s="52"/>
      <c r="AC82" s="52"/>
      <c r="AD82" s="52"/>
      <c r="AE82" s="52"/>
      <c r="AF82" s="47"/>
      <c r="AG82" s="115"/>
      <c r="AH82" s="122"/>
      <c r="AI82" s="125"/>
      <c r="AJ82" s="46"/>
      <c r="AK82" s="46"/>
      <c r="AL82" s="47"/>
      <c r="AM82" s="47"/>
      <c r="AO82" s="109"/>
      <c r="AP82" s="73"/>
      <c r="AQ82" s="46"/>
    </row>
    <row r="83" spans="2:43" s="25" customFormat="1" ht="25.2" customHeight="1" x14ac:dyDescent="0.15">
      <c r="B83" s="47"/>
      <c r="C83" s="47"/>
      <c r="D83" s="47"/>
      <c r="E83" s="47"/>
      <c r="F83" s="47"/>
      <c r="G83" s="47"/>
      <c r="H83" s="46"/>
      <c r="I83" s="111"/>
      <c r="J83" s="52"/>
      <c r="K83" s="148"/>
      <c r="L83" s="52"/>
      <c r="M83" s="148"/>
      <c r="N83" s="52"/>
      <c r="O83" s="148"/>
      <c r="P83" s="52"/>
      <c r="Q83" s="155"/>
      <c r="R83" s="47"/>
      <c r="S83" s="47"/>
      <c r="T83" s="47"/>
      <c r="U83" s="47"/>
      <c r="V83" s="47"/>
      <c r="X83" s="47"/>
      <c r="Y83" s="47"/>
      <c r="Z83" s="47"/>
      <c r="AA83" s="52"/>
      <c r="AB83" s="52"/>
      <c r="AC83" s="52"/>
      <c r="AD83" s="52"/>
      <c r="AE83" s="52"/>
      <c r="AF83" s="47"/>
      <c r="AG83" s="115"/>
      <c r="AH83" s="122"/>
      <c r="AI83" s="125"/>
      <c r="AJ83" s="46"/>
      <c r="AK83" s="46"/>
      <c r="AL83" s="47"/>
      <c r="AM83" s="47"/>
      <c r="AO83" s="109"/>
      <c r="AP83" s="73"/>
      <c r="AQ83" s="46"/>
    </row>
    <row r="84" spans="2:43" s="25" customFormat="1" ht="25.2" customHeight="1" x14ac:dyDescent="0.15">
      <c r="B84" s="47"/>
      <c r="C84" s="47"/>
      <c r="D84" s="47"/>
      <c r="E84" s="47"/>
      <c r="F84" s="47"/>
      <c r="G84" s="47"/>
      <c r="H84" s="46"/>
      <c r="I84" s="111"/>
      <c r="J84" s="52"/>
      <c r="K84" s="148"/>
      <c r="L84" s="52"/>
      <c r="M84" s="148"/>
      <c r="N84" s="52"/>
      <c r="O84" s="148"/>
      <c r="P84" s="52"/>
      <c r="Q84" s="155"/>
      <c r="R84" s="47"/>
      <c r="S84" s="47"/>
      <c r="T84" s="47"/>
      <c r="U84" s="47"/>
      <c r="V84" s="47"/>
      <c r="X84" s="47"/>
      <c r="Y84" s="47"/>
      <c r="Z84" s="47"/>
      <c r="AA84" s="52"/>
      <c r="AB84" s="52"/>
      <c r="AC84" s="52"/>
      <c r="AD84" s="52"/>
      <c r="AE84" s="52"/>
      <c r="AF84" s="47"/>
      <c r="AG84" s="115"/>
      <c r="AH84" s="122"/>
      <c r="AI84" s="125"/>
      <c r="AJ84" s="46"/>
      <c r="AK84" s="46"/>
      <c r="AL84" s="47"/>
      <c r="AM84" s="47"/>
      <c r="AO84" s="109"/>
      <c r="AP84" s="73"/>
      <c r="AQ84" s="46"/>
    </row>
    <row r="85" spans="2:43" s="25" customFormat="1" ht="25.2" customHeight="1" x14ac:dyDescent="0.15">
      <c r="B85" s="47"/>
      <c r="C85" s="47"/>
      <c r="D85" s="47"/>
      <c r="E85" s="47"/>
      <c r="F85" s="47"/>
      <c r="G85" s="47"/>
      <c r="H85" s="46"/>
      <c r="I85" s="111"/>
      <c r="J85" s="52"/>
      <c r="K85" s="148"/>
      <c r="L85" s="52"/>
      <c r="M85" s="148"/>
      <c r="N85" s="52"/>
      <c r="O85" s="148"/>
      <c r="P85" s="52"/>
      <c r="Q85" s="155"/>
      <c r="R85" s="47"/>
      <c r="S85" s="47"/>
      <c r="T85" s="47"/>
      <c r="U85" s="47"/>
      <c r="V85" s="47"/>
      <c r="X85" s="47"/>
      <c r="Y85" s="47"/>
      <c r="Z85" s="47"/>
      <c r="AA85" s="52"/>
      <c r="AB85" s="52"/>
      <c r="AC85" s="52"/>
      <c r="AD85" s="52"/>
      <c r="AE85" s="52"/>
      <c r="AF85" s="47"/>
      <c r="AG85" s="115"/>
      <c r="AH85" s="122"/>
      <c r="AI85" s="125"/>
      <c r="AJ85" s="46"/>
      <c r="AK85" s="46"/>
      <c r="AL85" s="47"/>
      <c r="AM85" s="47"/>
      <c r="AO85" s="109"/>
      <c r="AP85" s="73"/>
      <c r="AQ85" s="46"/>
    </row>
    <row r="86" spans="2:43" s="25" customFormat="1" ht="25.2" customHeight="1" x14ac:dyDescent="0.15">
      <c r="B86" s="47"/>
      <c r="C86" s="47"/>
      <c r="D86" s="47"/>
      <c r="E86" s="47"/>
      <c r="F86" s="47"/>
      <c r="G86" s="47"/>
      <c r="H86" s="46"/>
      <c r="I86" s="111"/>
      <c r="J86" s="52"/>
      <c r="K86" s="148"/>
      <c r="L86" s="52"/>
      <c r="M86" s="148"/>
      <c r="N86" s="52"/>
      <c r="O86" s="148"/>
      <c r="P86" s="52"/>
      <c r="Q86" s="155"/>
      <c r="R86" s="47"/>
      <c r="S86" s="47"/>
      <c r="T86" s="47"/>
      <c r="U86" s="47"/>
      <c r="V86" s="47"/>
      <c r="X86" s="47"/>
      <c r="Y86" s="47"/>
      <c r="Z86" s="47"/>
      <c r="AA86" s="52"/>
      <c r="AB86" s="52"/>
      <c r="AC86" s="52"/>
      <c r="AD86" s="52"/>
      <c r="AE86" s="52"/>
      <c r="AF86" s="47"/>
      <c r="AG86" s="115"/>
      <c r="AH86" s="122"/>
      <c r="AI86" s="125"/>
      <c r="AJ86" s="46"/>
      <c r="AK86" s="46"/>
      <c r="AL86" s="47"/>
      <c r="AM86" s="47"/>
      <c r="AO86" s="109"/>
      <c r="AP86" s="73"/>
      <c r="AQ86" s="46"/>
    </row>
    <row r="87" spans="2:43" s="25" customFormat="1" ht="25.2" customHeight="1" x14ac:dyDescent="0.15">
      <c r="B87" s="47"/>
      <c r="C87" s="47"/>
      <c r="D87" s="47"/>
      <c r="E87" s="47"/>
      <c r="F87" s="47"/>
      <c r="G87" s="47"/>
      <c r="H87" s="46"/>
      <c r="I87" s="111"/>
      <c r="J87" s="52"/>
      <c r="K87" s="148"/>
      <c r="L87" s="52"/>
      <c r="M87" s="148"/>
      <c r="N87" s="52"/>
      <c r="O87" s="148"/>
      <c r="P87" s="52"/>
      <c r="Q87" s="155"/>
      <c r="R87" s="47"/>
      <c r="S87" s="47"/>
      <c r="T87" s="47"/>
      <c r="U87" s="47"/>
      <c r="V87" s="47"/>
      <c r="X87" s="47"/>
      <c r="Y87" s="47"/>
      <c r="Z87" s="47"/>
      <c r="AA87" s="52"/>
      <c r="AB87" s="52"/>
      <c r="AC87" s="52"/>
      <c r="AD87" s="52"/>
      <c r="AE87" s="52"/>
      <c r="AF87" s="47"/>
      <c r="AG87" s="115"/>
      <c r="AH87" s="122"/>
      <c r="AI87" s="125"/>
      <c r="AJ87" s="46"/>
      <c r="AK87" s="46"/>
      <c r="AL87" s="47"/>
      <c r="AM87" s="47"/>
      <c r="AO87" s="109"/>
      <c r="AP87" s="73"/>
      <c r="AQ87" s="46"/>
    </row>
    <row r="88" spans="2:43" s="25" customFormat="1" ht="25.2" customHeight="1" x14ac:dyDescent="0.15">
      <c r="B88" s="47"/>
      <c r="C88" s="47"/>
      <c r="D88" s="47"/>
      <c r="E88" s="47"/>
      <c r="F88" s="47"/>
      <c r="G88" s="47"/>
      <c r="H88" s="46"/>
      <c r="I88" s="111"/>
      <c r="J88" s="52"/>
      <c r="K88" s="148"/>
      <c r="L88" s="52"/>
      <c r="M88" s="148"/>
      <c r="N88" s="52"/>
      <c r="O88" s="148"/>
      <c r="P88" s="52"/>
      <c r="Q88" s="155"/>
      <c r="R88" s="47"/>
      <c r="S88" s="47"/>
      <c r="T88" s="47"/>
      <c r="U88" s="47"/>
      <c r="V88" s="47"/>
      <c r="X88" s="47"/>
      <c r="Y88" s="47"/>
      <c r="Z88" s="47"/>
      <c r="AA88" s="52"/>
      <c r="AB88" s="52"/>
      <c r="AC88" s="52"/>
      <c r="AD88" s="52"/>
      <c r="AE88" s="52"/>
      <c r="AF88" s="47"/>
      <c r="AG88" s="115"/>
      <c r="AH88" s="122"/>
      <c r="AI88" s="125"/>
      <c r="AJ88" s="46"/>
      <c r="AK88" s="46"/>
      <c r="AL88" s="47"/>
      <c r="AM88" s="47"/>
      <c r="AO88" s="109"/>
      <c r="AP88" s="73"/>
      <c r="AQ88" s="46"/>
    </row>
    <row r="89" spans="2:43" s="25" customFormat="1" ht="25.2" customHeight="1" x14ac:dyDescent="0.15">
      <c r="B89" s="47"/>
      <c r="C89" s="47"/>
      <c r="D89" s="47"/>
      <c r="E89" s="47"/>
      <c r="F89" s="47"/>
      <c r="G89" s="47"/>
      <c r="H89" s="46"/>
      <c r="I89" s="111"/>
      <c r="J89" s="52"/>
      <c r="K89" s="148"/>
      <c r="L89" s="52"/>
      <c r="M89" s="148"/>
      <c r="N89" s="52"/>
      <c r="O89" s="148"/>
      <c r="P89" s="52"/>
      <c r="Q89" s="155"/>
      <c r="R89" s="47"/>
      <c r="S89" s="47"/>
      <c r="T89" s="47"/>
      <c r="U89" s="47"/>
      <c r="V89" s="47"/>
      <c r="X89" s="47"/>
      <c r="Y89" s="47"/>
      <c r="Z89" s="47"/>
      <c r="AA89" s="52"/>
      <c r="AB89" s="52"/>
      <c r="AC89" s="52"/>
      <c r="AD89" s="52"/>
      <c r="AE89" s="52"/>
      <c r="AF89" s="47"/>
      <c r="AG89" s="115"/>
      <c r="AH89" s="122"/>
      <c r="AI89" s="125"/>
      <c r="AJ89" s="46"/>
      <c r="AK89" s="46"/>
      <c r="AL89" s="47"/>
      <c r="AM89" s="47"/>
      <c r="AO89" s="109"/>
      <c r="AP89" s="73"/>
      <c r="AQ89" s="46"/>
    </row>
    <row r="90" spans="2:43" s="25" customFormat="1" ht="25.2" customHeight="1" x14ac:dyDescent="0.15">
      <c r="B90" s="47"/>
      <c r="C90" s="47"/>
      <c r="D90" s="47"/>
      <c r="E90" s="47"/>
      <c r="F90" s="47"/>
      <c r="G90" s="47"/>
      <c r="H90" s="46"/>
      <c r="I90" s="111"/>
      <c r="J90" s="52"/>
      <c r="K90" s="148"/>
      <c r="L90" s="52"/>
      <c r="M90" s="148"/>
      <c r="N90" s="52"/>
      <c r="O90" s="148"/>
      <c r="P90" s="52"/>
      <c r="Q90" s="155"/>
      <c r="R90" s="47"/>
      <c r="S90" s="47"/>
      <c r="T90" s="47"/>
      <c r="U90" s="47"/>
      <c r="V90" s="47"/>
      <c r="X90" s="47"/>
      <c r="Y90" s="47"/>
      <c r="Z90" s="47"/>
      <c r="AA90" s="52"/>
      <c r="AB90" s="52"/>
      <c r="AC90" s="52"/>
      <c r="AD90" s="52"/>
      <c r="AE90" s="52"/>
      <c r="AF90" s="47"/>
      <c r="AG90" s="115"/>
      <c r="AH90" s="122"/>
      <c r="AI90" s="125"/>
      <c r="AJ90" s="46"/>
      <c r="AK90" s="46"/>
      <c r="AL90" s="47"/>
      <c r="AM90" s="47"/>
      <c r="AO90" s="109"/>
      <c r="AP90" s="73"/>
      <c r="AQ90" s="46"/>
    </row>
    <row r="91" spans="2:43" s="25" customFormat="1" ht="25.2" customHeight="1" x14ac:dyDescent="0.15">
      <c r="B91" s="47"/>
      <c r="C91" s="47"/>
      <c r="D91" s="47"/>
      <c r="E91" s="47"/>
      <c r="F91" s="47"/>
      <c r="G91" s="47"/>
      <c r="H91" s="46"/>
      <c r="I91" s="111"/>
      <c r="J91" s="52"/>
      <c r="K91" s="148"/>
      <c r="L91" s="52"/>
      <c r="M91" s="148"/>
      <c r="N91" s="52"/>
      <c r="O91" s="148"/>
      <c r="P91" s="52"/>
      <c r="Q91" s="155"/>
      <c r="R91" s="47"/>
      <c r="S91" s="47"/>
      <c r="T91" s="47"/>
      <c r="U91" s="47"/>
      <c r="V91" s="47"/>
      <c r="X91" s="47"/>
      <c r="Y91" s="47"/>
      <c r="Z91" s="47"/>
      <c r="AA91" s="52"/>
      <c r="AB91" s="52"/>
      <c r="AC91" s="52"/>
      <c r="AD91" s="52"/>
      <c r="AE91" s="52"/>
      <c r="AF91" s="47"/>
      <c r="AG91" s="115"/>
      <c r="AH91" s="122"/>
      <c r="AI91" s="125"/>
      <c r="AJ91" s="46"/>
      <c r="AK91" s="46"/>
      <c r="AL91" s="47"/>
      <c r="AM91" s="47"/>
      <c r="AO91" s="109"/>
      <c r="AP91" s="73"/>
      <c r="AQ91" s="46"/>
    </row>
    <row r="92" spans="2:43" s="25" customFormat="1" ht="25.2" customHeight="1" x14ac:dyDescent="0.15">
      <c r="B92" s="47"/>
      <c r="C92" s="47"/>
      <c r="D92" s="47"/>
      <c r="E92" s="47"/>
      <c r="F92" s="47"/>
      <c r="G92" s="47"/>
      <c r="H92" s="46"/>
      <c r="I92" s="111"/>
      <c r="J92" s="52"/>
      <c r="K92" s="148"/>
      <c r="L92" s="52"/>
      <c r="M92" s="148"/>
      <c r="N92" s="52"/>
      <c r="O92" s="148"/>
      <c r="P92" s="52"/>
      <c r="Q92" s="155"/>
      <c r="R92" s="47"/>
      <c r="S92" s="47"/>
      <c r="T92" s="47"/>
      <c r="U92" s="47"/>
      <c r="V92" s="47"/>
      <c r="X92" s="47"/>
      <c r="Y92" s="47"/>
      <c r="Z92" s="47"/>
      <c r="AA92" s="52"/>
      <c r="AB92" s="52"/>
      <c r="AC92" s="52"/>
      <c r="AD92" s="52"/>
      <c r="AE92" s="52"/>
      <c r="AF92" s="47"/>
      <c r="AG92" s="115"/>
      <c r="AH92" s="122"/>
      <c r="AI92" s="125"/>
      <c r="AJ92" s="46"/>
      <c r="AK92" s="46"/>
      <c r="AL92" s="47"/>
      <c r="AM92" s="47"/>
      <c r="AO92" s="109"/>
      <c r="AP92" s="73"/>
      <c r="AQ92" s="46"/>
    </row>
    <row r="93" spans="2:43" s="25" customFormat="1" ht="25.2" customHeight="1" x14ac:dyDescent="0.15">
      <c r="B93" s="47"/>
      <c r="C93" s="47"/>
      <c r="D93" s="47"/>
      <c r="E93" s="47"/>
      <c r="F93" s="47"/>
      <c r="G93" s="47"/>
      <c r="H93" s="46"/>
      <c r="I93" s="111"/>
      <c r="J93" s="52"/>
      <c r="K93" s="148"/>
      <c r="L93" s="52"/>
      <c r="M93" s="148"/>
      <c r="N93" s="52"/>
      <c r="O93" s="148"/>
      <c r="P93" s="52"/>
      <c r="Q93" s="155"/>
      <c r="R93" s="47"/>
      <c r="S93" s="47"/>
      <c r="T93" s="47"/>
      <c r="U93" s="47"/>
      <c r="V93" s="47"/>
      <c r="X93" s="47"/>
      <c r="Y93" s="47"/>
      <c r="Z93" s="47"/>
      <c r="AA93" s="52"/>
      <c r="AB93" s="52"/>
      <c r="AC93" s="52"/>
      <c r="AD93" s="52"/>
      <c r="AE93" s="52"/>
      <c r="AF93" s="47"/>
      <c r="AG93" s="115"/>
      <c r="AH93" s="122"/>
      <c r="AI93" s="125"/>
      <c r="AJ93" s="46"/>
      <c r="AK93" s="46"/>
      <c r="AL93" s="47"/>
      <c r="AM93" s="47"/>
      <c r="AO93" s="109"/>
      <c r="AP93" s="73"/>
      <c r="AQ93" s="46"/>
    </row>
    <row r="94" spans="2:43" s="25" customFormat="1" ht="25.2" customHeight="1" x14ac:dyDescent="0.15">
      <c r="B94" s="47"/>
      <c r="C94" s="47"/>
      <c r="D94" s="47"/>
      <c r="E94" s="47"/>
      <c r="F94" s="47"/>
      <c r="G94" s="47"/>
      <c r="H94" s="46"/>
      <c r="I94" s="111"/>
      <c r="J94" s="52"/>
      <c r="K94" s="148"/>
      <c r="L94" s="52"/>
      <c r="M94" s="148"/>
      <c r="N94" s="52"/>
      <c r="O94" s="148"/>
      <c r="P94" s="52"/>
      <c r="Q94" s="155"/>
      <c r="R94" s="47"/>
      <c r="S94" s="47"/>
      <c r="T94" s="47"/>
      <c r="U94" s="47"/>
      <c r="V94" s="47"/>
      <c r="X94" s="47"/>
      <c r="Y94" s="47"/>
      <c r="Z94" s="47"/>
      <c r="AA94" s="52"/>
      <c r="AB94" s="52"/>
      <c r="AC94" s="52"/>
      <c r="AD94" s="52"/>
      <c r="AE94" s="52"/>
      <c r="AF94" s="47"/>
      <c r="AG94" s="115"/>
      <c r="AH94" s="122"/>
      <c r="AI94" s="125"/>
      <c r="AJ94" s="46"/>
      <c r="AK94" s="46"/>
      <c r="AL94" s="47"/>
      <c r="AM94" s="47"/>
      <c r="AO94" s="109"/>
      <c r="AP94" s="73"/>
      <c r="AQ94" s="46"/>
    </row>
    <row r="95" spans="2:43" s="25" customFormat="1" ht="25.2" customHeight="1" x14ac:dyDescent="0.15">
      <c r="B95" s="47"/>
      <c r="C95" s="47"/>
      <c r="D95" s="47"/>
      <c r="E95" s="47"/>
      <c r="F95" s="47"/>
      <c r="G95" s="47"/>
      <c r="H95" s="46"/>
      <c r="I95" s="111"/>
      <c r="J95" s="52"/>
      <c r="K95" s="148"/>
      <c r="L95" s="52"/>
      <c r="M95" s="148"/>
      <c r="N95" s="52"/>
      <c r="O95" s="148"/>
      <c r="P95" s="52"/>
      <c r="Q95" s="155"/>
      <c r="R95" s="47"/>
      <c r="S95" s="47"/>
      <c r="T95" s="47"/>
      <c r="U95" s="47"/>
      <c r="V95" s="47"/>
      <c r="X95" s="47"/>
      <c r="Y95" s="47"/>
      <c r="Z95" s="47"/>
      <c r="AA95" s="52"/>
      <c r="AB95" s="52"/>
      <c r="AC95" s="52"/>
      <c r="AD95" s="52"/>
      <c r="AE95" s="52"/>
      <c r="AF95" s="47"/>
      <c r="AG95" s="115"/>
      <c r="AH95" s="122"/>
      <c r="AI95" s="125"/>
      <c r="AJ95" s="46"/>
      <c r="AK95" s="46"/>
      <c r="AL95" s="47"/>
      <c r="AM95" s="47"/>
      <c r="AO95" s="109"/>
      <c r="AP95" s="73"/>
      <c r="AQ95" s="46"/>
    </row>
    <row r="96" spans="2:43" s="25" customFormat="1" ht="25.2" customHeight="1" x14ac:dyDescent="0.15">
      <c r="B96" s="47"/>
      <c r="C96" s="47"/>
      <c r="D96" s="47"/>
      <c r="E96" s="47"/>
      <c r="F96" s="47"/>
      <c r="G96" s="47"/>
      <c r="H96" s="46"/>
      <c r="I96" s="111"/>
      <c r="J96" s="52"/>
      <c r="K96" s="148"/>
      <c r="L96" s="52"/>
      <c r="M96" s="148"/>
      <c r="N96" s="52"/>
      <c r="O96" s="148"/>
      <c r="P96" s="52"/>
      <c r="Q96" s="155"/>
      <c r="R96" s="47"/>
      <c r="S96" s="47"/>
      <c r="T96" s="47"/>
      <c r="U96" s="47"/>
      <c r="V96" s="47"/>
      <c r="X96" s="47"/>
      <c r="Y96" s="47"/>
      <c r="Z96" s="47"/>
      <c r="AA96" s="52"/>
      <c r="AB96" s="52"/>
      <c r="AC96" s="52"/>
      <c r="AD96" s="52"/>
      <c r="AE96" s="52"/>
      <c r="AF96" s="47"/>
      <c r="AG96" s="115"/>
      <c r="AH96" s="122"/>
      <c r="AI96" s="125"/>
      <c r="AJ96" s="46"/>
      <c r="AK96" s="46"/>
      <c r="AL96" s="47"/>
      <c r="AM96" s="47"/>
      <c r="AO96" s="109"/>
      <c r="AP96" s="73"/>
      <c r="AQ96" s="46"/>
    </row>
    <row r="97" spans="2:43" s="25" customFormat="1" ht="25.2" customHeight="1" x14ac:dyDescent="0.15">
      <c r="B97" s="47"/>
      <c r="C97" s="47"/>
      <c r="D97" s="47"/>
      <c r="E97" s="47"/>
      <c r="F97" s="47"/>
      <c r="G97" s="47"/>
      <c r="H97" s="46"/>
      <c r="I97" s="111"/>
      <c r="J97" s="52"/>
      <c r="K97" s="148"/>
      <c r="L97" s="52"/>
      <c r="M97" s="148"/>
      <c r="N97" s="52"/>
      <c r="O97" s="148"/>
      <c r="P97" s="52"/>
      <c r="Q97" s="155"/>
      <c r="R97" s="47"/>
      <c r="S97" s="47"/>
      <c r="T97" s="47"/>
      <c r="U97" s="47"/>
      <c r="V97" s="47"/>
      <c r="X97" s="47"/>
      <c r="Y97" s="47"/>
      <c r="Z97" s="47"/>
      <c r="AA97" s="52"/>
      <c r="AB97" s="52"/>
      <c r="AC97" s="52"/>
      <c r="AD97" s="52"/>
      <c r="AE97" s="52"/>
      <c r="AF97" s="47"/>
      <c r="AG97" s="115"/>
      <c r="AH97" s="122"/>
      <c r="AI97" s="125"/>
      <c r="AJ97" s="46"/>
      <c r="AK97" s="46"/>
      <c r="AL97" s="47"/>
      <c r="AM97" s="47"/>
      <c r="AO97" s="109"/>
      <c r="AP97" s="73"/>
      <c r="AQ97" s="46"/>
    </row>
    <row r="98" spans="2:43" s="25" customFormat="1" ht="25.2" customHeight="1" x14ac:dyDescent="0.15">
      <c r="B98" s="47"/>
      <c r="C98" s="47"/>
      <c r="D98" s="47"/>
      <c r="E98" s="47"/>
      <c r="F98" s="47"/>
      <c r="G98" s="47"/>
      <c r="H98" s="46"/>
      <c r="I98" s="111"/>
      <c r="J98" s="52"/>
      <c r="K98" s="148"/>
      <c r="L98" s="52"/>
      <c r="M98" s="148"/>
      <c r="N98" s="52"/>
      <c r="O98" s="148"/>
      <c r="P98" s="52"/>
      <c r="Q98" s="155"/>
      <c r="R98" s="47"/>
      <c r="S98" s="47"/>
      <c r="T98" s="47"/>
      <c r="U98" s="47"/>
      <c r="V98" s="47"/>
      <c r="X98" s="47"/>
      <c r="Y98" s="47"/>
      <c r="Z98" s="47"/>
      <c r="AA98" s="52"/>
      <c r="AB98" s="52"/>
      <c r="AC98" s="52"/>
      <c r="AD98" s="52"/>
      <c r="AE98" s="52"/>
      <c r="AF98" s="47"/>
      <c r="AG98" s="115"/>
      <c r="AH98" s="122"/>
      <c r="AI98" s="125"/>
      <c r="AJ98" s="46"/>
      <c r="AK98" s="46"/>
      <c r="AL98" s="47"/>
      <c r="AM98" s="47"/>
      <c r="AO98" s="109"/>
      <c r="AP98" s="73"/>
      <c r="AQ98" s="46"/>
    </row>
    <row r="99" spans="2:43" s="25" customFormat="1" ht="25.2" customHeight="1" x14ac:dyDescent="0.15">
      <c r="B99" s="47"/>
      <c r="C99" s="47"/>
      <c r="D99" s="47"/>
      <c r="E99" s="47"/>
      <c r="F99" s="47"/>
      <c r="G99" s="47"/>
      <c r="H99" s="46"/>
      <c r="I99" s="111"/>
      <c r="J99" s="52"/>
      <c r="K99" s="148"/>
      <c r="L99" s="52"/>
      <c r="M99" s="148"/>
      <c r="N99" s="52"/>
      <c r="O99" s="148"/>
      <c r="P99" s="52"/>
      <c r="Q99" s="155"/>
      <c r="R99" s="47"/>
      <c r="S99" s="47"/>
      <c r="T99" s="47"/>
      <c r="U99" s="47"/>
      <c r="V99" s="47"/>
      <c r="X99" s="47"/>
      <c r="Y99" s="47"/>
      <c r="Z99" s="47"/>
      <c r="AA99" s="52"/>
      <c r="AB99" s="52"/>
      <c r="AC99" s="52"/>
      <c r="AD99" s="52"/>
      <c r="AE99" s="52"/>
      <c r="AF99" s="47"/>
      <c r="AG99" s="115"/>
      <c r="AH99" s="122"/>
      <c r="AI99" s="125"/>
      <c r="AJ99" s="46"/>
      <c r="AK99" s="46"/>
      <c r="AL99" s="47"/>
      <c r="AM99" s="47"/>
      <c r="AO99" s="109"/>
      <c r="AP99" s="73"/>
      <c r="AQ99" s="46"/>
    </row>
    <row r="100" spans="2:43" s="25" customFormat="1" ht="25.2" customHeight="1" x14ac:dyDescent="0.15">
      <c r="B100" s="47"/>
      <c r="C100" s="47"/>
      <c r="D100" s="47"/>
      <c r="E100" s="47"/>
      <c r="F100" s="47"/>
      <c r="G100" s="47"/>
      <c r="H100" s="46"/>
      <c r="I100" s="111"/>
      <c r="J100" s="52"/>
      <c r="K100" s="148"/>
      <c r="L100" s="52"/>
      <c r="M100" s="148"/>
      <c r="N100" s="52"/>
      <c r="O100" s="148"/>
      <c r="P100" s="52"/>
      <c r="Q100" s="155"/>
      <c r="R100" s="47"/>
      <c r="S100" s="47"/>
      <c r="T100" s="47"/>
      <c r="U100" s="47"/>
      <c r="V100" s="47"/>
      <c r="X100" s="47"/>
      <c r="Y100" s="47"/>
      <c r="Z100" s="47"/>
      <c r="AA100" s="52"/>
      <c r="AB100" s="52"/>
      <c r="AC100" s="52"/>
      <c r="AD100" s="52"/>
      <c r="AE100" s="52"/>
      <c r="AF100" s="47"/>
      <c r="AG100" s="115"/>
      <c r="AH100" s="122"/>
      <c r="AI100" s="125"/>
      <c r="AJ100" s="46"/>
      <c r="AK100" s="46"/>
      <c r="AL100" s="47"/>
      <c r="AM100" s="47"/>
      <c r="AO100" s="109"/>
      <c r="AP100" s="73"/>
      <c r="AQ100" s="46"/>
    </row>
    <row r="101" spans="2:43" s="25" customFormat="1" ht="25.2" customHeight="1" x14ac:dyDescent="0.15">
      <c r="B101" s="47"/>
      <c r="C101" s="47"/>
      <c r="D101" s="47"/>
      <c r="E101" s="47"/>
      <c r="F101" s="47"/>
      <c r="G101" s="47"/>
      <c r="H101" s="46"/>
      <c r="I101" s="111"/>
      <c r="J101" s="52"/>
      <c r="K101" s="148"/>
      <c r="L101" s="52"/>
      <c r="M101" s="148"/>
      <c r="N101" s="52"/>
      <c r="O101" s="148"/>
      <c r="P101" s="52"/>
      <c r="Q101" s="155"/>
      <c r="R101" s="47"/>
      <c r="S101" s="47"/>
      <c r="T101" s="47"/>
      <c r="U101" s="47"/>
      <c r="V101" s="47"/>
      <c r="X101" s="47"/>
      <c r="Y101" s="47"/>
      <c r="Z101" s="47"/>
      <c r="AA101" s="52"/>
      <c r="AB101" s="52"/>
      <c r="AC101" s="52"/>
      <c r="AD101" s="52"/>
      <c r="AE101" s="52"/>
      <c r="AF101" s="47"/>
      <c r="AG101" s="115"/>
      <c r="AH101" s="122"/>
      <c r="AI101" s="125"/>
      <c r="AJ101" s="46"/>
      <c r="AK101" s="46"/>
      <c r="AL101" s="47"/>
      <c r="AM101" s="47"/>
      <c r="AO101" s="109"/>
      <c r="AP101" s="73"/>
      <c r="AQ101" s="46"/>
    </row>
    <row r="102" spans="2:43" s="25" customFormat="1" ht="25.2" customHeight="1" x14ac:dyDescent="0.15">
      <c r="B102" s="47"/>
      <c r="C102" s="47"/>
      <c r="D102" s="47"/>
      <c r="E102" s="47"/>
      <c r="F102" s="47"/>
      <c r="G102" s="47"/>
      <c r="H102" s="46"/>
      <c r="I102" s="111"/>
      <c r="J102" s="52"/>
      <c r="K102" s="148"/>
      <c r="L102" s="52"/>
      <c r="M102" s="148"/>
      <c r="N102" s="52"/>
      <c r="O102" s="148"/>
      <c r="P102" s="52"/>
      <c r="Q102" s="155"/>
      <c r="R102" s="47"/>
      <c r="S102" s="47"/>
      <c r="T102" s="47"/>
      <c r="U102" s="47"/>
      <c r="V102" s="47"/>
      <c r="X102" s="47"/>
      <c r="Y102" s="47"/>
      <c r="Z102" s="47"/>
      <c r="AA102" s="52"/>
      <c r="AB102" s="52"/>
      <c r="AC102" s="52"/>
      <c r="AD102" s="52"/>
      <c r="AE102" s="52"/>
      <c r="AF102" s="47"/>
      <c r="AG102" s="115"/>
      <c r="AH102" s="122"/>
      <c r="AI102" s="125"/>
      <c r="AJ102" s="46"/>
      <c r="AK102" s="46"/>
      <c r="AL102" s="47"/>
      <c r="AM102" s="47"/>
      <c r="AO102" s="109"/>
      <c r="AP102" s="73"/>
      <c r="AQ102" s="46"/>
    </row>
    <row r="103" spans="2:43" s="25" customFormat="1" ht="25.2" customHeight="1" x14ac:dyDescent="0.15">
      <c r="B103" s="47"/>
      <c r="C103" s="47"/>
      <c r="D103" s="47"/>
      <c r="E103" s="47"/>
      <c r="F103" s="47"/>
      <c r="G103" s="47"/>
      <c r="H103" s="46"/>
      <c r="I103" s="111"/>
      <c r="J103" s="52"/>
      <c r="K103" s="148"/>
      <c r="L103" s="52"/>
      <c r="M103" s="148"/>
      <c r="N103" s="52"/>
      <c r="O103" s="148"/>
      <c r="P103" s="52"/>
      <c r="Q103" s="155"/>
      <c r="R103" s="47"/>
      <c r="S103" s="47"/>
      <c r="T103" s="47"/>
      <c r="U103" s="47"/>
      <c r="V103" s="47"/>
      <c r="X103" s="47"/>
      <c r="Y103" s="47"/>
      <c r="Z103" s="47"/>
      <c r="AA103" s="52"/>
      <c r="AB103" s="52"/>
      <c r="AC103" s="52"/>
      <c r="AD103" s="52"/>
      <c r="AE103" s="52"/>
      <c r="AF103" s="47"/>
      <c r="AG103" s="115"/>
      <c r="AH103" s="122"/>
      <c r="AI103" s="125"/>
      <c r="AJ103" s="46"/>
      <c r="AK103" s="46"/>
      <c r="AL103" s="47"/>
      <c r="AM103" s="47"/>
      <c r="AO103" s="109"/>
      <c r="AP103" s="73"/>
      <c r="AQ103" s="46"/>
    </row>
    <row r="104" spans="2:43" s="25" customFormat="1" ht="25.2" customHeight="1" x14ac:dyDescent="0.15">
      <c r="B104" s="47"/>
      <c r="C104" s="47"/>
      <c r="D104" s="47"/>
      <c r="E104" s="47"/>
      <c r="F104" s="47"/>
      <c r="G104" s="47"/>
      <c r="H104" s="46"/>
      <c r="I104" s="111"/>
      <c r="J104" s="52"/>
      <c r="K104" s="148"/>
      <c r="L104" s="52"/>
      <c r="M104" s="148"/>
      <c r="N104" s="52"/>
      <c r="O104" s="148"/>
      <c r="P104" s="52"/>
      <c r="Q104" s="155"/>
      <c r="R104" s="47"/>
      <c r="S104" s="47"/>
      <c r="T104" s="47"/>
      <c r="U104" s="47"/>
      <c r="V104" s="47"/>
      <c r="X104" s="47"/>
      <c r="Y104" s="47"/>
      <c r="Z104" s="47"/>
      <c r="AA104" s="52"/>
      <c r="AB104" s="52"/>
      <c r="AC104" s="52"/>
      <c r="AD104" s="52"/>
      <c r="AE104" s="52"/>
      <c r="AF104" s="47"/>
      <c r="AG104" s="115"/>
      <c r="AH104" s="122"/>
      <c r="AI104" s="125"/>
      <c r="AJ104" s="46"/>
      <c r="AK104" s="46"/>
      <c r="AL104" s="47"/>
      <c r="AM104" s="47"/>
      <c r="AO104" s="109"/>
      <c r="AP104" s="73"/>
      <c r="AQ104" s="46"/>
    </row>
    <row r="105" spans="2:43" s="25" customFormat="1" ht="25.2" customHeight="1" x14ac:dyDescent="0.15">
      <c r="B105" s="47"/>
      <c r="C105" s="47"/>
      <c r="D105" s="47"/>
      <c r="E105" s="47"/>
      <c r="F105" s="47"/>
      <c r="G105" s="47"/>
      <c r="H105" s="46"/>
      <c r="I105" s="111"/>
      <c r="J105" s="52"/>
      <c r="K105" s="148"/>
      <c r="L105" s="52"/>
      <c r="M105" s="148"/>
      <c r="N105" s="52"/>
      <c r="O105" s="148"/>
      <c r="P105" s="52"/>
      <c r="Q105" s="155"/>
      <c r="R105" s="47"/>
      <c r="S105" s="47"/>
      <c r="T105" s="47"/>
      <c r="U105" s="47"/>
      <c r="V105" s="47"/>
      <c r="X105" s="47"/>
      <c r="Y105" s="47"/>
      <c r="Z105" s="47"/>
      <c r="AA105" s="52"/>
      <c r="AB105" s="52"/>
      <c r="AC105" s="52"/>
      <c r="AD105" s="52"/>
      <c r="AE105" s="52"/>
      <c r="AF105" s="47"/>
      <c r="AG105" s="115"/>
      <c r="AH105" s="122"/>
      <c r="AI105" s="125"/>
      <c r="AJ105" s="46"/>
      <c r="AK105" s="46"/>
      <c r="AL105" s="47"/>
      <c r="AM105" s="47"/>
      <c r="AO105" s="109"/>
      <c r="AP105" s="73"/>
      <c r="AQ105" s="46"/>
    </row>
    <row r="106" spans="2:43" s="25" customFormat="1" ht="25.2" customHeight="1" x14ac:dyDescent="0.15">
      <c r="B106" s="47"/>
      <c r="C106" s="47"/>
      <c r="D106" s="47"/>
      <c r="E106" s="47"/>
      <c r="F106" s="47"/>
      <c r="G106" s="47"/>
      <c r="H106" s="46"/>
      <c r="I106" s="111"/>
      <c r="J106" s="52"/>
      <c r="K106" s="148"/>
      <c r="L106" s="52"/>
      <c r="M106" s="148"/>
      <c r="N106" s="52"/>
      <c r="O106" s="148"/>
      <c r="P106" s="52"/>
      <c r="Q106" s="155"/>
      <c r="R106" s="47"/>
      <c r="S106" s="47"/>
      <c r="T106" s="47"/>
      <c r="U106" s="47"/>
      <c r="V106" s="47"/>
      <c r="X106" s="47"/>
      <c r="Y106" s="47"/>
      <c r="Z106" s="47"/>
      <c r="AA106" s="52"/>
      <c r="AB106" s="52"/>
      <c r="AC106" s="52"/>
      <c r="AD106" s="52"/>
      <c r="AE106" s="52"/>
      <c r="AF106" s="47"/>
      <c r="AG106" s="115"/>
      <c r="AH106" s="122"/>
      <c r="AI106" s="125"/>
      <c r="AJ106" s="46"/>
      <c r="AK106" s="46"/>
      <c r="AL106" s="47"/>
      <c r="AM106" s="47"/>
      <c r="AO106" s="109"/>
      <c r="AP106" s="73"/>
      <c r="AQ106" s="46"/>
    </row>
    <row r="107" spans="2:43" s="25" customFormat="1" ht="25.2" customHeight="1" x14ac:dyDescent="0.15">
      <c r="B107" s="47"/>
      <c r="C107" s="47"/>
      <c r="D107" s="47"/>
      <c r="E107" s="47"/>
      <c r="F107" s="47"/>
      <c r="G107" s="47"/>
      <c r="H107" s="46"/>
      <c r="I107" s="111"/>
      <c r="J107" s="52"/>
      <c r="K107" s="148"/>
      <c r="L107" s="52"/>
      <c r="M107" s="148"/>
      <c r="N107" s="52"/>
      <c r="O107" s="148"/>
      <c r="P107" s="52"/>
      <c r="Q107" s="155"/>
      <c r="R107" s="47"/>
      <c r="S107" s="47"/>
      <c r="T107" s="47"/>
      <c r="U107" s="47"/>
      <c r="V107" s="47"/>
      <c r="X107" s="47"/>
      <c r="Y107" s="47"/>
      <c r="Z107" s="47"/>
      <c r="AA107" s="52"/>
      <c r="AB107" s="52"/>
      <c r="AC107" s="52"/>
      <c r="AD107" s="52"/>
      <c r="AE107" s="52"/>
      <c r="AF107" s="47"/>
      <c r="AG107" s="115"/>
      <c r="AH107" s="122"/>
      <c r="AI107" s="125"/>
      <c r="AJ107" s="46"/>
      <c r="AK107" s="46"/>
      <c r="AL107" s="47"/>
      <c r="AM107" s="47"/>
      <c r="AO107" s="109"/>
      <c r="AP107" s="73"/>
      <c r="AQ107" s="46"/>
    </row>
    <row r="108" spans="2:43" s="25" customFormat="1" ht="25.2" customHeight="1" x14ac:dyDescent="0.15">
      <c r="B108" s="47"/>
      <c r="C108" s="47"/>
      <c r="D108" s="47"/>
      <c r="E108" s="47"/>
      <c r="F108" s="47"/>
      <c r="G108" s="47"/>
      <c r="H108" s="46"/>
      <c r="I108" s="111"/>
      <c r="J108" s="52"/>
      <c r="K108" s="148"/>
      <c r="L108" s="52"/>
      <c r="M108" s="148"/>
      <c r="N108" s="52"/>
      <c r="O108" s="148"/>
      <c r="P108" s="52"/>
      <c r="Q108" s="155"/>
      <c r="R108" s="47"/>
      <c r="S108" s="47"/>
      <c r="T108" s="47"/>
      <c r="U108" s="47"/>
      <c r="V108" s="47"/>
      <c r="X108" s="47"/>
      <c r="Y108" s="47"/>
      <c r="Z108" s="47"/>
      <c r="AA108" s="52"/>
      <c r="AB108" s="52"/>
      <c r="AC108" s="52"/>
      <c r="AD108" s="52"/>
      <c r="AE108" s="52"/>
      <c r="AF108" s="47"/>
      <c r="AG108" s="115"/>
      <c r="AH108" s="122"/>
      <c r="AI108" s="125"/>
      <c r="AJ108" s="46"/>
      <c r="AK108" s="46"/>
      <c r="AL108" s="47"/>
      <c r="AM108" s="47"/>
      <c r="AO108" s="109"/>
      <c r="AP108" s="73"/>
      <c r="AQ108" s="46"/>
    </row>
    <row r="109" spans="2:43" s="25" customFormat="1" ht="25.2" customHeight="1" x14ac:dyDescent="0.15">
      <c r="B109" s="47"/>
      <c r="C109" s="47"/>
      <c r="D109" s="47"/>
      <c r="E109" s="47"/>
      <c r="F109" s="47"/>
      <c r="G109" s="47"/>
      <c r="H109" s="46"/>
      <c r="I109" s="111"/>
      <c r="J109" s="52"/>
      <c r="K109" s="148"/>
      <c r="L109" s="52"/>
      <c r="M109" s="148"/>
      <c r="N109" s="52"/>
      <c r="O109" s="148"/>
      <c r="P109" s="52"/>
      <c r="Q109" s="155"/>
      <c r="R109" s="47"/>
      <c r="S109" s="47"/>
      <c r="T109" s="47"/>
      <c r="U109" s="47"/>
      <c r="V109" s="47"/>
      <c r="X109" s="47"/>
      <c r="Y109" s="47"/>
      <c r="Z109" s="47"/>
      <c r="AA109" s="52"/>
      <c r="AB109" s="52"/>
      <c r="AC109" s="52"/>
      <c r="AD109" s="52"/>
      <c r="AE109" s="52"/>
      <c r="AF109" s="47"/>
      <c r="AG109" s="115"/>
      <c r="AH109" s="122"/>
      <c r="AI109" s="125"/>
      <c r="AJ109" s="46"/>
      <c r="AK109" s="46"/>
      <c r="AL109" s="47"/>
      <c r="AM109" s="47"/>
      <c r="AO109" s="109"/>
      <c r="AP109" s="73"/>
      <c r="AQ109" s="46"/>
    </row>
    <row r="110" spans="2:43" s="25" customFormat="1" ht="25.2" customHeight="1" x14ac:dyDescent="0.15">
      <c r="B110" s="47"/>
      <c r="C110" s="47"/>
      <c r="D110" s="47"/>
      <c r="E110" s="47"/>
      <c r="F110" s="47"/>
      <c r="G110" s="47"/>
      <c r="H110" s="46"/>
      <c r="I110" s="111"/>
      <c r="J110" s="52"/>
      <c r="K110" s="148"/>
      <c r="L110" s="52"/>
      <c r="M110" s="148"/>
      <c r="N110" s="52"/>
      <c r="O110" s="148"/>
      <c r="P110" s="52"/>
      <c r="Q110" s="155"/>
      <c r="R110" s="47"/>
      <c r="S110" s="47"/>
      <c r="T110" s="47"/>
      <c r="U110" s="47"/>
      <c r="V110" s="47"/>
      <c r="X110" s="47"/>
      <c r="Y110" s="47"/>
      <c r="Z110" s="47"/>
      <c r="AA110" s="52"/>
      <c r="AB110" s="52"/>
      <c r="AC110" s="52"/>
      <c r="AD110" s="52"/>
      <c r="AE110" s="52"/>
      <c r="AF110" s="47"/>
      <c r="AG110" s="115"/>
      <c r="AH110" s="122"/>
      <c r="AI110" s="125"/>
      <c r="AJ110" s="46"/>
      <c r="AK110" s="46"/>
      <c r="AL110" s="47"/>
      <c r="AM110" s="47"/>
      <c r="AO110" s="109"/>
      <c r="AP110" s="73"/>
      <c r="AQ110" s="46"/>
    </row>
    <row r="111" spans="2:43" s="25" customFormat="1" ht="25.2" customHeight="1" x14ac:dyDescent="0.15">
      <c r="B111" s="47"/>
      <c r="C111" s="47"/>
      <c r="D111" s="47"/>
      <c r="E111" s="47"/>
      <c r="F111" s="47"/>
      <c r="G111" s="47"/>
      <c r="H111" s="46"/>
      <c r="I111" s="111"/>
      <c r="J111" s="52"/>
      <c r="K111" s="148"/>
      <c r="L111" s="52"/>
      <c r="M111" s="148"/>
      <c r="N111" s="52"/>
      <c r="O111" s="148"/>
      <c r="P111" s="52"/>
      <c r="Q111" s="155"/>
      <c r="R111" s="47"/>
      <c r="S111" s="47"/>
      <c r="T111" s="47"/>
      <c r="U111" s="47"/>
      <c r="V111" s="47"/>
      <c r="X111" s="47"/>
      <c r="Y111" s="47"/>
      <c r="Z111" s="47"/>
      <c r="AA111" s="52"/>
      <c r="AB111" s="52"/>
      <c r="AC111" s="52"/>
      <c r="AD111" s="52"/>
      <c r="AE111" s="52"/>
      <c r="AF111" s="47"/>
      <c r="AG111" s="115"/>
      <c r="AH111" s="122"/>
      <c r="AI111" s="125"/>
      <c r="AJ111" s="46"/>
      <c r="AK111" s="46"/>
      <c r="AL111" s="47"/>
      <c r="AM111" s="47"/>
      <c r="AO111" s="109"/>
      <c r="AP111" s="73"/>
      <c r="AQ111" s="46"/>
    </row>
    <row r="112" spans="2:43" s="25" customFormat="1" ht="25.2" customHeight="1" x14ac:dyDescent="0.15">
      <c r="B112" s="47"/>
      <c r="C112" s="47"/>
      <c r="D112" s="47"/>
      <c r="E112" s="47"/>
      <c r="F112" s="47"/>
      <c r="G112" s="47"/>
      <c r="H112" s="46"/>
      <c r="I112" s="111"/>
      <c r="J112" s="52"/>
      <c r="K112" s="148"/>
      <c r="L112" s="52"/>
      <c r="M112" s="148"/>
      <c r="N112" s="52"/>
      <c r="O112" s="148"/>
      <c r="P112" s="52"/>
      <c r="Q112" s="155"/>
      <c r="R112" s="47"/>
      <c r="S112" s="47"/>
      <c r="T112" s="47"/>
      <c r="U112" s="47"/>
      <c r="V112" s="47"/>
      <c r="X112" s="47"/>
      <c r="Y112" s="47"/>
      <c r="Z112" s="47"/>
      <c r="AA112" s="52"/>
      <c r="AB112" s="52"/>
      <c r="AC112" s="52"/>
      <c r="AD112" s="52"/>
      <c r="AE112" s="52"/>
      <c r="AF112" s="47"/>
      <c r="AG112" s="115"/>
      <c r="AH112" s="122"/>
      <c r="AI112" s="125"/>
      <c r="AJ112" s="46"/>
      <c r="AK112" s="46"/>
      <c r="AL112" s="47"/>
      <c r="AM112" s="47"/>
      <c r="AO112" s="109"/>
      <c r="AP112" s="73"/>
      <c r="AQ112" s="46"/>
    </row>
    <row r="113" spans="2:43" s="25" customFormat="1" ht="25.2" customHeight="1" x14ac:dyDescent="0.15">
      <c r="B113" s="47"/>
      <c r="C113" s="47"/>
      <c r="D113" s="47"/>
      <c r="E113" s="47"/>
      <c r="F113" s="47"/>
      <c r="G113" s="47"/>
      <c r="H113" s="46"/>
      <c r="I113" s="111"/>
      <c r="J113" s="52"/>
      <c r="K113" s="148"/>
      <c r="L113" s="52"/>
      <c r="M113" s="148"/>
      <c r="N113" s="52"/>
      <c r="O113" s="148"/>
      <c r="P113" s="52"/>
      <c r="Q113" s="155"/>
      <c r="R113" s="47"/>
      <c r="S113" s="47"/>
      <c r="T113" s="47"/>
      <c r="U113" s="47"/>
      <c r="V113" s="47"/>
      <c r="X113" s="47"/>
      <c r="Y113" s="47"/>
      <c r="Z113" s="47"/>
      <c r="AA113" s="52"/>
      <c r="AB113" s="52"/>
      <c r="AC113" s="52"/>
      <c r="AD113" s="52"/>
      <c r="AE113" s="52"/>
      <c r="AF113" s="47"/>
      <c r="AG113" s="115"/>
      <c r="AH113" s="122"/>
      <c r="AI113" s="125"/>
      <c r="AJ113" s="46"/>
      <c r="AK113" s="46"/>
      <c r="AL113" s="47"/>
      <c r="AM113" s="47"/>
      <c r="AO113" s="109"/>
      <c r="AP113" s="73"/>
      <c r="AQ113" s="46"/>
    </row>
    <row r="114" spans="2:43" s="25" customFormat="1" ht="25.2" customHeight="1" x14ac:dyDescent="0.15">
      <c r="B114" s="47"/>
      <c r="C114" s="47"/>
      <c r="D114" s="47"/>
      <c r="E114" s="47"/>
      <c r="F114" s="47"/>
      <c r="G114" s="47"/>
      <c r="H114" s="46"/>
      <c r="I114" s="111"/>
      <c r="J114" s="52"/>
      <c r="K114" s="148"/>
      <c r="L114" s="52"/>
      <c r="M114" s="148"/>
      <c r="N114" s="52"/>
      <c r="O114" s="148"/>
      <c r="P114" s="52"/>
      <c r="Q114" s="155"/>
      <c r="R114" s="47"/>
      <c r="S114" s="47"/>
      <c r="T114" s="47"/>
      <c r="U114" s="47"/>
      <c r="V114" s="47"/>
      <c r="X114" s="47"/>
      <c r="Y114" s="47"/>
      <c r="Z114" s="47"/>
      <c r="AA114" s="52"/>
      <c r="AB114" s="52"/>
      <c r="AC114" s="52"/>
      <c r="AD114" s="52"/>
      <c r="AE114" s="52"/>
      <c r="AF114" s="47"/>
      <c r="AG114" s="115"/>
      <c r="AH114" s="122"/>
      <c r="AI114" s="125"/>
      <c r="AJ114" s="46"/>
      <c r="AK114" s="46"/>
      <c r="AL114" s="47"/>
      <c r="AM114" s="47"/>
      <c r="AO114" s="109"/>
      <c r="AP114" s="73"/>
      <c r="AQ114" s="46"/>
    </row>
    <row r="115" spans="2:43" s="25" customFormat="1" ht="25.2" customHeight="1" x14ac:dyDescent="0.15">
      <c r="B115" s="47"/>
      <c r="C115" s="47"/>
      <c r="D115" s="47"/>
      <c r="E115" s="47"/>
      <c r="F115" s="47"/>
      <c r="G115" s="47"/>
      <c r="H115" s="46"/>
      <c r="I115" s="111"/>
      <c r="J115" s="52"/>
      <c r="K115" s="148"/>
      <c r="L115" s="52"/>
      <c r="M115" s="148"/>
      <c r="N115" s="52"/>
      <c r="O115" s="148"/>
      <c r="P115" s="52"/>
      <c r="Q115" s="155"/>
      <c r="R115" s="47"/>
      <c r="S115" s="47"/>
      <c r="T115" s="47"/>
      <c r="U115" s="47"/>
      <c r="V115" s="47"/>
      <c r="X115" s="47"/>
      <c r="Y115" s="47"/>
      <c r="Z115" s="47"/>
      <c r="AA115" s="52"/>
      <c r="AB115" s="52"/>
      <c r="AC115" s="52"/>
      <c r="AD115" s="52"/>
      <c r="AE115" s="52"/>
      <c r="AF115" s="47"/>
      <c r="AG115" s="115"/>
      <c r="AH115" s="122"/>
      <c r="AI115" s="125"/>
      <c r="AJ115" s="46"/>
      <c r="AK115" s="46"/>
      <c r="AL115" s="47"/>
      <c r="AM115" s="47"/>
      <c r="AO115" s="109"/>
      <c r="AP115" s="73"/>
      <c r="AQ115" s="46"/>
    </row>
    <row r="116" spans="2:43" s="25" customFormat="1" ht="25.2" customHeight="1" x14ac:dyDescent="0.15">
      <c r="B116" s="47"/>
      <c r="C116" s="47"/>
      <c r="D116" s="47"/>
      <c r="E116" s="47"/>
      <c r="F116" s="47"/>
      <c r="G116" s="47"/>
      <c r="H116" s="46"/>
      <c r="I116" s="111"/>
      <c r="J116" s="52"/>
      <c r="K116" s="148"/>
      <c r="L116" s="52"/>
      <c r="M116" s="148"/>
      <c r="N116" s="52"/>
      <c r="O116" s="148"/>
      <c r="P116" s="52"/>
      <c r="Q116" s="155"/>
      <c r="R116" s="47"/>
      <c r="S116" s="47"/>
      <c r="T116" s="47"/>
      <c r="U116" s="47"/>
      <c r="V116" s="47"/>
      <c r="X116" s="47"/>
      <c r="Y116" s="47"/>
      <c r="Z116" s="47"/>
      <c r="AA116" s="52"/>
      <c r="AB116" s="52"/>
      <c r="AC116" s="52"/>
      <c r="AD116" s="52"/>
      <c r="AE116" s="52"/>
      <c r="AF116" s="47"/>
      <c r="AG116" s="115"/>
      <c r="AH116" s="122"/>
      <c r="AI116" s="125"/>
      <c r="AJ116" s="46"/>
      <c r="AK116" s="46"/>
      <c r="AL116" s="47"/>
      <c r="AM116" s="47"/>
      <c r="AO116" s="109"/>
      <c r="AP116" s="73"/>
      <c r="AQ116" s="46"/>
    </row>
    <row r="117" spans="2:43" s="25" customFormat="1" ht="25.2" customHeight="1" x14ac:dyDescent="0.15">
      <c r="B117" s="47"/>
      <c r="C117" s="47"/>
      <c r="D117" s="47"/>
      <c r="E117" s="47"/>
      <c r="F117" s="47"/>
      <c r="G117" s="47"/>
      <c r="H117" s="46"/>
      <c r="I117" s="111"/>
      <c r="J117" s="52"/>
      <c r="K117" s="148"/>
      <c r="L117" s="52"/>
      <c r="M117" s="148"/>
      <c r="N117" s="52"/>
      <c r="O117" s="148"/>
      <c r="P117" s="52"/>
      <c r="Q117" s="155"/>
      <c r="R117" s="47"/>
      <c r="S117" s="47"/>
      <c r="T117" s="47"/>
      <c r="U117" s="47"/>
      <c r="V117" s="47"/>
      <c r="X117" s="47"/>
      <c r="Y117" s="47"/>
      <c r="Z117" s="47"/>
      <c r="AA117" s="52"/>
      <c r="AB117" s="52"/>
      <c r="AC117" s="52"/>
      <c r="AD117" s="52"/>
      <c r="AE117" s="52"/>
      <c r="AF117" s="47"/>
      <c r="AG117" s="115"/>
      <c r="AH117" s="122"/>
      <c r="AI117" s="125"/>
      <c r="AJ117" s="46"/>
      <c r="AK117" s="46"/>
      <c r="AL117" s="47"/>
      <c r="AM117" s="47"/>
      <c r="AO117" s="109"/>
      <c r="AP117" s="73"/>
      <c r="AQ117" s="46"/>
    </row>
    <row r="118" spans="2:43" s="25" customFormat="1" ht="25.2" customHeight="1" x14ac:dyDescent="0.15">
      <c r="B118" s="47"/>
      <c r="C118" s="47"/>
      <c r="D118" s="47"/>
      <c r="E118" s="47"/>
      <c r="F118" s="47"/>
      <c r="G118" s="47"/>
      <c r="H118" s="46"/>
      <c r="I118" s="111"/>
      <c r="J118" s="52"/>
      <c r="K118" s="148"/>
      <c r="L118" s="52"/>
      <c r="M118" s="148"/>
      <c r="N118" s="52"/>
      <c r="O118" s="148"/>
      <c r="P118" s="52"/>
      <c r="Q118" s="155"/>
      <c r="R118" s="47"/>
      <c r="S118" s="47"/>
      <c r="T118" s="47"/>
      <c r="U118" s="47"/>
      <c r="V118" s="47"/>
      <c r="X118" s="47"/>
      <c r="Y118" s="47"/>
      <c r="Z118" s="47"/>
      <c r="AA118" s="52"/>
      <c r="AB118" s="52"/>
      <c r="AC118" s="52"/>
      <c r="AD118" s="52"/>
      <c r="AE118" s="52"/>
      <c r="AF118" s="47"/>
      <c r="AG118" s="115"/>
      <c r="AH118" s="122"/>
      <c r="AI118" s="125"/>
      <c r="AJ118" s="46"/>
      <c r="AK118" s="46"/>
      <c r="AL118" s="47"/>
      <c r="AM118" s="47"/>
      <c r="AO118" s="109"/>
      <c r="AP118" s="73"/>
      <c r="AQ118" s="46"/>
    </row>
    <row r="119" spans="2:43" s="25" customFormat="1" ht="25.2" customHeight="1" x14ac:dyDescent="0.15">
      <c r="B119" s="47"/>
      <c r="C119" s="47"/>
      <c r="D119" s="47"/>
      <c r="E119" s="47"/>
      <c r="F119" s="47"/>
      <c r="G119" s="47"/>
      <c r="H119" s="46"/>
      <c r="I119" s="111"/>
      <c r="J119" s="52"/>
      <c r="K119" s="148"/>
      <c r="L119" s="52"/>
      <c r="M119" s="148"/>
      <c r="N119" s="52"/>
      <c r="O119" s="148"/>
      <c r="P119" s="52"/>
      <c r="Q119" s="155"/>
      <c r="R119" s="47"/>
      <c r="S119" s="47"/>
      <c r="T119" s="47"/>
      <c r="U119" s="47"/>
      <c r="V119" s="47"/>
      <c r="X119" s="47"/>
      <c r="Y119" s="47"/>
      <c r="Z119" s="47"/>
      <c r="AA119" s="52"/>
      <c r="AB119" s="52"/>
      <c r="AC119" s="52"/>
      <c r="AD119" s="52"/>
      <c r="AE119" s="52"/>
      <c r="AF119" s="47"/>
      <c r="AG119" s="115"/>
      <c r="AH119" s="122"/>
      <c r="AI119" s="125"/>
      <c r="AJ119" s="46"/>
      <c r="AK119" s="46"/>
      <c r="AL119" s="47"/>
      <c r="AM119" s="47"/>
      <c r="AO119" s="109"/>
      <c r="AP119" s="73"/>
      <c r="AQ119" s="46"/>
    </row>
    <row r="120" spans="2:43" s="25" customFormat="1" ht="25.2" customHeight="1" x14ac:dyDescent="0.15">
      <c r="B120" s="47"/>
      <c r="C120" s="47"/>
      <c r="D120" s="47"/>
      <c r="E120" s="47"/>
      <c r="F120" s="47"/>
      <c r="G120" s="47"/>
      <c r="H120" s="46"/>
      <c r="I120" s="111"/>
      <c r="J120" s="52"/>
      <c r="K120" s="148"/>
      <c r="L120" s="52"/>
      <c r="M120" s="148"/>
      <c r="N120" s="52"/>
      <c r="O120" s="148"/>
      <c r="P120" s="52"/>
      <c r="Q120" s="155"/>
      <c r="R120" s="47"/>
      <c r="S120" s="47"/>
      <c r="T120" s="47"/>
      <c r="U120" s="47"/>
      <c r="V120" s="47"/>
      <c r="X120" s="47"/>
      <c r="Y120" s="47"/>
      <c r="Z120" s="47"/>
      <c r="AA120" s="52"/>
      <c r="AB120" s="52"/>
      <c r="AC120" s="52"/>
      <c r="AD120" s="52"/>
      <c r="AE120" s="52"/>
      <c r="AF120" s="47"/>
      <c r="AG120" s="115"/>
      <c r="AH120" s="122"/>
      <c r="AI120" s="125"/>
      <c r="AJ120" s="46"/>
      <c r="AK120" s="46"/>
      <c r="AL120" s="47"/>
      <c r="AM120" s="47"/>
      <c r="AO120" s="109"/>
      <c r="AP120" s="73"/>
      <c r="AQ120" s="46"/>
    </row>
    <row r="121" spans="2:43" s="25" customFormat="1" ht="25.2" customHeight="1" x14ac:dyDescent="0.15">
      <c r="B121" s="47"/>
      <c r="C121" s="47"/>
      <c r="D121" s="47"/>
      <c r="E121" s="47"/>
      <c r="F121" s="47"/>
      <c r="G121" s="47"/>
      <c r="H121" s="46"/>
      <c r="I121" s="111"/>
      <c r="J121" s="52"/>
      <c r="K121" s="148"/>
      <c r="L121" s="52"/>
      <c r="M121" s="148"/>
      <c r="N121" s="52"/>
      <c r="O121" s="148"/>
      <c r="P121" s="52"/>
      <c r="Q121" s="155"/>
      <c r="R121" s="47"/>
      <c r="S121" s="47"/>
      <c r="T121" s="47"/>
      <c r="U121" s="47"/>
      <c r="V121" s="47"/>
      <c r="X121" s="47"/>
      <c r="Y121" s="47"/>
      <c r="Z121" s="47"/>
      <c r="AA121" s="52"/>
      <c r="AB121" s="52"/>
      <c r="AC121" s="52"/>
      <c r="AD121" s="52"/>
      <c r="AE121" s="52"/>
      <c r="AF121" s="47"/>
      <c r="AG121" s="115"/>
      <c r="AH121" s="122"/>
      <c r="AI121" s="125"/>
      <c r="AJ121" s="46"/>
      <c r="AK121" s="46"/>
      <c r="AL121" s="47"/>
      <c r="AM121" s="47"/>
      <c r="AO121" s="109"/>
      <c r="AP121" s="73"/>
      <c r="AQ121" s="46"/>
    </row>
    <row r="122" spans="2:43" s="25" customFormat="1" ht="25.2" customHeight="1" x14ac:dyDescent="0.15">
      <c r="B122" s="47"/>
      <c r="C122" s="47"/>
      <c r="D122" s="47"/>
      <c r="E122" s="47"/>
      <c r="F122" s="47"/>
      <c r="G122" s="47"/>
      <c r="H122" s="46"/>
      <c r="I122" s="111"/>
      <c r="J122" s="52"/>
      <c r="K122" s="148"/>
      <c r="L122" s="52"/>
      <c r="M122" s="148"/>
      <c r="N122" s="52"/>
      <c r="O122" s="148"/>
      <c r="P122" s="52"/>
      <c r="Q122" s="155"/>
      <c r="R122" s="47"/>
      <c r="S122" s="47"/>
      <c r="T122" s="47"/>
      <c r="U122" s="47"/>
      <c r="V122" s="47"/>
      <c r="X122" s="47"/>
      <c r="Y122" s="47"/>
      <c r="Z122" s="47"/>
      <c r="AA122" s="52"/>
      <c r="AB122" s="52"/>
      <c r="AC122" s="52"/>
      <c r="AD122" s="52"/>
      <c r="AE122" s="52"/>
      <c r="AF122" s="47"/>
      <c r="AG122" s="115"/>
      <c r="AH122" s="122"/>
      <c r="AI122" s="125"/>
      <c r="AJ122" s="46"/>
      <c r="AK122" s="46"/>
      <c r="AL122" s="47"/>
      <c r="AM122" s="47"/>
      <c r="AO122" s="109"/>
      <c r="AP122" s="73"/>
      <c r="AQ122" s="46"/>
    </row>
    <row r="123" spans="2:43" s="25" customFormat="1" ht="25.2" customHeight="1" x14ac:dyDescent="0.15">
      <c r="B123" s="47"/>
      <c r="C123" s="47"/>
      <c r="D123" s="47"/>
      <c r="E123" s="47"/>
      <c r="F123" s="47"/>
      <c r="G123" s="47"/>
      <c r="H123" s="46"/>
      <c r="I123" s="111"/>
      <c r="J123" s="52"/>
      <c r="K123" s="148"/>
      <c r="L123" s="52"/>
      <c r="M123" s="148"/>
      <c r="N123" s="52"/>
      <c r="O123" s="148"/>
      <c r="P123" s="52"/>
      <c r="Q123" s="155"/>
      <c r="R123" s="47"/>
      <c r="S123" s="47"/>
      <c r="T123" s="47"/>
      <c r="U123" s="47"/>
      <c r="V123" s="47"/>
      <c r="X123" s="47"/>
      <c r="Y123" s="47"/>
      <c r="Z123" s="47"/>
      <c r="AA123" s="52"/>
      <c r="AB123" s="52"/>
      <c r="AC123" s="52"/>
      <c r="AD123" s="52"/>
      <c r="AE123" s="52"/>
      <c r="AF123" s="47"/>
      <c r="AG123" s="115"/>
      <c r="AH123" s="122"/>
      <c r="AI123" s="125"/>
      <c r="AJ123" s="46"/>
      <c r="AK123" s="46"/>
      <c r="AL123" s="47"/>
      <c r="AM123" s="47"/>
      <c r="AO123" s="109"/>
      <c r="AP123" s="73"/>
      <c r="AQ123" s="46"/>
    </row>
    <row r="124" spans="2:43" s="25" customFormat="1" ht="25.2" customHeight="1" x14ac:dyDescent="0.15">
      <c r="B124" s="47"/>
      <c r="C124" s="47"/>
      <c r="D124" s="47"/>
      <c r="E124" s="47"/>
      <c r="F124" s="47"/>
      <c r="G124" s="47"/>
      <c r="H124" s="46"/>
      <c r="I124" s="111"/>
      <c r="J124" s="52"/>
      <c r="K124" s="148"/>
      <c r="L124" s="52"/>
      <c r="M124" s="148"/>
      <c r="N124" s="52"/>
      <c r="O124" s="148"/>
      <c r="P124" s="52"/>
      <c r="Q124" s="155"/>
      <c r="R124" s="47"/>
      <c r="S124" s="47"/>
      <c r="T124" s="47"/>
      <c r="U124" s="47"/>
      <c r="V124" s="47"/>
      <c r="X124" s="47"/>
      <c r="Y124" s="47"/>
      <c r="Z124" s="47"/>
      <c r="AA124" s="52"/>
      <c r="AB124" s="52"/>
      <c r="AC124" s="52"/>
      <c r="AD124" s="52"/>
      <c r="AE124" s="52"/>
      <c r="AF124" s="47"/>
      <c r="AG124" s="115"/>
      <c r="AH124" s="122"/>
      <c r="AI124" s="125"/>
      <c r="AJ124" s="46"/>
      <c r="AK124" s="46"/>
      <c r="AL124" s="47"/>
      <c r="AM124" s="47"/>
      <c r="AO124" s="109"/>
      <c r="AP124" s="73"/>
      <c r="AQ124" s="46"/>
    </row>
    <row r="125" spans="2:43" s="25" customFormat="1" ht="25.2" customHeight="1" x14ac:dyDescent="0.15">
      <c r="B125" s="47"/>
      <c r="C125" s="47"/>
      <c r="D125" s="47"/>
      <c r="E125" s="47"/>
      <c r="F125" s="47"/>
      <c r="G125" s="47"/>
      <c r="H125" s="46"/>
      <c r="I125" s="111"/>
      <c r="J125" s="52"/>
      <c r="K125" s="148"/>
      <c r="L125" s="52"/>
      <c r="M125" s="148"/>
      <c r="N125" s="52"/>
      <c r="O125" s="148"/>
      <c r="P125" s="52"/>
      <c r="Q125" s="155"/>
      <c r="R125" s="47"/>
      <c r="S125" s="47"/>
      <c r="T125" s="47"/>
      <c r="U125" s="47"/>
      <c r="V125" s="47"/>
      <c r="X125" s="47"/>
      <c r="Y125" s="47"/>
      <c r="Z125" s="47"/>
      <c r="AA125" s="52"/>
      <c r="AB125" s="52"/>
      <c r="AC125" s="52"/>
      <c r="AD125" s="52"/>
      <c r="AE125" s="52"/>
      <c r="AF125" s="47"/>
      <c r="AG125" s="115"/>
      <c r="AH125" s="122"/>
      <c r="AI125" s="125"/>
      <c r="AJ125" s="46"/>
      <c r="AK125" s="46"/>
      <c r="AL125" s="47"/>
      <c r="AM125" s="47"/>
      <c r="AO125" s="109"/>
      <c r="AP125" s="73"/>
      <c r="AQ125" s="46"/>
    </row>
    <row r="126" spans="2:43" s="25" customFormat="1" ht="25.2" customHeight="1" x14ac:dyDescent="0.15">
      <c r="B126" s="47"/>
      <c r="C126" s="47"/>
      <c r="D126" s="47"/>
      <c r="E126" s="47"/>
      <c r="F126" s="47"/>
      <c r="G126" s="47"/>
      <c r="H126" s="46"/>
      <c r="I126" s="111"/>
      <c r="J126" s="52"/>
      <c r="K126" s="148"/>
      <c r="L126" s="52"/>
      <c r="M126" s="148"/>
      <c r="N126" s="52"/>
      <c r="O126" s="148"/>
      <c r="P126" s="52"/>
      <c r="Q126" s="155"/>
      <c r="R126" s="47"/>
      <c r="S126" s="47"/>
      <c r="T126" s="47"/>
      <c r="U126" s="47"/>
      <c r="V126" s="47"/>
      <c r="X126" s="47"/>
      <c r="Y126" s="47"/>
      <c r="Z126" s="47"/>
      <c r="AA126" s="52"/>
      <c r="AB126" s="52"/>
      <c r="AC126" s="52"/>
      <c r="AD126" s="52"/>
      <c r="AE126" s="52"/>
      <c r="AF126" s="47"/>
      <c r="AG126" s="115"/>
      <c r="AH126" s="122"/>
      <c r="AI126" s="125"/>
      <c r="AJ126" s="46"/>
      <c r="AK126" s="46"/>
      <c r="AL126" s="47"/>
      <c r="AM126" s="47"/>
      <c r="AO126" s="109"/>
      <c r="AP126" s="73"/>
      <c r="AQ126" s="46"/>
    </row>
    <row r="127" spans="2:43" s="25" customFormat="1" ht="25.2" customHeight="1" x14ac:dyDescent="0.15">
      <c r="B127" s="47"/>
      <c r="C127" s="47"/>
      <c r="D127" s="47"/>
      <c r="E127" s="47"/>
      <c r="F127" s="47"/>
      <c r="G127" s="47"/>
      <c r="H127" s="46"/>
      <c r="I127" s="111"/>
      <c r="J127" s="52"/>
      <c r="K127" s="148"/>
      <c r="L127" s="52"/>
      <c r="M127" s="148"/>
      <c r="N127" s="52"/>
      <c r="O127" s="148"/>
      <c r="P127" s="52"/>
      <c r="Q127" s="155"/>
      <c r="R127" s="47"/>
      <c r="S127" s="47"/>
      <c r="T127" s="47"/>
      <c r="U127" s="47"/>
      <c r="V127" s="47"/>
      <c r="X127" s="47"/>
      <c r="Y127" s="47"/>
      <c r="Z127" s="47"/>
      <c r="AA127" s="52"/>
      <c r="AB127" s="52"/>
      <c r="AC127" s="52"/>
      <c r="AD127" s="52"/>
      <c r="AE127" s="52"/>
      <c r="AF127" s="47"/>
      <c r="AG127" s="115"/>
      <c r="AH127" s="122"/>
      <c r="AI127" s="125"/>
      <c r="AJ127" s="46"/>
      <c r="AK127" s="46"/>
      <c r="AL127" s="47"/>
      <c r="AM127" s="47"/>
      <c r="AO127" s="109"/>
      <c r="AP127" s="73"/>
      <c r="AQ127" s="46"/>
    </row>
    <row r="128" spans="2:43" s="25" customFormat="1" ht="25.2" customHeight="1" x14ac:dyDescent="0.15">
      <c r="B128" s="47"/>
      <c r="C128" s="47"/>
      <c r="D128" s="47"/>
      <c r="E128" s="47"/>
      <c r="F128" s="47"/>
      <c r="G128" s="47"/>
      <c r="H128" s="46"/>
      <c r="I128" s="111"/>
      <c r="J128" s="52"/>
      <c r="K128" s="148"/>
      <c r="L128" s="52"/>
      <c r="M128" s="148"/>
      <c r="N128" s="52"/>
      <c r="O128" s="148"/>
      <c r="P128" s="52"/>
      <c r="Q128" s="155"/>
      <c r="R128" s="47"/>
      <c r="S128" s="47"/>
      <c r="T128" s="47"/>
      <c r="U128" s="47"/>
      <c r="V128" s="47"/>
      <c r="X128" s="47"/>
      <c r="Y128" s="47"/>
      <c r="Z128" s="47"/>
      <c r="AA128" s="52"/>
      <c r="AB128" s="52"/>
      <c r="AC128" s="52"/>
      <c r="AD128" s="52"/>
      <c r="AE128" s="52"/>
      <c r="AF128" s="47"/>
      <c r="AG128" s="115"/>
      <c r="AH128" s="122"/>
      <c r="AI128" s="125"/>
      <c r="AJ128" s="46"/>
      <c r="AK128" s="46"/>
      <c r="AL128" s="47"/>
      <c r="AM128" s="47"/>
      <c r="AO128" s="109"/>
      <c r="AP128" s="73"/>
      <c r="AQ128" s="46"/>
    </row>
    <row r="129" spans="2:43" s="25" customFormat="1" ht="25.2" customHeight="1" x14ac:dyDescent="0.15">
      <c r="B129" s="47"/>
      <c r="C129" s="47"/>
      <c r="D129" s="47"/>
      <c r="E129" s="47"/>
      <c r="F129" s="47"/>
      <c r="G129" s="47"/>
      <c r="H129" s="46"/>
      <c r="I129" s="111"/>
      <c r="J129" s="52"/>
      <c r="K129" s="148"/>
      <c r="L129" s="52"/>
      <c r="M129" s="148"/>
      <c r="N129" s="52"/>
      <c r="O129" s="148"/>
      <c r="P129" s="52"/>
      <c r="Q129" s="155"/>
      <c r="R129" s="47"/>
      <c r="S129" s="47"/>
      <c r="T129" s="47"/>
      <c r="U129" s="47"/>
      <c r="V129" s="47"/>
      <c r="X129" s="47"/>
      <c r="Y129" s="47"/>
      <c r="Z129" s="47"/>
      <c r="AA129" s="52"/>
      <c r="AB129" s="52"/>
      <c r="AC129" s="52"/>
      <c r="AD129" s="52"/>
      <c r="AE129" s="52"/>
      <c r="AF129" s="47"/>
      <c r="AG129" s="115"/>
      <c r="AH129" s="122"/>
      <c r="AI129" s="125"/>
      <c r="AJ129" s="46"/>
      <c r="AK129" s="46"/>
      <c r="AL129" s="47"/>
      <c r="AM129" s="47"/>
      <c r="AO129" s="109"/>
      <c r="AP129" s="73"/>
      <c r="AQ129" s="46"/>
    </row>
    <row r="130" spans="2:43" s="25" customFormat="1" ht="25.2" customHeight="1" x14ac:dyDescent="0.15">
      <c r="B130" s="47"/>
      <c r="C130" s="47"/>
      <c r="D130" s="47"/>
      <c r="E130" s="47"/>
      <c r="F130" s="47"/>
      <c r="G130" s="47"/>
      <c r="H130" s="46"/>
      <c r="I130" s="111"/>
      <c r="J130" s="52"/>
      <c r="K130" s="148"/>
      <c r="L130" s="52"/>
      <c r="M130" s="148"/>
      <c r="N130" s="52"/>
      <c r="O130" s="148"/>
      <c r="P130" s="52"/>
      <c r="Q130" s="155"/>
      <c r="R130" s="47"/>
      <c r="S130" s="47"/>
      <c r="T130" s="47"/>
      <c r="U130" s="47"/>
      <c r="V130" s="47"/>
      <c r="X130" s="47"/>
      <c r="Y130" s="47"/>
      <c r="Z130" s="47"/>
      <c r="AA130" s="52"/>
      <c r="AB130" s="52"/>
      <c r="AC130" s="52"/>
      <c r="AD130" s="52"/>
      <c r="AE130" s="52"/>
      <c r="AF130" s="47"/>
      <c r="AG130" s="115"/>
      <c r="AH130" s="122"/>
      <c r="AI130" s="125"/>
      <c r="AJ130" s="46"/>
      <c r="AK130" s="46"/>
      <c r="AL130" s="47"/>
      <c r="AM130" s="47"/>
      <c r="AO130" s="109"/>
      <c r="AP130" s="73"/>
      <c r="AQ130" s="46"/>
    </row>
    <row r="131" spans="2:43" s="25" customFormat="1" ht="25.2" customHeight="1" x14ac:dyDescent="0.15">
      <c r="B131" s="47"/>
      <c r="C131" s="47"/>
      <c r="D131" s="47"/>
      <c r="E131" s="47"/>
      <c r="F131" s="47"/>
      <c r="G131" s="47"/>
      <c r="H131" s="46"/>
      <c r="I131" s="111"/>
      <c r="J131" s="52"/>
      <c r="K131" s="148"/>
      <c r="L131" s="52"/>
      <c r="M131" s="148"/>
      <c r="N131" s="52"/>
      <c r="O131" s="148"/>
      <c r="P131" s="52"/>
      <c r="Q131" s="155"/>
      <c r="R131" s="47"/>
      <c r="S131" s="47"/>
      <c r="T131" s="47"/>
      <c r="U131" s="47"/>
      <c r="V131" s="47"/>
      <c r="X131" s="47"/>
      <c r="Y131" s="47"/>
      <c r="Z131" s="47"/>
      <c r="AA131" s="52"/>
      <c r="AB131" s="52"/>
      <c r="AC131" s="52"/>
      <c r="AD131" s="52"/>
      <c r="AE131" s="52"/>
      <c r="AF131" s="47"/>
      <c r="AG131" s="115"/>
      <c r="AH131" s="122"/>
      <c r="AI131" s="125"/>
      <c r="AJ131" s="46"/>
      <c r="AK131" s="46"/>
      <c r="AL131" s="47"/>
      <c r="AM131" s="47"/>
      <c r="AO131" s="109"/>
      <c r="AP131" s="73"/>
      <c r="AQ131" s="46"/>
    </row>
    <row r="132" spans="2:43" s="25" customFormat="1" ht="25.2" customHeight="1" x14ac:dyDescent="0.15">
      <c r="B132" s="47"/>
      <c r="C132" s="47"/>
      <c r="D132" s="47"/>
      <c r="E132" s="47"/>
      <c r="F132" s="47"/>
      <c r="G132" s="47"/>
      <c r="H132" s="46"/>
      <c r="I132" s="111"/>
      <c r="J132" s="52"/>
      <c r="K132" s="148"/>
      <c r="L132" s="52"/>
      <c r="M132" s="148"/>
      <c r="N132" s="52"/>
      <c r="O132" s="148"/>
      <c r="P132" s="52"/>
      <c r="Q132" s="155"/>
      <c r="R132" s="47"/>
      <c r="S132" s="47"/>
      <c r="T132" s="47"/>
      <c r="U132" s="47"/>
      <c r="V132" s="47"/>
      <c r="X132" s="47"/>
      <c r="Y132" s="47"/>
      <c r="Z132" s="47"/>
      <c r="AA132" s="52"/>
      <c r="AB132" s="52"/>
      <c r="AC132" s="52"/>
      <c r="AD132" s="52"/>
      <c r="AE132" s="52"/>
      <c r="AF132" s="47"/>
      <c r="AG132" s="115"/>
      <c r="AH132" s="122"/>
      <c r="AI132" s="125"/>
      <c r="AJ132" s="46"/>
      <c r="AK132" s="46"/>
      <c r="AL132" s="47"/>
      <c r="AM132" s="47"/>
      <c r="AO132" s="109"/>
      <c r="AP132" s="73"/>
      <c r="AQ132" s="46"/>
    </row>
    <row r="133" spans="2:43" s="25" customFormat="1" ht="25.2" customHeight="1" x14ac:dyDescent="0.15">
      <c r="B133" s="47"/>
      <c r="C133" s="47"/>
      <c r="D133" s="47"/>
      <c r="E133" s="47"/>
      <c r="F133" s="47"/>
      <c r="G133" s="47"/>
      <c r="H133" s="46"/>
      <c r="I133" s="111"/>
      <c r="J133" s="52"/>
      <c r="K133" s="148"/>
      <c r="L133" s="52"/>
      <c r="M133" s="148"/>
      <c r="N133" s="52"/>
      <c r="O133" s="148"/>
      <c r="P133" s="52"/>
      <c r="Q133" s="155"/>
      <c r="R133" s="47"/>
      <c r="S133" s="47"/>
      <c r="T133" s="47"/>
      <c r="U133" s="47"/>
      <c r="V133" s="47"/>
      <c r="X133" s="47"/>
      <c r="Y133" s="47"/>
      <c r="Z133" s="47"/>
      <c r="AA133" s="52"/>
      <c r="AB133" s="52"/>
      <c r="AC133" s="52"/>
      <c r="AD133" s="52"/>
      <c r="AE133" s="52"/>
      <c r="AF133" s="47"/>
      <c r="AG133" s="115"/>
      <c r="AH133" s="122"/>
      <c r="AI133" s="125"/>
      <c r="AJ133" s="46"/>
      <c r="AK133" s="46"/>
      <c r="AL133" s="47"/>
      <c r="AM133" s="47"/>
      <c r="AO133" s="109"/>
      <c r="AP133" s="73"/>
      <c r="AQ133" s="46"/>
    </row>
    <row r="134" spans="2:43" s="25" customFormat="1" ht="25.2" customHeight="1" x14ac:dyDescent="0.15">
      <c r="B134" s="47"/>
      <c r="C134" s="47"/>
      <c r="D134" s="47"/>
      <c r="E134" s="47"/>
      <c r="F134" s="47"/>
      <c r="G134" s="47"/>
      <c r="H134" s="46"/>
      <c r="I134" s="111"/>
      <c r="J134" s="52"/>
      <c r="K134" s="148"/>
      <c r="L134" s="52"/>
      <c r="M134" s="148"/>
      <c r="N134" s="52"/>
      <c r="O134" s="148"/>
      <c r="P134" s="52"/>
      <c r="Q134" s="155"/>
      <c r="R134" s="47"/>
      <c r="S134" s="47"/>
      <c r="T134" s="47"/>
      <c r="U134" s="47"/>
      <c r="V134" s="47"/>
      <c r="X134" s="47"/>
      <c r="Y134" s="47"/>
      <c r="Z134" s="47"/>
      <c r="AA134" s="52"/>
      <c r="AB134" s="52"/>
      <c r="AC134" s="52"/>
      <c r="AD134" s="52"/>
      <c r="AE134" s="52"/>
      <c r="AF134" s="47"/>
      <c r="AG134" s="115"/>
      <c r="AH134" s="122"/>
      <c r="AI134" s="125"/>
      <c r="AJ134" s="46"/>
      <c r="AK134" s="46"/>
      <c r="AL134" s="47"/>
      <c r="AM134" s="47"/>
      <c r="AO134" s="109"/>
      <c r="AP134" s="73"/>
      <c r="AQ134" s="46"/>
    </row>
    <row r="135" spans="2:43" s="25" customFormat="1" ht="25.2" customHeight="1" x14ac:dyDescent="0.15">
      <c r="B135" s="47"/>
      <c r="C135" s="47"/>
      <c r="D135" s="47"/>
      <c r="E135" s="47"/>
      <c r="F135" s="47"/>
      <c r="G135" s="47"/>
      <c r="H135" s="46"/>
      <c r="I135" s="111"/>
      <c r="J135" s="52"/>
      <c r="K135" s="148"/>
      <c r="L135" s="52"/>
      <c r="M135" s="148"/>
      <c r="N135" s="52"/>
      <c r="O135" s="148"/>
      <c r="P135" s="52"/>
      <c r="Q135" s="155"/>
      <c r="R135" s="47"/>
      <c r="S135" s="47"/>
      <c r="T135" s="47"/>
      <c r="U135" s="47"/>
      <c r="V135" s="47"/>
      <c r="X135" s="47"/>
      <c r="Y135" s="47"/>
      <c r="Z135" s="47"/>
      <c r="AA135" s="52"/>
      <c r="AB135" s="52"/>
      <c r="AC135" s="52"/>
      <c r="AD135" s="52"/>
      <c r="AE135" s="52"/>
      <c r="AF135" s="47"/>
      <c r="AG135" s="115"/>
      <c r="AH135" s="122"/>
      <c r="AI135" s="125"/>
      <c r="AJ135" s="46"/>
      <c r="AK135" s="46"/>
      <c r="AL135" s="47"/>
      <c r="AM135" s="47"/>
      <c r="AO135" s="109"/>
      <c r="AP135" s="73"/>
      <c r="AQ135" s="46"/>
    </row>
    <row r="136" spans="2:43" s="25" customFormat="1" ht="25.2" customHeight="1" x14ac:dyDescent="0.15">
      <c r="B136" s="47"/>
      <c r="C136" s="47"/>
      <c r="D136" s="47"/>
      <c r="E136" s="47"/>
      <c r="F136" s="47"/>
      <c r="G136" s="47"/>
      <c r="H136" s="46"/>
      <c r="I136" s="111"/>
      <c r="J136" s="52"/>
      <c r="K136" s="148"/>
      <c r="L136" s="52"/>
      <c r="M136" s="148"/>
      <c r="N136" s="52"/>
      <c r="O136" s="148"/>
      <c r="P136" s="52"/>
      <c r="Q136" s="155"/>
      <c r="R136" s="47"/>
      <c r="S136" s="47"/>
      <c r="T136" s="47"/>
      <c r="U136" s="47"/>
      <c r="V136" s="47"/>
      <c r="X136" s="47"/>
      <c r="Y136" s="47"/>
      <c r="Z136" s="47"/>
      <c r="AA136" s="52"/>
      <c r="AB136" s="52"/>
      <c r="AC136" s="52"/>
      <c r="AD136" s="52"/>
      <c r="AE136" s="52"/>
      <c r="AF136" s="47"/>
      <c r="AG136" s="115"/>
      <c r="AH136" s="122"/>
      <c r="AI136" s="125"/>
      <c r="AJ136" s="46"/>
      <c r="AK136" s="46"/>
      <c r="AL136" s="47"/>
      <c r="AM136" s="47"/>
      <c r="AO136" s="109"/>
      <c r="AP136" s="73"/>
      <c r="AQ136" s="46"/>
    </row>
    <row r="137" spans="2:43" s="25" customFormat="1" ht="25.2" customHeight="1" x14ac:dyDescent="0.15">
      <c r="B137" s="47"/>
      <c r="C137" s="47"/>
      <c r="D137" s="47"/>
      <c r="E137" s="47"/>
      <c r="F137" s="47"/>
      <c r="G137" s="47"/>
      <c r="H137" s="46"/>
      <c r="I137" s="111"/>
      <c r="J137" s="52"/>
      <c r="K137" s="148"/>
      <c r="L137" s="52"/>
      <c r="M137" s="148"/>
      <c r="N137" s="52"/>
      <c r="O137" s="148"/>
      <c r="P137" s="52"/>
      <c r="Q137" s="155"/>
      <c r="R137" s="47"/>
      <c r="S137" s="47"/>
      <c r="T137" s="47"/>
      <c r="U137" s="47"/>
      <c r="V137" s="47"/>
      <c r="X137" s="47"/>
      <c r="Y137" s="47"/>
      <c r="Z137" s="47"/>
      <c r="AA137" s="52"/>
      <c r="AB137" s="52"/>
      <c r="AC137" s="52"/>
      <c r="AD137" s="52"/>
      <c r="AE137" s="52"/>
      <c r="AF137" s="47"/>
      <c r="AG137" s="115"/>
      <c r="AH137" s="122"/>
      <c r="AI137" s="125"/>
      <c r="AJ137" s="46"/>
      <c r="AK137" s="46"/>
      <c r="AL137" s="47"/>
      <c r="AM137" s="47"/>
      <c r="AO137" s="109"/>
      <c r="AP137" s="73"/>
      <c r="AQ137" s="46"/>
    </row>
    <row r="138" spans="2:43" s="25" customFormat="1" ht="25.2" customHeight="1" x14ac:dyDescent="0.15">
      <c r="B138" s="47"/>
      <c r="C138" s="47"/>
      <c r="D138" s="47"/>
      <c r="E138" s="47"/>
      <c r="F138" s="47"/>
      <c r="G138" s="47"/>
      <c r="H138" s="46"/>
      <c r="I138" s="111"/>
      <c r="J138" s="52"/>
      <c r="K138" s="148"/>
      <c r="L138" s="52"/>
      <c r="M138" s="148"/>
      <c r="N138" s="52"/>
      <c r="O138" s="148"/>
      <c r="P138" s="52"/>
      <c r="Q138" s="155"/>
      <c r="R138" s="47"/>
      <c r="S138" s="47"/>
      <c r="T138" s="47"/>
      <c r="U138" s="47"/>
      <c r="V138" s="47"/>
      <c r="X138" s="47"/>
      <c r="Y138" s="47"/>
      <c r="Z138" s="47"/>
      <c r="AA138" s="52"/>
      <c r="AB138" s="52"/>
      <c r="AC138" s="52"/>
      <c r="AD138" s="52"/>
      <c r="AE138" s="52"/>
      <c r="AF138" s="47"/>
      <c r="AG138" s="115"/>
      <c r="AH138" s="122"/>
      <c r="AI138" s="125"/>
      <c r="AJ138" s="46"/>
      <c r="AK138" s="46"/>
      <c r="AL138" s="47"/>
      <c r="AM138" s="47"/>
      <c r="AO138" s="109"/>
      <c r="AP138" s="73"/>
      <c r="AQ138" s="46"/>
    </row>
    <row r="139" spans="2:43" s="25" customFormat="1" ht="25.2" customHeight="1" x14ac:dyDescent="0.15">
      <c r="B139" s="47"/>
      <c r="C139" s="47"/>
      <c r="D139" s="47"/>
      <c r="E139" s="47"/>
      <c r="F139" s="47"/>
      <c r="G139" s="47"/>
      <c r="H139" s="46"/>
      <c r="I139" s="111"/>
      <c r="J139" s="52"/>
      <c r="K139" s="148"/>
      <c r="L139" s="52"/>
      <c r="M139" s="148"/>
      <c r="N139" s="52"/>
      <c r="O139" s="148"/>
      <c r="P139" s="52"/>
      <c r="Q139" s="155"/>
      <c r="R139" s="47"/>
      <c r="S139" s="47"/>
      <c r="T139" s="47"/>
      <c r="U139" s="47"/>
      <c r="V139" s="47"/>
      <c r="X139" s="47"/>
      <c r="Y139" s="47"/>
      <c r="Z139" s="47"/>
      <c r="AA139" s="52"/>
      <c r="AB139" s="52"/>
      <c r="AC139" s="52"/>
      <c r="AD139" s="52"/>
      <c r="AE139" s="52"/>
      <c r="AF139" s="47"/>
      <c r="AG139" s="115"/>
      <c r="AH139" s="122"/>
      <c r="AI139" s="125"/>
      <c r="AJ139" s="46"/>
      <c r="AK139" s="46"/>
      <c r="AL139" s="47"/>
      <c r="AM139" s="47"/>
      <c r="AO139" s="109"/>
      <c r="AP139" s="73"/>
      <c r="AQ139" s="46"/>
    </row>
    <row r="140" spans="2:43" s="25" customFormat="1" ht="25.2" customHeight="1" x14ac:dyDescent="0.15">
      <c r="B140" s="47"/>
      <c r="C140" s="47"/>
      <c r="D140" s="47"/>
      <c r="E140" s="47"/>
      <c r="F140" s="47"/>
      <c r="G140" s="47"/>
      <c r="H140" s="46"/>
      <c r="I140" s="111"/>
      <c r="J140" s="52"/>
      <c r="K140" s="148"/>
      <c r="L140" s="52"/>
      <c r="M140" s="148"/>
      <c r="N140" s="52"/>
      <c r="O140" s="148"/>
      <c r="P140" s="52"/>
      <c r="Q140" s="155"/>
      <c r="R140" s="47"/>
      <c r="S140" s="47"/>
      <c r="T140" s="47"/>
      <c r="U140" s="47"/>
      <c r="V140" s="47"/>
      <c r="X140" s="47"/>
      <c r="Y140" s="47"/>
      <c r="Z140" s="47"/>
      <c r="AA140" s="52"/>
      <c r="AB140" s="52"/>
      <c r="AC140" s="52"/>
      <c r="AD140" s="52"/>
      <c r="AE140" s="52"/>
      <c r="AF140" s="47"/>
      <c r="AG140" s="115"/>
      <c r="AH140" s="122"/>
      <c r="AI140" s="125"/>
      <c r="AJ140" s="46"/>
      <c r="AK140" s="46"/>
      <c r="AL140" s="47"/>
      <c r="AM140" s="47"/>
      <c r="AO140" s="109"/>
      <c r="AP140" s="73"/>
      <c r="AQ140" s="46"/>
    </row>
    <row r="141" spans="2:43" s="25" customFormat="1" ht="25.2" customHeight="1" x14ac:dyDescent="0.15">
      <c r="B141" s="47"/>
      <c r="C141" s="47"/>
      <c r="D141" s="47"/>
      <c r="E141" s="47"/>
      <c r="F141" s="47"/>
      <c r="G141" s="47"/>
      <c r="H141" s="46"/>
      <c r="I141" s="111"/>
      <c r="J141" s="52"/>
      <c r="K141" s="148"/>
      <c r="L141" s="52"/>
      <c r="M141" s="148"/>
      <c r="N141" s="52"/>
      <c r="O141" s="148"/>
      <c r="P141" s="52"/>
      <c r="Q141" s="155"/>
      <c r="R141" s="47"/>
      <c r="S141" s="47"/>
      <c r="T141" s="47"/>
      <c r="U141" s="47"/>
      <c r="V141" s="47"/>
      <c r="X141" s="47"/>
      <c r="Y141" s="47"/>
      <c r="Z141" s="47"/>
      <c r="AA141" s="52"/>
      <c r="AB141" s="52"/>
      <c r="AC141" s="52"/>
      <c r="AD141" s="52"/>
      <c r="AE141" s="52"/>
      <c r="AF141" s="47"/>
      <c r="AG141" s="115"/>
      <c r="AH141" s="122"/>
      <c r="AI141" s="125"/>
      <c r="AJ141" s="46"/>
      <c r="AK141" s="46"/>
      <c r="AL141" s="47"/>
      <c r="AM141" s="47"/>
      <c r="AO141" s="109"/>
      <c r="AP141" s="73"/>
      <c r="AQ141" s="46"/>
    </row>
    <row r="142" spans="2:43" ht="12.75" customHeight="1" x14ac:dyDescent="0.15">
      <c r="B142" s="40"/>
      <c r="C142" s="40"/>
      <c r="D142" s="40"/>
      <c r="E142" s="40"/>
      <c r="F142" s="40"/>
      <c r="G142" s="40"/>
      <c r="H142" s="53"/>
      <c r="R142" s="40"/>
      <c r="S142" s="40"/>
      <c r="T142" s="40"/>
      <c r="U142" s="40"/>
      <c r="V142" s="40"/>
      <c r="X142" s="40"/>
      <c r="Y142" s="40"/>
      <c r="Z142" s="40"/>
      <c r="AA142" s="41"/>
      <c r="AB142" s="41"/>
      <c r="AC142" s="41"/>
      <c r="AD142" s="41"/>
      <c r="AE142" s="41"/>
      <c r="AF142" s="40"/>
      <c r="AG142" s="40"/>
      <c r="AH142" s="5"/>
      <c r="AI142" s="5"/>
      <c r="AJ142" s="40"/>
      <c r="AK142" s="40"/>
      <c r="AL142" s="40"/>
      <c r="AM142" s="40"/>
      <c r="AO142" s="40"/>
      <c r="AQ142" s="40"/>
    </row>
    <row r="143" spans="2:43" ht="12.75" customHeight="1" x14ac:dyDescent="0.15">
      <c r="B143" s="40"/>
      <c r="C143" s="40"/>
      <c r="D143" s="40"/>
      <c r="E143" s="40"/>
      <c r="F143" s="40"/>
      <c r="G143" s="40"/>
      <c r="H143" s="53"/>
      <c r="R143" s="40"/>
      <c r="S143" s="40"/>
      <c r="T143" s="40"/>
      <c r="U143" s="40"/>
      <c r="V143" s="40"/>
      <c r="X143" s="40"/>
      <c r="Y143" s="40"/>
      <c r="Z143" s="40"/>
      <c r="AA143" s="41"/>
      <c r="AB143" s="41"/>
      <c r="AC143" s="41"/>
      <c r="AD143" s="41"/>
      <c r="AE143" s="41"/>
      <c r="AF143" s="40"/>
      <c r="AG143" s="40"/>
      <c r="AH143" s="5"/>
      <c r="AI143" s="5"/>
      <c r="AJ143" s="40"/>
      <c r="AK143" s="40"/>
      <c r="AL143" s="40"/>
      <c r="AM143" s="40"/>
      <c r="AO143" s="40"/>
      <c r="AQ143" s="40"/>
    </row>
    <row r="144" spans="2:43" ht="12.75" customHeight="1" x14ac:dyDescent="0.15">
      <c r="B144" s="40"/>
      <c r="C144" s="40"/>
      <c r="D144" s="40"/>
      <c r="E144" s="40"/>
      <c r="F144" s="40"/>
      <c r="G144" s="40"/>
      <c r="H144" s="53"/>
      <c r="R144" s="40"/>
      <c r="S144" s="40"/>
      <c r="T144" s="40"/>
      <c r="U144" s="40"/>
      <c r="V144" s="40"/>
      <c r="X144" s="40"/>
      <c r="Y144" s="40"/>
      <c r="Z144" s="40"/>
      <c r="AA144" s="41"/>
      <c r="AB144" s="41"/>
      <c r="AC144" s="41"/>
      <c r="AD144" s="41"/>
      <c r="AE144" s="41"/>
      <c r="AF144" s="40"/>
      <c r="AG144" s="40"/>
      <c r="AH144" s="5"/>
      <c r="AI144" s="5"/>
      <c r="AJ144" s="40"/>
      <c r="AK144" s="40"/>
      <c r="AL144" s="40"/>
      <c r="AM144" s="40"/>
      <c r="AO144" s="40"/>
      <c r="AQ144" s="40"/>
    </row>
    <row r="145" spans="2:43" ht="12.75" customHeight="1" x14ac:dyDescent="0.15">
      <c r="B145" s="40"/>
      <c r="C145" s="40"/>
      <c r="D145" s="40"/>
      <c r="E145" s="40"/>
      <c r="F145" s="40"/>
      <c r="G145" s="40"/>
      <c r="H145" s="53"/>
      <c r="R145" s="40"/>
      <c r="S145" s="40"/>
      <c r="T145" s="40"/>
      <c r="U145" s="40"/>
      <c r="V145" s="40"/>
      <c r="X145" s="40"/>
      <c r="Y145" s="40"/>
      <c r="Z145" s="40"/>
      <c r="AA145" s="41"/>
      <c r="AB145" s="41"/>
      <c r="AC145" s="41"/>
      <c r="AD145" s="41"/>
      <c r="AE145" s="41"/>
      <c r="AF145" s="40"/>
      <c r="AG145" s="40"/>
      <c r="AH145" s="5"/>
      <c r="AI145" s="5"/>
      <c r="AJ145" s="40"/>
      <c r="AK145" s="40"/>
      <c r="AL145" s="40"/>
      <c r="AM145" s="40"/>
      <c r="AO145" s="40"/>
      <c r="AQ145" s="40"/>
    </row>
    <row r="146" spans="2:43" ht="12.75" customHeight="1" x14ac:dyDescent="0.15">
      <c r="B146" s="40"/>
      <c r="C146" s="40"/>
      <c r="D146" s="40"/>
      <c r="E146" s="40"/>
      <c r="F146" s="40"/>
      <c r="G146" s="40"/>
      <c r="H146" s="53"/>
      <c r="R146" s="40"/>
      <c r="S146" s="40"/>
      <c r="T146" s="40"/>
      <c r="U146" s="40"/>
      <c r="V146" s="40"/>
      <c r="X146" s="40"/>
      <c r="Y146" s="40"/>
      <c r="Z146" s="40"/>
      <c r="AA146" s="41"/>
      <c r="AB146" s="41"/>
      <c r="AC146" s="41"/>
      <c r="AD146" s="41"/>
      <c r="AE146" s="41"/>
      <c r="AF146" s="40"/>
      <c r="AG146" s="40"/>
      <c r="AH146" s="5"/>
      <c r="AI146" s="5"/>
      <c r="AJ146" s="40"/>
      <c r="AK146" s="40"/>
      <c r="AL146" s="40"/>
      <c r="AM146" s="40"/>
      <c r="AO146" s="40"/>
      <c r="AQ146" s="40"/>
    </row>
    <row r="147" spans="2:43" ht="12.75" customHeight="1" x14ac:dyDescent="0.15">
      <c r="B147" s="40"/>
      <c r="C147" s="40"/>
      <c r="D147" s="40"/>
      <c r="E147" s="40"/>
      <c r="F147" s="40"/>
      <c r="G147" s="40"/>
      <c r="H147" s="53"/>
      <c r="R147" s="40"/>
      <c r="S147" s="40"/>
      <c r="T147" s="40"/>
      <c r="U147" s="40"/>
      <c r="V147" s="40"/>
      <c r="X147" s="40"/>
      <c r="Y147" s="40"/>
      <c r="Z147" s="40"/>
      <c r="AA147" s="41"/>
      <c r="AB147" s="41"/>
      <c r="AC147" s="41"/>
      <c r="AD147" s="41"/>
      <c r="AE147" s="41"/>
      <c r="AF147" s="40"/>
      <c r="AG147" s="40"/>
      <c r="AH147" s="5"/>
      <c r="AI147" s="5"/>
      <c r="AJ147" s="40"/>
      <c r="AK147" s="40"/>
      <c r="AL147" s="40"/>
      <c r="AM147" s="40"/>
      <c r="AO147" s="40"/>
      <c r="AQ147" s="40"/>
    </row>
    <row r="148" spans="2:43" ht="12.75" customHeight="1" x14ac:dyDescent="0.15">
      <c r="B148" s="40"/>
      <c r="C148" s="40"/>
      <c r="D148" s="40"/>
      <c r="E148" s="40"/>
      <c r="F148" s="40"/>
      <c r="G148" s="40"/>
      <c r="H148" s="53"/>
      <c r="R148" s="40"/>
      <c r="S148" s="40"/>
      <c r="T148" s="40"/>
      <c r="U148" s="40"/>
      <c r="V148" s="40"/>
      <c r="X148" s="40"/>
      <c r="Y148" s="40"/>
      <c r="Z148" s="40"/>
      <c r="AA148" s="41"/>
      <c r="AB148" s="41"/>
      <c r="AC148" s="41"/>
      <c r="AD148" s="41"/>
      <c r="AE148" s="41"/>
      <c r="AF148" s="40"/>
      <c r="AG148" s="40"/>
      <c r="AH148" s="5"/>
      <c r="AI148" s="5"/>
      <c r="AJ148" s="40"/>
      <c r="AK148" s="40"/>
      <c r="AL148" s="40"/>
      <c r="AM148" s="40"/>
      <c r="AO148" s="40"/>
      <c r="AQ148" s="40"/>
    </row>
    <row r="149" spans="2:43" ht="12.75" customHeight="1" x14ac:dyDescent="0.15">
      <c r="B149" s="40"/>
      <c r="C149" s="40"/>
      <c r="D149" s="40"/>
      <c r="E149" s="40"/>
      <c r="F149" s="40"/>
      <c r="G149" s="40"/>
      <c r="H149" s="53"/>
      <c r="R149" s="40"/>
      <c r="S149" s="40"/>
      <c r="T149" s="40"/>
      <c r="U149" s="40"/>
      <c r="V149" s="40"/>
      <c r="X149" s="40"/>
      <c r="Y149" s="40"/>
      <c r="Z149" s="40"/>
      <c r="AA149" s="41"/>
      <c r="AB149" s="41"/>
      <c r="AC149" s="41"/>
      <c r="AD149" s="41"/>
      <c r="AE149" s="41"/>
      <c r="AF149" s="40"/>
      <c r="AG149" s="40"/>
      <c r="AH149" s="5"/>
      <c r="AI149" s="5"/>
      <c r="AJ149" s="40"/>
      <c r="AK149" s="40"/>
      <c r="AL149" s="40"/>
      <c r="AM149" s="40"/>
      <c r="AO149" s="40"/>
      <c r="AQ149" s="40"/>
    </row>
    <row r="150" spans="2:43" ht="12.75" customHeight="1" x14ac:dyDescent="0.15">
      <c r="B150" s="40"/>
      <c r="C150" s="40"/>
      <c r="D150" s="40"/>
      <c r="E150" s="40"/>
      <c r="F150" s="40"/>
      <c r="G150" s="40"/>
      <c r="H150" s="53"/>
      <c r="R150" s="40"/>
      <c r="S150" s="40"/>
      <c r="T150" s="40"/>
      <c r="U150" s="40"/>
      <c r="V150" s="40"/>
      <c r="X150" s="40"/>
      <c r="Y150" s="40"/>
      <c r="Z150" s="40"/>
      <c r="AA150" s="41"/>
      <c r="AB150" s="41"/>
      <c r="AC150" s="41"/>
      <c r="AD150" s="41"/>
      <c r="AE150" s="41"/>
      <c r="AF150" s="40"/>
      <c r="AG150" s="40"/>
      <c r="AH150" s="5"/>
      <c r="AI150" s="5"/>
      <c r="AJ150" s="40"/>
      <c r="AK150" s="40"/>
      <c r="AL150" s="40"/>
      <c r="AM150" s="40"/>
      <c r="AO150" s="40"/>
      <c r="AQ150" s="40"/>
    </row>
    <row r="151" spans="2:43" ht="12.75" customHeight="1" x14ac:dyDescent="0.15">
      <c r="B151" s="40"/>
      <c r="C151" s="40"/>
      <c r="D151" s="40"/>
      <c r="E151" s="40"/>
      <c r="F151" s="40"/>
      <c r="G151" s="40"/>
      <c r="H151" s="53"/>
      <c r="R151" s="40"/>
      <c r="S151" s="40"/>
      <c r="T151" s="40"/>
      <c r="U151" s="40"/>
      <c r="V151" s="40"/>
      <c r="X151" s="40"/>
      <c r="Y151" s="40"/>
      <c r="Z151" s="40"/>
      <c r="AA151" s="41"/>
      <c r="AB151" s="41"/>
      <c r="AC151" s="41"/>
      <c r="AD151" s="41"/>
      <c r="AE151" s="41"/>
      <c r="AF151" s="40"/>
      <c r="AG151" s="40"/>
      <c r="AH151" s="5"/>
      <c r="AI151" s="5"/>
      <c r="AJ151" s="40"/>
      <c r="AK151" s="40"/>
      <c r="AL151" s="40"/>
      <c r="AM151" s="40"/>
      <c r="AO151" s="40"/>
      <c r="AQ151" s="40"/>
    </row>
    <row r="152" spans="2:43" ht="12.75" customHeight="1" x14ac:dyDescent="0.15">
      <c r="B152" s="40"/>
      <c r="C152" s="40"/>
      <c r="D152" s="40"/>
      <c r="E152" s="40"/>
      <c r="F152" s="40"/>
      <c r="G152" s="40"/>
      <c r="H152" s="53"/>
      <c r="R152" s="40"/>
      <c r="S152" s="40"/>
      <c r="T152" s="40"/>
      <c r="U152" s="40"/>
      <c r="V152" s="40"/>
      <c r="X152" s="40"/>
      <c r="Y152" s="40"/>
      <c r="Z152" s="40"/>
      <c r="AA152" s="41"/>
      <c r="AB152" s="41"/>
      <c r="AC152" s="41"/>
      <c r="AD152" s="41"/>
      <c r="AE152" s="41"/>
      <c r="AF152" s="40"/>
      <c r="AG152" s="40"/>
      <c r="AH152" s="5"/>
      <c r="AI152" s="5"/>
      <c r="AJ152" s="40"/>
      <c r="AK152" s="40"/>
      <c r="AL152" s="40"/>
      <c r="AM152" s="40"/>
      <c r="AO152" s="40"/>
      <c r="AQ152" s="40"/>
    </row>
    <row r="153" spans="2:43" ht="12.75" customHeight="1" x14ac:dyDescent="0.15">
      <c r="B153" s="40"/>
      <c r="C153" s="40"/>
      <c r="D153" s="40"/>
      <c r="E153" s="40"/>
      <c r="F153" s="40"/>
      <c r="G153" s="40"/>
      <c r="H153" s="53"/>
      <c r="R153" s="40"/>
      <c r="S153" s="40"/>
      <c r="T153" s="40"/>
      <c r="U153" s="40"/>
      <c r="V153" s="40"/>
      <c r="X153" s="40"/>
      <c r="Y153" s="40"/>
      <c r="Z153" s="40"/>
      <c r="AA153" s="41"/>
      <c r="AB153" s="41"/>
      <c r="AC153" s="41"/>
      <c r="AD153" s="41"/>
      <c r="AE153" s="41"/>
      <c r="AF153" s="40"/>
      <c r="AG153" s="40"/>
      <c r="AH153" s="5"/>
      <c r="AI153" s="5"/>
      <c r="AJ153" s="40"/>
      <c r="AK153" s="40"/>
      <c r="AL153" s="40"/>
      <c r="AM153" s="40"/>
      <c r="AO153" s="40"/>
      <c r="AQ153" s="40"/>
    </row>
    <row r="154" spans="2:43" ht="12.75" customHeight="1" x14ac:dyDescent="0.15">
      <c r="B154" s="40"/>
      <c r="C154" s="40"/>
      <c r="D154" s="40"/>
      <c r="E154" s="40"/>
      <c r="F154" s="40"/>
      <c r="G154" s="40"/>
      <c r="H154" s="53"/>
      <c r="R154" s="40"/>
      <c r="S154" s="40"/>
      <c r="T154" s="40"/>
      <c r="U154" s="40"/>
      <c r="V154" s="40"/>
      <c r="X154" s="40"/>
      <c r="Y154" s="40"/>
      <c r="Z154" s="40"/>
      <c r="AA154" s="41"/>
      <c r="AB154" s="41"/>
      <c r="AC154" s="41"/>
      <c r="AD154" s="41"/>
      <c r="AE154" s="41"/>
      <c r="AF154" s="40"/>
      <c r="AG154" s="40"/>
      <c r="AH154" s="5"/>
      <c r="AI154" s="5"/>
      <c r="AJ154" s="40"/>
      <c r="AK154" s="40"/>
      <c r="AL154" s="40"/>
      <c r="AM154" s="40"/>
      <c r="AO154" s="40"/>
      <c r="AQ154" s="40"/>
    </row>
    <row r="155" spans="2:43" ht="12.75" customHeight="1" x14ac:dyDescent="0.15">
      <c r="B155" s="40"/>
      <c r="C155" s="40"/>
      <c r="D155" s="40"/>
      <c r="E155" s="40"/>
      <c r="F155" s="40"/>
      <c r="G155" s="40"/>
      <c r="H155" s="53"/>
      <c r="R155" s="40"/>
      <c r="S155" s="40"/>
      <c r="T155" s="40"/>
      <c r="U155" s="40"/>
      <c r="V155" s="40"/>
      <c r="X155" s="40"/>
      <c r="Y155" s="40"/>
      <c r="Z155" s="40"/>
      <c r="AA155" s="41"/>
      <c r="AB155" s="41"/>
      <c r="AC155" s="41"/>
      <c r="AD155" s="41"/>
      <c r="AE155" s="41"/>
      <c r="AF155" s="40"/>
      <c r="AG155" s="40"/>
      <c r="AH155" s="5"/>
      <c r="AI155" s="5"/>
      <c r="AJ155" s="40"/>
      <c r="AK155" s="40"/>
      <c r="AL155" s="40"/>
      <c r="AM155" s="40"/>
      <c r="AO155" s="40"/>
      <c r="AQ155" s="40"/>
    </row>
    <row r="156" spans="2:43" ht="12.75" customHeight="1" x14ac:dyDescent="0.15">
      <c r="B156" s="40"/>
      <c r="C156" s="40"/>
      <c r="D156" s="40"/>
      <c r="E156" s="40"/>
      <c r="F156" s="40"/>
      <c r="G156" s="40"/>
      <c r="H156" s="53"/>
      <c r="R156" s="40"/>
      <c r="S156" s="40"/>
      <c r="T156" s="40"/>
      <c r="U156" s="40"/>
      <c r="V156" s="40"/>
      <c r="X156" s="40"/>
      <c r="Y156" s="40"/>
      <c r="Z156" s="40"/>
      <c r="AA156" s="41"/>
      <c r="AB156" s="41"/>
      <c r="AC156" s="41"/>
      <c r="AD156" s="41"/>
      <c r="AE156" s="41"/>
      <c r="AF156" s="40"/>
      <c r="AG156" s="40"/>
      <c r="AH156" s="5"/>
      <c r="AI156" s="5"/>
      <c r="AJ156" s="40"/>
      <c r="AK156" s="40"/>
      <c r="AL156" s="40"/>
      <c r="AM156" s="40"/>
      <c r="AO156" s="40"/>
      <c r="AQ156" s="40"/>
    </row>
    <row r="157" spans="2:43" ht="12.75" customHeight="1" x14ac:dyDescent="0.15">
      <c r="B157" s="40"/>
      <c r="C157" s="40"/>
      <c r="D157" s="40"/>
      <c r="E157" s="40"/>
      <c r="F157" s="40"/>
      <c r="G157" s="40"/>
      <c r="H157" s="53"/>
      <c r="R157" s="40"/>
      <c r="S157" s="40"/>
      <c r="T157" s="40"/>
      <c r="U157" s="40"/>
      <c r="V157" s="40"/>
      <c r="X157" s="40"/>
      <c r="Y157" s="40"/>
      <c r="Z157" s="40"/>
      <c r="AA157" s="41"/>
      <c r="AB157" s="41"/>
      <c r="AC157" s="41"/>
      <c r="AD157" s="41"/>
      <c r="AE157" s="41"/>
      <c r="AF157" s="40"/>
      <c r="AG157" s="40"/>
      <c r="AH157" s="5"/>
      <c r="AI157" s="5"/>
      <c r="AJ157" s="40"/>
      <c r="AK157" s="40"/>
      <c r="AL157" s="40"/>
      <c r="AM157" s="40"/>
      <c r="AO157" s="40"/>
      <c r="AQ157" s="40"/>
    </row>
    <row r="158" spans="2:43" ht="12.75" customHeight="1" x14ac:dyDescent="0.15">
      <c r="B158" s="40"/>
      <c r="C158" s="40"/>
      <c r="D158" s="40"/>
      <c r="E158" s="40"/>
      <c r="F158" s="40"/>
      <c r="G158" s="40"/>
      <c r="H158" s="53"/>
      <c r="R158" s="40"/>
      <c r="S158" s="40"/>
      <c r="T158" s="40"/>
      <c r="U158" s="40"/>
      <c r="V158" s="40"/>
      <c r="X158" s="40"/>
      <c r="Y158" s="40"/>
      <c r="Z158" s="40"/>
      <c r="AA158" s="41"/>
      <c r="AB158" s="41"/>
      <c r="AC158" s="41"/>
      <c r="AD158" s="41"/>
      <c r="AE158" s="41"/>
      <c r="AF158" s="40"/>
      <c r="AG158" s="40"/>
      <c r="AH158" s="5"/>
      <c r="AI158" s="5"/>
      <c r="AJ158" s="40"/>
      <c r="AK158" s="40"/>
      <c r="AL158" s="40"/>
      <c r="AM158" s="40"/>
      <c r="AO158" s="40"/>
      <c r="AQ158" s="40"/>
    </row>
    <row r="159" spans="2:43" ht="12.75" customHeight="1" x14ac:dyDescent="0.15">
      <c r="B159" s="40"/>
      <c r="C159" s="40"/>
      <c r="D159" s="40"/>
      <c r="E159" s="40"/>
      <c r="F159" s="40"/>
      <c r="G159" s="40"/>
      <c r="H159" s="53"/>
      <c r="R159" s="40"/>
      <c r="S159" s="40"/>
      <c r="T159" s="40"/>
      <c r="U159" s="40"/>
      <c r="V159" s="40"/>
      <c r="X159" s="40"/>
      <c r="Y159" s="40"/>
      <c r="Z159" s="40"/>
      <c r="AA159" s="41"/>
      <c r="AB159" s="41"/>
      <c r="AC159" s="41"/>
      <c r="AD159" s="41"/>
      <c r="AE159" s="41"/>
      <c r="AF159" s="40"/>
      <c r="AG159" s="40"/>
      <c r="AH159" s="5"/>
      <c r="AI159" s="5"/>
      <c r="AJ159" s="40"/>
      <c r="AK159" s="40"/>
      <c r="AL159" s="40"/>
      <c r="AM159" s="40"/>
      <c r="AO159" s="40"/>
      <c r="AQ159" s="40"/>
    </row>
    <row r="160" spans="2:43" ht="12.75" customHeight="1" x14ac:dyDescent="0.15">
      <c r="B160" s="40"/>
      <c r="C160" s="40"/>
      <c r="D160" s="40"/>
      <c r="E160" s="40"/>
      <c r="F160" s="40"/>
      <c r="G160" s="40"/>
      <c r="H160" s="53"/>
      <c r="R160" s="40"/>
      <c r="S160" s="40"/>
      <c r="T160" s="40"/>
      <c r="U160" s="40"/>
      <c r="V160" s="40"/>
      <c r="X160" s="40"/>
      <c r="Y160" s="40"/>
      <c r="Z160" s="40"/>
      <c r="AA160" s="41"/>
      <c r="AB160" s="41"/>
      <c r="AC160" s="41"/>
      <c r="AD160" s="41"/>
      <c r="AE160" s="41"/>
      <c r="AF160" s="40"/>
      <c r="AG160" s="40"/>
      <c r="AH160" s="5"/>
      <c r="AI160" s="5"/>
      <c r="AJ160" s="40"/>
      <c r="AK160" s="40"/>
      <c r="AL160" s="40"/>
      <c r="AM160" s="40"/>
      <c r="AO160" s="40"/>
      <c r="AQ160" s="40"/>
    </row>
    <row r="161" spans="2:43" ht="12.75" customHeight="1" x14ac:dyDescent="0.15">
      <c r="B161" s="40"/>
      <c r="C161" s="40"/>
      <c r="D161" s="40"/>
      <c r="E161" s="40"/>
      <c r="F161" s="40"/>
      <c r="G161" s="40"/>
      <c r="H161" s="53"/>
      <c r="R161" s="40"/>
      <c r="S161" s="40"/>
      <c r="T161" s="40"/>
      <c r="U161" s="40"/>
      <c r="V161" s="40"/>
      <c r="X161" s="40"/>
      <c r="Y161" s="40"/>
      <c r="Z161" s="40"/>
      <c r="AA161" s="41"/>
      <c r="AB161" s="41"/>
      <c r="AC161" s="41"/>
      <c r="AD161" s="41"/>
      <c r="AE161" s="41"/>
      <c r="AF161" s="40"/>
      <c r="AG161" s="40"/>
      <c r="AH161" s="5"/>
      <c r="AI161" s="5"/>
      <c r="AJ161" s="40"/>
      <c r="AK161" s="40"/>
      <c r="AL161" s="40"/>
      <c r="AM161" s="40"/>
      <c r="AO161" s="40"/>
      <c r="AQ161" s="40"/>
    </row>
    <row r="162" spans="2:43" ht="12.75" customHeight="1" x14ac:dyDescent="0.15">
      <c r="B162" s="40"/>
      <c r="C162" s="40"/>
      <c r="D162" s="40"/>
      <c r="E162" s="40"/>
      <c r="F162" s="40"/>
      <c r="G162" s="40"/>
      <c r="H162" s="53"/>
      <c r="R162" s="40"/>
      <c r="S162" s="40"/>
      <c r="T162" s="40"/>
      <c r="U162" s="40"/>
      <c r="V162" s="40"/>
      <c r="X162" s="40"/>
      <c r="Y162" s="40"/>
      <c r="Z162" s="40"/>
      <c r="AA162" s="41"/>
      <c r="AB162" s="41"/>
      <c r="AC162" s="41"/>
      <c r="AD162" s="41"/>
      <c r="AE162" s="41"/>
      <c r="AF162" s="40"/>
      <c r="AG162" s="40"/>
      <c r="AH162" s="5"/>
      <c r="AI162" s="5"/>
      <c r="AJ162" s="40"/>
      <c r="AK162" s="40"/>
      <c r="AL162" s="40"/>
      <c r="AM162" s="40"/>
      <c r="AO162" s="40"/>
      <c r="AQ162" s="40"/>
    </row>
    <row r="163" spans="2:43" ht="12.75" customHeight="1" x14ac:dyDescent="0.15">
      <c r="B163" s="40"/>
      <c r="C163" s="40"/>
      <c r="D163" s="40"/>
      <c r="E163" s="40"/>
      <c r="F163" s="40"/>
      <c r="G163" s="40"/>
      <c r="H163" s="53"/>
      <c r="R163" s="40"/>
      <c r="S163" s="40"/>
      <c r="T163" s="40"/>
      <c r="U163" s="40"/>
      <c r="V163" s="40"/>
      <c r="X163" s="40"/>
      <c r="Y163" s="40"/>
      <c r="Z163" s="40"/>
      <c r="AA163" s="41"/>
      <c r="AB163" s="41"/>
      <c r="AC163" s="41"/>
      <c r="AD163" s="41"/>
      <c r="AE163" s="41"/>
      <c r="AF163" s="40"/>
      <c r="AG163" s="40"/>
      <c r="AH163" s="5"/>
      <c r="AI163" s="5"/>
      <c r="AJ163" s="40"/>
      <c r="AK163" s="40"/>
      <c r="AL163" s="40"/>
      <c r="AM163" s="40"/>
      <c r="AO163" s="40"/>
      <c r="AQ163" s="40"/>
    </row>
    <row r="164" spans="2:43" ht="12.75" customHeight="1" x14ac:dyDescent="0.15">
      <c r="B164" s="40"/>
      <c r="C164" s="40"/>
      <c r="D164" s="40"/>
      <c r="E164" s="40"/>
      <c r="F164" s="40"/>
      <c r="G164" s="40"/>
      <c r="H164" s="53"/>
      <c r="R164" s="40"/>
      <c r="S164" s="40"/>
      <c r="T164" s="40"/>
      <c r="U164" s="40"/>
      <c r="V164" s="40"/>
      <c r="X164" s="40"/>
      <c r="Y164" s="40"/>
      <c r="Z164" s="40"/>
      <c r="AA164" s="41"/>
      <c r="AB164" s="41"/>
      <c r="AC164" s="41"/>
      <c r="AD164" s="41"/>
      <c r="AE164" s="41"/>
      <c r="AF164" s="40"/>
      <c r="AG164" s="40"/>
      <c r="AH164" s="5"/>
      <c r="AI164" s="5"/>
      <c r="AJ164" s="40"/>
      <c r="AK164" s="40"/>
      <c r="AL164" s="40"/>
      <c r="AM164" s="40"/>
      <c r="AO164" s="40"/>
      <c r="AQ164" s="40"/>
    </row>
    <row r="165" spans="2:43" ht="12.75" customHeight="1" x14ac:dyDescent="0.15">
      <c r="B165" s="40"/>
      <c r="C165" s="40"/>
      <c r="D165" s="40"/>
      <c r="E165" s="40"/>
      <c r="F165" s="40"/>
      <c r="G165" s="40"/>
      <c r="H165" s="53"/>
      <c r="R165" s="40"/>
      <c r="S165" s="40"/>
      <c r="T165" s="40"/>
      <c r="U165" s="40"/>
      <c r="V165" s="40"/>
      <c r="X165" s="40"/>
      <c r="Y165" s="40"/>
      <c r="Z165" s="40"/>
      <c r="AA165" s="41"/>
      <c r="AB165" s="41"/>
      <c r="AC165" s="41"/>
      <c r="AD165" s="41"/>
      <c r="AE165" s="41"/>
      <c r="AF165" s="40"/>
      <c r="AG165" s="40"/>
      <c r="AH165" s="5"/>
      <c r="AI165" s="5"/>
      <c r="AJ165" s="40"/>
      <c r="AK165" s="40"/>
      <c r="AL165" s="40"/>
      <c r="AM165" s="40"/>
      <c r="AO165" s="40"/>
      <c r="AQ165" s="40"/>
    </row>
    <row r="166" spans="2:43" ht="12.75" customHeight="1" x14ac:dyDescent="0.15">
      <c r="B166" s="40"/>
      <c r="C166" s="40"/>
      <c r="D166" s="40"/>
      <c r="E166" s="40"/>
      <c r="F166" s="40"/>
      <c r="G166" s="40"/>
      <c r="H166" s="53"/>
      <c r="R166" s="40"/>
      <c r="S166" s="40"/>
      <c r="T166" s="40"/>
      <c r="U166" s="40"/>
      <c r="V166" s="40"/>
      <c r="X166" s="40"/>
      <c r="Y166" s="40"/>
      <c r="Z166" s="40"/>
      <c r="AA166" s="41"/>
      <c r="AB166" s="41"/>
      <c r="AC166" s="41"/>
      <c r="AD166" s="41"/>
      <c r="AE166" s="41"/>
      <c r="AF166" s="40"/>
      <c r="AG166" s="40"/>
      <c r="AH166" s="5"/>
      <c r="AI166" s="5"/>
      <c r="AJ166" s="40"/>
      <c r="AK166" s="40"/>
      <c r="AL166" s="40"/>
      <c r="AM166" s="40"/>
      <c r="AO166" s="40"/>
      <c r="AQ166" s="40"/>
    </row>
    <row r="167" spans="2:43" ht="12.75" customHeight="1" x14ac:dyDescent="0.15">
      <c r="B167" s="40"/>
      <c r="C167" s="40"/>
      <c r="D167" s="40"/>
      <c r="E167" s="40"/>
      <c r="F167" s="40"/>
      <c r="G167" s="40"/>
      <c r="H167" s="53"/>
      <c r="R167" s="40"/>
      <c r="S167" s="40"/>
      <c r="T167" s="40"/>
      <c r="U167" s="40"/>
      <c r="V167" s="40"/>
      <c r="X167" s="40"/>
      <c r="Y167" s="40"/>
      <c r="Z167" s="40"/>
      <c r="AA167" s="41"/>
      <c r="AB167" s="41"/>
      <c r="AC167" s="41"/>
      <c r="AD167" s="41"/>
      <c r="AE167" s="41"/>
      <c r="AF167" s="40"/>
      <c r="AG167" s="40"/>
      <c r="AH167" s="5"/>
      <c r="AI167" s="5"/>
      <c r="AJ167" s="40"/>
      <c r="AK167" s="40"/>
      <c r="AL167" s="40"/>
      <c r="AM167" s="40"/>
      <c r="AO167" s="40"/>
      <c r="AQ167" s="40"/>
    </row>
    <row r="168" spans="2:43" ht="12.75" customHeight="1" x14ac:dyDescent="0.15">
      <c r="B168" s="40"/>
      <c r="C168" s="40"/>
      <c r="D168" s="40"/>
      <c r="E168" s="40"/>
      <c r="F168" s="40"/>
      <c r="G168" s="40"/>
      <c r="H168" s="53"/>
      <c r="R168" s="40"/>
      <c r="S168" s="40"/>
      <c r="T168" s="40"/>
      <c r="U168" s="40"/>
      <c r="V168" s="40"/>
      <c r="X168" s="40"/>
      <c r="Y168" s="40"/>
      <c r="Z168" s="40"/>
      <c r="AA168" s="41"/>
      <c r="AB168" s="41"/>
      <c r="AC168" s="41"/>
      <c r="AD168" s="41"/>
      <c r="AE168" s="41"/>
      <c r="AF168" s="40"/>
      <c r="AG168" s="40"/>
      <c r="AH168" s="5"/>
      <c r="AI168" s="5"/>
      <c r="AJ168" s="40"/>
      <c r="AK168" s="40"/>
      <c r="AL168" s="40"/>
      <c r="AM168" s="40"/>
      <c r="AO168" s="40"/>
      <c r="AQ168" s="40"/>
    </row>
    <row r="169" spans="2:43" ht="12.75" customHeight="1" x14ac:dyDescent="0.15">
      <c r="B169" s="40"/>
      <c r="C169" s="40"/>
      <c r="D169" s="40"/>
      <c r="E169" s="40"/>
      <c r="F169" s="40"/>
      <c r="G169" s="40"/>
      <c r="H169" s="53"/>
      <c r="R169" s="40"/>
      <c r="S169" s="40"/>
      <c r="T169" s="40"/>
      <c r="U169" s="40"/>
      <c r="V169" s="40"/>
      <c r="X169" s="40"/>
      <c r="Y169" s="40"/>
      <c r="Z169" s="40"/>
      <c r="AA169" s="41"/>
      <c r="AB169" s="41"/>
      <c r="AC169" s="41"/>
      <c r="AD169" s="41"/>
      <c r="AE169" s="41"/>
      <c r="AF169" s="40"/>
      <c r="AG169" s="40"/>
      <c r="AH169" s="5"/>
      <c r="AI169" s="5"/>
      <c r="AJ169" s="40"/>
      <c r="AK169" s="40"/>
      <c r="AL169" s="40"/>
      <c r="AM169" s="40"/>
      <c r="AO169" s="40"/>
      <c r="AQ169" s="40"/>
    </row>
    <row r="170" spans="2:43" ht="12.75" customHeight="1" x14ac:dyDescent="0.15">
      <c r="B170" s="40"/>
      <c r="C170" s="40"/>
      <c r="D170" s="40"/>
      <c r="E170" s="40"/>
      <c r="F170" s="40"/>
      <c r="G170" s="40"/>
      <c r="H170" s="53"/>
      <c r="R170" s="40"/>
      <c r="S170" s="40"/>
      <c r="T170" s="40"/>
      <c r="U170" s="40"/>
      <c r="V170" s="40"/>
      <c r="X170" s="40"/>
      <c r="Y170" s="40"/>
      <c r="Z170" s="40"/>
      <c r="AA170" s="41"/>
      <c r="AB170" s="41"/>
      <c r="AC170" s="41"/>
      <c r="AD170" s="41"/>
      <c r="AE170" s="41"/>
      <c r="AF170" s="40"/>
      <c r="AG170" s="40"/>
      <c r="AH170" s="5"/>
      <c r="AI170" s="5"/>
      <c r="AJ170" s="40"/>
      <c r="AK170" s="40"/>
      <c r="AL170" s="40"/>
      <c r="AM170" s="40"/>
      <c r="AO170" s="40"/>
      <c r="AQ170" s="40"/>
    </row>
    <row r="171" spans="2:43" ht="12.75" customHeight="1" x14ac:dyDescent="0.15">
      <c r="B171" s="40"/>
      <c r="C171" s="40"/>
      <c r="D171" s="40"/>
      <c r="E171" s="40"/>
      <c r="F171" s="40"/>
      <c r="G171" s="40"/>
      <c r="H171" s="53"/>
      <c r="R171" s="40"/>
      <c r="S171" s="40"/>
      <c r="T171" s="40"/>
      <c r="U171" s="40"/>
      <c r="V171" s="40"/>
      <c r="X171" s="40"/>
      <c r="Y171" s="40"/>
      <c r="Z171" s="40"/>
      <c r="AA171" s="41"/>
      <c r="AB171" s="41"/>
      <c r="AC171" s="41"/>
      <c r="AD171" s="41"/>
      <c r="AE171" s="41"/>
      <c r="AF171" s="40"/>
      <c r="AG171" s="40"/>
      <c r="AH171" s="5"/>
      <c r="AI171" s="5"/>
      <c r="AJ171" s="40"/>
      <c r="AK171" s="40"/>
      <c r="AL171" s="40"/>
      <c r="AM171" s="40"/>
      <c r="AO171" s="40"/>
      <c r="AQ171" s="40"/>
    </row>
    <row r="172" spans="2:43" ht="12.75" customHeight="1" x14ac:dyDescent="0.15">
      <c r="B172" s="40"/>
      <c r="C172" s="40"/>
      <c r="D172" s="40"/>
      <c r="E172" s="40"/>
      <c r="F172" s="40"/>
      <c r="G172" s="40"/>
      <c r="H172" s="53"/>
      <c r="R172" s="40"/>
      <c r="S172" s="40"/>
      <c r="T172" s="40"/>
      <c r="U172" s="40"/>
      <c r="V172" s="40"/>
      <c r="X172" s="40"/>
      <c r="Y172" s="40"/>
      <c r="Z172" s="40"/>
      <c r="AA172" s="41"/>
      <c r="AB172" s="41"/>
      <c r="AC172" s="41"/>
      <c r="AD172" s="41"/>
      <c r="AE172" s="41"/>
      <c r="AF172" s="40"/>
      <c r="AG172" s="40"/>
      <c r="AH172" s="5"/>
      <c r="AI172" s="5"/>
      <c r="AJ172" s="40"/>
      <c r="AK172" s="40"/>
      <c r="AL172" s="40"/>
      <c r="AM172" s="40"/>
      <c r="AO172" s="40"/>
      <c r="AQ172" s="40"/>
    </row>
    <row r="173" spans="2:43" ht="12.75" customHeight="1" x14ac:dyDescent="0.15">
      <c r="B173" s="40"/>
      <c r="C173" s="40"/>
      <c r="D173" s="40"/>
      <c r="E173" s="40"/>
      <c r="F173" s="40"/>
      <c r="G173" s="40"/>
      <c r="H173" s="53"/>
      <c r="R173" s="40"/>
      <c r="S173" s="40"/>
      <c r="T173" s="40"/>
      <c r="U173" s="40"/>
      <c r="V173" s="40"/>
      <c r="X173" s="40"/>
      <c r="Y173" s="40"/>
      <c r="Z173" s="40"/>
      <c r="AA173" s="41"/>
      <c r="AB173" s="41"/>
      <c r="AC173" s="41"/>
      <c r="AD173" s="41"/>
      <c r="AE173" s="41"/>
      <c r="AF173" s="40"/>
      <c r="AG173" s="40"/>
      <c r="AH173" s="5"/>
      <c r="AI173" s="5"/>
      <c r="AJ173" s="40"/>
      <c r="AK173" s="40"/>
      <c r="AL173" s="40"/>
      <c r="AM173" s="40"/>
      <c r="AO173" s="40"/>
      <c r="AQ173" s="40"/>
    </row>
    <row r="174" spans="2:43" ht="12.75" customHeight="1" x14ac:dyDescent="0.15">
      <c r="B174" s="40"/>
      <c r="C174" s="40"/>
      <c r="D174" s="40"/>
      <c r="E174" s="40"/>
      <c r="F174" s="40"/>
      <c r="G174" s="40"/>
      <c r="H174" s="53"/>
      <c r="R174" s="40"/>
      <c r="S174" s="40"/>
      <c r="T174" s="40"/>
      <c r="U174" s="40"/>
      <c r="V174" s="40"/>
      <c r="X174" s="40"/>
      <c r="Y174" s="40"/>
      <c r="Z174" s="40"/>
      <c r="AA174" s="41"/>
      <c r="AB174" s="41"/>
      <c r="AC174" s="41"/>
      <c r="AD174" s="41"/>
      <c r="AE174" s="41"/>
      <c r="AF174" s="40"/>
      <c r="AG174" s="40"/>
      <c r="AH174" s="5"/>
      <c r="AI174" s="5"/>
      <c r="AJ174" s="40"/>
      <c r="AK174" s="40"/>
      <c r="AL174" s="40"/>
      <c r="AM174" s="40"/>
      <c r="AO174" s="40"/>
      <c r="AQ174" s="40"/>
    </row>
    <row r="175" spans="2:43" ht="12.75" customHeight="1" x14ac:dyDescent="0.15">
      <c r="B175" s="40"/>
      <c r="C175" s="40"/>
      <c r="D175" s="40"/>
      <c r="E175" s="40"/>
      <c r="F175" s="40"/>
      <c r="G175" s="40"/>
      <c r="H175" s="53"/>
      <c r="R175" s="40"/>
      <c r="S175" s="40"/>
      <c r="T175" s="40"/>
      <c r="U175" s="40"/>
      <c r="V175" s="40"/>
      <c r="X175" s="40"/>
      <c r="Y175" s="40"/>
      <c r="Z175" s="40"/>
      <c r="AA175" s="41"/>
      <c r="AB175" s="41"/>
      <c r="AC175" s="41"/>
      <c r="AD175" s="41"/>
      <c r="AE175" s="41"/>
      <c r="AF175" s="40"/>
      <c r="AG175" s="40"/>
      <c r="AH175" s="5"/>
      <c r="AI175" s="5"/>
      <c r="AJ175" s="40"/>
      <c r="AK175" s="40"/>
      <c r="AL175" s="40"/>
      <c r="AM175" s="40"/>
      <c r="AO175" s="40"/>
      <c r="AQ175" s="40"/>
    </row>
    <row r="176" spans="2:43" ht="12.75" customHeight="1" x14ac:dyDescent="0.15">
      <c r="B176" s="40"/>
      <c r="C176" s="40"/>
      <c r="D176" s="40"/>
      <c r="E176" s="40"/>
      <c r="F176" s="40"/>
      <c r="G176" s="40"/>
      <c r="H176" s="53"/>
      <c r="R176" s="40"/>
      <c r="S176" s="40"/>
      <c r="T176" s="40"/>
      <c r="U176" s="40"/>
      <c r="V176" s="40"/>
      <c r="X176" s="40"/>
      <c r="Y176" s="40"/>
      <c r="Z176" s="40"/>
      <c r="AA176" s="41"/>
      <c r="AB176" s="41"/>
      <c r="AC176" s="41"/>
      <c r="AD176" s="41"/>
      <c r="AE176" s="41"/>
      <c r="AF176" s="40"/>
      <c r="AG176" s="40"/>
      <c r="AH176" s="5"/>
      <c r="AI176" s="5"/>
      <c r="AJ176" s="40"/>
      <c r="AK176" s="40"/>
      <c r="AL176" s="40"/>
      <c r="AM176" s="40"/>
      <c r="AO176" s="40"/>
      <c r="AQ176" s="40"/>
    </row>
    <row r="177" spans="2:43" ht="12.75" customHeight="1" x14ac:dyDescent="0.15">
      <c r="B177" s="40"/>
      <c r="C177" s="40"/>
      <c r="D177" s="40"/>
      <c r="E177" s="40"/>
      <c r="F177" s="40"/>
      <c r="G177" s="40"/>
      <c r="H177" s="53"/>
      <c r="R177" s="40"/>
      <c r="S177" s="40"/>
      <c r="T177" s="40"/>
      <c r="U177" s="40"/>
      <c r="V177" s="40"/>
      <c r="X177" s="40"/>
      <c r="Y177" s="40"/>
      <c r="Z177" s="40"/>
      <c r="AA177" s="41"/>
      <c r="AB177" s="41"/>
      <c r="AC177" s="41"/>
      <c r="AD177" s="41"/>
      <c r="AE177" s="41"/>
      <c r="AF177" s="40"/>
      <c r="AG177" s="40"/>
      <c r="AH177" s="5"/>
      <c r="AI177" s="5"/>
      <c r="AJ177" s="40"/>
      <c r="AK177" s="40"/>
      <c r="AL177" s="40"/>
      <c r="AM177" s="40"/>
      <c r="AO177" s="40"/>
      <c r="AQ177" s="40"/>
    </row>
    <row r="178" spans="2:43" ht="12.75" customHeight="1" x14ac:dyDescent="0.15">
      <c r="B178" s="40"/>
      <c r="C178" s="40"/>
      <c r="D178" s="40"/>
      <c r="E178" s="40"/>
      <c r="F178" s="40"/>
      <c r="G178" s="40"/>
      <c r="H178" s="53"/>
      <c r="R178" s="40"/>
      <c r="S178" s="40"/>
      <c r="T178" s="40"/>
      <c r="U178" s="40"/>
      <c r="V178" s="40"/>
      <c r="X178" s="40"/>
      <c r="Y178" s="40"/>
      <c r="Z178" s="40"/>
      <c r="AA178" s="41"/>
      <c r="AB178" s="41"/>
      <c r="AC178" s="41"/>
      <c r="AD178" s="41"/>
      <c r="AE178" s="41"/>
      <c r="AF178" s="40"/>
      <c r="AG178" s="40"/>
      <c r="AH178" s="5"/>
      <c r="AI178" s="5"/>
      <c r="AJ178" s="40"/>
      <c r="AK178" s="40"/>
      <c r="AL178" s="40"/>
      <c r="AM178" s="40"/>
      <c r="AO178" s="40"/>
      <c r="AQ178" s="40"/>
    </row>
    <row r="179" spans="2:43" ht="12.75" customHeight="1" x14ac:dyDescent="0.15">
      <c r="B179" s="40"/>
      <c r="C179" s="40"/>
      <c r="D179" s="40"/>
      <c r="E179" s="40"/>
      <c r="F179" s="40"/>
      <c r="G179" s="40"/>
      <c r="H179" s="53"/>
      <c r="R179" s="40"/>
      <c r="S179" s="40"/>
      <c r="T179" s="40"/>
      <c r="U179" s="40"/>
      <c r="V179" s="40"/>
      <c r="X179" s="40"/>
      <c r="Y179" s="40"/>
      <c r="Z179" s="40"/>
      <c r="AA179" s="41"/>
      <c r="AB179" s="41"/>
      <c r="AC179" s="41"/>
      <c r="AD179" s="41"/>
      <c r="AE179" s="41"/>
      <c r="AF179" s="40"/>
      <c r="AG179" s="40"/>
      <c r="AH179" s="5"/>
      <c r="AI179" s="5"/>
      <c r="AJ179" s="40"/>
      <c r="AK179" s="40"/>
      <c r="AL179" s="40"/>
      <c r="AM179" s="40"/>
      <c r="AO179" s="40"/>
      <c r="AQ179" s="40"/>
    </row>
    <row r="180" spans="2:43" ht="12.75" customHeight="1" x14ac:dyDescent="0.15">
      <c r="B180" s="40"/>
      <c r="C180" s="40"/>
      <c r="D180" s="40"/>
      <c r="E180" s="40"/>
      <c r="F180" s="40"/>
      <c r="G180" s="40"/>
      <c r="H180" s="53"/>
      <c r="R180" s="40"/>
      <c r="S180" s="40"/>
      <c r="T180" s="40"/>
      <c r="U180" s="40"/>
      <c r="V180" s="40"/>
      <c r="X180" s="40"/>
      <c r="Y180" s="40"/>
      <c r="Z180" s="40"/>
      <c r="AA180" s="41"/>
      <c r="AB180" s="41"/>
      <c r="AC180" s="41"/>
      <c r="AD180" s="41"/>
      <c r="AE180" s="41"/>
      <c r="AF180" s="40"/>
      <c r="AG180" s="40"/>
      <c r="AH180" s="5"/>
      <c r="AI180" s="5"/>
      <c r="AJ180" s="40"/>
      <c r="AK180" s="40"/>
      <c r="AL180" s="40"/>
      <c r="AM180" s="40"/>
      <c r="AO180" s="40"/>
      <c r="AQ180" s="40"/>
    </row>
    <row r="181" spans="2:43" ht="12.75" customHeight="1" x14ac:dyDescent="0.15">
      <c r="B181" s="40"/>
      <c r="C181" s="40"/>
      <c r="D181" s="40"/>
      <c r="E181" s="40"/>
      <c r="F181" s="40"/>
      <c r="G181" s="40"/>
      <c r="H181" s="53"/>
      <c r="R181" s="40"/>
      <c r="S181" s="40"/>
      <c r="T181" s="40"/>
      <c r="U181" s="40"/>
      <c r="V181" s="40"/>
      <c r="X181" s="40"/>
      <c r="Y181" s="40"/>
      <c r="Z181" s="40"/>
      <c r="AA181" s="41"/>
      <c r="AB181" s="41"/>
      <c r="AC181" s="41"/>
      <c r="AD181" s="41"/>
      <c r="AE181" s="41"/>
      <c r="AF181" s="40"/>
      <c r="AG181" s="40"/>
      <c r="AH181" s="5"/>
      <c r="AI181" s="5"/>
      <c r="AJ181" s="40"/>
      <c r="AK181" s="40"/>
      <c r="AL181" s="40"/>
      <c r="AM181" s="40"/>
      <c r="AO181" s="40"/>
      <c r="AQ181" s="40"/>
    </row>
    <row r="182" spans="2:43" ht="12.75" customHeight="1" x14ac:dyDescent="0.15">
      <c r="B182" s="40"/>
      <c r="C182" s="40"/>
      <c r="D182" s="40"/>
      <c r="E182" s="40"/>
      <c r="F182" s="40"/>
      <c r="G182" s="40"/>
      <c r="H182" s="53"/>
      <c r="R182" s="40"/>
      <c r="S182" s="40"/>
      <c r="T182" s="40"/>
      <c r="U182" s="40"/>
      <c r="V182" s="40"/>
      <c r="X182" s="40"/>
      <c r="Y182" s="40"/>
      <c r="Z182" s="40"/>
      <c r="AA182" s="41"/>
      <c r="AB182" s="41"/>
      <c r="AC182" s="41"/>
      <c r="AD182" s="41"/>
      <c r="AE182" s="41"/>
      <c r="AF182" s="40"/>
      <c r="AG182" s="40"/>
      <c r="AH182" s="5"/>
      <c r="AI182" s="5"/>
      <c r="AJ182" s="40"/>
      <c r="AK182" s="40"/>
      <c r="AL182" s="40"/>
      <c r="AM182" s="40"/>
      <c r="AO182" s="40"/>
      <c r="AQ182" s="40"/>
    </row>
    <row r="183" spans="2:43" ht="12.75" customHeight="1" x14ac:dyDescent="0.15">
      <c r="B183" s="40"/>
      <c r="C183" s="40"/>
      <c r="D183" s="40"/>
      <c r="E183" s="40"/>
      <c r="F183" s="40"/>
      <c r="G183" s="40"/>
      <c r="H183" s="53"/>
      <c r="R183" s="40"/>
      <c r="S183" s="40"/>
      <c r="T183" s="40"/>
      <c r="U183" s="40"/>
      <c r="V183" s="40"/>
      <c r="X183" s="40"/>
      <c r="Y183" s="40"/>
      <c r="Z183" s="40"/>
      <c r="AA183" s="41"/>
      <c r="AB183" s="41"/>
      <c r="AC183" s="41"/>
      <c r="AD183" s="41"/>
      <c r="AE183" s="41"/>
      <c r="AF183" s="40"/>
      <c r="AG183" s="40"/>
      <c r="AH183" s="5"/>
      <c r="AI183" s="5"/>
      <c r="AJ183" s="40"/>
      <c r="AK183" s="40"/>
      <c r="AL183" s="40"/>
      <c r="AM183" s="40"/>
      <c r="AO183" s="40"/>
      <c r="AQ183" s="40"/>
    </row>
    <row r="184" spans="2:43" ht="12.75" customHeight="1" x14ac:dyDescent="0.15">
      <c r="B184" s="40"/>
      <c r="C184" s="40"/>
      <c r="D184" s="40"/>
      <c r="E184" s="40"/>
      <c r="F184" s="40"/>
      <c r="G184" s="40"/>
      <c r="H184" s="53"/>
      <c r="R184" s="40"/>
      <c r="S184" s="40"/>
      <c r="T184" s="40"/>
      <c r="U184" s="40"/>
      <c r="V184" s="40"/>
      <c r="X184" s="40"/>
      <c r="Y184" s="40"/>
      <c r="Z184" s="40"/>
      <c r="AA184" s="41"/>
      <c r="AB184" s="41"/>
      <c r="AC184" s="41"/>
      <c r="AD184" s="41"/>
      <c r="AE184" s="41"/>
      <c r="AF184" s="40"/>
      <c r="AG184" s="40"/>
      <c r="AH184" s="5"/>
      <c r="AI184" s="5"/>
      <c r="AJ184" s="40"/>
      <c r="AK184" s="40"/>
      <c r="AL184" s="40"/>
      <c r="AM184" s="40"/>
      <c r="AO184" s="40"/>
      <c r="AQ184" s="40"/>
    </row>
    <row r="185" spans="2:43" ht="12.75" customHeight="1" x14ac:dyDescent="0.15">
      <c r="B185" s="40"/>
      <c r="C185" s="40"/>
      <c r="D185" s="40"/>
      <c r="E185" s="40"/>
      <c r="F185" s="40"/>
      <c r="G185" s="40"/>
      <c r="H185" s="53"/>
      <c r="R185" s="40"/>
      <c r="S185" s="40"/>
      <c r="T185" s="40"/>
      <c r="U185" s="40"/>
      <c r="V185" s="40"/>
      <c r="X185" s="40"/>
      <c r="Y185" s="40"/>
      <c r="Z185" s="40"/>
      <c r="AA185" s="41"/>
      <c r="AB185" s="41"/>
      <c r="AC185" s="41"/>
      <c r="AD185" s="41"/>
      <c r="AE185" s="41"/>
      <c r="AF185" s="40"/>
      <c r="AG185" s="40"/>
      <c r="AH185" s="5"/>
      <c r="AI185" s="5"/>
      <c r="AJ185" s="40"/>
      <c r="AK185" s="40"/>
      <c r="AL185" s="40"/>
      <c r="AM185" s="40"/>
      <c r="AO185" s="40"/>
      <c r="AQ185" s="40"/>
    </row>
    <row r="186" spans="2:43" ht="12.75" customHeight="1" x14ac:dyDescent="0.15">
      <c r="B186" s="40"/>
      <c r="C186" s="40"/>
      <c r="D186" s="40"/>
      <c r="E186" s="40"/>
      <c r="F186" s="40"/>
      <c r="G186" s="40"/>
      <c r="H186" s="53"/>
      <c r="R186" s="40"/>
      <c r="S186" s="40"/>
      <c r="T186" s="40"/>
      <c r="U186" s="40"/>
      <c r="V186" s="40"/>
      <c r="X186" s="40"/>
      <c r="Y186" s="40"/>
      <c r="Z186" s="40"/>
      <c r="AA186" s="41"/>
      <c r="AB186" s="41"/>
      <c r="AC186" s="41"/>
      <c r="AD186" s="41"/>
      <c r="AE186" s="41"/>
      <c r="AF186" s="40"/>
      <c r="AG186" s="40"/>
      <c r="AH186" s="5"/>
      <c r="AI186" s="5"/>
      <c r="AJ186" s="40"/>
      <c r="AK186" s="40"/>
      <c r="AL186" s="40"/>
      <c r="AM186" s="40"/>
      <c r="AO186" s="40"/>
      <c r="AQ186" s="40"/>
    </row>
    <row r="187" spans="2:43" ht="12.75" customHeight="1" x14ac:dyDescent="0.15">
      <c r="B187" s="40"/>
      <c r="C187" s="40"/>
      <c r="D187" s="40"/>
      <c r="E187" s="40"/>
      <c r="F187" s="40"/>
      <c r="G187" s="40"/>
      <c r="H187" s="53"/>
      <c r="R187" s="40"/>
      <c r="S187" s="40"/>
      <c r="T187" s="40"/>
      <c r="U187" s="40"/>
      <c r="V187" s="40"/>
      <c r="X187" s="40"/>
      <c r="Y187" s="40"/>
      <c r="Z187" s="40"/>
      <c r="AA187" s="41"/>
      <c r="AB187" s="41"/>
      <c r="AC187" s="41"/>
      <c r="AD187" s="41"/>
      <c r="AE187" s="41"/>
      <c r="AF187" s="40"/>
      <c r="AG187" s="40"/>
      <c r="AH187" s="5"/>
      <c r="AI187" s="5"/>
      <c r="AJ187" s="40"/>
      <c r="AK187" s="40"/>
      <c r="AL187" s="40"/>
      <c r="AM187" s="40"/>
      <c r="AO187" s="40"/>
      <c r="AQ187" s="40"/>
    </row>
    <row r="188" spans="2:43" ht="12.75" customHeight="1" x14ac:dyDescent="0.15">
      <c r="B188" s="40"/>
      <c r="C188" s="40"/>
      <c r="D188" s="40"/>
      <c r="E188" s="40"/>
      <c r="F188" s="40"/>
      <c r="G188" s="40"/>
      <c r="H188" s="53"/>
      <c r="R188" s="40"/>
      <c r="S188" s="40"/>
      <c r="T188" s="40"/>
      <c r="U188" s="40"/>
      <c r="V188" s="40"/>
      <c r="X188" s="40"/>
      <c r="Y188" s="40"/>
      <c r="Z188" s="40"/>
      <c r="AA188" s="41"/>
      <c r="AB188" s="41"/>
      <c r="AC188" s="41"/>
      <c r="AD188" s="41"/>
      <c r="AE188" s="41"/>
      <c r="AF188" s="40"/>
      <c r="AG188" s="40"/>
      <c r="AH188" s="5"/>
      <c r="AI188" s="5"/>
      <c r="AJ188" s="40"/>
      <c r="AK188" s="40"/>
      <c r="AL188" s="40"/>
      <c r="AM188" s="40"/>
      <c r="AO188" s="40"/>
      <c r="AQ188" s="40"/>
    </row>
    <row r="189" spans="2:43" ht="12.75" customHeight="1" x14ac:dyDescent="0.15">
      <c r="B189" s="40"/>
      <c r="C189" s="40"/>
      <c r="D189" s="40"/>
      <c r="E189" s="40"/>
      <c r="F189" s="40"/>
      <c r="G189" s="40"/>
      <c r="H189" s="53"/>
      <c r="R189" s="40"/>
      <c r="S189" s="40"/>
      <c r="T189" s="40"/>
      <c r="U189" s="40"/>
      <c r="V189" s="40"/>
      <c r="X189" s="40"/>
      <c r="Y189" s="40"/>
      <c r="Z189" s="40"/>
      <c r="AA189" s="41"/>
      <c r="AB189" s="41"/>
      <c r="AC189" s="41"/>
      <c r="AD189" s="41"/>
      <c r="AE189" s="41"/>
      <c r="AF189" s="40"/>
      <c r="AG189" s="40"/>
      <c r="AH189" s="5"/>
      <c r="AI189" s="5"/>
      <c r="AJ189" s="40"/>
      <c r="AK189" s="40"/>
      <c r="AL189" s="40"/>
      <c r="AM189" s="40"/>
      <c r="AO189" s="40"/>
      <c r="AQ189" s="40"/>
    </row>
    <row r="190" spans="2:43" ht="12.75" customHeight="1" x14ac:dyDescent="0.15">
      <c r="B190" s="40"/>
      <c r="C190" s="40"/>
      <c r="D190" s="40"/>
      <c r="E190" s="40"/>
      <c r="F190" s="40"/>
      <c r="G190" s="40"/>
      <c r="H190" s="53"/>
      <c r="R190" s="40"/>
      <c r="S190" s="40"/>
      <c r="T190" s="40"/>
      <c r="U190" s="40"/>
      <c r="V190" s="40"/>
      <c r="X190" s="40"/>
      <c r="Y190" s="40"/>
      <c r="Z190" s="40"/>
      <c r="AA190" s="41"/>
      <c r="AB190" s="41"/>
      <c r="AC190" s="41"/>
      <c r="AD190" s="41"/>
      <c r="AE190" s="41"/>
      <c r="AF190" s="40"/>
      <c r="AG190" s="40"/>
      <c r="AH190" s="5"/>
      <c r="AI190" s="5"/>
      <c r="AJ190" s="40"/>
      <c r="AK190" s="40"/>
      <c r="AL190" s="40"/>
      <c r="AM190" s="40"/>
      <c r="AO190" s="40"/>
      <c r="AQ190" s="40"/>
    </row>
    <row r="191" spans="2:43" ht="12.75" customHeight="1" x14ac:dyDescent="0.15">
      <c r="B191" s="40"/>
      <c r="C191" s="40"/>
      <c r="D191" s="40"/>
      <c r="E191" s="40"/>
      <c r="F191" s="40"/>
      <c r="G191" s="40"/>
      <c r="H191" s="53"/>
      <c r="R191" s="40"/>
      <c r="S191" s="40"/>
      <c r="T191" s="40"/>
      <c r="U191" s="40"/>
      <c r="V191" s="40"/>
      <c r="X191" s="40"/>
      <c r="Y191" s="40"/>
      <c r="Z191" s="40"/>
      <c r="AA191" s="41"/>
      <c r="AB191" s="41"/>
      <c r="AC191" s="41"/>
      <c r="AD191" s="41"/>
      <c r="AE191" s="41"/>
      <c r="AF191" s="40"/>
      <c r="AG191" s="40"/>
      <c r="AH191" s="5"/>
      <c r="AI191" s="5"/>
      <c r="AJ191" s="40"/>
      <c r="AK191" s="40"/>
      <c r="AL191" s="40"/>
      <c r="AM191" s="40"/>
      <c r="AO191" s="40"/>
      <c r="AQ191" s="40"/>
    </row>
    <row r="192" spans="2:43" ht="12.75" customHeight="1" x14ac:dyDescent="0.15">
      <c r="B192" s="40"/>
      <c r="C192" s="40"/>
      <c r="D192" s="40"/>
      <c r="E192" s="40"/>
      <c r="F192" s="40"/>
      <c r="G192" s="40"/>
      <c r="H192" s="53"/>
      <c r="R192" s="40"/>
      <c r="S192" s="40"/>
      <c r="T192" s="40"/>
      <c r="U192" s="40"/>
      <c r="V192" s="40"/>
      <c r="X192" s="40"/>
      <c r="Y192" s="40"/>
      <c r="Z192" s="40"/>
      <c r="AA192" s="41"/>
      <c r="AB192" s="41"/>
      <c r="AC192" s="41"/>
      <c r="AD192" s="41"/>
      <c r="AE192" s="41"/>
      <c r="AF192" s="40"/>
      <c r="AG192" s="40"/>
      <c r="AH192" s="5"/>
      <c r="AI192" s="5"/>
      <c r="AJ192" s="40"/>
      <c r="AK192" s="40"/>
      <c r="AL192" s="40"/>
      <c r="AM192" s="40"/>
      <c r="AO192" s="40"/>
      <c r="AQ192" s="40"/>
    </row>
    <row r="193" spans="2:43" ht="12.75" customHeight="1" x14ac:dyDescent="0.15">
      <c r="B193" s="40"/>
      <c r="C193" s="40"/>
      <c r="D193" s="40"/>
      <c r="E193" s="40"/>
      <c r="F193" s="40"/>
      <c r="G193" s="40"/>
      <c r="H193" s="53"/>
      <c r="R193" s="40"/>
      <c r="S193" s="40"/>
      <c r="T193" s="40"/>
      <c r="U193" s="40"/>
      <c r="V193" s="40"/>
      <c r="X193" s="40"/>
      <c r="Y193" s="40"/>
      <c r="Z193" s="40"/>
      <c r="AA193" s="41"/>
      <c r="AB193" s="41"/>
      <c r="AC193" s="41"/>
      <c r="AD193" s="41"/>
      <c r="AE193" s="41"/>
      <c r="AF193" s="40"/>
      <c r="AG193" s="40"/>
      <c r="AH193" s="5"/>
      <c r="AI193" s="5"/>
      <c r="AJ193" s="40"/>
      <c r="AK193" s="40"/>
      <c r="AL193" s="40"/>
      <c r="AM193" s="40"/>
      <c r="AO193" s="40"/>
      <c r="AQ193" s="40"/>
    </row>
    <row r="194" spans="2:43" ht="12.75" customHeight="1" x14ac:dyDescent="0.15">
      <c r="B194" s="40"/>
      <c r="C194" s="40"/>
      <c r="D194" s="40"/>
      <c r="E194" s="40"/>
      <c r="F194" s="40"/>
      <c r="G194" s="40"/>
      <c r="H194" s="53"/>
      <c r="R194" s="40"/>
      <c r="S194" s="40"/>
      <c r="T194" s="40"/>
      <c r="U194" s="40"/>
      <c r="V194" s="40"/>
      <c r="X194" s="40"/>
      <c r="Y194" s="40"/>
      <c r="Z194" s="40"/>
      <c r="AA194" s="41"/>
      <c r="AB194" s="41"/>
      <c r="AC194" s="41"/>
      <c r="AD194" s="41"/>
      <c r="AE194" s="41"/>
      <c r="AF194" s="40"/>
      <c r="AG194" s="40"/>
      <c r="AH194" s="5"/>
      <c r="AI194" s="5"/>
      <c r="AJ194" s="40"/>
      <c r="AK194" s="40"/>
      <c r="AL194" s="40"/>
      <c r="AM194" s="40"/>
      <c r="AO194" s="40"/>
      <c r="AQ194" s="40"/>
    </row>
    <row r="195" spans="2:43" ht="12.75" customHeight="1" x14ac:dyDescent="0.15">
      <c r="B195" s="40"/>
      <c r="C195" s="40"/>
      <c r="D195" s="40"/>
      <c r="E195" s="40"/>
      <c r="F195" s="40"/>
      <c r="G195" s="40"/>
      <c r="H195" s="53"/>
      <c r="R195" s="40"/>
      <c r="S195" s="40"/>
      <c r="T195" s="40"/>
      <c r="U195" s="40"/>
      <c r="V195" s="40"/>
      <c r="X195" s="40"/>
      <c r="Y195" s="40"/>
      <c r="Z195" s="40"/>
      <c r="AA195" s="41"/>
      <c r="AB195" s="41"/>
      <c r="AC195" s="41"/>
      <c r="AD195" s="41"/>
      <c r="AE195" s="41"/>
      <c r="AF195" s="40"/>
      <c r="AG195" s="40"/>
      <c r="AH195" s="5"/>
      <c r="AI195" s="5"/>
      <c r="AJ195" s="40"/>
      <c r="AK195" s="40"/>
      <c r="AL195" s="40"/>
      <c r="AM195" s="40"/>
      <c r="AO195" s="40"/>
      <c r="AQ195" s="40"/>
    </row>
    <row r="196" spans="2:43" ht="12.75" customHeight="1" x14ac:dyDescent="0.15">
      <c r="B196" s="40"/>
      <c r="C196" s="40"/>
      <c r="D196" s="40"/>
      <c r="E196" s="40"/>
      <c r="F196" s="40"/>
      <c r="G196" s="40"/>
      <c r="H196" s="53"/>
      <c r="R196" s="40"/>
      <c r="S196" s="40"/>
      <c r="T196" s="40"/>
      <c r="U196" s="40"/>
      <c r="V196" s="40"/>
      <c r="X196" s="40"/>
      <c r="Y196" s="40"/>
      <c r="Z196" s="40"/>
      <c r="AA196" s="41"/>
      <c r="AB196" s="41"/>
      <c r="AC196" s="41"/>
      <c r="AD196" s="41"/>
      <c r="AE196" s="41"/>
      <c r="AF196" s="40"/>
      <c r="AG196" s="40"/>
      <c r="AH196" s="5"/>
      <c r="AI196" s="5"/>
      <c r="AJ196" s="40"/>
      <c r="AK196" s="40"/>
      <c r="AL196" s="40"/>
      <c r="AM196" s="40"/>
      <c r="AO196" s="40"/>
      <c r="AQ196" s="40"/>
    </row>
    <row r="197" spans="2:43" ht="12.75" customHeight="1" x14ac:dyDescent="0.15">
      <c r="B197" s="40"/>
      <c r="C197" s="40"/>
      <c r="D197" s="40"/>
      <c r="E197" s="40"/>
      <c r="F197" s="40"/>
      <c r="G197" s="40"/>
      <c r="H197" s="53"/>
      <c r="R197" s="40"/>
      <c r="S197" s="40"/>
      <c r="T197" s="40"/>
      <c r="U197" s="40"/>
      <c r="V197" s="40"/>
      <c r="X197" s="40"/>
      <c r="Y197" s="40"/>
      <c r="Z197" s="40"/>
      <c r="AA197" s="41"/>
      <c r="AB197" s="41"/>
      <c r="AC197" s="41"/>
      <c r="AD197" s="41"/>
      <c r="AE197" s="41"/>
      <c r="AF197" s="40"/>
      <c r="AG197" s="40"/>
      <c r="AH197" s="5"/>
      <c r="AI197" s="5"/>
      <c r="AJ197" s="40"/>
      <c r="AK197" s="40"/>
      <c r="AL197" s="40"/>
      <c r="AM197" s="40"/>
      <c r="AO197" s="40"/>
      <c r="AQ197" s="40"/>
    </row>
    <row r="198" spans="2:43" ht="12.75" customHeight="1" x14ac:dyDescent="0.15">
      <c r="B198" s="40"/>
      <c r="C198" s="40"/>
      <c r="D198" s="40"/>
      <c r="E198" s="40"/>
      <c r="F198" s="40"/>
      <c r="G198" s="40"/>
      <c r="H198" s="53"/>
      <c r="R198" s="40"/>
      <c r="S198" s="40"/>
      <c r="T198" s="40"/>
      <c r="U198" s="40"/>
      <c r="V198" s="40"/>
      <c r="X198" s="40"/>
      <c r="Y198" s="40"/>
      <c r="Z198" s="40"/>
      <c r="AA198" s="41"/>
      <c r="AB198" s="41"/>
      <c r="AC198" s="41"/>
      <c r="AD198" s="41"/>
      <c r="AE198" s="41"/>
      <c r="AF198" s="40"/>
      <c r="AG198" s="40"/>
      <c r="AH198" s="5"/>
      <c r="AI198" s="5"/>
      <c r="AJ198" s="40"/>
      <c r="AK198" s="40"/>
      <c r="AL198" s="40"/>
      <c r="AM198" s="40"/>
      <c r="AO198" s="40"/>
      <c r="AQ198" s="40"/>
    </row>
    <row r="199" spans="2:43" ht="12.75" customHeight="1" x14ac:dyDescent="0.15">
      <c r="B199" s="40"/>
      <c r="C199" s="40"/>
      <c r="D199" s="40"/>
      <c r="E199" s="40"/>
      <c r="F199" s="40"/>
      <c r="G199" s="40"/>
      <c r="H199" s="53"/>
      <c r="R199" s="40"/>
      <c r="S199" s="40"/>
      <c r="T199" s="40"/>
      <c r="U199" s="40"/>
      <c r="V199" s="40"/>
      <c r="X199" s="40"/>
      <c r="Y199" s="40"/>
      <c r="Z199" s="40"/>
      <c r="AA199" s="41"/>
      <c r="AB199" s="41"/>
      <c r="AC199" s="41"/>
      <c r="AD199" s="41"/>
      <c r="AE199" s="41"/>
      <c r="AF199" s="40"/>
      <c r="AG199" s="40"/>
      <c r="AH199" s="5"/>
      <c r="AI199" s="5"/>
      <c r="AJ199" s="40"/>
      <c r="AK199" s="40"/>
      <c r="AL199" s="40"/>
      <c r="AM199" s="40"/>
      <c r="AO199" s="40"/>
      <c r="AQ199" s="40"/>
    </row>
    <row r="200" spans="2:43" ht="12.75" customHeight="1" x14ac:dyDescent="0.15">
      <c r="B200" s="40"/>
      <c r="C200" s="40"/>
      <c r="D200" s="40"/>
      <c r="E200" s="40"/>
      <c r="F200" s="40"/>
      <c r="G200" s="40"/>
      <c r="H200" s="53"/>
      <c r="R200" s="40"/>
      <c r="S200" s="40"/>
      <c r="T200" s="40"/>
      <c r="U200" s="40"/>
      <c r="V200" s="40"/>
      <c r="X200" s="40"/>
      <c r="Y200" s="40"/>
      <c r="Z200" s="40"/>
      <c r="AA200" s="41"/>
      <c r="AB200" s="41"/>
      <c r="AC200" s="41"/>
      <c r="AD200" s="41"/>
      <c r="AE200" s="41"/>
      <c r="AF200" s="40"/>
      <c r="AG200" s="40"/>
      <c r="AH200" s="5"/>
      <c r="AI200" s="5"/>
      <c r="AJ200" s="40"/>
      <c r="AK200" s="40"/>
      <c r="AL200" s="40"/>
      <c r="AM200" s="40"/>
      <c r="AO200" s="40"/>
      <c r="AQ200" s="40"/>
    </row>
    <row r="201" spans="2:43" ht="12.75" customHeight="1" x14ac:dyDescent="0.15">
      <c r="B201" s="40"/>
      <c r="C201" s="40"/>
      <c r="D201" s="40"/>
      <c r="E201" s="40"/>
      <c r="F201" s="40"/>
      <c r="G201" s="40"/>
      <c r="H201" s="53"/>
      <c r="R201" s="40"/>
      <c r="S201" s="40"/>
      <c r="T201" s="40"/>
      <c r="U201" s="40"/>
      <c r="V201" s="40"/>
      <c r="X201" s="40"/>
      <c r="Y201" s="40"/>
      <c r="Z201" s="40"/>
      <c r="AA201" s="41"/>
      <c r="AB201" s="41"/>
      <c r="AC201" s="41"/>
      <c r="AD201" s="41"/>
      <c r="AE201" s="41"/>
      <c r="AF201" s="40"/>
      <c r="AG201" s="40"/>
      <c r="AH201" s="5"/>
      <c r="AI201" s="5"/>
      <c r="AJ201" s="40"/>
      <c r="AK201" s="40"/>
      <c r="AL201" s="40"/>
      <c r="AM201" s="40"/>
      <c r="AO201" s="40"/>
      <c r="AQ201" s="40"/>
    </row>
    <row r="202" spans="2:43" ht="12.75" customHeight="1" x14ac:dyDescent="0.15">
      <c r="B202" s="40"/>
      <c r="C202" s="40"/>
      <c r="D202" s="40"/>
      <c r="E202" s="40"/>
      <c r="F202" s="40"/>
      <c r="G202" s="40"/>
      <c r="H202" s="53"/>
      <c r="R202" s="40"/>
      <c r="S202" s="40"/>
      <c r="T202" s="40"/>
      <c r="U202" s="40"/>
      <c r="V202" s="40"/>
      <c r="X202" s="40"/>
      <c r="Y202" s="40"/>
      <c r="Z202" s="40"/>
      <c r="AA202" s="41"/>
      <c r="AB202" s="41"/>
      <c r="AC202" s="41"/>
      <c r="AD202" s="41"/>
      <c r="AE202" s="41"/>
      <c r="AF202" s="40"/>
      <c r="AG202" s="40"/>
      <c r="AH202" s="5"/>
      <c r="AI202" s="5"/>
      <c r="AJ202" s="40"/>
      <c r="AK202" s="40"/>
      <c r="AL202" s="40"/>
      <c r="AM202" s="40"/>
      <c r="AO202" s="40"/>
      <c r="AQ202" s="40"/>
    </row>
    <row r="203" spans="2:43" ht="12.75" customHeight="1" x14ac:dyDescent="0.15">
      <c r="B203" s="40"/>
      <c r="C203" s="40"/>
      <c r="D203" s="40"/>
      <c r="E203" s="40"/>
      <c r="F203" s="40"/>
      <c r="G203" s="40"/>
      <c r="H203" s="53"/>
      <c r="R203" s="40"/>
      <c r="S203" s="40"/>
      <c r="T203" s="40"/>
      <c r="U203" s="40"/>
      <c r="V203" s="40"/>
      <c r="X203" s="40"/>
      <c r="Y203" s="40"/>
      <c r="Z203" s="40"/>
      <c r="AA203" s="41"/>
      <c r="AB203" s="41"/>
      <c r="AC203" s="41"/>
      <c r="AD203" s="41"/>
      <c r="AE203" s="41"/>
      <c r="AF203" s="40"/>
      <c r="AG203" s="40"/>
      <c r="AH203" s="5"/>
      <c r="AI203" s="5"/>
      <c r="AJ203" s="40"/>
      <c r="AK203" s="40"/>
      <c r="AL203" s="40"/>
      <c r="AM203" s="40"/>
      <c r="AO203" s="40"/>
      <c r="AQ203" s="40"/>
    </row>
    <row r="204" spans="2:43" ht="12.75" customHeight="1" x14ac:dyDescent="0.15">
      <c r="B204" s="40"/>
      <c r="C204" s="40"/>
      <c r="D204" s="40"/>
      <c r="E204" s="40"/>
      <c r="F204" s="40"/>
      <c r="G204" s="40"/>
      <c r="H204" s="53"/>
      <c r="R204" s="40"/>
      <c r="S204" s="40"/>
      <c r="T204" s="40"/>
      <c r="U204" s="40"/>
      <c r="V204" s="40"/>
      <c r="X204" s="40"/>
      <c r="Y204" s="40"/>
      <c r="Z204" s="40"/>
      <c r="AA204" s="41"/>
      <c r="AB204" s="41"/>
      <c r="AC204" s="41"/>
      <c r="AD204" s="41"/>
      <c r="AE204" s="41"/>
      <c r="AF204" s="40"/>
      <c r="AG204" s="40"/>
      <c r="AH204" s="5"/>
      <c r="AI204" s="5"/>
      <c r="AJ204" s="40"/>
      <c r="AK204" s="40"/>
      <c r="AL204" s="40"/>
      <c r="AM204" s="40"/>
      <c r="AO204" s="40"/>
      <c r="AQ204" s="40"/>
    </row>
    <row r="205" spans="2:43" ht="12.75" customHeight="1" x14ac:dyDescent="0.15">
      <c r="B205" s="40"/>
      <c r="C205" s="40"/>
      <c r="D205" s="40"/>
      <c r="E205" s="40"/>
      <c r="F205" s="40"/>
      <c r="G205" s="40"/>
      <c r="H205" s="53"/>
      <c r="R205" s="40"/>
      <c r="S205" s="40"/>
      <c r="T205" s="40"/>
      <c r="U205" s="40"/>
      <c r="V205" s="40"/>
      <c r="X205" s="40"/>
      <c r="Y205" s="40"/>
      <c r="Z205" s="40"/>
      <c r="AA205" s="41"/>
      <c r="AB205" s="41"/>
      <c r="AC205" s="41"/>
      <c r="AD205" s="41"/>
      <c r="AE205" s="41"/>
      <c r="AF205" s="40"/>
      <c r="AG205" s="40"/>
      <c r="AH205" s="5"/>
      <c r="AI205" s="5"/>
      <c r="AJ205" s="40"/>
      <c r="AK205" s="40"/>
      <c r="AL205" s="40"/>
      <c r="AM205" s="40"/>
      <c r="AO205" s="40"/>
      <c r="AQ205" s="40"/>
    </row>
    <row r="206" spans="2:43" ht="12.75" customHeight="1" x14ac:dyDescent="0.15">
      <c r="B206" s="40"/>
      <c r="C206" s="40"/>
      <c r="D206" s="40"/>
      <c r="E206" s="40"/>
      <c r="F206" s="40"/>
      <c r="G206" s="40"/>
      <c r="H206" s="53"/>
      <c r="R206" s="40"/>
      <c r="S206" s="40"/>
      <c r="T206" s="40"/>
      <c r="U206" s="40"/>
      <c r="V206" s="40"/>
      <c r="X206" s="40"/>
      <c r="Y206" s="40"/>
      <c r="Z206" s="40"/>
      <c r="AA206" s="41"/>
      <c r="AB206" s="41"/>
      <c r="AC206" s="41"/>
      <c r="AD206" s="41"/>
      <c r="AE206" s="41"/>
      <c r="AF206" s="40"/>
      <c r="AG206" s="40"/>
      <c r="AH206" s="5"/>
      <c r="AI206" s="5"/>
      <c r="AJ206" s="40"/>
      <c r="AK206" s="40"/>
      <c r="AL206" s="40"/>
      <c r="AM206" s="40"/>
      <c r="AO206" s="40"/>
      <c r="AQ206" s="40"/>
    </row>
    <row r="207" spans="2:43" ht="12.75" customHeight="1" x14ac:dyDescent="0.15">
      <c r="B207" s="40"/>
      <c r="C207" s="40"/>
      <c r="D207" s="40"/>
      <c r="E207" s="40"/>
      <c r="F207" s="40"/>
      <c r="G207" s="40"/>
      <c r="H207" s="53"/>
      <c r="R207" s="40"/>
      <c r="S207" s="40"/>
      <c r="T207" s="40"/>
      <c r="U207" s="40"/>
      <c r="V207" s="40"/>
      <c r="X207" s="40"/>
      <c r="Y207" s="40"/>
      <c r="Z207" s="40"/>
      <c r="AA207" s="41"/>
      <c r="AB207" s="41"/>
      <c r="AC207" s="41"/>
      <c r="AD207" s="41"/>
      <c r="AE207" s="41"/>
      <c r="AF207" s="40"/>
      <c r="AG207" s="40"/>
      <c r="AH207" s="5"/>
      <c r="AI207" s="5"/>
      <c r="AJ207" s="40"/>
      <c r="AK207" s="40"/>
      <c r="AL207" s="40"/>
      <c r="AM207" s="40"/>
      <c r="AO207" s="40"/>
      <c r="AQ207" s="40"/>
    </row>
    <row r="208" spans="2:43" ht="12.75" customHeight="1" x14ac:dyDescent="0.15">
      <c r="B208" s="40"/>
      <c r="C208" s="40"/>
      <c r="D208" s="40"/>
      <c r="E208" s="40"/>
      <c r="F208" s="40"/>
      <c r="G208" s="40"/>
      <c r="H208" s="53"/>
      <c r="R208" s="40"/>
      <c r="S208" s="40"/>
      <c r="T208" s="40"/>
      <c r="U208" s="40"/>
      <c r="V208" s="40"/>
      <c r="X208" s="40"/>
      <c r="Y208" s="40"/>
      <c r="Z208" s="40"/>
      <c r="AA208" s="41"/>
      <c r="AB208" s="41"/>
      <c r="AC208" s="41"/>
      <c r="AD208" s="41"/>
      <c r="AE208" s="41"/>
      <c r="AF208" s="40"/>
      <c r="AG208" s="40"/>
      <c r="AH208" s="5"/>
      <c r="AI208" s="5"/>
      <c r="AJ208" s="40"/>
      <c r="AK208" s="40"/>
      <c r="AL208" s="40"/>
      <c r="AM208" s="40"/>
      <c r="AO208" s="40"/>
      <c r="AQ208" s="40"/>
    </row>
    <row r="209" spans="2:43" ht="12.75" customHeight="1" x14ac:dyDescent="0.15">
      <c r="B209" s="40"/>
      <c r="C209" s="40"/>
      <c r="D209" s="40"/>
      <c r="E209" s="40"/>
      <c r="F209" s="40"/>
      <c r="G209" s="40"/>
      <c r="H209" s="53"/>
      <c r="R209" s="40"/>
      <c r="S209" s="40"/>
      <c r="T209" s="40"/>
      <c r="U209" s="40"/>
      <c r="V209" s="40"/>
      <c r="X209" s="40"/>
      <c r="Y209" s="40"/>
      <c r="Z209" s="40"/>
      <c r="AA209" s="41"/>
      <c r="AB209" s="41"/>
      <c r="AC209" s="41"/>
      <c r="AD209" s="41"/>
      <c r="AE209" s="41"/>
      <c r="AF209" s="40"/>
      <c r="AG209" s="40"/>
      <c r="AH209" s="5"/>
      <c r="AI209" s="5"/>
      <c r="AJ209" s="40"/>
      <c r="AK209" s="40"/>
      <c r="AL209" s="40"/>
      <c r="AM209" s="40"/>
      <c r="AO209" s="40"/>
      <c r="AQ209" s="40"/>
    </row>
    <row r="210" spans="2:43" ht="12.75" customHeight="1" x14ac:dyDescent="0.15">
      <c r="B210" s="40"/>
      <c r="C210" s="40"/>
      <c r="D210" s="40"/>
      <c r="E210" s="40"/>
      <c r="F210" s="40"/>
      <c r="G210" s="40"/>
      <c r="H210" s="53"/>
      <c r="R210" s="40"/>
      <c r="S210" s="40"/>
      <c r="T210" s="40"/>
      <c r="U210" s="40"/>
      <c r="V210" s="40"/>
      <c r="X210" s="40"/>
      <c r="Y210" s="40"/>
      <c r="Z210" s="40"/>
      <c r="AA210" s="41"/>
      <c r="AB210" s="41"/>
      <c r="AC210" s="41"/>
      <c r="AD210" s="41"/>
      <c r="AE210" s="41"/>
      <c r="AF210" s="40"/>
      <c r="AG210" s="40"/>
      <c r="AH210" s="5"/>
      <c r="AI210" s="5"/>
      <c r="AJ210" s="40"/>
      <c r="AK210" s="40"/>
      <c r="AL210" s="40"/>
      <c r="AM210" s="40"/>
      <c r="AO210" s="40"/>
      <c r="AQ210" s="40"/>
    </row>
    <row r="211" spans="2:43" ht="12.75" customHeight="1" x14ac:dyDescent="0.15">
      <c r="B211" s="40"/>
      <c r="C211" s="40"/>
      <c r="D211" s="40"/>
      <c r="E211" s="40"/>
      <c r="F211" s="40"/>
      <c r="G211" s="40"/>
      <c r="H211" s="53"/>
      <c r="R211" s="40"/>
      <c r="S211" s="40"/>
      <c r="T211" s="40"/>
      <c r="U211" s="40"/>
      <c r="V211" s="40"/>
      <c r="X211" s="40"/>
      <c r="Y211" s="40"/>
      <c r="Z211" s="40"/>
      <c r="AA211" s="41"/>
      <c r="AB211" s="41"/>
      <c r="AC211" s="41"/>
      <c r="AD211" s="41"/>
      <c r="AE211" s="41"/>
      <c r="AF211" s="40"/>
      <c r="AG211" s="40"/>
      <c r="AH211" s="5"/>
      <c r="AI211" s="5"/>
      <c r="AJ211" s="40"/>
      <c r="AK211" s="40"/>
      <c r="AL211" s="40"/>
      <c r="AM211" s="40"/>
      <c r="AO211" s="40"/>
      <c r="AQ211" s="40"/>
    </row>
    <row r="212" spans="2:43" ht="12.75" customHeight="1" x14ac:dyDescent="0.15">
      <c r="B212" s="40"/>
      <c r="C212" s="40"/>
      <c r="D212" s="40"/>
      <c r="E212" s="40"/>
      <c r="F212" s="40"/>
      <c r="G212" s="40"/>
      <c r="H212" s="53"/>
      <c r="R212" s="40"/>
      <c r="S212" s="40"/>
      <c r="T212" s="40"/>
      <c r="U212" s="40"/>
      <c r="V212" s="40"/>
      <c r="X212" s="40"/>
      <c r="Y212" s="40"/>
      <c r="Z212" s="40"/>
      <c r="AA212" s="41"/>
      <c r="AB212" s="41"/>
      <c r="AC212" s="41"/>
      <c r="AD212" s="41"/>
      <c r="AE212" s="41"/>
      <c r="AF212" s="40"/>
      <c r="AG212" s="40"/>
      <c r="AH212" s="5"/>
      <c r="AI212" s="5"/>
      <c r="AJ212" s="40"/>
      <c r="AK212" s="40"/>
      <c r="AL212" s="40"/>
      <c r="AM212" s="40"/>
      <c r="AO212" s="40"/>
      <c r="AQ212" s="40"/>
    </row>
    <row r="213" spans="2:43" ht="12.75" customHeight="1" x14ac:dyDescent="0.15">
      <c r="B213" s="40"/>
      <c r="C213" s="40"/>
      <c r="D213" s="40"/>
      <c r="E213" s="40"/>
      <c r="F213" s="40"/>
      <c r="G213" s="40"/>
      <c r="H213" s="53"/>
      <c r="R213" s="40"/>
      <c r="S213" s="40"/>
      <c r="T213" s="40"/>
      <c r="U213" s="40"/>
      <c r="V213" s="40"/>
      <c r="X213" s="40"/>
      <c r="Y213" s="40"/>
      <c r="Z213" s="40"/>
      <c r="AA213" s="41"/>
      <c r="AB213" s="41"/>
      <c r="AC213" s="41"/>
      <c r="AD213" s="41"/>
      <c r="AE213" s="41"/>
      <c r="AF213" s="40"/>
      <c r="AG213" s="40"/>
      <c r="AH213" s="5"/>
      <c r="AI213" s="5"/>
      <c r="AJ213" s="40"/>
      <c r="AK213" s="40"/>
      <c r="AL213" s="40"/>
      <c r="AM213" s="40"/>
      <c r="AO213" s="40"/>
      <c r="AQ213" s="40"/>
    </row>
    <row r="214" spans="2:43" ht="12.75" customHeight="1" x14ac:dyDescent="0.15">
      <c r="B214" s="40"/>
      <c r="C214" s="40"/>
      <c r="D214" s="40"/>
      <c r="E214" s="40"/>
      <c r="F214" s="40"/>
      <c r="G214" s="40"/>
      <c r="H214" s="53"/>
      <c r="R214" s="40"/>
      <c r="S214" s="40"/>
      <c r="T214" s="40"/>
      <c r="U214" s="40"/>
      <c r="V214" s="40"/>
      <c r="X214" s="40"/>
      <c r="Y214" s="40"/>
      <c r="Z214" s="40"/>
      <c r="AA214" s="41"/>
      <c r="AB214" s="41"/>
      <c r="AC214" s="41"/>
      <c r="AD214" s="41"/>
      <c r="AE214" s="41"/>
      <c r="AF214" s="40"/>
      <c r="AG214" s="40"/>
      <c r="AH214" s="5"/>
      <c r="AI214" s="5"/>
      <c r="AJ214" s="40"/>
      <c r="AK214" s="40"/>
      <c r="AL214" s="40"/>
      <c r="AM214" s="40"/>
      <c r="AO214" s="40"/>
      <c r="AQ214" s="40"/>
    </row>
    <row r="215" spans="2:43" ht="12.75" customHeight="1" x14ac:dyDescent="0.15">
      <c r="B215" s="40"/>
      <c r="C215" s="40"/>
      <c r="D215" s="40"/>
      <c r="E215" s="40"/>
      <c r="F215" s="40"/>
      <c r="G215" s="40"/>
      <c r="H215" s="53"/>
      <c r="R215" s="40"/>
      <c r="S215" s="40"/>
      <c r="T215" s="40"/>
      <c r="U215" s="40"/>
      <c r="V215" s="40"/>
      <c r="X215" s="40"/>
      <c r="Y215" s="40"/>
      <c r="Z215" s="40"/>
      <c r="AA215" s="41"/>
      <c r="AB215" s="41"/>
      <c r="AC215" s="41"/>
      <c r="AD215" s="41"/>
      <c r="AE215" s="41"/>
      <c r="AF215" s="40"/>
      <c r="AG215" s="40"/>
      <c r="AH215" s="5"/>
      <c r="AI215" s="5"/>
      <c r="AJ215" s="40"/>
      <c r="AK215" s="40"/>
      <c r="AL215" s="40"/>
      <c r="AM215" s="40"/>
      <c r="AO215" s="40"/>
      <c r="AQ215" s="40"/>
    </row>
    <row r="216" spans="2:43" ht="12.75" customHeight="1" x14ac:dyDescent="0.15">
      <c r="B216" s="40"/>
      <c r="C216" s="40"/>
      <c r="D216" s="40"/>
      <c r="E216" s="40"/>
      <c r="F216" s="40"/>
      <c r="G216" s="40"/>
      <c r="H216" s="53"/>
      <c r="R216" s="40"/>
      <c r="S216" s="40"/>
      <c r="T216" s="40"/>
      <c r="U216" s="40"/>
      <c r="V216" s="40"/>
      <c r="X216" s="40"/>
      <c r="Y216" s="40"/>
      <c r="Z216" s="40"/>
      <c r="AA216" s="41"/>
      <c r="AB216" s="41"/>
      <c r="AC216" s="41"/>
      <c r="AD216" s="41"/>
      <c r="AE216" s="41"/>
      <c r="AF216" s="40"/>
      <c r="AG216" s="40"/>
      <c r="AH216" s="5"/>
      <c r="AI216" s="5"/>
      <c r="AJ216" s="40"/>
      <c r="AK216" s="40"/>
      <c r="AL216" s="40"/>
      <c r="AM216" s="40"/>
      <c r="AO216" s="40"/>
      <c r="AQ216" s="40"/>
    </row>
    <row r="217" spans="2:43" ht="12.75" customHeight="1" x14ac:dyDescent="0.15">
      <c r="B217" s="40"/>
      <c r="C217" s="40"/>
      <c r="D217" s="40"/>
      <c r="E217" s="40"/>
      <c r="F217" s="40"/>
      <c r="G217" s="40"/>
      <c r="H217" s="53"/>
      <c r="R217" s="40"/>
      <c r="S217" s="40"/>
      <c r="T217" s="40"/>
      <c r="U217" s="40"/>
      <c r="V217" s="40"/>
      <c r="X217" s="40"/>
      <c r="Y217" s="40"/>
      <c r="Z217" s="40"/>
      <c r="AA217" s="41"/>
      <c r="AB217" s="41"/>
      <c r="AC217" s="41"/>
      <c r="AD217" s="41"/>
      <c r="AE217" s="41"/>
      <c r="AF217" s="40"/>
      <c r="AG217" s="40"/>
      <c r="AH217" s="5"/>
      <c r="AI217" s="5"/>
      <c r="AJ217" s="40"/>
      <c r="AK217" s="40"/>
      <c r="AL217" s="40"/>
      <c r="AM217" s="40"/>
      <c r="AO217" s="40"/>
      <c r="AQ217" s="40"/>
    </row>
    <row r="218" spans="2:43" ht="12.75" customHeight="1" x14ac:dyDescent="0.15">
      <c r="B218" s="40"/>
      <c r="C218" s="40"/>
      <c r="D218" s="40"/>
      <c r="E218" s="40"/>
      <c r="F218" s="40"/>
      <c r="G218" s="40"/>
      <c r="H218" s="53"/>
      <c r="R218" s="40"/>
      <c r="S218" s="40"/>
      <c r="T218" s="40"/>
      <c r="U218" s="40"/>
      <c r="V218" s="40"/>
      <c r="X218" s="40"/>
      <c r="Y218" s="40"/>
      <c r="Z218" s="40"/>
      <c r="AA218" s="41"/>
      <c r="AB218" s="41"/>
      <c r="AC218" s="41"/>
      <c r="AD218" s="41"/>
      <c r="AE218" s="41"/>
      <c r="AF218" s="40"/>
      <c r="AG218" s="40"/>
      <c r="AH218" s="5"/>
      <c r="AI218" s="5"/>
      <c r="AJ218" s="40"/>
      <c r="AK218" s="40"/>
      <c r="AL218" s="40"/>
      <c r="AM218" s="40"/>
      <c r="AO218" s="40"/>
      <c r="AQ218" s="40"/>
    </row>
    <row r="219" spans="2:43" ht="12.75" customHeight="1" x14ac:dyDescent="0.15">
      <c r="B219" s="40"/>
      <c r="C219" s="40"/>
      <c r="D219" s="40"/>
      <c r="E219" s="40"/>
      <c r="F219" s="40"/>
      <c r="G219" s="40"/>
      <c r="H219" s="53"/>
      <c r="R219" s="40"/>
      <c r="S219" s="40"/>
      <c r="T219" s="40"/>
      <c r="U219" s="40"/>
      <c r="V219" s="40"/>
      <c r="X219" s="40"/>
      <c r="Y219" s="40"/>
      <c r="Z219" s="40"/>
      <c r="AA219" s="41"/>
      <c r="AB219" s="41"/>
      <c r="AC219" s="41"/>
      <c r="AD219" s="41"/>
      <c r="AE219" s="41"/>
      <c r="AF219" s="40"/>
      <c r="AG219" s="40"/>
      <c r="AH219" s="5"/>
      <c r="AI219" s="5"/>
      <c r="AJ219" s="40"/>
      <c r="AK219" s="40"/>
      <c r="AL219" s="40"/>
      <c r="AM219" s="40"/>
      <c r="AO219" s="40"/>
      <c r="AQ219" s="40"/>
    </row>
    <row r="220" spans="2:43" ht="12.75" customHeight="1" x14ac:dyDescent="0.15">
      <c r="B220" s="40"/>
      <c r="C220" s="40"/>
      <c r="D220" s="40"/>
      <c r="E220" s="40"/>
      <c r="F220" s="40"/>
      <c r="G220" s="40"/>
      <c r="H220" s="53"/>
      <c r="R220" s="40"/>
      <c r="S220" s="40"/>
      <c r="T220" s="40"/>
      <c r="U220" s="40"/>
      <c r="V220" s="40"/>
      <c r="X220" s="40"/>
      <c r="Y220" s="40"/>
      <c r="Z220" s="40"/>
      <c r="AA220" s="41"/>
      <c r="AB220" s="41"/>
      <c r="AC220" s="41"/>
      <c r="AD220" s="41"/>
      <c r="AE220" s="41"/>
      <c r="AF220" s="40"/>
      <c r="AG220" s="40"/>
      <c r="AH220" s="5"/>
      <c r="AI220" s="5"/>
      <c r="AJ220" s="40"/>
      <c r="AK220" s="40"/>
      <c r="AL220" s="40"/>
      <c r="AM220" s="40"/>
      <c r="AO220" s="40"/>
      <c r="AQ220" s="40"/>
    </row>
    <row r="221" spans="2:43" ht="12.75" customHeight="1" x14ac:dyDescent="0.15">
      <c r="B221" s="40"/>
      <c r="C221" s="40"/>
      <c r="D221" s="40"/>
      <c r="E221" s="40"/>
      <c r="F221" s="40"/>
      <c r="G221" s="40"/>
      <c r="H221" s="53"/>
      <c r="R221" s="40"/>
      <c r="S221" s="40"/>
      <c r="T221" s="40"/>
      <c r="U221" s="40"/>
      <c r="V221" s="40"/>
      <c r="X221" s="40"/>
      <c r="Y221" s="40"/>
      <c r="Z221" s="40"/>
      <c r="AA221" s="41"/>
      <c r="AB221" s="41"/>
      <c r="AC221" s="41"/>
      <c r="AD221" s="41"/>
      <c r="AE221" s="41"/>
      <c r="AF221" s="40"/>
      <c r="AG221" s="40"/>
      <c r="AH221" s="5"/>
      <c r="AI221" s="5"/>
      <c r="AJ221" s="40"/>
      <c r="AK221" s="40"/>
      <c r="AL221" s="40"/>
      <c r="AM221" s="40"/>
      <c r="AO221" s="40"/>
      <c r="AQ221" s="40"/>
    </row>
    <row r="222" spans="2:43" ht="12.75" customHeight="1" x14ac:dyDescent="0.15">
      <c r="B222" s="40"/>
      <c r="C222" s="40"/>
      <c r="D222" s="40"/>
      <c r="E222" s="40"/>
      <c r="F222" s="40"/>
      <c r="G222" s="40"/>
      <c r="H222" s="53"/>
      <c r="R222" s="40"/>
      <c r="S222" s="40"/>
      <c r="T222" s="40"/>
      <c r="U222" s="40"/>
      <c r="V222" s="40"/>
      <c r="X222" s="40"/>
      <c r="Y222" s="40"/>
      <c r="Z222" s="40"/>
      <c r="AA222" s="41"/>
      <c r="AB222" s="41"/>
      <c r="AC222" s="41"/>
      <c r="AD222" s="41"/>
      <c r="AE222" s="41"/>
      <c r="AF222" s="40"/>
      <c r="AG222" s="40"/>
      <c r="AH222" s="5"/>
      <c r="AI222" s="5"/>
      <c r="AJ222" s="40"/>
      <c r="AK222" s="40"/>
      <c r="AL222" s="40"/>
      <c r="AM222" s="40"/>
      <c r="AO222" s="40"/>
      <c r="AQ222" s="40"/>
    </row>
    <row r="223" spans="2:43" ht="12.75" customHeight="1" x14ac:dyDescent="0.15">
      <c r="B223" s="40"/>
      <c r="C223" s="40"/>
      <c r="D223" s="40"/>
      <c r="E223" s="40"/>
      <c r="F223" s="40"/>
      <c r="G223" s="40"/>
      <c r="H223" s="53"/>
      <c r="R223" s="40"/>
      <c r="S223" s="40"/>
      <c r="T223" s="40"/>
      <c r="U223" s="40"/>
      <c r="V223" s="40"/>
      <c r="X223" s="40"/>
      <c r="Y223" s="40"/>
      <c r="Z223" s="40"/>
      <c r="AA223" s="41"/>
      <c r="AB223" s="41"/>
      <c r="AC223" s="41"/>
      <c r="AD223" s="41"/>
      <c r="AE223" s="41"/>
      <c r="AF223" s="40"/>
      <c r="AG223" s="40"/>
      <c r="AH223" s="5"/>
      <c r="AI223" s="5"/>
      <c r="AJ223" s="40"/>
      <c r="AK223" s="40"/>
      <c r="AL223" s="40"/>
      <c r="AM223" s="40"/>
      <c r="AO223" s="40"/>
      <c r="AQ223" s="40"/>
    </row>
    <row r="224" spans="2:43" ht="12.75" customHeight="1" x14ac:dyDescent="0.15">
      <c r="B224" s="40"/>
      <c r="C224" s="40"/>
      <c r="D224" s="40"/>
      <c r="E224" s="40"/>
      <c r="F224" s="40"/>
      <c r="G224" s="40"/>
      <c r="H224" s="53"/>
      <c r="R224" s="40"/>
      <c r="S224" s="40"/>
      <c r="T224" s="40"/>
      <c r="U224" s="40"/>
      <c r="V224" s="40"/>
      <c r="X224" s="40"/>
      <c r="Y224" s="40"/>
      <c r="Z224" s="40"/>
      <c r="AA224" s="41"/>
      <c r="AB224" s="41"/>
      <c r="AC224" s="41"/>
      <c r="AD224" s="41"/>
      <c r="AE224" s="41"/>
      <c r="AF224" s="40"/>
      <c r="AG224" s="40"/>
      <c r="AH224" s="5"/>
      <c r="AI224" s="5"/>
      <c r="AJ224" s="40"/>
      <c r="AK224" s="40"/>
      <c r="AL224" s="40"/>
      <c r="AM224" s="40"/>
      <c r="AO224" s="40"/>
      <c r="AQ224" s="40"/>
    </row>
    <row r="225" spans="2:43" ht="12.75" customHeight="1" x14ac:dyDescent="0.15">
      <c r="B225" s="40"/>
      <c r="C225" s="40"/>
      <c r="D225" s="40"/>
      <c r="E225" s="40"/>
      <c r="F225" s="40"/>
      <c r="G225" s="40"/>
      <c r="H225" s="53"/>
      <c r="R225" s="40"/>
      <c r="S225" s="40"/>
      <c r="T225" s="40"/>
      <c r="U225" s="40"/>
      <c r="V225" s="40"/>
      <c r="X225" s="40"/>
      <c r="Y225" s="40"/>
      <c r="Z225" s="40"/>
      <c r="AA225" s="41"/>
      <c r="AB225" s="41"/>
      <c r="AC225" s="41"/>
      <c r="AD225" s="41"/>
      <c r="AE225" s="41"/>
      <c r="AF225" s="40"/>
      <c r="AG225" s="40"/>
      <c r="AH225" s="5"/>
      <c r="AI225" s="5"/>
      <c r="AJ225" s="40"/>
      <c r="AK225" s="40"/>
      <c r="AL225" s="40"/>
      <c r="AM225" s="40"/>
      <c r="AO225" s="40"/>
      <c r="AQ225" s="40"/>
    </row>
    <row r="226" spans="2:43" ht="12.75" customHeight="1" x14ac:dyDescent="0.15">
      <c r="B226" s="40"/>
      <c r="C226" s="40"/>
      <c r="D226" s="40"/>
      <c r="E226" s="40"/>
      <c r="F226" s="40"/>
      <c r="G226" s="40"/>
      <c r="H226" s="53"/>
      <c r="R226" s="40"/>
      <c r="S226" s="40"/>
      <c r="T226" s="40"/>
      <c r="U226" s="40"/>
      <c r="V226" s="40"/>
      <c r="X226" s="40"/>
      <c r="Y226" s="40"/>
      <c r="Z226" s="40"/>
      <c r="AA226" s="41"/>
      <c r="AB226" s="41"/>
      <c r="AC226" s="41"/>
      <c r="AD226" s="41"/>
      <c r="AE226" s="41"/>
      <c r="AF226" s="40"/>
      <c r="AG226" s="40"/>
      <c r="AH226" s="5"/>
      <c r="AI226" s="5"/>
      <c r="AJ226" s="40"/>
      <c r="AK226" s="40"/>
      <c r="AL226" s="40"/>
      <c r="AM226" s="40"/>
      <c r="AO226" s="40"/>
      <c r="AQ226" s="40"/>
    </row>
    <row r="227" spans="2:43" ht="12.75" customHeight="1" x14ac:dyDescent="0.15">
      <c r="B227" s="40"/>
      <c r="C227" s="40"/>
      <c r="D227" s="40"/>
      <c r="E227" s="40"/>
      <c r="F227" s="40"/>
      <c r="G227" s="40"/>
      <c r="H227" s="53"/>
      <c r="R227" s="40"/>
      <c r="S227" s="40"/>
      <c r="T227" s="40"/>
      <c r="U227" s="40"/>
      <c r="V227" s="40"/>
      <c r="X227" s="40"/>
      <c r="Y227" s="40"/>
      <c r="Z227" s="40"/>
      <c r="AA227" s="41"/>
      <c r="AB227" s="41"/>
      <c r="AC227" s="41"/>
      <c r="AD227" s="41"/>
      <c r="AE227" s="41"/>
      <c r="AF227" s="40"/>
      <c r="AG227" s="40"/>
      <c r="AH227" s="5"/>
      <c r="AI227" s="5"/>
      <c r="AJ227" s="40"/>
      <c r="AK227" s="40"/>
      <c r="AL227" s="40"/>
      <c r="AM227" s="40"/>
      <c r="AO227" s="40"/>
      <c r="AQ227" s="40"/>
    </row>
    <row r="228" spans="2:43" ht="12.75" customHeight="1" x14ac:dyDescent="0.15">
      <c r="B228" s="40"/>
      <c r="C228" s="40"/>
      <c r="D228" s="40"/>
      <c r="E228" s="40"/>
      <c r="F228" s="40"/>
      <c r="G228" s="40"/>
      <c r="H228" s="53"/>
      <c r="R228" s="40"/>
      <c r="S228" s="40"/>
      <c r="T228" s="40"/>
      <c r="U228" s="40"/>
      <c r="V228" s="40"/>
      <c r="X228" s="40"/>
      <c r="Y228" s="40"/>
      <c r="Z228" s="40"/>
      <c r="AA228" s="41"/>
      <c r="AB228" s="41"/>
      <c r="AC228" s="41"/>
      <c r="AD228" s="41"/>
      <c r="AE228" s="41"/>
      <c r="AF228" s="40"/>
      <c r="AG228" s="40"/>
      <c r="AH228" s="5"/>
      <c r="AI228" s="5"/>
      <c r="AJ228" s="40"/>
      <c r="AK228" s="40"/>
      <c r="AL228" s="40"/>
      <c r="AM228" s="40"/>
      <c r="AO228" s="40"/>
      <c r="AQ228" s="40"/>
    </row>
    <row r="229" spans="2:43" ht="12.75" customHeight="1" x14ac:dyDescent="0.15">
      <c r="B229" s="40"/>
      <c r="C229" s="40"/>
      <c r="D229" s="40"/>
      <c r="E229" s="40"/>
      <c r="F229" s="40"/>
      <c r="G229" s="40"/>
      <c r="H229" s="53"/>
      <c r="R229" s="40"/>
      <c r="S229" s="40"/>
      <c r="T229" s="40"/>
      <c r="U229" s="40"/>
      <c r="V229" s="40"/>
      <c r="X229" s="40"/>
      <c r="Y229" s="40"/>
      <c r="Z229" s="40"/>
      <c r="AA229" s="41"/>
      <c r="AB229" s="41"/>
      <c r="AC229" s="41"/>
      <c r="AD229" s="41"/>
      <c r="AE229" s="41"/>
      <c r="AF229" s="40"/>
      <c r="AG229" s="40"/>
      <c r="AH229" s="5"/>
      <c r="AI229" s="5"/>
      <c r="AJ229" s="40"/>
      <c r="AK229" s="40"/>
      <c r="AL229" s="40"/>
      <c r="AM229" s="40"/>
      <c r="AO229" s="40"/>
      <c r="AQ229" s="40"/>
    </row>
    <row r="230" spans="2:43" ht="12.75" customHeight="1" x14ac:dyDescent="0.15">
      <c r="B230" s="40"/>
      <c r="C230" s="40"/>
      <c r="D230" s="40"/>
      <c r="E230" s="40"/>
      <c r="F230" s="40"/>
      <c r="G230" s="40"/>
      <c r="H230" s="53"/>
      <c r="R230" s="40"/>
      <c r="S230" s="40"/>
      <c r="T230" s="40"/>
      <c r="U230" s="40"/>
      <c r="V230" s="40"/>
      <c r="X230" s="40"/>
      <c r="Y230" s="40"/>
      <c r="Z230" s="40"/>
      <c r="AA230" s="41"/>
      <c r="AB230" s="41"/>
      <c r="AC230" s="41"/>
      <c r="AD230" s="41"/>
      <c r="AE230" s="41"/>
      <c r="AF230" s="40"/>
      <c r="AG230" s="40"/>
      <c r="AH230" s="5"/>
      <c r="AI230" s="5"/>
      <c r="AJ230" s="40"/>
      <c r="AK230" s="40"/>
      <c r="AL230" s="40"/>
      <c r="AM230" s="40"/>
      <c r="AO230" s="40"/>
      <c r="AQ230" s="40"/>
    </row>
    <row r="231" spans="2:43" ht="12.75" customHeight="1" x14ac:dyDescent="0.15">
      <c r="B231" s="40"/>
      <c r="C231" s="40"/>
      <c r="D231" s="40"/>
      <c r="E231" s="40"/>
      <c r="F231" s="40"/>
      <c r="G231" s="40"/>
      <c r="H231" s="53"/>
      <c r="R231" s="40"/>
      <c r="S231" s="40"/>
      <c r="T231" s="40"/>
      <c r="U231" s="40"/>
      <c r="V231" s="40"/>
      <c r="X231" s="40"/>
      <c r="Y231" s="40"/>
      <c r="Z231" s="40"/>
      <c r="AA231" s="41"/>
      <c r="AB231" s="41"/>
      <c r="AC231" s="41"/>
      <c r="AD231" s="41"/>
      <c r="AE231" s="41"/>
      <c r="AF231" s="40"/>
      <c r="AG231" s="40"/>
      <c r="AH231" s="5"/>
      <c r="AI231" s="5"/>
      <c r="AJ231" s="40"/>
      <c r="AK231" s="40"/>
      <c r="AL231" s="40"/>
      <c r="AM231" s="40"/>
      <c r="AO231" s="40"/>
      <c r="AQ231" s="40"/>
    </row>
    <row r="232" spans="2:43" ht="12.75" customHeight="1" x14ac:dyDescent="0.15">
      <c r="B232" s="40"/>
      <c r="C232" s="40"/>
      <c r="D232" s="40"/>
      <c r="E232" s="40"/>
      <c r="F232" s="40"/>
      <c r="G232" s="40"/>
      <c r="H232" s="53"/>
      <c r="R232" s="40"/>
      <c r="S232" s="40"/>
      <c r="T232" s="40"/>
      <c r="U232" s="40"/>
      <c r="V232" s="40"/>
      <c r="X232" s="40"/>
      <c r="Y232" s="40"/>
      <c r="Z232" s="40"/>
      <c r="AA232" s="41"/>
      <c r="AB232" s="41"/>
      <c r="AC232" s="41"/>
      <c r="AD232" s="41"/>
      <c r="AE232" s="41"/>
      <c r="AF232" s="40"/>
      <c r="AG232" s="40"/>
      <c r="AH232" s="5"/>
      <c r="AI232" s="5"/>
      <c r="AJ232" s="40"/>
      <c r="AK232" s="40"/>
      <c r="AL232" s="40"/>
      <c r="AM232" s="40"/>
      <c r="AO232" s="40"/>
      <c r="AQ232" s="40"/>
    </row>
    <row r="233" spans="2:43" ht="12.75" customHeight="1" x14ac:dyDescent="0.15">
      <c r="B233" s="40"/>
      <c r="C233" s="40"/>
      <c r="D233" s="40"/>
      <c r="E233" s="40"/>
      <c r="F233" s="40"/>
      <c r="G233" s="40"/>
      <c r="H233" s="53"/>
      <c r="R233" s="40"/>
      <c r="S233" s="40"/>
      <c r="T233" s="40"/>
      <c r="U233" s="40"/>
      <c r="V233" s="40"/>
      <c r="X233" s="40"/>
      <c r="Y233" s="40"/>
      <c r="Z233" s="40"/>
      <c r="AA233" s="41"/>
      <c r="AB233" s="41"/>
      <c r="AC233" s="41"/>
      <c r="AD233" s="41"/>
      <c r="AE233" s="41"/>
      <c r="AF233" s="40"/>
      <c r="AG233" s="40"/>
      <c r="AH233" s="5"/>
      <c r="AI233" s="5"/>
      <c r="AJ233" s="40"/>
      <c r="AK233" s="40"/>
      <c r="AL233" s="40"/>
      <c r="AM233" s="40"/>
      <c r="AO233" s="40"/>
      <c r="AQ233" s="40"/>
    </row>
    <row r="234" spans="2:43" ht="12.75" customHeight="1" x14ac:dyDescent="0.15">
      <c r="B234" s="40"/>
      <c r="C234" s="40"/>
      <c r="D234" s="40"/>
      <c r="E234" s="40"/>
      <c r="F234" s="40"/>
      <c r="G234" s="40"/>
      <c r="H234" s="53"/>
      <c r="R234" s="40"/>
      <c r="S234" s="40"/>
      <c r="T234" s="40"/>
      <c r="U234" s="40"/>
      <c r="V234" s="40"/>
      <c r="X234" s="40"/>
      <c r="Y234" s="40"/>
      <c r="Z234" s="40"/>
      <c r="AA234" s="41"/>
      <c r="AB234" s="41"/>
      <c r="AC234" s="41"/>
      <c r="AD234" s="41"/>
      <c r="AE234" s="41"/>
      <c r="AF234" s="40"/>
      <c r="AG234" s="40"/>
      <c r="AH234" s="5"/>
      <c r="AI234" s="5"/>
      <c r="AJ234" s="40"/>
      <c r="AK234" s="40"/>
      <c r="AL234" s="40"/>
      <c r="AM234" s="40"/>
      <c r="AO234" s="40"/>
      <c r="AQ234" s="40"/>
    </row>
    <row r="235" spans="2:43" ht="12.75" customHeight="1" x14ac:dyDescent="0.15">
      <c r="B235" s="40"/>
      <c r="C235" s="40"/>
      <c r="D235" s="40"/>
      <c r="E235" s="40"/>
      <c r="F235" s="40"/>
      <c r="G235" s="40"/>
      <c r="H235" s="53"/>
      <c r="R235" s="40"/>
      <c r="S235" s="40"/>
      <c r="T235" s="40"/>
      <c r="U235" s="40"/>
      <c r="V235" s="40"/>
      <c r="X235" s="40"/>
      <c r="Y235" s="40"/>
      <c r="Z235" s="40"/>
      <c r="AA235" s="41"/>
      <c r="AB235" s="41"/>
      <c r="AC235" s="41"/>
      <c r="AD235" s="41"/>
      <c r="AE235" s="41"/>
      <c r="AF235" s="40"/>
      <c r="AG235" s="40"/>
      <c r="AH235" s="5"/>
      <c r="AI235" s="5"/>
      <c r="AJ235" s="40"/>
      <c r="AK235" s="40"/>
      <c r="AL235" s="40"/>
      <c r="AM235" s="40"/>
      <c r="AO235" s="40"/>
      <c r="AQ235" s="40"/>
    </row>
    <row r="236" spans="2:43" ht="12.75" customHeight="1" x14ac:dyDescent="0.15">
      <c r="B236" s="40"/>
      <c r="C236" s="40"/>
      <c r="D236" s="40"/>
      <c r="E236" s="40"/>
      <c r="F236" s="40"/>
      <c r="G236" s="40"/>
      <c r="H236" s="53"/>
      <c r="R236" s="40"/>
      <c r="S236" s="40"/>
      <c r="T236" s="40"/>
      <c r="U236" s="40"/>
      <c r="V236" s="40"/>
      <c r="X236" s="40"/>
      <c r="Y236" s="40"/>
      <c r="Z236" s="40"/>
      <c r="AA236" s="41"/>
      <c r="AB236" s="41"/>
      <c r="AC236" s="41"/>
      <c r="AD236" s="41"/>
      <c r="AE236" s="41"/>
      <c r="AF236" s="40"/>
      <c r="AG236" s="40"/>
      <c r="AH236" s="5"/>
      <c r="AI236" s="5"/>
      <c r="AJ236" s="40"/>
      <c r="AK236" s="40"/>
      <c r="AL236" s="40"/>
      <c r="AM236" s="40"/>
      <c r="AO236" s="40"/>
      <c r="AQ236" s="40"/>
    </row>
    <row r="237" spans="2:43" ht="12.75" customHeight="1" x14ac:dyDescent="0.15">
      <c r="B237" s="40"/>
      <c r="C237" s="40"/>
      <c r="D237" s="40"/>
      <c r="E237" s="40"/>
      <c r="F237" s="40"/>
      <c r="G237" s="40"/>
      <c r="H237" s="53"/>
      <c r="R237" s="40"/>
      <c r="S237" s="40"/>
      <c r="T237" s="40"/>
      <c r="U237" s="40"/>
      <c r="V237" s="40"/>
      <c r="X237" s="40"/>
      <c r="Y237" s="40"/>
      <c r="Z237" s="40"/>
      <c r="AA237" s="41"/>
      <c r="AB237" s="41"/>
      <c r="AC237" s="41"/>
      <c r="AD237" s="41"/>
      <c r="AE237" s="41"/>
      <c r="AF237" s="40"/>
      <c r="AG237" s="40"/>
      <c r="AH237" s="5"/>
      <c r="AI237" s="5"/>
      <c r="AJ237" s="40"/>
      <c r="AK237" s="40"/>
      <c r="AL237" s="40"/>
      <c r="AM237" s="40"/>
      <c r="AO237" s="40"/>
      <c r="AQ237" s="40"/>
    </row>
    <row r="238" spans="2:43" ht="12.75" customHeight="1" x14ac:dyDescent="0.15">
      <c r="B238" s="40"/>
      <c r="C238" s="40"/>
      <c r="D238" s="40"/>
      <c r="E238" s="40"/>
      <c r="F238" s="40"/>
      <c r="G238" s="40"/>
      <c r="H238" s="53"/>
      <c r="R238" s="40"/>
      <c r="S238" s="40"/>
      <c r="T238" s="40"/>
      <c r="U238" s="40"/>
      <c r="V238" s="40"/>
      <c r="X238" s="40"/>
      <c r="Y238" s="40"/>
      <c r="Z238" s="40"/>
      <c r="AA238" s="41"/>
      <c r="AB238" s="41"/>
      <c r="AC238" s="41"/>
      <c r="AD238" s="41"/>
      <c r="AE238" s="41"/>
      <c r="AF238" s="40"/>
      <c r="AG238" s="40"/>
      <c r="AH238" s="5"/>
      <c r="AI238" s="5"/>
      <c r="AJ238" s="40"/>
      <c r="AK238" s="40"/>
      <c r="AL238" s="40"/>
      <c r="AM238" s="40"/>
      <c r="AO238" s="40"/>
      <c r="AQ238" s="40"/>
    </row>
    <row r="239" spans="2:43" ht="12.75" customHeight="1" x14ac:dyDescent="0.15">
      <c r="B239" s="40"/>
      <c r="C239" s="40"/>
      <c r="D239" s="40"/>
      <c r="E239" s="40"/>
      <c r="F239" s="40"/>
      <c r="G239" s="40"/>
      <c r="H239" s="53"/>
      <c r="R239" s="40"/>
      <c r="S239" s="40"/>
      <c r="T239" s="40"/>
      <c r="U239" s="40"/>
      <c r="V239" s="40"/>
      <c r="X239" s="40"/>
      <c r="Y239" s="40"/>
      <c r="Z239" s="40"/>
      <c r="AA239" s="41"/>
      <c r="AB239" s="41"/>
      <c r="AC239" s="41"/>
      <c r="AD239" s="41"/>
      <c r="AE239" s="41"/>
      <c r="AF239" s="40"/>
      <c r="AG239" s="40"/>
      <c r="AH239" s="5"/>
      <c r="AI239" s="5"/>
      <c r="AJ239" s="40"/>
      <c r="AK239" s="40"/>
      <c r="AL239" s="40"/>
      <c r="AM239" s="40"/>
      <c r="AO239" s="40"/>
      <c r="AQ239" s="40"/>
    </row>
    <row r="240" spans="2:43" ht="12.75" customHeight="1" x14ac:dyDescent="0.15">
      <c r="B240" s="40"/>
      <c r="C240" s="40"/>
      <c r="D240" s="40"/>
      <c r="E240" s="40"/>
      <c r="F240" s="40"/>
      <c r="G240" s="40"/>
      <c r="H240" s="53"/>
      <c r="R240" s="40"/>
      <c r="S240" s="40"/>
      <c r="T240" s="40"/>
      <c r="U240" s="40"/>
      <c r="V240" s="40"/>
      <c r="X240" s="40"/>
      <c r="Y240" s="40"/>
      <c r="Z240" s="40"/>
      <c r="AA240" s="41"/>
      <c r="AB240" s="41"/>
      <c r="AC240" s="41"/>
      <c r="AD240" s="41"/>
      <c r="AE240" s="41"/>
      <c r="AF240" s="40"/>
      <c r="AG240" s="40"/>
      <c r="AH240" s="5"/>
      <c r="AI240" s="5"/>
      <c r="AJ240" s="40"/>
      <c r="AK240" s="40"/>
      <c r="AL240" s="40"/>
      <c r="AM240" s="40"/>
      <c r="AO240" s="40"/>
      <c r="AQ240" s="40"/>
    </row>
    <row r="241" spans="2:43" ht="12.75" customHeight="1" x14ac:dyDescent="0.15">
      <c r="B241" s="40"/>
      <c r="C241" s="40"/>
      <c r="D241" s="40"/>
      <c r="E241" s="40"/>
      <c r="F241" s="40"/>
      <c r="G241" s="40"/>
      <c r="H241" s="53"/>
      <c r="R241" s="40"/>
      <c r="S241" s="40"/>
      <c r="T241" s="40"/>
      <c r="U241" s="40"/>
      <c r="V241" s="40"/>
      <c r="X241" s="40"/>
      <c r="Y241" s="40"/>
      <c r="Z241" s="40"/>
      <c r="AA241" s="41"/>
      <c r="AB241" s="41"/>
      <c r="AC241" s="41"/>
      <c r="AD241" s="41"/>
      <c r="AE241" s="41"/>
      <c r="AF241" s="40"/>
      <c r="AG241" s="40"/>
      <c r="AH241" s="5"/>
      <c r="AI241" s="5"/>
      <c r="AJ241" s="40"/>
      <c r="AK241" s="40"/>
      <c r="AL241" s="40"/>
      <c r="AM241" s="40"/>
      <c r="AO241" s="40"/>
      <c r="AQ241" s="40"/>
    </row>
    <row r="242" spans="2:43" ht="12.75" customHeight="1" x14ac:dyDescent="0.15">
      <c r="B242" s="40"/>
      <c r="C242" s="40"/>
      <c r="D242" s="40"/>
      <c r="E242" s="40"/>
      <c r="F242" s="40"/>
      <c r="G242" s="40"/>
      <c r="H242" s="53"/>
      <c r="R242" s="40"/>
      <c r="S242" s="40"/>
      <c r="T242" s="40"/>
      <c r="U242" s="40"/>
      <c r="V242" s="40"/>
      <c r="X242" s="40"/>
      <c r="Y242" s="40"/>
      <c r="Z242" s="40"/>
      <c r="AA242" s="41"/>
      <c r="AB242" s="41"/>
      <c r="AC242" s="41"/>
      <c r="AD242" s="41"/>
      <c r="AE242" s="41"/>
      <c r="AF242" s="40"/>
      <c r="AG242" s="40"/>
      <c r="AH242" s="5"/>
      <c r="AI242" s="5"/>
      <c r="AJ242" s="40"/>
      <c r="AK242" s="40"/>
      <c r="AL242" s="40"/>
      <c r="AM242" s="40"/>
      <c r="AO242" s="40"/>
      <c r="AQ242" s="40"/>
    </row>
    <row r="243" spans="2:43" ht="12.75" customHeight="1" x14ac:dyDescent="0.15">
      <c r="B243" s="40"/>
      <c r="C243" s="40"/>
      <c r="D243" s="40"/>
      <c r="E243" s="40"/>
      <c r="F243" s="40"/>
      <c r="G243" s="40"/>
      <c r="H243" s="53"/>
      <c r="R243" s="40"/>
      <c r="S243" s="40"/>
      <c r="T243" s="40"/>
      <c r="U243" s="40"/>
      <c r="V243" s="40"/>
      <c r="X243" s="40"/>
      <c r="Y243" s="40"/>
      <c r="Z243" s="40"/>
      <c r="AA243" s="41"/>
      <c r="AB243" s="41"/>
      <c r="AC243" s="41"/>
      <c r="AD243" s="41"/>
      <c r="AE243" s="41"/>
      <c r="AF243" s="40"/>
      <c r="AG243" s="40"/>
      <c r="AH243" s="5"/>
      <c r="AI243" s="5"/>
      <c r="AJ243" s="40"/>
      <c r="AK243" s="40"/>
      <c r="AL243" s="40"/>
      <c r="AM243" s="40"/>
      <c r="AO243" s="40"/>
      <c r="AQ243" s="40"/>
    </row>
    <row r="244" spans="2:43" ht="12.75" customHeight="1" x14ac:dyDescent="0.15">
      <c r="B244" s="40"/>
      <c r="C244" s="40"/>
      <c r="D244" s="40"/>
      <c r="E244" s="40"/>
      <c r="F244" s="40"/>
      <c r="G244" s="40"/>
      <c r="H244" s="53"/>
      <c r="R244" s="40"/>
      <c r="S244" s="40"/>
      <c r="T244" s="40"/>
      <c r="U244" s="40"/>
      <c r="V244" s="40"/>
      <c r="X244" s="40"/>
      <c r="Y244" s="40"/>
      <c r="Z244" s="40"/>
      <c r="AA244" s="41"/>
      <c r="AB244" s="41"/>
      <c r="AC244" s="41"/>
      <c r="AD244" s="41"/>
      <c r="AE244" s="41"/>
      <c r="AF244" s="40"/>
      <c r="AG244" s="40"/>
      <c r="AH244" s="5"/>
      <c r="AI244" s="5"/>
      <c r="AJ244" s="40"/>
      <c r="AK244" s="40"/>
      <c r="AL244" s="40"/>
      <c r="AM244" s="40"/>
      <c r="AO244" s="40"/>
      <c r="AQ244" s="40"/>
    </row>
    <row r="245" spans="2:43" ht="12.75" customHeight="1" x14ac:dyDescent="0.15">
      <c r="B245" s="40"/>
      <c r="C245" s="40"/>
      <c r="D245" s="40"/>
      <c r="E245" s="40"/>
      <c r="F245" s="40"/>
      <c r="G245" s="40"/>
      <c r="H245" s="53"/>
      <c r="R245" s="40"/>
      <c r="S245" s="40"/>
      <c r="T245" s="40"/>
      <c r="U245" s="40"/>
      <c r="V245" s="40"/>
      <c r="X245" s="40"/>
      <c r="Y245" s="40"/>
      <c r="Z245" s="40"/>
      <c r="AA245" s="41"/>
      <c r="AB245" s="41"/>
      <c r="AC245" s="41"/>
      <c r="AD245" s="41"/>
      <c r="AE245" s="41"/>
      <c r="AF245" s="40"/>
      <c r="AG245" s="40"/>
      <c r="AH245" s="5"/>
      <c r="AI245" s="5"/>
      <c r="AJ245" s="40"/>
      <c r="AK245" s="40"/>
      <c r="AL245" s="40"/>
      <c r="AM245" s="40"/>
      <c r="AO245" s="40"/>
      <c r="AQ245" s="40"/>
    </row>
    <row r="246" spans="2:43" ht="12.75" customHeight="1" x14ac:dyDescent="0.15">
      <c r="B246" s="40"/>
      <c r="C246" s="40"/>
      <c r="D246" s="40"/>
      <c r="E246" s="40"/>
      <c r="F246" s="40"/>
      <c r="G246" s="40"/>
      <c r="H246" s="53"/>
      <c r="R246" s="40"/>
      <c r="S246" s="40"/>
      <c r="T246" s="40"/>
      <c r="U246" s="40"/>
      <c r="V246" s="40"/>
      <c r="X246" s="40"/>
      <c r="Y246" s="40"/>
      <c r="Z246" s="40"/>
      <c r="AA246" s="41"/>
      <c r="AB246" s="41"/>
      <c r="AC246" s="41"/>
      <c r="AD246" s="41"/>
      <c r="AE246" s="41"/>
      <c r="AF246" s="40"/>
      <c r="AG246" s="40"/>
      <c r="AH246" s="5"/>
      <c r="AI246" s="5"/>
      <c r="AJ246" s="40"/>
      <c r="AK246" s="40"/>
      <c r="AL246" s="40"/>
      <c r="AM246" s="40"/>
      <c r="AO246" s="40"/>
      <c r="AQ246" s="40"/>
    </row>
    <row r="247" spans="2:43" ht="12.75" customHeight="1" x14ac:dyDescent="0.15">
      <c r="B247" s="40"/>
      <c r="C247" s="40"/>
      <c r="D247" s="40"/>
      <c r="E247" s="40"/>
      <c r="F247" s="40"/>
      <c r="G247" s="40"/>
      <c r="H247" s="53"/>
      <c r="R247" s="40"/>
      <c r="S247" s="40"/>
      <c r="T247" s="40"/>
      <c r="U247" s="40"/>
      <c r="V247" s="40"/>
      <c r="X247" s="40"/>
      <c r="Y247" s="40"/>
      <c r="Z247" s="40"/>
      <c r="AA247" s="41"/>
      <c r="AB247" s="41"/>
      <c r="AC247" s="41"/>
      <c r="AD247" s="41"/>
      <c r="AE247" s="41"/>
      <c r="AF247" s="40"/>
      <c r="AG247" s="40"/>
      <c r="AH247" s="5"/>
      <c r="AI247" s="5"/>
      <c r="AJ247" s="40"/>
      <c r="AK247" s="40"/>
      <c r="AL247" s="40"/>
      <c r="AM247" s="40"/>
      <c r="AO247" s="40"/>
      <c r="AQ247" s="40"/>
    </row>
    <row r="248" spans="2:43" ht="12.75" customHeight="1" x14ac:dyDescent="0.15">
      <c r="B248" s="40"/>
      <c r="C248" s="40"/>
      <c r="D248" s="40"/>
      <c r="E248" s="40"/>
      <c r="F248" s="40"/>
      <c r="G248" s="40"/>
      <c r="H248" s="53"/>
      <c r="R248" s="40"/>
      <c r="S248" s="40"/>
      <c r="T248" s="40"/>
      <c r="U248" s="40"/>
      <c r="V248" s="40"/>
      <c r="X248" s="40"/>
      <c r="Y248" s="40"/>
      <c r="Z248" s="40"/>
      <c r="AA248" s="41"/>
      <c r="AB248" s="41"/>
      <c r="AC248" s="41"/>
      <c r="AD248" s="41"/>
      <c r="AE248" s="41"/>
      <c r="AF248" s="40"/>
      <c r="AG248" s="40"/>
      <c r="AH248" s="5"/>
      <c r="AI248" s="5"/>
      <c r="AJ248" s="40"/>
      <c r="AK248" s="40"/>
      <c r="AL248" s="40"/>
      <c r="AM248" s="40"/>
      <c r="AO248" s="40"/>
      <c r="AQ248" s="40"/>
    </row>
    <row r="249" spans="2:43" ht="12.75" customHeight="1" x14ac:dyDescent="0.15">
      <c r="B249" s="40"/>
      <c r="C249" s="40"/>
      <c r="D249" s="40"/>
      <c r="E249" s="40"/>
      <c r="F249" s="40"/>
      <c r="G249" s="40"/>
      <c r="H249" s="53"/>
      <c r="R249" s="40"/>
      <c r="S249" s="40"/>
      <c r="T249" s="40"/>
      <c r="U249" s="40"/>
      <c r="V249" s="40"/>
      <c r="X249" s="40"/>
      <c r="Y249" s="40"/>
      <c r="Z249" s="40"/>
      <c r="AA249" s="41"/>
      <c r="AB249" s="41"/>
      <c r="AC249" s="41"/>
      <c r="AD249" s="41"/>
      <c r="AE249" s="41"/>
      <c r="AF249" s="40"/>
      <c r="AG249" s="40"/>
      <c r="AH249" s="5"/>
      <c r="AI249" s="5"/>
      <c r="AJ249" s="40"/>
      <c r="AK249" s="40"/>
      <c r="AL249" s="40"/>
      <c r="AM249" s="40"/>
      <c r="AO249" s="40"/>
      <c r="AQ249" s="40"/>
    </row>
    <row r="250" spans="2:43" ht="12.75" customHeight="1" x14ac:dyDescent="0.15">
      <c r="B250" s="40"/>
      <c r="C250" s="40"/>
      <c r="D250" s="40"/>
      <c r="E250" s="40"/>
      <c r="F250" s="40"/>
      <c r="G250" s="40"/>
      <c r="H250" s="53"/>
      <c r="R250" s="40"/>
      <c r="S250" s="40"/>
      <c r="T250" s="40"/>
      <c r="U250" s="40"/>
      <c r="V250" s="40"/>
      <c r="X250" s="40"/>
      <c r="Y250" s="40"/>
      <c r="Z250" s="40"/>
      <c r="AA250" s="41"/>
      <c r="AB250" s="41"/>
      <c r="AC250" s="41"/>
      <c r="AD250" s="41"/>
      <c r="AE250" s="41"/>
      <c r="AF250" s="40"/>
      <c r="AG250" s="40"/>
      <c r="AH250" s="5"/>
      <c r="AI250" s="5"/>
      <c r="AJ250" s="40"/>
      <c r="AK250" s="40"/>
      <c r="AL250" s="40"/>
      <c r="AM250" s="40"/>
      <c r="AO250" s="40"/>
      <c r="AQ250" s="40"/>
    </row>
    <row r="251" spans="2:43" ht="12.75" customHeight="1" x14ac:dyDescent="0.15">
      <c r="B251" s="40"/>
      <c r="C251" s="40"/>
      <c r="D251" s="40"/>
      <c r="E251" s="40"/>
      <c r="F251" s="40"/>
      <c r="G251" s="40"/>
      <c r="H251" s="53"/>
      <c r="R251" s="40"/>
      <c r="S251" s="40"/>
      <c r="T251" s="40"/>
      <c r="U251" s="40"/>
      <c r="V251" s="40"/>
      <c r="X251" s="40"/>
      <c r="Y251" s="40"/>
      <c r="Z251" s="40"/>
      <c r="AA251" s="41"/>
      <c r="AB251" s="41"/>
      <c r="AC251" s="41"/>
      <c r="AD251" s="41"/>
      <c r="AE251" s="41"/>
      <c r="AF251" s="40"/>
      <c r="AG251" s="40"/>
      <c r="AH251" s="5"/>
      <c r="AI251" s="5"/>
      <c r="AJ251" s="40"/>
      <c r="AK251" s="40"/>
      <c r="AL251" s="40"/>
      <c r="AM251" s="40"/>
      <c r="AO251" s="40"/>
      <c r="AQ251" s="40"/>
    </row>
    <row r="252" spans="2:43" ht="12.75" customHeight="1" x14ac:dyDescent="0.15">
      <c r="B252" s="40"/>
      <c r="C252" s="40"/>
      <c r="D252" s="40"/>
      <c r="E252" s="40"/>
      <c r="F252" s="40"/>
      <c r="G252" s="40"/>
      <c r="H252" s="53"/>
      <c r="R252" s="40"/>
      <c r="S252" s="40"/>
      <c r="T252" s="40"/>
      <c r="U252" s="40"/>
      <c r="V252" s="40"/>
      <c r="X252" s="40"/>
      <c r="Y252" s="40"/>
      <c r="Z252" s="40"/>
      <c r="AA252" s="41"/>
      <c r="AB252" s="41"/>
      <c r="AC252" s="41"/>
      <c r="AD252" s="41"/>
      <c r="AE252" s="41"/>
      <c r="AF252" s="40"/>
      <c r="AG252" s="40"/>
      <c r="AH252" s="5"/>
      <c r="AI252" s="5"/>
      <c r="AJ252" s="40"/>
      <c r="AK252" s="40"/>
      <c r="AL252" s="40"/>
      <c r="AM252" s="40"/>
      <c r="AO252" s="40"/>
      <c r="AQ252" s="40"/>
    </row>
    <row r="253" spans="2:43" ht="12.75" customHeight="1" x14ac:dyDescent="0.15">
      <c r="B253" s="40"/>
      <c r="C253" s="40"/>
      <c r="D253" s="40"/>
      <c r="E253" s="40"/>
      <c r="F253" s="40"/>
      <c r="G253" s="40"/>
      <c r="H253" s="53"/>
      <c r="R253" s="40"/>
      <c r="S253" s="40"/>
      <c r="T253" s="40"/>
      <c r="U253" s="40"/>
      <c r="V253" s="40"/>
      <c r="X253" s="40"/>
      <c r="Y253" s="40"/>
      <c r="Z253" s="40"/>
      <c r="AA253" s="41"/>
      <c r="AB253" s="41"/>
      <c r="AC253" s="41"/>
      <c r="AD253" s="41"/>
      <c r="AE253" s="41"/>
      <c r="AF253" s="40"/>
      <c r="AG253" s="40"/>
      <c r="AH253" s="5"/>
      <c r="AI253" s="5"/>
      <c r="AJ253" s="40"/>
      <c r="AK253" s="40"/>
      <c r="AL253" s="40"/>
      <c r="AM253" s="40"/>
      <c r="AO253" s="40"/>
      <c r="AQ253" s="40"/>
    </row>
    <row r="254" spans="2:43" ht="12.75" customHeight="1" x14ac:dyDescent="0.15">
      <c r="B254" s="40"/>
      <c r="C254" s="40"/>
      <c r="D254" s="40"/>
      <c r="E254" s="40"/>
      <c r="F254" s="40"/>
      <c r="G254" s="40"/>
      <c r="H254" s="53"/>
      <c r="R254" s="40"/>
      <c r="S254" s="40"/>
      <c r="T254" s="40"/>
      <c r="U254" s="40"/>
      <c r="V254" s="40"/>
      <c r="X254" s="40"/>
      <c r="Y254" s="40"/>
      <c r="Z254" s="40"/>
      <c r="AA254" s="41"/>
      <c r="AB254" s="41"/>
      <c r="AC254" s="41"/>
      <c r="AD254" s="41"/>
      <c r="AE254" s="41"/>
      <c r="AF254" s="40"/>
      <c r="AG254" s="40"/>
      <c r="AH254" s="5"/>
      <c r="AI254" s="5"/>
      <c r="AJ254" s="40"/>
      <c r="AK254" s="40"/>
      <c r="AL254" s="40"/>
      <c r="AM254" s="40"/>
      <c r="AO254" s="40"/>
      <c r="AQ254" s="40"/>
    </row>
    <row r="255" spans="2:43" ht="12.75" customHeight="1" x14ac:dyDescent="0.15">
      <c r="B255" s="40"/>
      <c r="C255" s="40"/>
      <c r="D255" s="40"/>
      <c r="E255" s="40"/>
      <c r="F255" s="40"/>
      <c r="G255" s="40"/>
      <c r="H255" s="53"/>
      <c r="R255" s="40"/>
      <c r="S255" s="40"/>
      <c r="T255" s="40"/>
      <c r="U255" s="40"/>
      <c r="V255" s="40"/>
      <c r="X255" s="40"/>
      <c r="Y255" s="40"/>
      <c r="Z255" s="40"/>
      <c r="AA255" s="41"/>
      <c r="AB255" s="41"/>
      <c r="AC255" s="41"/>
      <c r="AD255" s="41"/>
      <c r="AE255" s="41"/>
      <c r="AF255" s="40"/>
      <c r="AG255" s="40"/>
      <c r="AH255" s="5"/>
      <c r="AI255" s="5"/>
      <c r="AJ255" s="40"/>
      <c r="AK255" s="40"/>
      <c r="AL255" s="40"/>
      <c r="AM255" s="40"/>
      <c r="AO255" s="40"/>
      <c r="AQ255" s="40"/>
    </row>
    <row r="256" spans="2:43" ht="12.75" customHeight="1" x14ac:dyDescent="0.15">
      <c r="B256" s="40"/>
      <c r="C256" s="40"/>
      <c r="D256" s="40"/>
      <c r="E256" s="40"/>
      <c r="F256" s="40"/>
      <c r="G256" s="40"/>
      <c r="H256" s="53"/>
      <c r="R256" s="40"/>
      <c r="S256" s="40"/>
      <c r="T256" s="40"/>
      <c r="U256" s="40"/>
      <c r="V256" s="40"/>
      <c r="X256" s="40"/>
      <c r="Y256" s="40"/>
      <c r="Z256" s="40"/>
      <c r="AA256" s="41"/>
      <c r="AB256" s="41"/>
      <c r="AC256" s="41"/>
      <c r="AD256" s="41"/>
      <c r="AE256" s="41"/>
      <c r="AF256" s="40"/>
      <c r="AG256" s="40"/>
      <c r="AH256" s="5"/>
      <c r="AI256" s="5"/>
      <c r="AJ256" s="40"/>
      <c r="AK256" s="40"/>
      <c r="AL256" s="40"/>
      <c r="AM256" s="40"/>
      <c r="AO256" s="40"/>
      <c r="AQ256" s="40"/>
    </row>
    <row r="257" spans="2:43" ht="12.75" customHeight="1" x14ac:dyDescent="0.15">
      <c r="B257" s="40"/>
      <c r="C257" s="40"/>
      <c r="D257" s="40"/>
      <c r="E257" s="40"/>
      <c r="F257" s="40"/>
      <c r="G257" s="40"/>
      <c r="H257" s="53"/>
      <c r="R257" s="40"/>
      <c r="S257" s="40"/>
      <c r="T257" s="40"/>
      <c r="U257" s="40"/>
      <c r="V257" s="40"/>
      <c r="X257" s="40"/>
      <c r="Y257" s="40"/>
      <c r="Z257" s="40"/>
      <c r="AA257" s="41"/>
      <c r="AB257" s="41"/>
      <c r="AC257" s="41"/>
      <c r="AD257" s="41"/>
      <c r="AE257" s="41"/>
      <c r="AF257" s="40"/>
      <c r="AG257" s="40"/>
      <c r="AH257" s="5"/>
      <c r="AI257" s="5"/>
      <c r="AJ257" s="40"/>
      <c r="AK257" s="40"/>
      <c r="AL257" s="40"/>
      <c r="AM257" s="40"/>
      <c r="AO257" s="40"/>
      <c r="AQ257" s="40"/>
    </row>
    <row r="258" spans="2:43" ht="12.75" customHeight="1" x14ac:dyDescent="0.15">
      <c r="B258" s="40"/>
      <c r="C258" s="40"/>
      <c r="D258" s="40"/>
      <c r="E258" s="40"/>
      <c r="F258" s="40"/>
      <c r="G258" s="40"/>
      <c r="H258" s="53"/>
      <c r="R258" s="40"/>
      <c r="S258" s="40"/>
      <c r="T258" s="40"/>
      <c r="U258" s="40"/>
      <c r="V258" s="40"/>
      <c r="X258" s="40"/>
      <c r="Y258" s="40"/>
      <c r="Z258" s="40"/>
      <c r="AA258" s="41"/>
      <c r="AB258" s="41"/>
      <c r="AC258" s="41"/>
      <c r="AD258" s="41"/>
      <c r="AE258" s="41"/>
      <c r="AF258" s="40"/>
      <c r="AG258" s="40"/>
      <c r="AH258" s="5"/>
      <c r="AI258" s="5"/>
      <c r="AJ258" s="40"/>
      <c r="AK258" s="40"/>
      <c r="AL258" s="40"/>
      <c r="AM258" s="40"/>
      <c r="AO258" s="40"/>
      <c r="AQ258" s="40"/>
    </row>
    <row r="259" spans="2:43" ht="12.75" customHeight="1" x14ac:dyDescent="0.15">
      <c r="B259" s="40"/>
      <c r="C259" s="40"/>
      <c r="D259" s="40"/>
      <c r="E259" s="40"/>
      <c r="F259" s="40"/>
      <c r="G259" s="40"/>
      <c r="H259" s="53"/>
      <c r="R259" s="40"/>
      <c r="S259" s="40"/>
      <c r="T259" s="40"/>
      <c r="U259" s="40"/>
      <c r="V259" s="40"/>
      <c r="X259" s="40"/>
      <c r="Y259" s="40"/>
      <c r="Z259" s="40"/>
      <c r="AA259" s="41"/>
      <c r="AB259" s="41"/>
      <c r="AC259" s="41"/>
      <c r="AD259" s="41"/>
      <c r="AE259" s="41"/>
      <c r="AF259" s="40"/>
      <c r="AG259" s="40"/>
      <c r="AH259" s="5"/>
      <c r="AI259" s="5"/>
      <c r="AJ259" s="40"/>
      <c r="AK259" s="40"/>
      <c r="AL259" s="40"/>
      <c r="AM259" s="40"/>
      <c r="AO259" s="40"/>
      <c r="AQ259" s="40"/>
    </row>
    <row r="260" spans="2:43" ht="12.75" customHeight="1" x14ac:dyDescent="0.15">
      <c r="B260" s="40"/>
      <c r="C260" s="40"/>
      <c r="D260" s="40"/>
      <c r="E260" s="40"/>
      <c r="F260" s="40"/>
      <c r="G260" s="40"/>
      <c r="H260" s="53"/>
      <c r="R260" s="40"/>
      <c r="S260" s="40"/>
      <c r="T260" s="40"/>
      <c r="U260" s="40"/>
      <c r="V260" s="40"/>
      <c r="X260" s="40"/>
      <c r="Y260" s="40"/>
      <c r="Z260" s="40"/>
      <c r="AA260" s="41"/>
      <c r="AB260" s="41"/>
      <c r="AC260" s="41"/>
      <c r="AD260" s="41"/>
      <c r="AE260" s="41"/>
      <c r="AF260" s="40"/>
      <c r="AG260" s="40"/>
      <c r="AH260" s="5"/>
      <c r="AI260" s="5"/>
      <c r="AJ260" s="40"/>
      <c r="AK260" s="40"/>
      <c r="AL260" s="40"/>
      <c r="AM260" s="40"/>
      <c r="AO260" s="40"/>
      <c r="AQ260" s="40"/>
    </row>
    <row r="261" spans="2:43" ht="12.75" customHeight="1" x14ac:dyDescent="0.15">
      <c r="B261" s="40"/>
      <c r="C261" s="40"/>
      <c r="D261" s="40"/>
      <c r="E261" s="40"/>
      <c r="F261" s="40"/>
      <c r="G261" s="40"/>
      <c r="H261" s="53"/>
      <c r="R261" s="40"/>
      <c r="S261" s="40"/>
      <c r="T261" s="40"/>
      <c r="U261" s="40"/>
      <c r="V261" s="40"/>
      <c r="X261" s="40"/>
      <c r="Y261" s="40"/>
      <c r="Z261" s="40"/>
      <c r="AA261" s="41"/>
      <c r="AB261" s="41"/>
      <c r="AC261" s="41"/>
      <c r="AD261" s="41"/>
      <c r="AE261" s="41"/>
      <c r="AF261" s="40"/>
      <c r="AG261" s="40"/>
      <c r="AH261" s="5"/>
      <c r="AI261" s="5"/>
      <c r="AJ261" s="40"/>
      <c r="AK261" s="40"/>
      <c r="AL261" s="40"/>
      <c r="AM261" s="40"/>
      <c r="AO261" s="40"/>
      <c r="AQ261" s="40"/>
    </row>
    <row r="262" spans="2:43" ht="12.75" customHeight="1" x14ac:dyDescent="0.15">
      <c r="B262" s="40"/>
      <c r="C262" s="40"/>
      <c r="D262" s="40"/>
      <c r="E262" s="40"/>
      <c r="F262" s="40"/>
      <c r="G262" s="40"/>
      <c r="H262" s="53"/>
      <c r="R262" s="40"/>
      <c r="S262" s="40"/>
      <c r="T262" s="40"/>
      <c r="U262" s="40"/>
      <c r="V262" s="40"/>
      <c r="X262" s="40"/>
      <c r="Y262" s="40"/>
      <c r="Z262" s="40"/>
      <c r="AA262" s="41"/>
      <c r="AB262" s="41"/>
      <c r="AC262" s="41"/>
      <c r="AD262" s="41"/>
      <c r="AE262" s="41"/>
      <c r="AF262" s="40"/>
      <c r="AG262" s="40"/>
      <c r="AH262" s="5"/>
      <c r="AI262" s="5"/>
      <c r="AJ262" s="40"/>
      <c r="AK262" s="40"/>
      <c r="AL262" s="40"/>
      <c r="AM262" s="40"/>
      <c r="AO262" s="40"/>
      <c r="AQ262" s="40"/>
    </row>
    <row r="263" spans="2:43" ht="12.75" customHeight="1" x14ac:dyDescent="0.15">
      <c r="B263" s="40"/>
      <c r="C263" s="40"/>
      <c r="D263" s="40"/>
      <c r="E263" s="40"/>
      <c r="F263" s="40"/>
      <c r="G263" s="40"/>
      <c r="H263" s="53"/>
      <c r="R263" s="40"/>
      <c r="S263" s="40"/>
      <c r="T263" s="40"/>
      <c r="U263" s="40"/>
      <c r="V263" s="40"/>
      <c r="X263" s="40"/>
      <c r="Y263" s="40"/>
      <c r="Z263" s="40"/>
      <c r="AA263" s="41"/>
      <c r="AB263" s="41"/>
      <c r="AC263" s="41"/>
      <c r="AD263" s="41"/>
      <c r="AE263" s="41"/>
      <c r="AF263" s="40"/>
      <c r="AG263" s="40"/>
      <c r="AH263" s="5"/>
      <c r="AI263" s="5"/>
      <c r="AJ263" s="40"/>
      <c r="AK263" s="40"/>
      <c r="AL263" s="40"/>
      <c r="AM263" s="40"/>
      <c r="AO263" s="40"/>
      <c r="AQ263" s="40"/>
    </row>
    <row r="264" spans="2:43" ht="12.75" customHeight="1" x14ac:dyDescent="0.15">
      <c r="B264" s="40"/>
      <c r="C264" s="40"/>
      <c r="D264" s="40"/>
      <c r="E264" s="40"/>
      <c r="F264" s="40"/>
      <c r="G264" s="40"/>
      <c r="H264" s="53"/>
      <c r="R264" s="40"/>
      <c r="S264" s="40"/>
      <c r="T264" s="40"/>
      <c r="U264" s="40"/>
      <c r="V264" s="40"/>
      <c r="X264" s="40"/>
      <c r="Y264" s="40"/>
      <c r="Z264" s="40"/>
      <c r="AA264" s="41"/>
      <c r="AB264" s="41"/>
      <c r="AC264" s="41"/>
      <c r="AD264" s="41"/>
      <c r="AE264" s="41"/>
      <c r="AF264" s="40"/>
      <c r="AG264" s="40"/>
      <c r="AH264" s="5"/>
      <c r="AI264" s="5"/>
      <c r="AJ264" s="40"/>
      <c r="AK264" s="40"/>
      <c r="AL264" s="40"/>
      <c r="AM264" s="40"/>
      <c r="AO264" s="40"/>
      <c r="AQ264" s="40"/>
    </row>
    <row r="265" spans="2:43" ht="12.75" customHeight="1" x14ac:dyDescent="0.15">
      <c r="B265" s="40"/>
      <c r="C265" s="40"/>
      <c r="D265" s="40"/>
      <c r="E265" s="40"/>
      <c r="F265" s="40"/>
      <c r="G265" s="40"/>
      <c r="H265" s="53"/>
      <c r="R265" s="40"/>
      <c r="S265" s="40"/>
      <c r="T265" s="40"/>
      <c r="U265" s="40"/>
      <c r="V265" s="40"/>
      <c r="X265" s="40"/>
      <c r="Y265" s="40"/>
      <c r="Z265" s="40"/>
      <c r="AA265" s="41"/>
      <c r="AB265" s="41"/>
      <c r="AC265" s="41"/>
      <c r="AD265" s="41"/>
      <c r="AE265" s="41"/>
      <c r="AF265" s="40"/>
      <c r="AG265" s="40"/>
      <c r="AH265" s="5"/>
      <c r="AI265" s="5"/>
      <c r="AJ265" s="40"/>
      <c r="AK265" s="40"/>
      <c r="AL265" s="40"/>
      <c r="AM265" s="40"/>
      <c r="AO265" s="40"/>
      <c r="AQ265" s="40"/>
    </row>
    <row r="266" spans="2:43" ht="12.75" customHeight="1" x14ac:dyDescent="0.15">
      <c r="B266" s="40"/>
      <c r="C266" s="40"/>
      <c r="D266" s="40"/>
      <c r="E266" s="40"/>
      <c r="F266" s="40"/>
      <c r="G266" s="40"/>
      <c r="H266" s="53"/>
      <c r="R266" s="40"/>
      <c r="S266" s="40"/>
      <c r="T266" s="40"/>
      <c r="U266" s="40"/>
      <c r="V266" s="40"/>
      <c r="X266" s="40"/>
      <c r="Y266" s="40"/>
      <c r="Z266" s="40"/>
      <c r="AA266" s="41"/>
      <c r="AB266" s="41"/>
      <c r="AC266" s="41"/>
      <c r="AD266" s="41"/>
      <c r="AE266" s="41"/>
      <c r="AF266" s="40"/>
      <c r="AG266" s="40"/>
      <c r="AH266" s="5"/>
      <c r="AI266" s="5"/>
      <c r="AJ266" s="40"/>
      <c r="AK266" s="40"/>
      <c r="AL266" s="40"/>
      <c r="AM266" s="40"/>
      <c r="AO266" s="40"/>
      <c r="AQ266" s="40"/>
    </row>
    <row r="267" spans="2:43" ht="12.75" customHeight="1" x14ac:dyDescent="0.15">
      <c r="B267" s="40"/>
      <c r="C267" s="40"/>
      <c r="D267" s="40"/>
      <c r="E267" s="40"/>
      <c r="F267" s="40"/>
      <c r="G267" s="40"/>
      <c r="H267" s="53"/>
      <c r="R267" s="40"/>
      <c r="S267" s="40"/>
      <c r="T267" s="40"/>
      <c r="U267" s="40"/>
      <c r="V267" s="40"/>
      <c r="X267" s="40"/>
      <c r="Y267" s="40"/>
      <c r="Z267" s="40"/>
      <c r="AA267" s="41"/>
      <c r="AB267" s="41"/>
      <c r="AC267" s="41"/>
      <c r="AD267" s="41"/>
      <c r="AE267" s="41"/>
      <c r="AF267" s="40"/>
      <c r="AG267" s="40"/>
      <c r="AH267" s="5"/>
      <c r="AI267" s="5"/>
      <c r="AJ267" s="40"/>
      <c r="AK267" s="40"/>
      <c r="AL267" s="40"/>
      <c r="AM267" s="40"/>
      <c r="AO267" s="40"/>
      <c r="AQ267" s="40"/>
    </row>
    <row r="268" spans="2:43" ht="12.75" customHeight="1" x14ac:dyDescent="0.15">
      <c r="B268" s="40"/>
      <c r="C268" s="40"/>
      <c r="D268" s="40"/>
      <c r="E268" s="40"/>
      <c r="F268" s="40"/>
      <c r="G268" s="40"/>
      <c r="H268" s="53"/>
      <c r="R268" s="40"/>
      <c r="S268" s="40"/>
      <c r="T268" s="40"/>
      <c r="U268" s="40"/>
      <c r="V268" s="40"/>
      <c r="X268" s="40"/>
      <c r="Y268" s="40"/>
      <c r="Z268" s="40"/>
      <c r="AA268" s="41"/>
      <c r="AB268" s="41"/>
      <c r="AC268" s="41"/>
      <c r="AD268" s="41"/>
      <c r="AE268" s="41"/>
      <c r="AF268" s="40"/>
      <c r="AG268" s="40"/>
      <c r="AH268" s="5"/>
      <c r="AI268" s="5"/>
      <c r="AJ268" s="40"/>
      <c r="AK268" s="40"/>
      <c r="AL268" s="40"/>
      <c r="AM268" s="40"/>
      <c r="AO268" s="40"/>
      <c r="AQ268" s="40"/>
    </row>
    <row r="269" spans="2:43" ht="12.75" customHeight="1" x14ac:dyDescent="0.15">
      <c r="B269" s="40"/>
      <c r="C269" s="40"/>
      <c r="D269" s="40"/>
      <c r="E269" s="40"/>
      <c r="F269" s="40"/>
      <c r="G269" s="40"/>
      <c r="H269" s="53"/>
      <c r="R269" s="40"/>
      <c r="S269" s="40"/>
      <c r="T269" s="40"/>
      <c r="U269" s="40"/>
      <c r="V269" s="40"/>
      <c r="X269" s="40"/>
      <c r="Y269" s="40"/>
      <c r="Z269" s="40"/>
      <c r="AA269" s="41"/>
      <c r="AB269" s="41"/>
      <c r="AC269" s="41"/>
      <c r="AD269" s="41"/>
      <c r="AE269" s="41"/>
      <c r="AF269" s="40"/>
      <c r="AG269" s="40"/>
      <c r="AH269" s="5"/>
      <c r="AI269" s="5"/>
      <c r="AJ269" s="40"/>
      <c r="AK269" s="40"/>
      <c r="AL269" s="40"/>
      <c r="AM269" s="40"/>
      <c r="AO269" s="40"/>
      <c r="AQ269" s="40"/>
    </row>
    <row r="270" spans="2:43" ht="12.75" customHeight="1" x14ac:dyDescent="0.15">
      <c r="B270" s="40"/>
      <c r="C270" s="40"/>
      <c r="D270" s="40"/>
      <c r="E270" s="40"/>
      <c r="F270" s="40"/>
      <c r="G270" s="40"/>
      <c r="H270" s="53"/>
      <c r="R270" s="40"/>
      <c r="S270" s="40"/>
      <c r="T270" s="40"/>
      <c r="U270" s="40"/>
      <c r="V270" s="40"/>
      <c r="X270" s="40"/>
      <c r="Y270" s="40"/>
      <c r="Z270" s="40"/>
      <c r="AA270" s="41"/>
      <c r="AB270" s="41"/>
      <c r="AC270" s="41"/>
      <c r="AD270" s="41"/>
      <c r="AE270" s="41"/>
      <c r="AF270" s="40"/>
      <c r="AG270" s="40"/>
      <c r="AH270" s="5"/>
      <c r="AI270" s="5"/>
      <c r="AJ270" s="40"/>
      <c r="AK270" s="40"/>
      <c r="AL270" s="40"/>
      <c r="AM270" s="40"/>
      <c r="AO270" s="40"/>
      <c r="AQ270" s="40"/>
    </row>
    <row r="271" spans="2:43" ht="12.75" customHeight="1" x14ac:dyDescent="0.15">
      <c r="B271" s="40"/>
      <c r="C271" s="40"/>
      <c r="D271" s="40"/>
      <c r="E271" s="40"/>
      <c r="F271" s="40"/>
      <c r="G271" s="40"/>
      <c r="H271" s="53"/>
      <c r="R271" s="40"/>
      <c r="S271" s="40"/>
      <c r="T271" s="40"/>
      <c r="U271" s="40"/>
      <c r="V271" s="40"/>
      <c r="X271" s="40"/>
      <c r="Y271" s="40"/>
      <c r="Z271" s="40"/>
      <c r="AA271" s="41"/>
      <c r="AB271" s="41"/>
      <c r="AC271" s="41"/>
      <c r="AD271" s="41"/>
      <c r="AE271" s="41"/>
      <c r="AF271" s="40"/>
      <c r="AG271" s="40"/>
      <c r="AH271" s="5"/>
      <c r="AI271" s="5"/>
      <c r="AJ271" s="40"/>
      <c r="AK271" s="40"/>
      <c r="AL271" s="40"/>
      <c r="AM271" s="40"/>
      <c r="AO271" s="40"/>
      <c r="AQ271" s="40"/>
    </row>
    <row r="272" spans="2:43" ht="12.75" customHeight="1" x14ac:dyDescent="0.15">
      <c r="B272" s="40"/>
      <c r="C272" s="40"/>
      <c r="D272" s="40"/>
      <c r="E272" s="40"/>
      <c r="F272" s="40"/>
      <c r="G272" s="40"/>
      <c r="H272" s="53"/>
      <c r="R272" s="40"/>
      <c r="S272" s="40"/>
      <c r="T272" s="40"/>
      <c r="U272" s="40"/>
      <c r="V272" s="40"/>
      <c r="X272" s="40"/>
      <c r="Y272" s="40"/>
      <c r="Z272" s="40"/>
      <c r="AA272" s="41"/>
      <c r="AB272" s="41"/>
      <c r="AC272" s="41"/>
      <c r="AD272" s="41"/>
      <c r="AE272" s="41"/>
      <c r="AF272" s="40"/>
      <c r="AG272" s="40"/>
      <c r="AH272" s="5"/>
      <c r="AI272" s="5"/>
      <c r="AJ272" s="40"/>
      <c r="AK272" s="40"/>
      <c r="AL272" s="40"/>
      <c r="AM272" s="40"/>
      <c r="AO272" s="40"/>
      <c r="AQ272" s="40"/>
    </row>
    <row r="273" spans="2:43" ht="12.75" customHeight="1" x14ac:dyDescent="0.15">
      <c r="B273" s="40"/>
      <c r="C273" s="40"/>
      <c r="D273" s="40"/>
      <c r="E273" s="40"/>
      <c r="F273" s="40"/>
      <c r="G273" s="40"/>
      <c r="H273" s="53"/>
      <c r="R273" s="40"/>
      <c r="S273" s="40"/>
      <c r="T273" s="40"/>
      <c r="U273" s="40"/>
      <c r="V273" s="40"/>
      <c r="X273" s="40"/>
      <c r="Y273" s="40"/>
      <c r="Z273" s="40"/>
      <c r="AA273" s="41"/>
      <c r="AB273" s="41"/>
      <c r="AC273" s="41"/>
      <c r="AD273" s="41"/>
      <c r="AE273" s="41"/>
      <c r="AF273" s="40"/>
      <c r="AG273" s="40"/>
      <c r="AH273" s="5"/>
      <c r="AI273" s="5"/>
      <c r="AJ273" s="40"/>
      <c r="AK273" s="40"/>
      <c r="AL273" s="40"/>
      <c r="AM273" s="40"/>
      <c r="AO273" s="40"/>
      <c r="AQ273" s="40"/>
    </row>
    <row r="274" spans="2:43" ht="12.75" customHeight="1" x14ac:dyDescent="0.15">
      <c r="B274" s="40"/>
      <c r="C274" s="40"/>
      <c r="D274" s="40"/>
      <c r="E274" s="40"/>
      <c r="F274" s="40"/>
      <c r="G274" s="40"/>
      <c r="H274" s="53"/>
      <c r="R274" s="40"/>
      <c r="S274" s="40"/>
      <c r="T274" s="40"/>
      <c r="U274" s="40"/>
      <c r="V274" s="40"/>
      <c r="X274" s="40"/>
      <c r="Y274" s="40"/>
      <c r="Z274" s="40"/>
      <c r="AA274" s="41"/>
      <c r="AB274" s="41"/>
      <c r="AC274" s="41"/>
      <c r="AD274" s="41"/>
      <c r="AE274" s="41"/>
      <c r="AF274" s="40"/>
      <c r="AG274" s="40"/>
      <c r="AH274" s="5"/>
      <c r="AI274" s="5"/>
      <c r="AJ274" s="40"/>
      <c r="AK274" s="40"/>
      <c r="AL274" s="40"/>
      <c r="AM274" s="40"/>
      <c r="AO274" s="40"/>
      <c r="AQ274" s="40"/>
    </row>
    <row r="275" spans="2:43" ht="12.75" customHeight="1" x14ac:dyDescent="0.15">
      <c r="B275" s="40"/>
      <c r="C275" s="40"/>
      <c r="D275" s="40"/>
      <c r="E275" s="40"/>
      <c r="F275" s="40"/>
      <c r="G275" s="40"/>
      <c r="H275" s="53"/>
      <c r="R275" s="40"/>
      <c r="S275" s="40"/>
      <c r="T275" s="40"/>
      <c r="U275" s="40"/>
      <c r="V275" s="40"/>
      <c r="X275" s="40"/>
      <c r="Y275" s="40"/>
      <c r="Z275" s="40"/>
      <c r="AA275" s="41"/>
      <c r="AB275" s="41"/>
      <c r="AC275" s="41"/>
      <c r="AD275" s="41"/>
      <c r="AE275" s="41"/>
      <c r="AF275" s="40"/>
      <c r="AG275" s="40"/>
      <c r="AH275" s="5"/>
      <c r="AI275" s="5"/>
      <c r="AJ275" s="40"/>
      <c r="AK275" s="40"/>
      <c r="AL275" s="40"/>
      <c r="AM275" s="40"/>
      <c r="AO275" s="40"/>
      <c r="AQ275" s="40"/>
    </row>
    <row r="276" spans="2:43" ht="12.75" customHeight="1" x14ac:dyDescent="0.15">
      <c r="B276" s="40"/>
      <c r="C276" s="40"/>
      <c r="D276" s="40"/>
      <c r="E276" s="40"/>
      <c r="F276" s="40"/>
      <c r="G276" s="40"/>
      <c r="H276" s="53"/>
      <c r="R276" s="40"/>
      <c r="S276" s="40"/>
      <c r="T276" s="40"/>
      <c r="U276" s="40"/>
      <c r="V276" s="40"/>
      <c r="X276" s="40"/>
      <c r="Y276" s="40"/>
      <c r="Z276" s="40"/>
      <c r="AA276" s="41"/>
      <c r="AB276" s="41"/>
      <c r="AC276" s="41"/>
      <c r="AD276" s="41"/>
      <c r="AE276" s="41"/>
      <c r="AF276" s="40"/>
      <c r="AG276" s="40"/>
      <c r="AH276" s="5"/>
      <c r="AI276" s="5"/>
      <c r="AJ276" s="40"/>
      <c r="AK276" s="40"/>
      <c r="AL276" s="40"/>
      <c r="AM276" s="40"/>
      <c r="AO276" s="40"/>
      <c r="AQ276" s="40"/>
    </row>
    <row r="277" spans="2:43" ht="12.75" customHeight="1" x14ac:dyDescent="0.15">
      <c r="B277" s="40"/>
      <c r="C277" s="40"/>
      <c r="D277" s="40"/>
      <c r="E277" s="40"/>
      <c r="F277" s="40"/>
      <c r="G277" s="40"/>
      <c r="H277" s="53"/>
      <c r="R277" s="40"/>
      <c r="S277" s="40"/>
      <c r="T277" s="40"/>
      <c r="U277" s="40"/>
      <c r="V277" s="40"/>
      <c r="X277" s="40"/>
      <c r="Y277" s="40"/>
      <c r="Z277" s="40"/>
      <c r="AA277" s="41"/>
      <c r="AB277" s="41"/>
      <c r="AC277" s="41"/>
      <c r="AD277" s="41"/>
      <c r="AE277" s="41"/>
      <c r="AF277" s="40"/>
      <c r="AG277" s="40"/>
      <c r="AH277" s="5"/>
      <c r="AI277" s="5"/>
      <c r="AJ277" s="40"/>
      <c r="AK277" s="40"/>
      <c r="AL277" s="40"/>
      <c r="AM277" s="40"/>
      <c r="AO277" s="40"/>
      <c r="AQ277" s="40"/>
    </row>
    <row r="278" spans="2:43" ht="12.75" customHeight="1" x14ac:dyDescent="0.15">
      <c r="B278" s="40"/>
      <c r="C278" s="40"/>
      <c r="D278" s="40"/>
      <c r="E278" s="40"/>
      <c r="F278" s="40"/>
      <c r="G278" s="40"/>
      <c r="H278" s="53"/>
      <c r="R278" s="40"/>
      <c r="S278" s="40"/>
      <c r="T278" s="40"/>
      <c r="U278" s="40"/>
      <c r="V278" s="40"/>
      <c r="X278" s="40"/>
      <c r="Y278" s="40"/>
      <c r="Z278" s="40"/>
      <c r="AA278" s="41"/>
      <c r="AB278" s="41"/>
      <c r="AC278" s="41"/>
      <c r="AD278" s="41"/>
      <c r="AE278" s="41"/>
      <c r="AF278" s="40"/>
      <c r="AG278" s="40"/>
      <c r="AH278" s="5"/>
      <c r="AI278" s="5"/>
      <c r="AJ278" s="40"/>
      <c r="AK278" s="40"/>
      <c r="AL278" s="40"/>
      <c r="AM278" s="40"/>
      <c r="AO278" s="40"/>
      <c r="AQ278" s="40"/>
    </row>
    <row r="279" spans="2:43" ht="12.75" customHeight="1" x14ac:dyDescent="0.15">
      <c r="B279" s="40"/>
      <c r="C279" s="40"/>
      <c r="D279" s="40"/>
      <c r="E279" s="40"/>
      <c r="F279" s="40"/>
      <c r="G279" s="40"/>
      <c r="H279" s="53"/>
      <c r="R279" s="40"/>
      <c r="S279" s="40"/>
      <c r="T279" s="40"/>
      <c r="U279" s="40"/>
      <c r="V279" s="40"/>
      <c r="X279" s="40"/>
      <c r="Y279" s="40"/>
      <c r="Z279" s="40"/>
      <c r="AA279" s="41"/>
      <c r="AB279" s="41"/>
      <c r="AC279" s="41"/>
      <c r="AD279" s="41"/>
      <c r="AE279" s="41"/>
      <c r="AF279" s="40"/>
      <c r="AG279" s="40"/>
      <c r="AH279" s="5"/>
      <c r="AI279" s="5"/>
      <c r="AJ279" s="40"/>
      <c r="AK279" s="40"/>
      <c r="AL279" s="40"/>
      <c r="AM279" s="40"/>
      <c r="AO279" s="40"/>
      <c r="AQ279" s="40"/>
    </row>
    <row r="280" spans="2:43" ht="12.75" customHeight="1" x14ac:dyDescent="0.15">
      <c r="B280" s="40"/>
      <c r="C280" s="40"/>
      <c r="D280" s="40"/>
      <c r="E280" s="40"/>
      <c r="F280" s="40"/>
      <c r="G280" s="40"/>
      <c r="H280" s="53"/>
      <c r="R280" s="40"/>
      <c r="S280" s="40"/>
      <c r="T280" s="40"/>
      <c r="U280" s="40"/>
      <c r="V280" s="40"/>
      <c r="X280" s="40"/>
      <c r="Y280" s="40"/>
      <c r="Z280" s="40"/>
      <c r="AA280" s="41"/>
      <c r="AB280" s="41"/>
      <c r="AC280" s="41"/>
      <c r="AD280" s="41"/>
      <c r="AE280" s="41"/>
      <c r="AF280" s="40"/>
      <c r="AG280" s="40"/>
      <c r="AH280" s="5"/>
      <c r="AI280" s="5"/>
      <c r="AJ280" s="40"/>
      <c r="AK280" s="40"/>
      <c r="AL280" s="40"/>
      <c r="AM280" s="40"/>
      <c r="AO280" s="40"/>
      <c r="AQ280" s="40"/>
    </row>
    <row r="281" spans="2:43" ht="12.75" customHeight="1" x14ac:dyDescent="0.15">
      <c r="B281" s="40"/>
      <c r="C281" s="40"/>
      <c r="D281" s="40"/>
      <c r="E281" s="40"/>
      <c r="F281" s="40"/>
      <c r="G281" s="40"/>
      <c r="H281" s="53"/>
      <c r="R281" s="40"/>
      <c r="S281" s="40"/>
      <c r="T281" s="40"/>
      <c r="U281" s="40"/>
      <c r="V281" s="40"/>
      <c r="X281" s="40"/>
      <c r="Y281" s="40"/>
      <c r="Z281" s="40"/>
      <c r="AA281" s="41"/>
      <c r="AB281" s="41"/>
      <c r="AC281" s="41"/>
      <c r="AD281" s="41"/>
      <c r="AE281" s="41"/>
      <c r="AF281" s="40"/>
      <c r="AG281" s="40"/>
      <c r="AH281" s="5"/>
      <c r="AI281" s="5"/>
      <c r="AJ281" s="40"/>
      <c r="AK281" s="40"/>
      <c r="AL281" s="40"/>
      <c r="AM281" s="40"/>
      <c r="AO281" s="40"/>
      <c r="AQ281" s="40"/>
    </row>
    <row r="282" spans="2:43" ht="12.75" customHeight="1" x14ac:dyDescent="0.15">
      <c r="B282" s="40"/>
      <c r="C282" s="40"/>
      <c r="D282" s="40"/>
      <c r="E282" s="40"/>
      <c r="F282" s="40"/>
      <c r="G282" s="40"/>
      <c r="H282" s="53"/>
      <c r="R282" s="40"/>
      <c r="S282" s="40"/>
      <c r="T282" s="40"/>
      <c r="U282" s="40"/>
      <c r="V282" s="40"/>
      <c r="X282" s="40"/>
      <c r="Y282" s="40"/>
      <c r="Z282" s="40"/>
      <c r="AA282" s="41"/>
      <c r="AB282" s="41"/>
      <c r="AC282" s="41"/>
      <c r="AD282" s="41"/>
      <c r="AE282" s="41"/>
      <c r="AF282" s="40"/>
      <c r="AG282" s="40"/>
      <c r="AH282" s="5"/>
      <c r="AI282" s="5"/>
      <c r="AJ282" s="40"/>
      <c r="AK282" s="40"/>
      <c r="AL282" s="40"/>
      <c r="AM282" s="40"/>
      <c r="AO282" s="40"/>
      <c r="AQ282" s="40"/>
    </row>
    <row r="283" spans="2:43" ht="12.75" customHeight="1" x14ac:dyDescent="0.15">
      <c r="B283" s="40"/>
      <c r="C283" s="40"/>
      <c r="D283" s="40"/>
      <c r="E283" s="40"/>
      <c r="F283" s="40"/>
      <c r="G283" s="40"/>
      <c r="H283" s="53"/>
      <c r="R283" s="40"/>
      <c r="S283" s="40"/>
      <c r="T283" s="40"/>
      <c r="U283" s="40"/>
      <c r="V283" s="40"/>
      <c r="X283" s="40"/>
      <c r="Y283" s="40"/>
      <c r="Z283" s="40"/>
      <c r="AA283" s="41"/>
      <c r="AB283" s="41"/>
      <c r="AC283" s="41"/>
      <c r="AD283" s="41"/>
      <c r="AE283" s="41"/>
      <c r="AF283" s="40"/>
      <c r="AG283" s="40"/>
      <c r="AH283" s="5"/>
      <c r="AI283" s="5"/>
      <c r="AJ283" s="40"/>
      <c r="AK283" s="40"/>
      <c r="AL283" s="40"/>
      <c r="AM283" s="40"/>
      <c r="AO283" s="40"/>
      <c r="AQ283" s="40"/>
    </row>
    <row r="284" spans="2:43" ht="12.75" customHeight="1" x14ac:dyDescent="0.15">
      <c r="B284" s="40"/>
      <c r="C284" s="40"/>
      <c r="D284" s="40"/>
      <c r="E284" s="40"/>
      <c r="F284" s="40"/>
      <c r="G284" s="40"/>
      <c r="H284" s="53"/>
      <c r="R284" s="40"/>
      <c r="S284" s="40"/>
      <c r="T284" s="40"/>
      <c r="U284" s="40"/>
      <c r="V284" s="40"/>
      <c r="X284" s="40"/>
      <c r="Y284" s="40"/>
      <c r="Z284" s="40"/>
      <c r="AA284" s="41"/>
      <c r="AB284" s="41"/>
      <c r="AC284" s="41"/>
      <c r="AD284" s="41"/>
      <c r="AE284" s="41"/>
      <c r="AF284" s="40"/>
      <c r="AG284" s="40"/>
      <c r="AH284" s="5"/>
      <c r="AI284" s="5"/>
      <c r="AJ284" s="40"/>
      <c r="AK284" s="40"/>
      <c r="AL284" s="40"/>
      <c r="AM284" s="40"/>
      <c r="AO284" s="40"/>
      <c r="AQ284" s="40"/>
    </row>
    <row r="285" spans="2:43" ht="12.75" customHeight="1" x14ac:dyDescent="0.15">
      <c r="B285" s="40"/>
      <c r="C285" s="40"/>
      <c r="D285" s="40"/>
      <c r="E285" s="40"/>
      <c r="F285" s="40"/>
      <c r="G285" s="40"/>
      <c r="H285" s="53"/>
      <c r="R285" s="40"/>
      <c r="S285" s="40"/>
      <c r="T285" s="40"/>
      <c r="U285" s="40"/>
      <c r="V285" s="40"/>
      <c r="X285" s="40"/>
      <c r="Y285" s="40"/>
      <c r="Z285" s="40"/>
      <c r="AA285" s="41"/>
      <c r="AB285" s="41"/>
      <c r="AC285" s="41"/>
      <c r="AD285" s="41"/>
      <c r="AE285" s="41"/>
      <c r="AF285" s="40"/>
      <c r="AG285" s="40"/>
      <c r="AH285" s="5"/>
      <c r="AI285" s="5"/>
      <c r="AJ285" s="40"/>
      <c r="AK285" s="40"/>
      <c r="AL285" s="40"/>
      <c r="AM285" s="40"/>
      <c r="AO285" s="40"/>
      <c r="AQ285" s="40"/>
    </row>
    <row r="286" spans="2:43" ht="12.75" customHeight="1" x14ac:dyDescent="0.15">
      <c r="B286" s="40"/>
      <c r="C286" s="40"/>
      <c r="D286" s="40"/>
      <c r="E286" s="40"/>
      <c r="F286" s="40"/>
      <c r="G286" s="40"/>
      <c r="H286" s="53"/>
      <c r="R286" s="40"/>
      <c r="S286" s="40"/>
      <c r="T286" s="40"/>
      <c r="U286" s="40"/>
      <c r="V286" s="40"/>
      <c r="X286" s="40"/>
      <c r="Y286" s="40"/>
      <c r="Z286" s="40"/>
      <c r="AA286" s="41"/>
      <c r="AB286" s="41"/>
      <c r="AC286" s="41"/>
      <c r="AD286" s="41"/>
      <c r="AE286" s="41"/>
      <c r="AF286" s="40"/>
      <c r="AG286" s="40"/>
      <c r="AH286" s="5"/>
      <c r="AI286" s="5"/>
      <c r="AJ286" s="40"/>
      <c r="AK286" s="40"/>
      <c r="AL286" s="40"/>
      <c r="AM286" s="40"/>
      <c r="AO286" s="40"/>
      <c r="AQ286" s="40"/>
    </row>
    <row r="287" spans="2:43" ht="12.75" customHeight="1" x14ac:dyDescent="0.15">
      <c r="B287" s="40"/>
      <c r="C287" s="40"/>
      <c r="D287" s="40"/>
      <c r="E287" s="40"/>
      <c r="F287" s="40"/>
      <c r="G287" s="40"/>
      <c r="H287" s="53"/>
      <c r="R287" s="40"/>
      <c r="S287" s="40"/>
      <c r="T287" s="40"/>
      <c r="U287" s="40"/>
      <c r="V287" s="40"/>
      <c r="X287" s="40"/>
      <c r="Y287" s="40"/>
      <c r="Z287" s="40"/>
      <c r="AA287" s="41"/>
      <c r="AB287" s="41"/>
      <c r="AC287" s="41"/>
      <c r="AD287" s="41"/>
      <c r="AE287" s="41"/>
      <c r="AF287" s="40"/>
      <c r="AG287" s="40"/>
      <c r="AH287" s="5"/>
      <c r="AI287" s="5"/>
      <c r="AJ287" s="40"/>
      <c r="AK287" s="40"/>
      <c r="AL287" s="40"/>
      <c r="AM287" s="40"/>
      <c r="AO287" s="40"/>
      <c r="AQ287" s="40"/>
    </row>
    <row r="288" spans="2:43" ht="12.75" customHeight="1" x14ac:dyDescent="0.15">
      <c r="B288" s="40"/>
      <c r="C288" s="40"/>
      <c r="D288" s="40"/>
      <c r="E288" s="40"/>
      <c r="F288" s="40"/>
      <c r="G288" s="40"/>
      <c r="H288" s="53"/>
      <c r="R288" s="40"/>
      <c r="S288" s="40"/>
      <c r="T288" s="40"/>
      <c r="U288" s="40"/>
      <c r="V288" s="40"/>
      <c r="X288" s="40"/>
      <c r="Y288" s="40"/>
      <c r="Z288" s="40"/>
      <c r="AA288" s="41"/>
      <c r="AB288" s="41"/>
      <c r="AC288" s="41"/>
      <c r="AD288" s="41"/>
      <c r="AE288" s="41"/>
      <c r="AF288" s="40"/>
      <c r="AG288" s="40"/>
      <c r="AH288" s="5"/>
      <c r="AI288" s="5"/>
      <c r="AJ288" s="40"/>
      <c r="AK288" s="40"/>
      <c r="AL288" s="40"/>
      <c r="AM288" s="40"/>
      <c r="AO288" s="40"/>
      <c r="AQ288" s="40"/>
    </row>
    <row r="289" spans="2:43" ht="12.75" customHeight="1" x14ac:dyDescent="0.15">
      <c r="B289" s="40"/>
      <c r="C289" s="40"/>
      <c r="D289" s="40"/>
      <c r="E289" s="40"/>
      <c r="F289" s="40"/>
      <c r="G289" s="40"/>
      <c r="H289" s="53"/>
      <c r="R289" s="40"/>
      <c r="S289" s="40"/>
      <c r="T289" s="40"/>
      <c r="U289" s="40"/>
      <c r="V289" s="40"/>
      <c r="X289" s="40"/>
      <c r="Y289" s="40"/>
      <c r="Z289" s="40"/>
      <c r="AA289" s="41"/>
      <c r="AB289" s="41"/>
      <c r="AC289" s="41"/>
      <c r="AD289" s="41"/>
      <c r="AE289" s="41"/>
      <c r="AF289" s="40"/>
      <c r="AG289" s="40"/>
      <c r="AH289" s="5"/>
      <c r="AI289" s="5"/>
      <c r="AJ289" s="40"/>
      <c r="AK289" s="40"/>
      <c r="AL289" s="40"/>
      <c r="AM289" s="40"/>
      <c r="AO289" s="40"/>
      <c r="AQ289" s="40"/>
    </row>
    <row r="290" spans="2:43" ht="12.75" customHeight="1" x14ac:dyDescent="0.15">
      <c r="B290" s="40"/>
      <c r="C290" s="40"/>
      <c r="D290" s="40"/>
      <c r="E290" s="40"/>
      <c r="F290" s="40"/>
      <c r="G290" s="40"/>
      <c r="H290" s="53"/>
      <c r="R290" s="40"/>
      <c r="S290" s="40"/>
      <c r="T290" s="40"/>
      <c r="U290" s="40"/>
      <c r="V290" s="40"/>
      <c r="X290" s="40"/>
      <c r="Y290" s="40"/>
      <c r="Z290" s="40"/>
      <c r="AA290" s="41"/>
      <c r="AB290" s="41"/>
      <c r="AC290" s="41"/>
      <c r="AD290" s="41"/>
      <c r="AE290" s="41"/>
      <c r="AF290" s="40"/>
      <c r="AG290" s="40"/>
      <c r="AH290" s="5"/>
      <c r="AI290" s="5"/>
      <c r="AJ290" s="40"/>
      <c r="AK290" s="40"/>
      <c r="AL290" s="40"/>
      <c r="AM290" s="40"/>
      <c r="AO290" s="40"/>
      <c r="AQ290" s="40"/>
    </row>
    <row r="291" spans="2:43" ht="12.75" customHeight="1" x14ac:dyDescent="0.15">
      <c r="B291" s="40"/>
      <c r="C291" s="40"/>
      <c r="D291" s="40"/>
      <c r="E291" s="40"/>
      <c r="F291" s="40"/>
      <c r="G291" s="40"/>
      <c r="H291" s="53"/>
      <c r="R291" s="40"/>
      <c r="S291" s="40"/>
      <c r="T291" s="40"/>
      <c r="U291" s="40"/>
      <c r="V291" s="40"/>
      <c r="X291" s="40"/>
      <c r="Y291" s="40"/>
      <c r="Z291" s="40"/>
      <c r="AA291" s="41"/>
      <c r="AB291" s="41"/>
      <c r="AC291" s="41"/>
      <c r="AD291" s="41"/>
      <c r="AE291" s="41"/>
      <c r="AF291" s="40"/>
      <c r="AG291" s="40"/>
      <c r="AH291" s="5"/>
      <c r="AI291" s="5"/>
      <c r="AJ291" s="40"/>
      <c r="AK291" s="40"/>
      <c r="AL291" s="40"/>
      <c r="AM291" s="40"/>
      <c r="AO291" s="40"/>
      <c r="AQ291" s="40"/>
    </row>
    <row r="292" spans="2:43" ht="12.75" customHeight="1" x14ac:dyDescent="0.15">
      <c r="B292" s="40"/>
      <c r="C292" s="40"/>
      <c r="D292" s="40"/>
      <c r="E292" s="40"/>
      <c r="F292" s="40"/>
      <c r="G292" s="40"/>
      <c r="H292" s="53"/>
      <c r="R292" s="40"/>
      <c r="S292" s="40"/>
      <c r="T292" s="40"/>
      <c r="U292" s="40"/>
      <c r="V292" s="40"/>
      <c r="X292" s="40"/>
      <c r="Y292" s="40"/>
      <c r="Z292" s="40"/>
      <c r="AA292" s="41"/>
      <c r="AB292" s="41"/>
      <c r="AC292" s="41"/>
      <c r="AD292" s="41"/>
      <c r="AE292" s="41"/>
      <c r="AF292" s="40"/>
      <c r="AG292" s="40"/>
      <c r="AH292" s="5"/>
      <c r="AI292" s="5"/>
      <c r="AJ292" s="40"/>
      <c r="AK292" s="40"/>
      <c r="AL292" s="40"/>
      <c r="AM292" s="40"/>
      <c r="AO292" s="40"/>
      <c r="AQ292" s="40"/>
    </row>
    <row r="293" spans="2:43" ht="12.75" customHeight="1" x14ac:dyDescent="0.15">
      <c r="B293" s="40"/>
      <c r="C293" s="40"/>
      <c r="D293" s="40"/>
      <c r="E293" s="40"/>
      <c r="F293" s="40"/>
      <c r="G293" s="40"/>
      <c r="H293" s="53"/>
      <c r="R293" s="40"/>
      <c r="S293" s="40"/>
      <c r="T293" s="40"/>
      <c r="U293" s="40"/>
      <c r="V293" s="40"/>
      <c r="X293" s="40"/>
      <c r="Y293" s="40"/>
      <c r="Z293" s="40"/>
      <c r="AA293" s="41"/>
      <c r="AB293" s="41"/>
      <c r="AC293" s="41"/>
      <c r="AD293" s="41"/>
      <c r="AE293" s="41"/>
      <c r="AF293" s="40"/>
      <c r="AG293" s="40"/>
      <c r="AH293" s="5"/>
      <c r="AI293" s="5"/>
      <c r="AJ293" s="40"/>
      <c r="AK293" s="40"/>
      <c r="AL293" s="40"/>
      <c r="AM293" s="40"/>
      <c r="AO293" s="40"/>
      <c r="AQ293" s="40"/>
    </row>
    <row r="294" spans="2:43" ht="12.75" customHeight="1" x14ac:dyDescent="0.15">
      <c r="B294" s="40"/>
      <c r="C294" s="40"/>
      <c r="D294" s="40"/>
      <c r="E294" s="40"/>
      <c r="F294" s="40"/>
      <c r="G294" s="40"/>
      <c r="H294" s="53"/>
      <c r="R294" s="40"/>
      <c r="S294" s="40"/>
      <c r="T294" s="40"/>
      <c r="U294" s="40"/>
      <c r="V294" s="40"/>
      <c r="X294" s="40"/>
      <c r="Y294" s="40"/>
      <c r="Z294" s="40"/>
      <c r="AA294" s="41"/>
      <c r="AB294" s="41"/>
      <c r="AC294" s="41"/>
      <c r="AD294" s="41"/>
      <c r="AE294" s="41"/>
      <c r="AF294" s="40"/>
      <c r="AG294" s="40"/>
      <c r="AH294" s="5"/>
      <c r="AI294" s="5"/>
      <c r="AJ294" s="40"/>
      <c r="AK294" s="40"/>
      <c r="AL294" s="40"/>
      <c r="AM294" s="40"/>
      <c r="AO294" s="40"/>
      <c r="AQ294" s="40"/>
    </row>
    <row r="295" spans="2:43" ht="12.75" customHeight="1" x14ac:dyDescent="0.15">
      <c r="B295" s="40"/>
      <c r="C295" s="40"/>
      <c r="D295" s="40"/>
      <c r="E295" s="40"/>
      <c r="F295" s="40"/>
      <c r="G295" s="40"/>
      <c r="H295" s="53"/>
      <c r="R295" s="40"/>
      <c r="S295" s="40"/>
      <c r="T295" s="40"/>
      <c r="U295" s="40"/>
      <c r="V295" s="40"/>
      <c r="X295" s="40"/>
      <c r="Y295" s="40"/>
      <c r="Z295" s="40"/>
      <c r="AA295" s="41"/>
      <c r="AB295" s="41"/>
      <c r="AC295" s="41"/>
      <c r="AD295" s="41"/>
      <c r="AE295" s="41"/>
      <c r="AF295" s="40"/>
      <c r="AG295" s="40"/>
      <c r="AH295" s="5"/>
      <c r="AI295" s="5"/>
      <c r="AJ295" s="40"/>
      <c r="AK295" s="40"/>
      <c r="AL295" s="40"/>
      <c r="AM295" s="40"/>
      <c r="AO295" s="40"/>
      <c r="AQ295" s="40"/>
    </row>
    <row r="296" spans="2:43" ht="12.75" customHeight="1" x14ac:dyDescent="0.15">
      <c r="B296" s="40"/>
      <c r="C296" s="40"/>
      <c r="D296" s="40"/>
      <c r="E296" s="40"/>
      <c r="F296" s="40"/>
      <c r="G296" s="40"/>
      <c r="H296" s="53"/>
      <c r="R296" s="40"/>
      <c r="S296" s="40"/>
      <c r="T296" s="40"/>
      <c r="U296" s="40"/>
      <c r="V296" s="40"/>
      <c r="X296" s="40"/>
      <c r="Y296" s="40"/>
      <c r="Z296" s="40"/>
      <c r="AA296" s="41"/>
      <c r="AB296" s="41"/>
      <c r="AC296" s="41"/>
      <c r="AD296" s="41"/>
      <c r="AE296" s="41"/>
      <c r="AF296" s="40"/>
      <c r="AG296" s="40"/>
      <c r="AH296" s="5"/>
      <c r="AI296" s="5"/>
      <c r="AJ296" s="40"/>
      <c r="AK296" s="40"/>
      <c r="AL296" s="40"/>
      <c r="AM296" s="40"/>
      <c r="AO296" s="40"/>
      <c r="AQ296" s="40"/>
    </row>
    <row r="297" spans="2:43" ht="12.75" customHeight="1" x14ac:dyDescent="0.15">
      <c r="B297" s="40"/>
      <c r="C297" s="40"/>
      <c r="D297" s="40"/>
      <c r="E297" s="40"/>
      <c r="F297" s="40"/>
      <c r="G297" s="40"/>
      <c r="H297" s="53"/>
      <c r="R297" s="40"/>
      <c r="S297" s="40"/>
      <c r="T297" s="40"/>
      <c r="U297" s="40"/>
      <c r="V297" s="40"/>
      <c r="X297" s="40"/>
      <c r="Y297" s="40"/>
      <c r="Z297" s="40"/>
      <c r="AA297" s="41"/>
      <c r="AB297" s="41"/>
      <c r="AC297" s="41"/>
      <c r="AD297" s="41"/>
      <c r="AE297" s="41"/>
      <c r="AF297" s="40"/>
      <c r="AG297" s="40"/>
      <c r="AH297" s="5"/>
      <c r="AI297" s="5"/>
      <c r="AJ297" s="40"/>
      <c r="AK297" s="40"/>
      <c r="AL297" s="40"/>
      <c r="AM297" s="40"/>
      <c r="AO297" s="40"/>
      <c r="AQ297" s="40"/>
    </row>
    <row r="298" spans="2:43" ht="12.75" customHeight="1" x14ac:dyDescent="0.15">
      <c r="B298" s="40"/>
      <c r="C298" s="40"/>
      <c r="D298" s="40"/>
      <c r="E298" s="40"/>
      <c r="F298" s="40"/>
      <c r="G298" s="40"/>
      <c r="H298" s="53"/>
      <c r="R298" s="40"/>
      <c r="S298" s="40"/>
      <c r="T298" s="40"/>
      <c r="U298" s="40"/>
      <c r="V298" s="40"/>
      <c r="X298" s="40"/>
      <c r="Y298" s="40"/>
      <c r="Z298" s="40"/>
      <c r="AA298" s="41"/>
      <c r="AB298" s="41"/>
      <c r="AC298" s="41"/>
      <c r="AD298" s="41"/>
      <c r="AE298" s="41"/>
      <c r="AF298" s="40"/>
      <c r="AG298" s="40"/>
      <c r="AH298" s="5"/>
      <c r="AI298" s="5"/>
      <c r="AJ298" s="40"/>
      <c r="AK298" s="40"/>
      <c r="AL298" s="40"/>
      <c r="AM298" s="40"/>
      <c r="AO298" s="40"/>
      <c r="AQ298" s="40"/>
    </row>
    <row r="299" spans="2:43" ht="12.75" customHeight="1" x14ac:dyDescent="0.15">
      <c r="B299" s="40"/>
      <c r="C299" s="40"/>
      <c r="D299" s="40"/>
      <c r="E299" s="40"/>
      <c r="F299" s="40"/>
      <c r="G299" s="40"/>
      <c r="H299" s="53"/>
      <c r="R299" s="40"/>
      <c r="S299" s="40"/>
      <c r="T299" s="40"/>
      <c r="U299" s="40"/>
      <c r="V299" s="40"/>
      <c r="X299" s="40"/>
      <c r="Y299" s="40"/>
      <c r="Z299" s="40"/>
      <c r="AA299" s="41"/>
      <c r="AB299" s="41"/>
      <c r="AC299" s="41"/>
      <c r="AD299" s="41"/>
      <c r="AE299" s="41"/>
      <c r="AF299" s="40"/>
      <c r="AG299" s="40"/>
      <c r="AH299" s="5"/>
      <c r="AI299" s="5"/>
      <c r="AJ299" s="40"/>
      <c r="AK299" s="40"/>
      <c r="AL299" s="40"/>
      <c r="AM299" s="40"/>
      <c r="AO299" s="40"/>
      <c r="AQ299" s="40"/>
    </row>
    <row r="300" spans="2:43" ht="12.75" customHeight="1" x14ac:dyDescent="0.15">
      <c r="B300" s="40"/>
      <c r="C300" s="40"/>
      <c r="D300" s="40"/>
      <c r="E300" s="40"/>
      <c r="F300" s="40"/>
      <c r="G300" s="40"/>
      <c r="H300" s="53"/>
      <c r="R300" s="40"/>
      <c r="S300" s="40"/>
      <c r="T300" s="40"/>
      <c r="U300" s="40"/>
      <c r="V300" s="40"/>
      <c r="X300" s="40"/>
      <c r="Y300" s="40"/>
      <c r="Z300" s="40"/>
      <c r="AA300" s="41"/>
      <c r="AB300" s="41"/>
      <c r="AC300" s="41"/>
      <c r="AD300" s="41"/>
      <c r="AE300" s="41"/>
      <c r="AF300" s="40"/>
      <c r="AG300" s="40"/>
      <c r="AH300" s="5"/>
      <c r="AI300" s="5"/>
      <c r="AJ300" s="40"/>
      <c r="AK300" s="40"/>
      <c r="AL300" s="40"/>
      <c r="AM300" s="40"/>
      <c r="AO300" s="40"/>
      <c r="AQ300" s="40"/>
    </row>
    <row r="301" spans="2:43" ht="12.75" customHeight="1" x14ac:dyDescent="0.15">
      <c r="B301" s="40"/>
      <c r="C301" s="40"/>
      <c r="D301" s="40"/>
      <c r="E301" s="40"/>
      <c r="F301" s="40"/>
      <c r="G301" s="40"/>
      <c r="H301" s="53"/>
      <c r="R301" s="40"/>
      <c r="S301" s="40"/>
      <c r="T301" s="40"/>
      <c r="U301" s="40"/>
      <c r="V301" s="40"/>
      <c r="X301" s="40"/>
      <c r="Y301" s="40"/>
      <c r="Z301" s="40"/>
      <c r="AA301" s="41"/>
      <c r="AB301" s="41"/>
      <c r="AC301" s="41"/>
      <c r="AD301" s="41"/>
      <c r="AE301" s="41"/>
      <c r="AF301" s="40"/>
      <c r="AG301" s="40"/>
      <c r="AH301" s="5"/>
      <c r="AI301" s="5"/>
      <c r="AJ301" s="40"/>
      <c r="AK301" s="40"/>
      <c r="AL301" s="40"/>
      <c r="AM301" s="40"/>
      <c r="AO301" s="40"/>
      <c r="AQ301" s="40"/>
    </row>
    <row r="302" spans="2:43" ht="12.75" customHeight="1" x14ac:dyDescent="0.15">
      <c r="B302" s="40"/>
      <c r="C302" s="40"/>
      <c r="D302" s="40"/>
      <c r="E302" s="40"/>
      <c r="F302" s="40"/>
      <c r="G302" s="40"/>
      <c r="H302" s="53"/>
      <c r="R302" s="40"/>
      <c r="S302" s="40"/>
      <c r="T302" s="40"/>
      <c r="U302" s="40"/>
      <c r="V302" s="40"/>
      <c r="X302" s="40"/>
      <c r="Y302" s="40"/>
      <c r="Z302" s="40"/>
      <c r="AA302" s="41"/>
      <c r="AB302" s="41"/>
      <c r="AC302" s="41"/>
      <c r="AD302" s="41"/>
      <c r="AE302" s="41"/>
      <c r="AF302" s="40"/>
      <c r="AG302" s="40"/>
      <c r="AH302" s="5"/>
      <c r="AI302" s="5"/>
      <c r="AJ302" s="40"/>
      <c r="AK302" s="40"/>
      <c r="AL302" s="40"/>
      <c r="AM302" s="40"/>
      <c r="AO302" s="40"/>
      <c r="AQ302" s="40"/>
    </row>
    <row r="303" spans="2:43" ht="12.75" customHeight="1" x14ac:dyDescent="0.15">
      <c r="B303" s="40"/>
      <c r="C303" s="40"/>
      <c r="D303" s="40"/>
      <c r="E303" s="40"/>
      <c r="F303" s="40"/>
      <c r="G303" s="40"/>
      <c r="H303" s="53"/>
      <c r="R303" s="40"/>
      <c r="S303" s="40"/>
      <c r="T303" s="40"/>
      <c r="U303" s="40"/>
      <c r="V303" s="40"/>
      <c r="X303" s="40"/>
      <c r="Y303" s="40"/>
      <c r="Z303" s="40"/>
      <c r="AA303" s="41"/>
      <c r="AB303" s="41"/>
      <c r="AC303" s="41"/>
      <c r="AD303" s="41"/>
      <c r="AE303" s="41"/>
      <c r="AF303" s="40"/>
      <c r="AG303" s="40"/>
      <c r="AH303" s="5"/>
      <c r="AI303" s="5"/>
      <c r="AJ303" s="40"/>
      <c r="AK303" s="40"/>
      <c r="AL303" s="40"/>
      <c r="AM303" s="40"/>
      <c r="AO303" s="40"/>
      <c r="AQ303" s="40"/>
    </row>
    <row r="304" spans="2:43" ht="12.75" customHeight="1" x14ac:dyDescent="0.15">
      <c r="B304" s="40"/>
      <c r="C304" s="40"/>
      <c r="D304" s="40"/>
      <c r="E304" s="40"/>
      <c r="F304" s="40"/>
      <c r="G304" s="40"/>
      <c r="H304" s="53"/>
      <c r="R304" s="40"/>
      <c r="S304" s="40"/>
      <c r="T304" s="40"/>
      <c r="U304" s="40"/>
      <c r="V304" s="40"/>
      <c r="X304" s="40"/>
      <c r="Y304" s="40"/>
      <c r="Z304" s="40"/>
      <c r="AA304" s="41"/>
      <c r="AB304" s="41"/>
      <c r="AC304" s="41"/>
      <c r="AD304" s="41"/>
      <c r="AE304" s="41"/>
      <c r="AF304" s="40"/>
      <c r="AG304" s="40"/>
      <c r="AH304" s="5"/>
      <c r="AI304" s="5"/>
      <c r="AJ304" s="40"/>
      <c r="AK304" s="40"/>
      <c r="AL304" s="40"/>
      <c r="AM304" s="40"/>
      <c r="AO304" s="40"/>
      <c r="AQ304" s="40"/>
    </row>
    <row r="305" spans="2:43" ht="12.75" customHeight="1" x14ac:dyDescent="0.15">
      <c r="B305" s="40"/>
      <c r="C305" s="40"/>
      <c r="D305" s="40"/>
      <c r="E305" s="40"/>
      <c r="F305" s="40"/>
      <c r="G305" s="40"/>
      <c r="H305" s="53"/>
      <c r="R305" s="40"/>
      <c r="S305" s="40"/>
      <c r="T305" s="40"/>
      <c r="U305" s="40"/>
      <c r="V305" s="40"/>
      <c r="X305" s="40"/>
      <c r="Y305" s="40"/>
      <c r="Z305" s="40"/>
      <c r="AA305" s="41"/>
      <c r="AB305" s="41"/>
      <c r="AC305" s="41"/>
      <c r="AD305" s="41"/>
      <c r="AE305" s="41"/>
      <c r="AF305" s="40"/>
      <c r="AG305" s="40"/>
      <c r="AH305" s="5"/>
      <c r="AI305" s="5"/>
      <c r="AJ305" s="40"/>
      <c r="AK305" s="40"/>
      <c r="AL305" s="40"/>
      <c r="AM305" s="40"/>
      <c r="AO305" s="40"/>
      <c r="AQ305" s="40"/>
    </row>
    <row r="306" spans="2:43" ht="12.75" customHeight="1" x14ac:dyDescent="0.15">
      <c r="B306" s="40"/>
      <c r="C306" s="40"/>
      <c r="D306" s="40"/>
      <c r="E306" s="40"/>
      <c r="F306" s="40"/>
      <c r="G306" s="40"/>
      <c r="H306" s="53"/>
      <c r="R306" s="40"/>
      <c r="S306" s="40"/>
      <c r="T306" s="40"/>
      <c r="U306" s="40"/>
      <c r="V306" s="40"/>
      <c r="X306" s="40"/>
      <c r="Y306" s="40"/>
      <c r="Z306" s="40"/>
      <c r="AA306" s="41"/>
      <c r="AB306" s="41"/>
      <c r="AC306" s="41"/>
      <c r="AD306" s="41"/>
      <c r="AE306" s="41"/>
      <c r="AF306" s="40"/>
      <c r="AG306" s="40"/>
      <c r="AH306" s="5"/>
      <c r="AI306" s="5"/>
      <c r="AJ306" s="40"/>
      <c r="AK306" s="40"/>
      <c r="AL306" s="40"/>
      <c r="AM306" s="40"/>
      <c r="AO306" s="40"/>
      <c r="AQ306" s="40"/>
    </row>
    <row r="307" spans="2:43" ht="12.75" customHeight="1" x14ac:dyDescent="0.15">
      <c r="B307" s="40"/>
      <c r="C307" s="40"/>
      <c r="D307" s="40"/>
      <c r="E307" s="40"/>
      <c r="F307" s="40"/>
      <c r="G307" s="40"/>
      <c r="H307" s="53"/>
      <c r="R307" s="40"/>
      <c r="S307" s="40"/>
      <c r="T307" s="40"/>
      <c r="U307" s="40"/>
      <c r="V307" s="40"/>
      <c r="X307" s="40"/>
      <c r="Y307" s="40"/>
      <c r="Z307" s="40"/>
      <c r="AA307" s="41"/>
      <c r="AB307" s="41"/>
      <c r="AC307" s="41"/>
      <c r="AD307" s="41"/>
      <c r="AE307" s="41"/>
      <c r="AF307" s="40"/>
      <c r="AG307" s="40"/>
      <c r="AH307" s="5"/>
      <c r="AI307" s="5"/>
      <c r="AJ307" s="40"/>
      <c r="AK307" s="40"/>
      <c r="AL307" s="40"/>
      <c r="AM307" s="40"/>
      <c r="AO307" s="40"/>
      <c r="AQ307" s="40"/>
    </row>
    <row r="308" spans="2:43" ht="12.75" customHeight="1" x14ac:dyDescent="0.15">
      <c r="B308" s="40"/>
      <c r="C308" s="40"/>
      <c r="D308" s="40"/>
      <c r="E308" s="40"/>
      <c r="F308" s="40"/>
      <c r="G308" s="40"/>
      <c r="H308" s="53"/>
      <c r="R308" s="40"/>
      <c r="S308" s="40"/>
      <c r="T308" s="40"/>
      <c r="U308" s="40"/>
      <c r="V308" s="40"/>
      <c r="X308" s="40"/>
      <c r="Y308" s="40"/>
      <c r="Z308" s="40"/>
      <c r="AA308" s="41"/>
      <c r="AB308" s="41"/>
      <c r="AC308" s="41"/>
      <c r="AD308" s="41"/>
      <c r="AE308" s="41"/>
      <c r="AF308" s="40"/>
      <c r="AG308" s="40"/>
      <c r="AH308" s="5"/>
      <c r="AI308" s="5"/>
      <c r="AJ308" s="40"/>
      <c r="AK308" s="40"/>
      <c r="AL308" s="40"/>
      <c r="AM308" s="40"/>
      <c r="AO308" s="40"/>
      <c r="AQ308" s="40"/>
    </row>
    <row r="309" spans="2:43" ht="12.75" customHeight="1" x14ac:dyDescent="0.15">
      <c r="B309" s="40"/>
      <c r="C309" s="40"/>
      <c r="D309" s="40"/>
      <c r="E309" s="40"/>
      <c r="F309" s="40"/>
      <c r="G309" s="40"/>
      <c r="H309" s="53"/>
      <c r="R309" s="40"/>
      <c r="S309" s="40"/>
      <c r="T309" s="40"/>
      <c r="U309" s="40"/>
      <c r="V309" s="40"/>
      <c r="X309" s="40"/>
      <c r="Y309" s="40"/>
      <c r="Z309" s="40"/>
      <c r="AA309" s="41"/>
      <c r="AB309" s="41"/>
      <c r="AC309" s="41"/>
      <c r="AD309" s="41"/>
      <c r="AE309" s="41"/>
      <c r="AF309" s="40"/>
      <c r="AG309" s="40"/>
      <c r="AH309" s="5"/>
      <c r="AI309" s="5"/>
      <c r="AJ309" s="40"/>
      <c r="AK309" s="40"/>
      <c r="AL309" s="40"/>
      <c r="AM309" s="40"/>
      <c r="AO309" s="40"/>
      <c r="AQ309" s="40"/>
    </row>
    <row r="310" spans="2:43" ht="12.75" customHeight="1" x14ac:dyDescent="0.15">
      <c r="B310" s="40"/>
      <c r="C310" s="40"/>
      <c r="D310" s="40"/>
      <c r="E310" s="40"/>
      <c r="F310" s="40"/>
      <c r="G310" s="40"/>
      <c r="H310" s="53"/>
      <c r="R310" s="40"/>
      <c r="S310" s="40"/>
      <c r="T310" s="40"/>
      <c r="U310" s="40"/>
      <c r="V310" s="40"/>
      <c r="X310" s="40"/>
      <c r="Y310" s="40"/>
      <c r="Z310" s="40"/>
      <c r="AA310" s="41"/>
      <c r="AB310" s="41"/>
      <c r="AC310" s="41"/>
      <c r="AD310" s="41"/>
      <c r="AE310" s="41"/>
      <c r="AF310" s="40"/>
      <c r="AG310" s="40"/>
      <c r="AH310" s="5"/>
      <c r="AI310" s="5"/>
      <c r="AJ310" s="40"/>
      <c r="AK310" s="40"/>
      <c r="AL310" s="40"/>
      <c r="AM310" s="40"/>
      <c r="AO310" s="40"/>
      <c r="AQ310" s="40"/>
    </row>
    <row r="311" spans="2:43" ht="12.75" customHeight="1" x14ac:dyDescent="0.15">
      <c r="B311" s="40"/>
      <c r="C311" s="40"/>
      <c r="D311" s="40"/>
      <c r="E311" s="40"/>
      <c r="F311" s="40"/>
      <c r="G311" s="40"/>
      <c r="H311" s="53"/>
      <c r="R311" s="40"/>
      <c r="S311" s="40"/>
      <c r="T311" s="40"/>
      <c r="U311" s="40"/>
      <c r="V311" s="40"/>
      <c r="X311" s="40"/>
      <c r="Y311" s="40"/>
      <c r="Z311" s="40"/>
      <c r="AA311" s="41"/>
      <c r="AB311" s="41"/>
      <c r="AC311" s="41"/>
      <c r="AD311" s="41"/>
      <c r="AE311" s="41"/>
      <c r="AF311" s="40"/>
      <c r="AG311" s="40"/>
      <c r="AH311" s="5"/>
      <c r="AI311" s="5"/>
      <c r="AJ311" s="40"/>
      <c r="AK311" s="40"/>
      <c r="AL311" s="40"/>
      <c r="AM311" s="40"/>
      <c r="AO311" s="40"/>
      <c r="AQ311" s="40"/>
    </row>
    <row r="312" spans="2:43" ht="12.75" customHeight="1" x14ac:dyDescent="0.15">
      <c r="B312" s="40"/>
      <c r="C312" s="40"/>
      <c r="D312" s="40"/>
      <c r="E312" s="40"/>
      <c r="F312" s="40"/>
      <c r="G312" s="40"/>
      <c r="H312" s="53"/>
      <c r="R312" s="40"/>
      <c r="S312" s="40"/>
      <c r="T312" s="40"/>
      <c r="U312" s="40"/>
      <c r="V312" s="40"/>
      <c r="X312" s="40"/>
      <c r="Y312" s="40"/>
      <c r="Z312" s="40"/>
      <c r="AA312" s="41"/>
      <c r="AB312" s="41"/>
      <c r="AC312" s="41"/>
      <c r="AD312" s="41"/>
      <c r="AE312" s="41"/>
      <c r="AF312" s="40"/>
      <c r="AG312" s="40"/>
      <c r="AH312" s="5"/>
      <c r="AI312" s="5"/>
      <c r="AJ312" s="40"/>
      <c r="AK312" s="40"/>
      <c r="AL312" s="40"/>
      <c r="AM312" s="40"/>
      <c r="AO312" s="40"/>
      <c r="AQ312" s="40"/>
    </row>
    <row r="313" spans="2:43" ht="12.75" customHeight="1" x14ac:dyDescent="0.15">
      <c r="B313" s="40"/>
      <c r="C313" s="40"/>
      <c r="D313" s="40"/>
      <c r="E313" s="40"/>
      <c r="F313" s="40"/>
      <c r="G313" s="40"/>
      <c r="H313" s="53"/>
      <c r="R313" s="40"/>
      <c r="S313" s="40"/>
      <c r="T313" s="40"/>
      <c r="U313" s="40"/>
      <c r="V313" s="40"/>
      <c r="X313" s="40"/>
      <c r="Y313" s="40"/>
      <c r="Z313" s="40"/>
      <c r="AA313" s="41"/>
      <c r="AB313" s="41"/>
      <c r="AC313" s="41"/>
      <c r="AD313" s="41"/>
      <c r="AE313" s="41"/>
      <c r="AF313" s="40"/>
      <c r="AG313" s="40"/>
      <c r="AH313" s="5"/>
      <c r="AI313" s="5"/>
      <c r="AJ313" s="40"/>
      <c r="AK313" s="40"/>
      <c r="AL313" s="40"/>
      <c r="AM313" s="40"/>
      <c r="AO313" s="40"/>
      <c r="AQ313" s="40"/>
    </row>
    <row r="314" spans="2:43" ht="12.75" customHeight="1" x14ac:dyDescent="0.15">
      <c r="B314" s="40"/>
      <c r="C314" s="40"/>
      <c r="D314" s="40"/>
      <c r="E314" s="40"/>
      <c r="F314" s="40"/>
      <c r="G314" s="40"/>
      <c r="H314" s="53"/>
      <c r="R314" s="40"/>
      <c r="S314" s="40"/>
      <c r="T314" s="40"/>
      <c r="U314" s="40"/>
      <c r="V314" s="40"/>
      <c r="X314" s="40"/>
      <c r="Y314" s="40"/>
      <c r="Z314" s="40"/>
      <c r="AA314" s="41"/>
      <c r="AB314" s="41"/>
      <c r="AC314" s="41"/>
      <c r="AD314" s="41"/>
      <c r="AE314" s="41"/>
      <c r="AF314" s="40"/>
      <c r="AG314" s="40"/>
      <c r="AH314" s="5"/>
      <c r="AI314" s="5"/>
      <c r="AJ314" s="40"/>
      <c r="AK314" s="40"/>
      <c r="AL314" s="40"/>
      <c r="AM314" s="40"/>
      <c r="AO314" s="40"/>
      <c r="AQ314" s="40"/>
    </row>
    <row r="315" spans="2:43" ht="12.75" customHeight="1" x14ac:dyDescent="0.15">
      <c r="B315" s="40"/>
      <c r="C315" s="40"/>
      <c r="D315" s="40"/>
      <c r="E315" s="40"/>
      <c r="F315" s="40"/>
      <c r="G315" s="40"/>
      <c r="H315" s="53"/>
      <c r="R315" s="40"/>
      <c r="S315" s="40"/>
      <c r="T315" s="40"/>
      <c r="U315" s="40"/>
      <c r="V315" s="40"/>
      <c r="X315" s="40"/>
      <c r="Y315" s="40"/>
      <c r="Z315" s="40"/>
      <c r="AA315" s="41"/>
      <c r="AB315" s="41"/>
      <c r="AC315" s="41"/>
      <c r="AD315" s="41"/>
      <c r="AE315" s="41"/>
      <c r="AF315" s="40"/>
      <c r="AG315" s="40"/>
      <c r="AH315" s="5"/>
      <c r="AI315" s="5"/>
      <c r="AJ315" s="40"/>
      <c r="AK315" s="40"/>
      <c r="AL315" s="40"/>
      <c r="AM315" s="40"/>
      <c r="AO315" s="40"/>
      <c r="AQ315" s="40"/>
    </row>
    <row r="316" spans="2:43" ht="12.75" customHeight="1" x14ac:dyDescent="0.15">
      <c r="B316" s="40"/>
      <c r="C316" s="40"/>
      <c r="D316" s="40"/>
      <c r="E316" s="40"/>
      <c r="F316" s="40"/>
      <c r="G316" s="40"/>
      <c r="H316" s="53"/>
      <c r="R316" s="40"/>
      <c r="S316" s="40"/>
      <c r="T316" s="40"/>
      <c r="U316" s="40"/>
      <c r="V316" s="40"/>
      <c r="X316" s="40"/>
      <c r="Y316" s="40"/>
      <c r="Z316" s="40"/>
      <c r="AA316" s="41"/>
      <c r="AB316" s="41"/>
      <c r="AC316" s="41"/>
      <c r="AD316" s="41"/>
      <c r="AE316" s="41"/>
      <c r="AF316" s="40"/>
      <c r="AG316" s="40"/>
      <c r="AH316" s="5"/>
      <c r="AI316" s="5"/>
      <c r="AJ316" s="40"/>
      <c r="AK316" s="40"/>
      <c r="AL316" s="40"/>
      <c r="AM316" s="40"/>
      <c r="AO316" s="40"/>
      <c r="AQ316" s="40"/>
    </row>
    <row r="317" spans="2:43" ht="12.75" customHeight="1" x14ac:dyDescent="0.15">
      <c r="B317" s="40"/>
      <c r="C317" s="40"/>
      <c r="D317" s="40"/>
      <c r="E317" s="40"/>
      <c r="F317" s="40"/>
      <c r="G317" s="40"/>
      <c r="H317" s="53"/>
      <c r="R317" s="40"/>
      <c r="S317" s="40"/>
      <c r="T317" s="40"/>
      <c r="U317" s="40"/>
      <c r="V317" s="40"/>
      <c r="X317" s="40"/>
      <c r="Y317" s="40"/>
      <c r="Z317" s="40"/>
      <c r="AA317" s="41"/>
      <c r="AB317" s="41"/>
      <c r="AC317" s="41"/>
      <c r="AD317" s="41"/>
      <c r="AE317" s="41"/>
      <c r="AF317" s="40"/>
      <c r="AG317" s="40"/>
      <c r="AH317" s="5"/>
      <c r="AI317" s="5"/>
      <c r="AJ317" s="40"/>
      <c r="AK317" s="40"/>
      <c r="AL317" s="40"/>
      <c r="AM317" s="40"/>
      <c r="AO317" s="40"/>
      <c r="AQ317" s="40"/>
    </row>
    <row r="318" spans="2:43" ht="12.75" customHeight="1" x14ac:dyDescent="0.15">
      <c r="B318" s="40"/>
      <c r="C318" s="40"/>
      <c r="D318" s="40"/>
      <c r="E318" s="40"/>
      <c r="F318" s="40"/>
      <c r="G318" s="40"/>
      <c r="H318" s="53"/>
      <c r="R318" s="40"/>
      <c r="S318" s="40"/>
      <c r="T318" s="40"/>
      <c r="U318" s="40"/>
      <c r="V318" s="40"/>
      <c r="X318" s="40"/>
      <c r="Y318" s="40"/>
      <c r="Z318" s="40"/>
      <c r="AA318" s="41"/>
      <c r="AB318" s="41"/>
      <c r="AC318" s="41"/>
      <c r="AD318" s="41"/>
      <c r="AE318" s="41"/>
      <c r="AF318" s="40"/>
      <c r="AG318" s="40"/>
      <c r="AH318" s="5"/>
      <c r="AI318" s="5"/>
      <c r="AJ318" s="40"/>
      <c r="AK318" s="40"/>
      <c r="AL318" s="40"/>
      <c r="AM318" s="40"/>
      <c r="AO318" s="40"/>
      <c r="AQ318" s="40"/>
    </row>
    <row r="319" spans="2:43" ht="12.75" customHeight="1" x14ac:dyDescent="0.15">
      <c r="B319" s="40"/>
      <c r="C319" s="40"/>
      <c r="D319" s="40"/>
      <c r="E319" s="40"/>
      <c r="F319" s="40"/>
      <c r="G319" s="40"/>
      <c r="H319" s="53"/>
      <c r="R319" s="40"/>
      <c r="S319" s="40"/>
      <c r="T319" s="40"/>
      <c r="U319" s="40"/>
      <c r="V319" s="40"/>
      <c r="X319" s="40"/>
      <c r="Y319" s="40"/>
      <c r="Z319" s="40"/>
      <c r="AA319" s="41"/>
      <c r="AB319" s="41"/>
      <c r="AC319" s="41"/>
      <c r="AD319" s="41"/>
      <c r="AE319" s="41"/>
      <c r="AF319" s="40"/>
      <c r="AG319" s="40"/>
      <c r="AH319" s="5"/>
      <c r="AI319" s="5"/>
      <c r="AJ319" s="40"/>
      <c r="AK319" s="40"/>
      <c r="AL319" s="40"/>
      <c r="AM319" s="40"/>
      <c r="AO319" s="40"/>
      <c r="AQ319" s="40"/>
    </row>
    <row r="320" spans="2:43" ht="12.75" customHeight="1" x14ac:dyDescent="0.15">
      <c r="B320" s="40"/>
      <c r="C320" s="40"/>
      <c r="D320" s="40"/>
      <c r="E320" s="40"/>
      <c r="F320" s="40"/>
      <c r="G320" s="40"/>
      <c r="H320" s="53"/>
      <c r="R320" s="40"/>
      <c r="S320" s="40"/>
      <c r="T320" s="40"/>
      <c r="U320" s="40"/>
      <c r="V320" s="40"/>
      <c r="X320" s="40"/>
      <c r="Y320" s="40"/>
      <c r="Z320" s="40"/>
      <c r="AA320" s="41"/>
      <c r="AB320" s="41"/>
      <c r="AC320" s="41"/>
      <c r="AD320" s="41"/>
      <c r="AE320" s="41"/>
      <c r="AF320" s="40"/>
      <c r="AG320" s="40"/>
      <c r="AH320" s="5"/>
      <c r="AI320" s="5"/>
      <c r="AJ320" s="40"/>
      <c r="AK320" s="40"/>
      <c r="AL320" s="40"/>
      <c r="AM320" s="40"/>
      <c r="AO320" s="40"/>
      <c r="AQ320" s="40"/>
    </row>
    <row r="321" spans="2:43" ht="12.75" customHeight="1" x14ac:dyDescent="0.15">
      <c r="B321" s="40"/>
      <c r="C321" s="40"/>
      <c r="D321" s="40"/>
      <c r="E321" s="40"/>
      <c r="F321" s="40"/>
      <c r="G321" s="40"/>
      <c r="H321" s="53"/>
      <c r="R321" s="40"/>
      <c r="S321" s="40"/>
      <c r="T321" s="40"/>
      <c r="U321" s="40"/>
      <c r="V321" s="40"/>
      <c r="X321" s="40"/>
      <c r="Y321" s="40"/>
      <c r="Z321" s="40"/>
      <c r="AA321" s="41"/>
      <c r="AB321" s="41"/>
      <c r="AC321" s="41"/>
      <c r="AD321" s="41"/>
      <c r="AE321" s="41"/>
      <c r="AF321" s="40"/>
      <c r="AG321" s="40"/>
      <c r="AH321" s="5"/>
      <c r="AI321" s="5"/>
      <c r="AJ321" s="40"/>
      <c r="AK321" s="40"/>
      <c r="AL321" s="40"/>
      <c r="AM321" s="40"/>
      <c r="AO321" s="40"/>
      <c r="AQ321" s="40"/>
    </row>
    <row r="322" spans="2:43" ht="12.75" customHeight="1" x14ac:dyDescent="0.15">
      <c r="B322" s="40"/>
      <c r="C322" s="40"/>
      <c r="D322" s="40"/>
      <c r="E322" s="40"/>
      <c r="F322" s="40"/>
      <c r="G322" s="40"/>
      <c r="H322" s="53"/>
      <c r="R322" s="40"/>
      <c r="S322" s="40"/>
      <c r="T322" s="40"/>
      <c r="U322" s="40"/>
      <c r="V322" s="40"/>
      <c r="X322" s="40"/>
      <c r="Y322" s="40"/>
      <c r="Z322" s="40"/>
      <c r="AA322" s="41"/>
      <c r="AB322" s="41"/>
      <c r="AC322" s="41"/>
      <c r="AD322" s="41"/>
      <c r="AE322" s="41"/>
      <c r="AF322" s="40"/>
      <c r="AG322" s="40"/>
      <c r="AH322" s="5"/>
      <c r="AI322" s="5"/>
      <c r="AJ322" s="40"/>
      <c r="AK322" s="40"/>
      <c r="AL322" s="40"/>
      <c r="AM322" s="40"/>
      <c r="AO322" s="40"/>
      <c r="AQ322" s="40"/>
    </row>
    <row r="323" spans="2:43" ht="12.75" customHeight="1" x14ac:dyDescent="0.15">
      <c r="B323" s="40"/>
      <c r="C323" s="40"/>
      <c r="D323" s="40"/>
      <c r="E323" s="40"/>
      <c r="F323" s="40"/>
      <c r="G323" s="40"/>
      <c r="H323" s="53"/>
      <c r="R323" s="40"/>
      <c r="S323" s="40"/>
      <c r="T323" s="40"/>
      <c r="U323" s="40"/>
      <c r="V323" s="40"/>
      <c r="X323" s="40"/>
      <c r="Y323" s="40"/>
      <c r="Z323" s="40"/>
      <c r="AA323" s="41"/>
      <c r="AB323" s="41"/>
      <c r="AC323" s="41"/>
      <c r="AD323" s="41"/>
      <c r="AE323" s="41"/>
      <c r="AF323" s="40"/>
      <c r="AG323" s="40"/>
      <c r="AH323" s="5"/>
      <c r="AI323" s="5"/>
      <c r="AJ323" s="40"/>
      <c r="AK323" s="40"/>
      <c r="AL323" s="40"/>
      <c r="AM323" s="40"/>
      <c r="AO323" s="40"/>
      <c r="AQ323" s="40"/>
    </row>
    <row r="324" spans="2:43" ht="12.75" customHeight="1" x14ac:dyDescent="0.15">
      <c r="B324" s="40"/>
      <c r="C324" s="40"/>
      <c r="D324" s="40"/>
      <c r="E324" s="40"/>
      <c r="F324" s="40"/>
      <c r="G324" s="40"/>
      <c r="H324" s="53"/>
      <c r="R324" s="40"/>
      <c r="S324" s="40"/>
      <c r="T324" s="40"/>
      <c r="U324" s="40"/>
      <c r="V324" s="40"/>
      <c r="X324" s="40"/>
      <c r="Y324" s="40"/>
      <c r="Z324" s="40"/>
      <c r="AA324" s="41"/>
      <c r="AB324" s="41"/>
      <c r="AC324" s="41"/>
      <c r="AD324" s="41"/>
      <c r="AE324" s="41"/>
      <c r="AF324" s="40"/>
      <c r="AG324" s="40"/>
      <c r="AH324" s="5"/>
      <c r="AI324" s="5"/>
      <c r="AJ324" s="40"/>
      <c r="AK324" s="40"/>
      <c r="AL324" s="40"/>
      <c r="AM324" s="40"/>
      <c r="AO324" s="40"/>
      <c r="AQ324" s="40"/>
    </row>
    <row r="325" spans="2:43" ht="12.75" customHeight="1" x14ac:dyDescent="0.15">
      <c r="B325" s="40"/>
      <c r="C325" s="40"/>
      <c r="D325" s="40"/>
      <c r="E325" s="40"/>
      <c r="F325" s="40"/>
      <c r="G325" s="40"/>
      <c r="H325" s="53"/>
      <c r="R325" s="40"/>
      <c r="S325" s="40"/>
      <c r="T325" s="40"/>
      <c r="U325" s="40"/>
      <c r="V325" s="40"/>
      <c r="X325" s="40"/>
      <c r="Y325" s="40"/>
      <c r="Z325" s="40"/>
      <c r="AA325" s="41"/>
      <c r="AB325" s="41"/>
      <c r="AC325" s="41"/>
      <c r="AD325" s="41"/>
      <c r="AE325" s="41"/>
      <c r="AF325" s="40"/>
      <c r="AG325" s="40"/>
      <c r="AH325" s="5"/>
      <c r="AI325" s="5"/>
      <c r="AJ325" s="40"/>
      <c r="AK325" s="40"/>
      <c r="AL325" s="40"/>
      <c r="AM325" s="40"/>
      <c r="AO325" s="40"/>
      <c r="AQ325" s="40"/>
    </row>
    <row r="326" spans="2:43" ht="12.75" customHeight="1" x14ac:dyDescent="0.15">
      <c r="B326" s="40"/>
      <c r="C326" s="40"/>
      <c r="D326" s="40"/>
      <c r="E326" s="40"/>
      <c r="F326" s="40"/>
      <c r="G326" s="40"/>
      <c r="H326" s="53"/>
      <c r="R326" s="40"/>
      <c r="S326" s="40"/>
      <c r="T326" s="40"/>
      <c r="U326" s="40"/>
      <c r="V326" s="40"/>
      <c r="X326" s="40"/>
      <c r="Y326" s="40"/>
      <c r="Z326" s="40"/>
      <c r="AA326" s="41"/>
      <c r="AB326" s="41"/>
      <c r="AC326" s="41"/>
      <c r="AD326" s="41"/>
      <c r="AE326" s="41"/>
      <c r="AF326" s="40"/>
      <c r="AG326" s="40"/>
      <c r="AH326" s="5"/>
      <c r="AI326" s="5"/>
      <c r="AJ326" s="40"/>
      <c r="AK326" s="40"/>
      <c r="AL326" s="40"/>
      <c r="AM326" s="40"/>
      <c r="AO326" s="40"/>
      <c r="AQ326" s="40"/>
    </row>
    <row r="327" spans="2:43" ht="12.75" customHeight="1" x14ac:dyDescent="0.15">
      <c r="B327" s="40"/>
      <c r="C327" s="40"/>
      <c r="D327" s="40"/>
      <c r="E327" s="40"/>
      <c r="F327" s="40"/>
      <c r="G327" s="40"/>
      <c r="H327" s="53"/>
      <c r="R327" s="40"/>
      <c r="S327" s="40"/>
      <c r="T327" s="40"/>
      <c r="U327" s="40"/>
      <c r="V327" s="40"/>
      <c r="X327" s="40"/>
      <c r="Y327" s="40"/>
      <c r="Z327" s="40"/>
      <c r="AA327" s="41"/>
      <c r="AB327" s="41"/>
      <c r="AC327" s="41"/>
      <c r="AD327" s="41"/>
      <c r="AE327" s="41"/>
      <c r="AF327" s="40"/>
      <c r="AG327" s="40"/>
      <c r="AH327" s="5"/>
      <c r="AI327" s="5"/>
      <c r="AJ327" s="40"/>
      <c r="AK327" s="40"/>
      <c r="AL327" s="40"/>
      <c r="AM327" s="40"/>
      <c r="AO327" s="40"/>
      <c r="AQ327" s="40"/>
    </row>
    <row r="328" spans="2:43" ht="12.75" customHeight="1" x14ac:dyDescent="0.15">
      <c r="B328" s="40"/>
      <c r="C328" s="40"/>
      <c r="D328" s="40"/>
      <c r="E328" s="40"/>
      <c r="F328" s="40"/>
      <c r="G328" s="40"/>
      <c r="H328" s="53"/>
      <c r="R328" s="40"/>
      <c r="S328" s="40"/>
      <c r="T328" s="40"/>
      <c r="U328" s="40"/>
      <c r="V328" s="40"/>
      <c r="X328" s="40"/>
      <c r="Y328" s="40"/>
      <c r="Z328" s="40"/>
      <c r="AA328" s="41"/>
      <c r="AB328" s="41"/>
      <c r="AC328" s="41"/>
      <c r="AD328" s="41"/>
      <c r="AE328" s="41"/>
      <c r="AF328" s="40"/>
      <c r="AG328" s="40"/>
      <c r="AH328" s="5"/>
      <c r="AI328" s="5"/>
      <c r="AJ328" s="40"/>
      <c r="AK328" s="40"/>
      <c r="AL328" s="40"/>
      <c r="AM328" s="40"/>
      <c r="AO328" s="40"/>
      <c r="AQ328" s="40"/>
    </row>
    <row r="329" spans="2:43" ht="12.75" customHeight="1" x14ac:dyDescent="0.15">
      <c r="B329" s="40"/>
      <c r="C329" s="40"/>
      <c r="D329" s="40"/>
      <c r="E329" s="40"/>
      <c r="F329" s="40"/>
      <c r="G329" s="40"/>
      <c r="H329" s="53"/>
      <c r="R329" s="40"/>
      <c r="S329" s="40"/>
      <c r="T329" s="40"/>
      <c r="U329" s="40"/>
      <c r="V329" s="40"/>
      <c r="X329" s="40"/>
      <c r="Y329" s="40"/>
      <c r="Z329" s="40"/>
      <c r="AA329" s="41"/>
      <c r="AB329" s="41"/>
      <c r="AC329" s="41"/>
      <c r="AD329" s="41"/>
      <c r="AE329" s="41"/>
      <c r="AF329" s="40"/>
      <c r="AG329" s="40"/>
      <c r="AH329" s="5"/>
      <c r="AI329" s="5"/>
      <c r="AJ329" s="40"/>
      <c r="AK329" s="40"/>
      <c r="AL329" s="40"/>
      <c r="AM329" s="40"/>
      <c r="AO329" s="40"/>
      <c r="AQ329" s="40"/>
    </row>
    <row r="330" spans="2:43" ht="12.75" customHeight="1" x14ac:dyDescent="0.15">
      <c r="B330" s="40"/>
      <c r="C330" s="40"/>
      <c r="D330" s="40"/>
      <c r="E330" s="40"/>
      <c r="F330" s="40"/>
      <c r="G330" s="40"/>
      <c r="H330" s="53"/>
      <c r="R330" s="40"/>
      <c r="S330" s="40"/>
      <c r="T330" s="40"/>
      <c r="U330" s="40"/>
      <c r="V330" s="40"/>
      <c r="X330" s="40"/>
      <c r="Y330" s="40"/>
      <c r="Z330" s="40"/>
      <c r="AA330" s="41"/>
      <c r="AB330" s="41"/>
      <c r="AC330" s="41"/>
      <c r="AD330" s="41"/>
      <c r="AE330" s="41"/>
      <c r="AF330" s="40"/>
      <c r="AG330" s="40"/>
      <c r="AH330" s="5"/>
      <c r="AI330" s="5"/>
      <c r="AJ330" s="40"/>
      <c r="AK330" s="40"/>
      <c r="AL330" s="40"/>
      <c r="AM330" s="40"/>
      <c r="AO330" s="40"/>
      <c r="AQ330" s="40"/>
    </row>
    <row r="331" spans="2:43" ht="12.75" customHeight="1" x14ac:dyDescent="0.15">
      <c r="B331" s="40"/>
      <c r="C331" s="40"/>
      <c r="D331" s="40"/>
      <c r="E331" s="40"/>
      <c r="F331" s="40"/>
      <c r="G331" s="40"/>
      <c r="H331" s="53"/>
      <c r="R331" s="40"/>
      <c r="S331" s="40"/>
      <c r="T331" s="40"/>
      <c r="U331" s="40"/>
      <c r="V331" s="40"/>
      <c r="X331" s="40"/>
      <c r="Y331" s="40"/>
      <c r="Z331" s="40"/>
      <c r="AA331" s="41"/>
      <c r="AB331" s="41"/>
      <c r="AC331" s="41"/>
      <c r="AD331" s="41"/>
      <c r="AE331" s="41"/>
      <c r="AF331" s="40"/>
      <c r="AG331" s="40"/>
      <c r="AH331" s="5"/>
      <c r="AI331" s="5"/>
      <c r="AJ331" s="40"/>
      <c r="AK331" s="40"/>
      <c r="AL331" s="40"/>
      <c r="AM331" s="40"/>
      <c r="AO331" s="40"/>
      <c r="AQ331" s="40"/>
    </row>
    <row r="332" spans="2:43" ht="12.75" customHeight="1" x14ac:dyDescent="0.15">
      <c r="B332" s="40"/>
      <c r="C332" s="40"/>
      <c r="D332" s="40"/>
      <c r="E332" s="40"/>
      <c r="F332" s="40"/>
      <c r="G332" s="40"/>
      <c r="H332" s="53"/>
      <c r="R332" s="40"/>
      <c r="S332" s="40"/>
      <c r="T332" s="40"/>
      <c r="U332" s="40"/>
      <c r="V332" s="40"/>
      <c r="X332" s="40"/>
      <c r="Y332" s="40"/>
      <c r="Z332" s="40"/>
      <c r="AA332" s="41"/>
      <c r="AB332" s="41"/>
      <c r="AC332" s="41"/>
      <c r="AD332" s="41"/>
      <c r="AE332" s="41"/>
      <c r="AF332" s="40"/>
      <c r="AG332" s="40"/>
      <c r="AH332" s="5"/>
      <c r="AI332" s="5"/>
      <c r="AJ332" s="40"/>
      <c r="AK332" s="40"/>
      <c r="AL332" s="40"/>
      <c r="AM332" s="40"/>
      <c r="AO332" s="40"/>
      <c r="AQ332" s="40"/>
    </row>
    <row r="333" spans="2:43" ht="12.75" customHeight="1" x14ac:dyDescent="0.15">
      <c r="B333" s="40"/>
      <c r="C333" s="40"/>
      <c r="D333" s="40"/>
      <c r="E333" s="40"/>
      <c r="F333" s="40"/>
      <c r="G333" s="40"/>
      <c r="H333" s="53"/>
      <c r="R333" s="40"/>
      <c r="S333" s="40"/>
      <c r="T333" s="40"/>
      <c r="U333" s="40"/>
      <c r="V333" s="40"/>
      <c r="X333" s="40"/>
      <c r="Y333" s="40"/>
      <c r="Z333" s="40"/>
      <c r="AA333" s="41"/>
      <c r="AB333" s="41"/>
      <c r="AC333" s="41"/>
      <c r="AD333" s="41"/>
      <c r="AE333" s="41"/>
      <c r="AF333" s="40"/>
      <c r="AG333" s="40"/>
      <c r="AH333" s="5"/>
      <c r="AI333" s="5"/>
      <c r="AJ333" s="40"/>
      <c r="AK333" s="40"/>
      <c r="AL333" s="40"/>
      <c r="AM333" s="40"/>
      <c r="AO333" s="40"/>
      <c r="AQ333" s="40"/>
    </row>
    <row r="334" spans="2:43" ht="12.75" customHeight="1" x14ac:dyDescent="0.15">
      <c r="B334" s="40"/>
      <c r="C334" s="40"/>
      <c r="D334" s="40"/>
      <c r="E334" s="40"/>
      <c r="F334" s="40"/>
      <c r="G334" s="40"/>
      <c r="H334" s="53"/>
      <c r="R334" s="40"/>
      <c r="S334" s="40"/>
      <c r="T334" s="40"/>
      <c r="U334" s="40"/>
      <c r="V334" s="40"/>
      <c r="X334" s="40"/>
      <c r="Y334" s="40"/>
      <c r="Z334" s="40"/>
      <c r="AA334" s="41"/>
      <c r="AB334" s="41"/>
      <c r="AC334" s="41"/>
      <c r="AD334" s="41"/>
      <c r="AE334" s="41"/>
      <c r="AF334" s="40"/>
      <c r="AG334" s="40"/>
      <c r="AH334" s="5"/>
      <c r="AI334" s="5"/>
      <c r="AJ334" s="40"/>
      <c r="AK334" s="40"/>
      <c r="AL334" s="40"/>
      <c r="AM334" s="40"/>
      <c r="AO334" s="40"/>
      <c r="AQ334" s="40"/>
    </row>
    <row r="335" spans="2:43" ht="12.75" customHeight="1" x14ac:dyDescent="0.15">
      <c r="B335" s="40"/>
      <c r="C335" s="40"/>
      <c r="D335" s="40"/>
      <c r="E335" s="40"/>
      <c r="F335" s="40"/>
      <c r="G335" s="40"/>
      <c r="H335" s="53"/>
      <c r="R335" s="40"/>
      <c r="S335" s="40"/>
      <c r="T335" s="40"/>
      <c r="U335" s="40"/>
      <c r="V335" s="40"/>
      <c r="X335" s="40"/>
      <c r="Y335" s="40"/>
      <c r="Z335" s="40"/>
      <c r="AA335" s="41"/>
      <c r="AB335" s="41"/>
      <c r="AC335" s="41"/>
      <c r="AD335" s="41"/>
      <c r="AE335" s="41"/>
      <c r="AF335" s="40"/>
      <c r="AG335" s="40"/>
      <c r="AH335" s="5"/>
      <c r="AI335" s="5"/>
      <c r="AJ335" s="40"/>
      <c r="AK335" s="40"/>
      <c r="AL335" s="40"/>
      <c r="AM335" s="40"/>
      <c r="AO335" s="40"/>
      <c r="AQ335" s="40"/>
    </row>
    <row r="336" spans="2:43" ht="12.75" customHeight="1" x14ac:dyDescent="0.15">
      <c r="B336" s="40"/>
      <c r="C336" s="40"/>
      <c r="D336" s="40"/>
      <c r="E336" s="40"/>
      <c r="F336" s="40"/>
      <c r="G336" s="40"/>
      <c r="H336" s="53"/>
      <c r="R336" s="40"/>
      <c r="S336" s="40"/>
      <c r="T336" s="40"/>
      <c r="U336" s="40"/>
      <c r="V336" s="40"/>
      <c r="X336" s="40"/>
      <c r="Y336" s="40"/>
      <c r="Z336" s="40"/>
      <c r="AA336" s="41"/>
      <c r="AB336" s="41"/>
      <c r="AC336" s="41"/>
      <c r="AD336" s="41"/>
      <c r="AE336" s="41"/>
      <c r="AF336" s="40"/>
      <c r="AG336" s="40"/>
      <c r="AH336" s="5"/>
      <c r="AI336" s="5"/>
      <c r="AJ336" s="40"/>
      <c r="AK336" s="40"/>
      <c r="AL336" s="40"/>
      <c r="AM336" s="40"/>
      <c r="AO336" s="40"/>
      <c r="AQ336" s="40"/>
    </row>
    <row r="337" spans="2:43" ht="12.75" customHeight="1" x14ac:dyDescent="0.15">
      <c r="B337" s="40"/>
      <c r="C337" s="40"/>
      <c r="D337" s="40"/>
      <c r="E337" s="40"/>
      <c r="F337" s="40"/>
      <c r="G337" s="40"/>
      <c r="H337" s="53"/>
      <c r="R337" s="40"/>
      <c r="S337" s="40"/>
      <c r="T337" s="40"/>
      <c r="U337" s="40"/>
      <c r="V337" s="40"/>
      <c r="X337" s="40"/>
      <c r="Y337" s="40"/>
      <c r="Z337" s="40"/>
      <c r="AA337" s="41"/>
      <c r="AB337" s="41"/>
      <c r="AC337" s="41"/>
      <c r="AD337" s="41"/>
      <c r="AE337" s="41"/>
      <c r="AF337" s="40"/>
      <c r="AG337" s="40"/>
      <c r="AH337" s="5"/>
      <c r="AI337" s="5"/>
      <c r="AJ337" s="40"/>
      <c r="AK337" s="40"/>
      <c r="AL337" s="40"/>
      <c r="AM337" s="40"/>
      <c r="AO337" s="40"/>
      <c r="AQ337" s="40"/>
    </row>
    <row r="338" spans="2:43" ht="12.75" customHeight="1" x14ac:dyDescent="0.15">
      <c r="B338" s="40"/>
      <c r="C338" s="40"/>
      <c r="D338" s="40"/>
      <c r="E338" s="40"/>
      <c r="F338" s="40"/>
      <c r="G338" s="40"/>
      <c r="H338" s="53"/>
      <c r="R338" s="40"/>
      <c r="S338" s="40"/>
      <c r="T338" s="40"/>
      <c r="U338" s="40"/>
      <c r="V338" s="40"/>
      <c r="X338" s="40"/>
      <c r="Y338" s="40"/>
      <c r="Z338" s="40"/>
      <c r="AA338" s="41"/>
      <c r="AB338" s="41"/>
      <c r="AC338" s="41"/>
      <c r="AD338" s="41"/>
      <c r="AE338" s="41"/>
      <c r="AF338" s="40"/>
      <c r="AG338" s="40"/>
      <c r="AH338" s="5"/>
      <c r="AI338" s="5"/>
      <c r="AJ338" s="40"/>
      <c r="AK338" s="40"/>
      <c r="AL338" s="40"/>
      <c r="AM338" s="40"/>
      <c r="AO338" s="40"/>
      <c r="AQ338" s="40"/>
    </row>
    <row r="339" spans="2:43" ht="12.75" customHeight="1" x14ac:dyDescent="0.15">
      <c r="B339" s="40"/>
      <c r="C339" s="40"/>
      <c r="D339" s="40"/>
      <c r="E339" s="40"/>
      <c r="F339" s="40"/>
      <c r="G339" s="40"/>
      <c r="H339" s="53"/>
      <c r="R339" s="40"/>
      <c r="S339" s="40"/>
      <c r="T339" s="40"/>
      <c r="U339" s="40"/>
      <c r="V339" s="40"/>
      <c r="X339" s="40"/>
      <c r="Y339" s="40"/>
      <c r="Z339" s="40"/>
      <c r="AA339" s="41"/>
      <c r="AB339" s="41"/>
      <c r="AC339" s="41"/>
      <c r="AD339" s="41"/>
      <c r="AE339" s="41"/>
      <c r="AF339" s="40"/>
      <c r="AG339" s="40"/>
      <c r="AH339" s="5"/>
      <c r="AI339" s="5"/>
      <c r="AJ339" s="40"/>
      <c r="AK339" s="40"/>
      <c r="AL339" s="40"/>
      <c r="AM339" s="40"/>
      <c r="AO339" s="40"/>
      <c r="AQ339" s="40"/>
    </row>
    <row r="340" spans="2:43" ht="12.75" customHeight="1" x14ac:dyDescent="0.15">
      <c r="B340" s="40"/>
      <c r="C340" s="40"/>
      <c r="D340" s="40"/>
      <c r="E340" s="40"/>
      <c r="F340" s="40"/>
      <c r="G340" s="40"/>
      <c r="H340" s="53"/>
      <c r="R340" s="40"/>
      <c r="S340" s="40"/>
      <c r="T340" s="40"/>
      <c r="U340" s="40"/>
      <c r="V340" s="40"/>
      <c r="X340" s="40"/>
      <c r="Y340" s="40"/>
      <c r="Z340" s="40"/>
      <c r="AA340" s="41"/>
      <c r="AB340" s="41"/>
      <c r="AC340" s="41"/>
      <c r="AD340" s="41"/>
      <c r="AE340" s="41"/>
      <c r="AF340" s="40"/>
      <c r="AG340" s="40"/>
      <c r="AH340" s="5"/>
      <c r="AI340" s="5"/>
      <c r="AJ340" s="40"/>
      <c r="AK340" s="40"/>
      <c r="AL340" s="40"/>
      <c r="AM340" s="40"/>
      <c r="AO340" s="40"/>
      <c r="AQ340" s="40"/>
    </row>
    <row r="341" spans="2:43" ht="12.75" customHeight="1" x14ac:dyDescent="0.15">
      <c r="B341" s="40"/>
      <c r="C341" s="40"/>
      <c r="D341" s="40"/>
      <c r="E341" s="40"/>
      <c r="F341" s="40"/>
      <c r="G341" s="40"/>
      <c r="H341" s="53"/>
      <c r="R341" s="40"/>
      <c r="S341" s="40"/>
      <c r="T341" s="40"/>
      <c r="U341" s="40"/>
      <c r="V341" s="40"/>
      <c r="X341" s="40"/>
      <c r="Y341" s="40"/>
      <c r="Z341" s="40"/>
      <c r="AA341" s="41"/>
      <c r="AB341" s="41"/>
      <c r="AC341" s="41"/>
      <c r="AD341" s="41"/>
      <c r="AE341" s="41"/>
      <c r="AF341" s="40"/>
      <c r="AG341" s="40"/>
      <c r="AH341" s="5"/>
      <c r="AI341" s="5"/>
      <c r="AJ341" s="40"/>
      <c r="AK341" s="40"/>
      <c r="AL341" s="40"/>
      <c r="AM341" s="40"/>
      <c r="AO341" s="40"/>
      <c r="AQ341" s="40"/>
    </row>
    <row r="342" spans="2:43" ht="12.75" customHeight="1" x14ac:dyDescent="0.15">
      <c r="B342" s="40"/>
      <c r="C342" s="40"/>
      <c r="D342" s="40"/>
      <c r="E342" s="40"/>
      <c r="F342" s="40"/>
      <c r="G342" s="40"/>
      <c r="H342" s="53"/>
      <c r="R342" s="40"/>
      <c r="S342" s="40"/>
      <c r="T342" s="40"/>
      <c r="U342" s="40"/>
      <c r="V342" s="40"/>
      <c r="X342" s="40"/>
      <c r="Y342" s="40"/>
      <c r="Z342" s="40"/>
      <c r="AA342" s="41"/>
      <c r="AB342" s="41"/>
      <c r="AC342" s="41"/>
      <c r="AD342" s="41"/>
      <c r="AE342" s="41"/>
      <c r="AF342" s="40"/>
      <c r="AG342" s="40"/>
      <c r="AH342" s="5"/>
      <c r="AI342" s="5"/>
      <c r="AJ342" s="40"/>
      <c r="AK342" s="40"/>
      <c r="AL342" s="40"/>
      <c r="AM342" s="40"/>
      <c r="AO342" s="40"/>
      <c r="AQ342" s="40"/>
    </row>
    <row r="343" spans="2:43" ht="12.75" customHeight="1" x14ac:dyDescent="0.15">
      <c r="B343" s="40"/>
      <c r="C343" s="40"/>
      <c r="D343" s="40"/>
      <c r="E343" s="40"/>
      <c r="F343" s="40"/>
      <c r="G343" s="40"/>
      <c r="H343" s="53"/>
      <c r="R343" s="40"/>
      <c r="S343" s="40"/>
      <c r="T343" s="40"/>
      <c r="U343" s="40"/>
      <c r="V343" s="40"/>
      <c r="X343" s="40"/>
      <c r="Y343" s="40"/>
      <c r="Z343" s="40"/>
      <c r="AA343" s="41"/>
      <c r="AB343" s="41"/>
      <c r="AC343" s="41"/>
      <c r="AD343" s="41"/>
      <c r="AE343" s="41"/>
      <c r="AF343" s="40"/>
      <c r="AG343" s="40"/>
      <c r="AH343" s="5"/>
      <c r="AI343" s="5"/>
      <c r="AJ343" s="40"/>
      <c r="AK343" s="40"/>
      <c r="AL343" s="40"/>
      <c r="AM343" s="40"/>
      <c r="AO343" s="40"/>
      <c r="AQ343" s="40"/>
    </row>
    <row r="344" spans="2:43" ht="12.75" customHeight="1" x14ac:dyDescent="0.15">
      <c r="B344" s="40"/>
      <c r="C344" s="40"/>
      <c r="D344" s="40"/>
      <c r="E344" s="40"/>
      <c r="F344" s="40"/>
      <c r="G344" s="40"/>
      <c r="H344" s="53"/>
      <c r="R344" s="40"/>
      <c r="S344" s="40"/>
      <c r="T344" s="40"/>
      <c r="U344" s="40"/>
      <c r="V344" s="40"/>
      <c r="X344" s="40"/>
      <c r="Y344" s="40"/>
      <c r="Z344" s="40"/>
      <c r="AA344" s="41"/>
      <c r="AB344" s="41"/>
      <c r="AC344" s="41"/>
      <c r="AD344" s="41"/>
      <c r="AE344" s="41"/>
      <c r="AF344" s="40"/>
      <c r="AG344" s="40"/>
      <c r="AH344" s="5"/>
      <c r="AI344" s="5"/>
      <c r="AJ344" s="40"/>
      <c r="AK344" s="40"/>
      <c r="AL344" s="40"/>
      <c r="AM344" s="40"/>
      <c r="AO344" s="40"/>
      <c r="AQ344" s="40"/>
    </row>
    <row r="345" spans="2:43" ht="12.75" customHeight="1" x14ac:dyDescent="0.15">
      <c r="B345" s="40"/>
      <c r="C345" s="40"/>
      <c r="D345" s="40"/>
      <c r="E345" s="40"/>
      <c r="F345" s="40"/>
      <c r="G345" s="40"/>
      <c r="H345" s="53"/>
      <c r="R345" s="40"/>
      <c r="S345" s="40"/>
      <c r="T345" s="40"/>
      <c r="U345" s="40"/>
      <c r="V345" s="40"/>
      <c r="X345" s="40"/>
      <c r="Y345" s="40"/>
      <c r="Z345" s="40"/>
      <c r="AA345" s="41"/>
      <c r="AB345" s="41"/>
      <c r="AC345" s="41"/>
      <c r="AD345" s="41"/>
      <c r="AE345" s="41"/>
      <c r="AF345" s="40"/>
      <c r="AG345" s="40"/>
      <c r="AH345" s="5"/>
      <c r="AI345" s="5"/>
      <c r="AJ345" s="40"/>
      <c r="AK345" s="40"/>
      <c r="AL345" s="40"/>
      <c r="AM345" s="40"/>
      <c r="AO345" s="40"/>
      <c r="AQ345" s="40"/>
    </row>
    <row r="346" spans="2:43" ht="12.75" customHeight="1" x14ac:dyDescent="0.15">
      <c r="B346" s="40"/>
      <c r="C346" s="40"/>
      <c r="D346" s="40"/>
      <c r="E346" s="40"/>
      <c r="F346" s="40"/>
      <c r="G346" s="40"/>
      <c r="H346" s="53"/>
      <c r="R346" s="40"/>
      <c r="S346" s="40"/>
      <c r="T346" s="40"/>
      <c r="U346" s="40"/>
      <c r="V346" s="40"/>
      <c r="X346" s="40"/>
      <c r="Y346" s="40"/>
      <c r="Z346" s="40"/>
      <c r="AA346" s="41"/>
      <c r="AB346" s="41"/>
      <c r="AC346" s="41"/>
      <c r="AD346" s="41"/>
      <c r="AE346" s="41"/>
      <c r="AF346" s="40"/>
      <c r="AG346" s="40"/>
      <c r="AH346" s="5"/>
      <c r="AI346" s="5"/>
      <c r="AJ346" s="40"/>
      <c r="AK346" s="40"/>
      <c r="AL346" s="40"/>
      <c r="AM346" s="40"/>
      <c r="AO346" s="40"/>
      <c r="AQ346" s="40"/>
    </row>
    <row r="347" spans="2:43" ht="12.75" customHeight="1" x14ac:dyDescent="0.15">
      <c r="B347" s="40"/>
      <c r="C347" s="40"/>
      <c r="D347" s="40"/>
      <c r="E347" s="40"/>
      <c r="F347" s="40"/>
      <c r="G347" s="40"/>
      <c r="H347" s="53"/>
      <c r="R347" s="40"/>
      <c r="S347" s="40"/>
      <c r="T347" s="40"/>
      <c r="U347" s="40"/>
      <c r="V347" s="40"/>
      <c r="X347" s="40"/>
      <c r="Y347" s="40"/>
      <c r="Z347" s="40"/>
      <c r="AA347" s="41"/>
      <c r="AB347" s="41"/>
      <c r="AC347" s="41"/>
      <c r="AD347" s="41"/>
      <c r="AE347" s="41"/>
      <c r="AF347" s="40"/>
      <c r="AG347" s="40"/>
      <c r="AH347" s="5"/>
      <c r="AI347" s="5"/>
      <c r="AJ347" s="40"/>
      <c r="AK347" s="40"/>
      <c r="AL347" s="40"/>
      <c r="AM347" s="40"/>
      <c r="AO347" s="40"/>
      <c r="AQ347" s="40"/>
    </row>
    <row r="348" spans="2:43" ht="12.75" customHeight="1" x14ac:dyDescent="0.15">
      <c r="B348" s="40"/>
      <c r="C348" s="40"/>
      <c r="D348" s="40"/>
      <c r="E348" s="40"/>
      <c r="F348" s="40"/>
      <c r="G348" s="40"/>
      <c r="H348" s="53"/>
      <c r="R348" s="40"/>
      <c r="S348" s="40"/>
      <c r="T348" s="40"/>
      <c r="U348" s="40"/>
      <c r="V348" s="40"/>
      <c r="X348" s="40"/>
      <c r="Y348" s="40"/>
      <c r="Z348" s="40"/>
      <c r="AA348" s="41"/>
      <c r="AB348" s="41"/>
      <c r="AC348" s="41"/>
      <c r="AD348" s="41"/>
      <c r="AE348" s="41"/>
      <c r="AF348" s="40"/>
      <c r="AG348" s="40"/>
      <c r="AH348" s="5"/>
      <c r="AI348" s="5"/>
      <c r="AJ348" s="40"/>
      <c r="AK348" s="40"/>
      <c r="AL348" s="40"/>
      <c r="AM348" s="40"/>
      <c r="AO348" s="40"/>
      <c r="AQ348" s="40"/>
    </row>
    <row r="349" spans="2:43" ht="12.75" customHeight="1" x14ac:dyDescent="0.15">
      <c r="B349" s="40"/>
      <c r="C349" s="40"/>
      <c r="D349" s="40"/>
      <c r="E349" s="40"/>
      <c r="F349" s="40"/>
      <c r="G349" s="40"/>
      <c r="H349" s="53"/>
      <c r="R349" s="40"/>
      <c r="S349" s="40"/>
      <c r="T349" s="40"/>
      <c r="U349" s="40"/>
      <c r="V349" s="40"/>
      <c r="X349" s="40"/>
      <c r="Y349" s="40"/>
      <c r="Z349" s="40"/>
      <c r="AA349" s="41"/>
      <c r="AB349" s="41"/>
      <c r="AC349" s="41"/>
      <c r="AD349" s="41"/>
      <c r="AE349" s="41"/>
      <c r="AF349" s="40"/>
      <c r="AG349" s="40"/>
      <c r="AH349" s="5"/>
      <c r="AI349" s="5"/>
      <c r="AJ349" s="40"/>
      <c r="AK349" s="40"/>
      <c r="AL349" s="40"/>
      <c r="AM349" s="40"/>
      <c r="AO349" s="40"/>
      <c r="AQ349" s="40"/>
    </row>
    <row r="350" spans="2:43" ht="12.75" customHeight="1" x14ac:dyDescent="0.15">
      <c r="B350" s="40"/>
      <c r="C350" s="40"/>
      <c r="D350" s="40"/>
      <c r="E350" s="40"/>
      <c r="F350" s="40"/>
      <c r="G350" s="40"/>
      <c r="H350" s="53"/>
      <c r="R350" s="40"/>
      <c r="S350" s="40"/>
      <c r="T350" s="40"/>
      <c r="U350" s="40"/>
      <c r="V350" s="40"/>
      <c r="X350" s="40"/>
      <c r="Y350" s="40"/>
      <c r="Z350" s="40"/>
      <c r="AA350" s="41"/>
      <c r="AB350" s="41"/>
      <c r="AC350" s="41"/>
      <c r="AD350" s="41"/>
      <c r="AE350" s="41"/>
      <c r="AF350" s="40"/>
      <c r="AG350" s="40"/>
      <c r="AH350" s="5"/>
      <c r="AI350" s="5"/>
      <c r="AJ350" s="40"/>
      <c r="AK350" s="40"/>
      <c r="AL350" s="40"/>
      <c r="AM350" s="40"/>
      <c r="AO350" s="40"/>
      <c r="AQ350" s="40"/>
    </row>
    <row r="351" spans="2:43" ht="12.75" customHeight="1" x14ac:dyDescent="0.15">
      <c r="B351" s="40"/>
      <c r="C351" s="40"/>
      <c r="D351" s="40"/>
      <c r="E351" s="40"/>
      <c r="F351" s="40"/>
      <c r="G351" s="40"/>
      <c r="H351" s="53"/>
      <c r="R351" s="40"/>
      <c r="S351" s="40"/>
      <c r="T351" s="40"/>
      <c r="U351" s="40"/>
      <c r="V351" s="40"/>
      <c r="X351" s="40"/>
      <c r="Y351" s="40"/>
      <c r="Z351" s="40"/>
      <c r="AA351" s="41"/>
      <c r="AB351" s="41"/>
      <c r="AC351" s="41"/>
      <c r="AD351" s="41"/>
      <c r="AE351" s="41"/>
      <c r="AF351" s="40"/>
      <c r="AG351" s="40"/>
      <c r="AH351" s="5"/>
      <c r="AI351" s="5"/>
      <c r="AJ351" s="40"/>
      <c r="AK351" s="40"/>
      <c r="AL351" s="40"/>
      <c r="AM351" s="40"/>
      <c r="AO351" s="40"/>
      <c r="AQ351" s="40"/>
    </row>
    <row r="352" spans="2:43" ht="12.75" customHeight="1" x14ac:dyDescent="0.15">
      <c r="B352" s="40"/>
      <c r="C352" s="40"/>
      <c r="D352" s="40"/>
      <c r="E352" s="40"/>
      <c r="F352" s="40"/>
      <c r="G352" s="40"/>
      <c r="H352" s="53"/>
      <c r="R352" s="40"/>
      <c r="S352" s="40"/>
      <c r="T352" s="40"/>
      <c r="U352" s="40"/>
      <c r="V352" s="40"/>
      <c r="X352" s="40"/>
      <c r="Y352" s="40"/>
      <c r="Z352" s="40"/>
      <c r="AA352" s="41"/>
      <c r="AB352" s="41"/>
      <c r="AC352" s="41"/>
      <c r="AD352" s="41"/>
      <c r="AE352" s="41"/>
      <c r="AF352" s="40"/>
      <c r="AG352" s="40"/>
      <c r="AH352" s="5"/>
      <c r="AI352" s="5"/>
      <c r="AJ352" s="40"/>
      <c r="AK352" s="40"/>
      <c r="AL352" s="40"/>
      <c r="AM352" s="40"/>
      <c r="AO352" s="40"/>
      <c r="AQ352" s="40"/>
    </row>
    <row r="353" spans="2:43" ht="12.75" customHeight="1" x14ac:dyDescent="0.15">
      <c r="B353" s="40"/>
      <c r="C353" s="40"/>
      <c r="D353" s="40"/>
      <c r="E353" s="40"/>
      <c r="F353" s="40"/>
      <c r="G353" s="40"/>
      <c r="H353" s="53"/>
      <c r="R353" s="40"/>
      <c r="S353" s="40"/>
      <c r="T353" s="40"/>
      <c r="U353" s="40"/>
      <c r="V353" s="40"/>
      <c r="X353" s="40"/>
      <c r="Y353" s="40"/>
      <c r="Z353" s="40"/>
      <c r="AA353" s="41"/>
      <c r="AB353" s="41"/>
      <c r="AC353" s="41"/>
      <c r="AD353" s="41"/>
      <c r="AE353" s="41"/>
      <c r="AF353" s="40"/>
      <c r="AG353" s="40"/>
      <c r="AH353" s="5"/>
      <c r="AI353" s="5"/>
      <c r="AJ353" s="40"/>
      <c r="AK353" s="40"/>
      <c r="AL353" s="40"/>
      <c r="AM353" s="40"/>
      <c r="AO353" s="40"/>
      <c r="AQ353" s="40"/>
    </row>
    <row r="354" spans="2:43" ht="12.75" customHeight="1" x14ac:dyDescent="0.15">
      <c r="B354" s="40"/>
      <c r="C354" s="40"/>
      <c r="D354" s="40"/>
      <c r="E354" s="40"/>
      <c r="F354" s="40"/>
      <c r="G354" s="40"/>
      <c r="H354" s="53"/>
      <c r="R354" s="40"/>
      <c r="S354" s="40"/>
      <c r="T354" s="40"/>
      <c r="U354" s="40"/>
      <c r="V354" s="40"/>
      <c r="X354" s="40"/>
      <c r="Y354" s="40"/>
      <c r="Z354" s="40"/>
      <c r="AA354" s="41"/>
      <c r="AB354" s="41"/>
      <c r="AC354" s="41"/>
      <c r="AD354" s="41"/>
      <c r="AE354" s="41"/>
      <c r="AF354" s="40"/>
      <c r="AG354" s="40"/>
      <c r="AH354" s="5"/>
      <c r="AI354" s="5"/>
      <c r="AJ354" s="40"/>
      <c r="AK354" s="40"/>
      <c r="AL354" s="40"/>
      <c r="AM354" s="40"/>
      <c r="AO354" s="40"/>
      <c r="AQ354" s="40"/>
    </row>
    <row r="355" spans="2:43" ht="12.75" customHeight="1" x14ac:dyDescent="0.15">
      <c r="B355" s="40"/>
      <c r="C355" s="40"/>
      <c r="D355" s="40"/>
      <c r="E355" s="40"/>
      <c r="F355" s="40"/>
      <c r="G355" s="40"/>
      <c r="H355" s="53"/>
      <c r="R355" s="40"/>
      <c r="S355" s="40"/>
      <c r="T355" s="40"/>
      <c r="U355" s="40"/>
      <c r="V355" s="40"/>
      <c r="X355" s="40"/>
      <c r="Y355" s="40"/>
      <c r="Z355" s="40"/>
      <c r="AA355" s="41"/>
      <c r="AB355" s="41"/>
      <c r="AC355" s="41"/>
      <c r="AD355" s="41"/>
      <c r="AE355" s="41"/>
      <c r="AF355" s="40"/>
      <c r="AG355" s="40"/>
      <c r="AH355" s="5"/>
      <c r="AI355" s="5"/>
      <c r="AJ355" s="40"/>
      <c r="AK355" s="40"/>
      <c r="AL355" s="40"/>
      <c r="AM355" s="40"/>
      <c r="AO355" s="40"/>
      <c r="AQ355" s="40"/>
    </row>
    <row r="356" spans="2:43" ht="12.75" customHeight="1" x14ac:dyDescent="0.15">
      <c r="B356" s="40"/>
      <c r="C356" s="40"/>
      <c r="D356" s="40"/>
      <c r="E356" s="40"/>
      <c r="F356" s="40"/>
      <c r="G356" s="40"/>
      <c r="H356" s="53"/>
      <c r="R356" s="40"/>
      <c r="S356" s="40"/>
      <c r="T356" s="40"/>
      <c r="U356" s="40"/>
      <c r="V356" s="40"/>
      <c r="X356" s="40"/>
      <c r="Y356" s="40"/>
      <c r="Z356" s="40"/>
      <c r="AA356" s="41"/>
      <c r="AB356" s="41"/>
      <c r="AC356" s="41"/>
      <c r="AD356" s="41"/>
      <c r="AE356" s="41"/>
      <c r="AF356" s="40"/>
      <c r="AG356" s="40"/>
      <c r="AH356" s="5"/>
      <c r="AI356" s="5"/>
      <c r="AJ356" s="40"/>
      <c r="AK356" s="40"/>
      <c r="AL356" s="40"/>
      <c r="AM356" s="40"/>
      <c r="AO356" s="40"/>
      <c r="AQ356" s="40"/>
    </row>
    <row r="357" spans="2:43" ht="12.75" customHeight="1" x14ac:dyDescent="0.15">
      <c r="B357" s="40"/>
      <c r="C357" s="40"/>
      <c r="D357" s="40"/>
      <c r="E357" s="40"/>
      <c r="F357" s="40"/>
      <c r="G357" s="40"/>
      <c r="H357" s="53"/>
      <c r="R357" s="40"/>
      <c r="S357" s="40"/>
      <c r="T357" s="40"/>
      <c r="U357" s="40"/>
      <c r="V357" s="40"/>
      <c r="X357" s="40"/>
      <c r="Y357" s="40"/>
      <c r="Z357" s="40"/>
      <c r="AA357" s="41"/>
      <c r="AB357" s="41"/>
      <c r="AC357" s="41"/>
      <c r="AD357" s="41"/>
      <c r="AE357" s="41"/>
      <c r="AF357" s="40"/>
      <c r="AG357" s="40"/>
      <c r="AH357" s="5"/>
      <c r="AI357" s="5"/>
      <c r="AJ357" s="40"/>
      <c r="AK357" s="40"/>
      <c r="AL357" s="40"/>
      <c r="AM357" s="40"/>
      <c r="AO357" s="40"/>
      <c r="AQ357" s="40"/>
    </row>
    <row r="358" spans="2:43" ht="12.75" customHeight="1" x14ac:dyDescent="0.15">
      <c r="B358" s="40"/>
      <c r="C358" s="40"/>
      <c r="D358" s="40"/>
      <c r="E358" s="40"/>
      <c r="F358" s="40"/>
      <c r="G358" s="40"/>
      <c r="H358" s="53"/>
      <c r="R358" s="40"/>
      <c r="S358" s="40"/>
      <c r="T358" s="40"/>
      <c r="U358" s="40"/>
      <c r="V358" s="40"/>
      <c r="X358" s="40"/>
      <c r="Y358" s="40"/>
      <c r="Z358" s="40"/>
      <c r="AA358" s="41"/>
      <c r="AB358" s="41"/>
      <c r="AC358" s="41"/>
      <c r="AD358" s="41"/>
      <c r="AE358" s="41"/>
      <c r="AF358" s="40"/>
      <c r="AG358" s="40"/>
      <c r="AH358" s="5"/>
      <c r="AI358" s="5"/>
      <c r="AJ358" s="40"/>
      <c r="AK358" s="40"/>
      <c r="AL358" s="40"/>
      <c r="AM358" s="40"/>
      <c r="AO358" s="40"/>
      <c r="AQ358" s="40"/>
    </row>
    <row r="359" spans="2:43" ht="12.75" customHeight="1" x14ac:dyDescent="0.15">
      <c r="B359" s="40"/>
      <c r="C359" s="40"/>
      <c r="D359" s="40"/>
      <c r="E359" s="40"/>
      <c r="F359" s="40"/>
      <c r="G359" s="40"/>
      <c r="H359" s="53"/>
      <c r="R359" s="40"/>
      <c r="S359" s="40"/>
      <c r="T359" s="40"/>
      <c r="U359" s="40"/>
      <c r="V359" s="40"/>
      <c r="X359" s="40"/>
      <c r="Y359" s="40"/>
      <c r="Z359" s="40"/>
      <c r="AA359" s="41"/>
      <c r="AB359" s="41"/>
      <c r="AC359" s="41"/>
      <c r="AD359" s="41"/>
      <c r="AE359" s="41"/>
      <c r="AF359" s="40"/>
      <c r="AG359" s="40"/>
      <c r="AH359" s="5"/>
      <c r="AI359" s="5"/>
      <c r="AJ359" s="40"/>
      <c r="AK359" s="40"/>
      <c r="AL359" s="40"/>
      <c r="AM359" s="40"/>
      <c r="AO359" s="40"/>
      <c r="AQ359" s="40"/>
    </row>
    <row r="360" spans="2:43" ht="12.75" customHeight="1" x14ac:dyDescent="0.15">
      <c r="B360" s="40"/>
      <c r="C360" s="40"/>
      <c r="D360" s="40"/>
      <c r="E360" s="40"/>
      <c r="F360" s="40"/>
      <c r="G360" s="40"/>
      <c r="H360" s="53"/>
      <c r="R360" s="40"/>
      <c r="S360" s="40"/>
      <c r="T360" s="40"/>
      <c r="U360" s="40"/>
      <c r="V360" s="40"/>
      <c r="X360" s="40"/>
      <c r="Y360" s="40"/>
      <c r="Z360" s="40"/>
      <c r="AA360" s="41"/>
      <c r="AB360" s="41"/>
      <c r="AC360" s="41"/>
      <c r="AD360" s="41"/>
      <c r="AE360" s="41"/>
      <c r="AF360" s="40"/>
      <c r="AG360" s="40"/>
      <c r="AH360" s="5"/>
      <c r="AI360" s="5"/>
      <c r="AJ360" s="40"/>
      <c r="AK360" s="40"/>
      <c r="AL360" s="40"/>
      <c r="AM360" s="40"/>
      <c r="AO360" s="40"/>
      <c r="AQ360" s="40"/>
    </row>
    <row r="361" spans="2:43" ht="12.75" customHeight="1" x14ac:dyDescent="0.15">
      <c r="B361" s="40"/>
      <c r="C361" s="40"/>
      <c r="D361" s="40"/>
      <c r="E361" s="40"/>
      <c r="F361" s="40"/>
      <c r="G361" s="40"/>
      <c r="H361" s="53"/>
      <c r="R361" s="40"/>
      <c r="S361" s="40"/>
      <c r="T361" s="40"/>
      <c r="U361" s="40"/>
      <c r="V361" s="40"/>
      <c r="X361" s="40"/>
      <c r="Y361" s="40"/>
      <c r="Z361" s="40"/>
      <c r="AA361" s="41"/>
      <c r="AB361" s="41"/>
      <c r="AC361" s="41"/>
      <c r="AD361" s="41"/>
      <c r="AE361" s="41"/>
      <c r="AF361" s="40"/>
      <c r="AG361" s="40"/>
      <c r="AH361" s="5"/>
      <c r="AI361" s="5"/>
      <c r="AJ361" s="40"/>
      <c r="AK361" s="40"/>
      <c r="AL361" s="40"/>
      <c r="AM361" s="40"/>
      <c r="AO361" s="40"/>
      <c r="AQ361" s="40"/>
    </row>
    <row r="362" spans="2:43" ht="12.75" customHeight="1" x14ac:dyDescent="0.15">
      <c r="B362" s="40"/>
      <c r="C362" s="40"/>
      <c r="D362" s="40"/>
      <c r="E362" s="40"/>
      <c r="F362" s="40"/>
      <c r="G362" s="40"/>
      <c r="H362" s="53"/>
      <c r="R362" s="40"/>
      <c r="S362" s="40"/>
      <c r="T362" s="40"/>
      <c r="U362" s="40"/>
      <c r="V362" s="40"/>
      <c r="X362" s="40"/>
      <c r="Y362" s="40"/>
      <c r="Z362" s="40"/>
      <c r="AA362" s="41"/>
      <c r="AB362" s="41"/>
      <c r="AC362" s="41"/>
      <c r="AD362" s="41"/>
      <c r="AE362" s="41"/>
      <c r="AF362" s="40"/>
      <c r="AG362" s="40"/>
      <c r="AH362" s="5"/>
      <c r="AI362" s="5"/>
      <c r="AJ362" s="40"/>
      <c r="AK362" s="40"/>
      <c r="AL362" s="40"/>
      <c r="AM362" s="40"/>
      <c r="AO362" s="40"/>
      <c r="AQ362" s="40"/>
    </row>
    <row r="363" spans="2:43" ht="12.75" customHeight="1" x14ac:dyDescent="0.15">
      <c r="B363" s="40"/>
      <c r="C363" s="40"/>
      <c r="D363" s="40"/>
      <c r="E363" s="40"/>
      <c r="F363" s="40"/>
      <c r="G363" s="40"/>
      <c r="H363" s="53"/>
      <c r="R363" s="40"/>
      <c r="S363" s="40"/>
      <c r="T363" s="40"/>
      <c r="U363" s="40"/>
      <c r="V363" s="40"/>
      <c r="X363" s="40"/>
      <c r="Y363" s="40"/>
      <c r="Z363" s="40"/>
      <c r="AA363" s="41"/>
      <c r="AB363" s="41"/>
      <c r="AC363" s="41"/>
      <c r="AD363" s="41"/>
      <c r="AE363" s="41"/>
      <c r="AF363" s="40"/>
      <c r="AG363" s="40"/>
      <c r="AH363" s="5"/>
      <c r="AI363" s="5"/>
      <c r="AJ363" s="40"/>
      <c r="AK363" s="40"/>
      <c r="AL363" s="40"/>
      <c r="AM363" s="40"/>
      <c r="AO363" s="40"/>
      <c r="AQ363" s="40"/>
    </row>
    <row r="364" spans="2:43" ht="12.75" customHeight="1" x14ac:dyDescent="0.15">
      <c r="B364" s="40"/>
      <c r="C364" s="40"/>
      <c r="D364" s="40"/>
      <c r="E364" s="40"/>
      <c r="F364" s="40"/>
      <c r="G364" s="40"/>
      <c r="H364" s="53"/>
      <c r="R364" s="40"/>
      <c r="S364" s="40"/>
      <c r="T364" s="40"/>
      <c r="U364" s="40"/>
      <c r="V364" s="40"/>
      <c r="X364" s="40"/>
      <c r="Y364" s="40"/>
      <c r="Z364" s="40"/>
      <c r="AA364" s="41"/>
      <c r="AB364" s="41"/>
      <c r="AC364" s="41"/>
      <c r="AD364" s="41"/>
      <c r="AE364" s="41"/>
      <c r="AF364" s="40"/>
      <c r="AG364" s="40"/>
      <c r="AH364" s="5"/>
      <c r="AI364" s="5"/>
      <c r="AJ364" s="40"/>
      <c r="AK364" s="40"/>
      <c r="AL364" s="40"/>
      <c r="AM364" s="40"/>
      <c r="AO364" s="40"/>
      <c r="AQ364" s="40"/>
    </row>
    <row r="365" spans="2:43" ht="12.75" customHeight="1" x14ac:dyDescent="0.15">
      <c r="B365" s="40"/>
      <c r="C365" s="40"/>
      <c r="D365" s="40"/>
      <c r="E365" s="40"/>
      <c r="F365" s="40"/>
      <c r="G365" s="40"/>
      <c r="H365" s="53"/>
      <c r="R365" s="40"/>
      <c r="S365" s="40"/>
      <c r="T365" s="40"/>
      <c r="U365" s="40"/>
      <c r="V365" s="40"/>
      <c r="X365" s="40"/>
      <c r="Y365" s="40"/>
      <c r="Z365" s="40"/>
      <c r="AA365" s="41"/>
      <c r="AB365" s="41"/>
      <c r="AC365" s="41"/>
      <c r="AD365" s="41"/>
      <c r="AE365" s="41"/>
      <c r="AF365" s="40"/>
      <c r="AG365" s="40"/>
      <c r="AH365" s="5"/>
      <c r="AI365" s="5"/>
      <c r="AJ365" s="40"/>
      <c r="AK365" s="40"/>
      <c r="AL365" s="40"/>
      <c r="AM365" s="40"/>
      <c r="AO365" s="40"/>
      <c r="AQ365" s="40"/>
    </row>
    <row r="366" spans="2:43" ht="12.75" customHeight="1" x14ac:dyDescent="0.15">
      <c r="B366" s="40"/>
      <c r="C366" s="40"/>
      <c r="D366" s="40"/>
      <c r="E366" s="40"/>
      <c r="F366" s="40"/>
      <c r="G366" s="40"/>
      <c r="H366" s="53"/>
      <c r="R366" s="40"/>
      <c r="S366" s="40"/>
      <c r="T366" s="40"/>
      <c r="U366" s="40"/>
      <c r="V366" s="40"/>
      <c r="X366" s="40"/>
      <c r="Y366" s="40"/>
      <c r="Z366" s="40"/>
      <c r="AA366" s="41"/>
      <c r="AB366" s="41"/>
      <c r="AC366" s="41"/>
      <c r="AD366" s="41"/>
      <c r="AE366" s="41"/>
      <c r="AF366" s="40"/>
      <c r="AG366" s="40"/>
      <c r="AH366" s="5"/>
      <c r="AI366" s="5"/>
      <c r="AJ366" s="40"/>
      <c r="AK366" s="40"/>
      <c r="AL366" s="40"/>
      <c r="AM366" s="40"/>
      <c r="AO366" s="40"/>
      <c r="AQ366" s="40"/>
    </row>
    <row r="367" spans="2:43" ht="12.75" customHeight="1" x14ac:dyDescent="0.15">
      <c r="B367" s="40"/>
      <c r="C367" s="40"/>
      <c r="D367" s="40"/>
      <c r="E367" s="40"/>
      <c r="F367" s="40"/>
      <c r="G367" s="40"/>
      <c r="H367" s="53"/>
      <c r="R367" s="40"/>
      <c r="S367" s="40"/>
      <c r="T367" s="40"/>
      <c r="U367" s="40"/>
      <c r="V367" s="40"/>
      <c r="X367" s="40"/>
      <c r="Y367" s="40"/>
      <c r="Z367" s="40"/>
      <c r="AA367" s="41"/>
      <c r="AB367" s="41"/>
      <c r="AC367" s="41"/>
      <c r="AD367" s="41"/>
      <c r="AE367" s="41"/>
      <c r="AF367" s="40"/>
      <c r="AG367" s="40"/>
      <c r="AH367" s="5"/>
      <c r="AI367" s="5"/>
      <c r="AJ367" s="40"/>
      <c r="AK367" s="40"/>
      <c r="AL367" s="40"/>
      <c r="AM367" s="40"/>
      <c r="AO367" s="40"/>
      <c r="AQ367" s="40"/>
    </row>
    <row r="368" spans="2:43" ht="12.75" customHeight="1" x14ac:dyDescent="0.15">
      <c r="B368" s="40"/>
      <c r="C368" s="40"/>
      <c r="D368" s="40"/>
      <c r="E368" s="40"/>
      <c r="F368" s="40"/>
      <c r="G368" s="40"/>
      <c r="H368" s="53"/>
      <c r="R368" s="40"/>
      <c r="S368" s="40"/>
      <c r="T368" s="40"/>
      <c r="U368" s="40"/>
      <c r="V368" s="40"/>
      <c r="X368" s="40"/>
      <c r="Y368" s="40"/>
      <c r="Z368" s="40"/>
      <c r="AA368" s="41"/>
      <c r="AB368" s="41"/>
      <c r="AC368" s="41"/>
      <c r="AD368" s="41"/>
      <c r="AE368" s="41"/>
      <c r="AF368" s="40"/>
      <c r="AG368" s="40"/>
      <c r="AH368" s="5"/>
      <c r="AI368" s="5"/>
      <c r="AJ368" s="40"/>
      <c r="AK368" s="40"/>
      <c r="AL368" s="40"/>
      <c r="AM368" s="40"/>
      <c r="AO368" s="40"/>
      <c r="AQ368" s="40"/>
    </row>
    <row r="369" spans="2:43" ht="12.75" customHeight="1" x14ac:dyDescent="0.15">
      <c r="B369" s="40"/>
      <c r="C369" s="40"/>
      <c r="D369" s="40"/>
      <c r="E369" s="40"/>
      <c r="F369" s="40"/>
      <c r="G369" s="40"/>
      <c r="H369" s="53"/>
      <c r="R369" s="40"/>
      <c r="S369" s="40"/>
      <c r="T369" s="40"/>
      <c r="U369" s="40"/>
      <c r="V369" s="40"/>
      <c r="X369" s="40"/>
      <c r="Y369" s="40"/>
      <c r="Z369" s="40"/>
      <c r="AA369" s="41"/>
      <c r="AB369" s="41"/>
      <c r="AC369" s="41"/>
      <c r="AD369" s="41"/>
      <c r="AE369" s="41"/>
      <c r="AF369" s="40"/>
      <c r="AG369" s="40"/>
      <c r="AH369" s="5"/>
      <c r="AI369" s="5"/>
      <c r="AJ369" s="40"/>
      <c r="AK369" s="40"/>
      <c r="AL369" s="40"/>
      <c r="AM369" s="40"/>
      <c r="AO369" s="40"/>
      <c r="AQ369" s="40"/>
    </row>
    <row r="370" spans="2:43" ht="12.75" customHeight="1" x14ac:dyDescent="0.15">
      <c r="B370" s="40"/>
      <c r="C370" s="40"/>
      <c r="D370" s="40"/>
      <c r="E370" s="40"/>
      <c r="F370" s="40"/>
      <c r="G370" s="40"/>
      <c r="H370" s="53"/>
      <c r="R370" s="40"/>
      <c r="S370" s="40"/>
      <c r="T370" s="40"/>
      <c r="U370" s="40"/>
      <c r="V370" s="40"/>
      <c r="X370" s="40"/>
      <c r="Y370" s="40"/>
      <c r="Z370" s="40"/>
      <c r="AA370" s="41"/>
      <c r="AB370" s="41"/>
      <c r="AC370" s="41"/>
      <c r="AD370" s="41"/>
      <c r="AE370" s="41"/>
      <c r="AF370" s="40"/>
      <c r="AG370" s="40"/>
      <c r="AH370" s="5"/>
      <c r="AI370" s="5"/>
      <c r="AJ370" s="40"/>
      <c r="AK370" s="40"/>
      <c r="AL370" s="40"/>
      <c r="AM370" s="40"/>
      <c r="AO370" s="40"/>
      <c r="AQ370" s="40"/>
    </row>
    <row r="371" spans="2:43" ht="12.75" customHeight="1" x14ac:dyDescent="0.15">
      <c r="B371" s="40"/>
      <c r="C371" s="40"/>
      <c r="D371" s="40"/>
      <c r="E371" s="40"/>
      <c r="F371" s="40"/>
      <c r="G371" s="40"/>
      <c r="H371" s="53"/>
      <c r="R371" s="40"/>
      <c r="S371" s="40"/>
      <c r="T371" s="40"/>
      <c r="U371" s="40"/>
      <c r="V371" s="40"/>
      <c r="X371" s="40"/>
      <c r="Y371" s="40"/>
      <c r="Z371" s="40"/>
      <c r="AA371" s="41"/>
      <c r="AB371" s="41"/>
      <c r="AC371" s="41"/>
      <c r="AD371" s="41"/>
      <c r="AE371" s="41"/>
      <c r="AF371" s="40"/>
      <c r="AG371" s="40"/>
      <c r="AH371" s="5"/>
      <c r="AI371" s="5"/>
      <c r="AJ371" s="40"/>
      <c r="AK371" s="40"/>
      <c r="AL371" s="40"/>
      <c r="AM371" s="40"/>
      <c r="AO371" s="40"/>
      <c r="AQ371" s="40"/>
    </row>
    <row r="372" spans="2:43" ht="12.75" customHeight="1" x14ac:dyDescent="0.15">
      <c r="B372" s="40"/>
      <c r="C372" s="40"/>
      <c r="D372" s="40"/>
      <c r="E372" s="40"/>
      <c r="F372" s="40"/>
      <c r="G372" s="40"/>
      <c r="H372" s="53"/>
      <c r="R372" s="40"/>
      <c r="S372" s="40"/>
      <c r="T372" s="40"/>
      <c r="U372" s="40"/>
      <c r="V372" s="40"/>
      <c r="X372" s="40"/>
      <c r="Y372" s="40"/>
      <c r="Z372" s="40"/>
      <c r="AA372" s="41"/>
      <c r="AB372" s="41"/>
      <c r="AC372" s="41"/>
      <c r="AD372" s="41"/>
      <c r="AE372" s="41"/>
      <c r="AF372" s="40"/>
      <c r="AG372" s="40"/>
      <c r="AH372" s="5"/>
      <c r="AI372" s="5"/>
      <c r="AJ372" s="40"/>
      <c r="AK372" s="40"/>
      <c r="AL372" s="40"/>
      <c r="AM372" s="40"/>
      <c r="AO372" s="40"/>
      <c r="AQ372" s="40"/>
    </row>
    <row r="373" spans="2:43" ht="12.75" customHeight="1" x14ac:dyDescent="0.15">
      <c r="B373" s="40"/>
      <c r="C373" s="40"/>
      <c r="D373" s="40"/>
      <c r="E373" s="40"/>
      <c r="F373" s="40"/>
      <c r="G373" s="40"/>
      <c r="H373" s="53"/>
      <c r="R373" s="40"/>
      <c r="S373" s="40"/>
      <c r="T373" s="40"/>
      <c r="U373" s="40"/>
      <c r="V373" s="40"/>
      <c r="X373" s="40"/>
      <c r="Y373" s="40"/>
      <c r="Z373" s="40"/>
      <c r="AA373" s="41"/>
      <c r="AB373" s="41"/>
      <c r="AC373" s="41"/>
      <c r="AD373" s="41"/>
      <c r="AE373" s="41"/>
      <c r="AF373" s="40"/>
      <c r="AG373" s="40"/>
      <c r="AH373" s="5"/>
      <c r="AI373" s="5"/>
      <c r="AJ373" s="40"/>
      <c r="AK373" s="40"/>
      <c r="AL373" s="40"/>
      <c r="AM373" s="40"/>
      <c r="AO373" s="40"/>
      <c r="AQ373" s="40"/>
    </row>
    <row r="374" spans="2:43" ht="12.75" customHeight="1" x14ac:dyDescent="0.15">
      <c r="B374" s="40"/>
      <c r="C374" s="40"/>
      <c r="D374" s="40"/>
      <c r="E374" s="40"/>
      <c r="F374" s="40"/>
      <c r="G374" s="40"/>
      <c r="H374" s="53"/>
      <c r="R374" s="40"/>
      <c r="S374" s="40"/>
      <c r="T374" s="40"/>
      <c r="U374" s="40"/>
      <c r="V374" s="40"/>
      <c r="X374" s="40"/>
      <c r="Y374" s="40"/>
      <c r="Z374" s="40"/>
      <c r="AA374" s="41"/>
      <c r="AB374" s="41"/>
      <c r="AC374" s="41"/>
      <c r="AD374" s="41"/>
      <c r="AE374" s="41"/>
      <c r="AF374" s="40"/>
      <c r="AG374" s="40"/>
      <c r="AH374" s="5"/>
      <c r="AI374" s="5"/>
      <c r="AJ374" s="40"/>
      <c r="AK374" s="40"/>
      <c r="AL374" s="40"/>
      <c r="AM374" s="40"/>
      <c r="AO374" s="40"/>
      <c r="AQ374" s="40"/>
    </row>
    <row r="375" spans="2:43" ht="12.75" customHeight="1" x14ac:dyDescent="0.15">
      <c r="B375" s="40"/>
      <c r="C375" s="40"/>
      <c r="D375" s="40"/>
      <c r="E375" s="40"/>
      <c r="F375" s="40"/>
      <c r="G375" s="40"/>
      <c r="H375" s="53"/>
      <c r="R375" s="40"/>
      <c r="S375" s="40"/>
      <c r="T375" s="40"/>
      <c r="U375" s="40"/>
      <c r="V375" s="40"/>
      <c r="X375" s="40"/>
      <c r="Y375" s="40"/>
      <c r="Z375" s="40"/>
      <c r="AA375" s="41"/>
      <c r="AB375" s="41"/>
      <c r="AC375" s="41"/>
      <c r="AD375" s="41"/>
      <c r="AE375" s="41"/>
      <c r="AF375" s="40"/>
      <c r="AG375" s="40"/>
      <c r="AH375" s="5"/>
      <c r="AI375" s="5"/>
      <c r="AJ375" s="40"/>
      <c r="AK375" s="40"/>
      <c r="AL375" s="40"/>
      <c r="AM375" s="40"/>
      <c r="AO375" s="40"/>
      <c r="AQ375" s="40"/>
    </row>
    <row r="376" spans="2:43" ht="12.75" customHeight="1" x14ac:dyDescent="0.15">
      <c r="B376" s="40"/>
      <c r="C376" s="40"/>
      <c r="D376" s="40"/>
      <c r="E376" s="40"/>
      <c r="F376" s="40"/>
      <c r="G376" s="40"/>
      <c r="H376" s="53"/>
      <c r="R376" s="40"/>
      <c r="S376" s="40"/>
      <c r="T376" s="40"/>
      <c r="U376" s="40"/>
      <c r="V376" s="40"/>
      <c r="X376" s="40"/>
      <c r="Y376" s="40"/>
      <c r="Z376" s="40"/>
      <c r="AA376" s="41"/>
      <c r="AB376" s="41"/>
      <c r="AC376" s="41"/>
      <c r="AD376" s="41"/>
      <c r="AE376" s="41"/>
      <c r="AF376" s="40"/>
      <c r="AG376" s="40"/>
      <c r="AH376" s="5"/>
      <c r="AI376" s="5"/>
      <c r="AJ376" s="40"/>
      <c r="AK376" s="40"/>
      <c r="AL376" s="40"/>
      <c r="AM376" s="40"/>
      <c r="AO376" s="40"/>
      <c r="AQ376" s="40"/>
    </row>
    <row r="377" spans="2:43" ht="12.75" customHeight="1" x14ac:dyDescent="0.15">
      <c r="B377" s="40"/>
      <c r="C377" s="40"/>
      <c r="D377" s="40"/>
      <c r="E377" s="40"/>
      <c r="F377" s="40"/>
      <c r="G377" s="40"/>
      <c r="H377" s="53"/>
      <c r="R377" s="40"/>
      <c r="S377" s="40"/>
      <c r="T377" s="40"/>
      <c r="U377" s="40"/>
      <c r="V377" s="40"/>
      <c r="X377" s="40"/>
      <c r="Y377" s="40"/>
      <c r="Z377" s="40"/>
      <c r="AA377" s="41"/>
      <c r="AB377" s="41"/>
      <c r="AC377" s="41"/>
      <c r="AD377" s="41"/>
      <c r="AE377" s="41"/>
      <c r="AF377" s="40"/>
      <c r="AG377" s="40"/>
      <c r="AH377" s="5"/>
      <c r="AI377" s="5"/>
      <c r="AJ377" s="40"/>
      <c r="AK377" s="40"/>
      <c r="AL377" s="40"/>
      <c r="AM377" s="40"/>
      <c r="AO377" s="40"/>
      <c r="AQ377" s="40"/>
    </row>
    <row r="378" spans="2:43" ht="12.75" customHeight="1" x14ac:dyDescent="0.15">
      <c r="B378" s="40"/>
      <c r="C378" s="40"/>
      <c r="D378" s="40"/>
      <c r="E378" s="40"/>
      <c r="F378" s="40"/>
      <c r="G378" s="40"/>
      <c r="H378" s="53"/>
      <c r="R378" s="40"/>
      <c r="S378" s="40"/>
      <c r="T378" s="40"/>
      <c r="U378" s="40"/>
      <c r="V378" s="40"/>
      <c r="X378" s="40"/>
      <c r="Y378" s="40"/>
      <c r="Z378" s="40"/>
      <c r="AA378" s="41"/>
      <c r="AB378" s="41"/>
      <c r="AC378" s="41"/>
      <c r="AD378" s="41"/>
      <c r="AE378" s="41"/>
      <c r="AF378" s="40"/>
      <c r="AG378" s="40"/>
      <c r="AH378" s="5"/>
      <c r="AI378" s="5"/>
      <c r="AJ378" s="40"/>
      <c r="AK378" s="40"/>
      <c r="AL378" s="40"/>
      <c r="AM378" s="40"/>
      <c r="AO378" s="40"/>
      <c r="AQ378" s="40"/>
    </row>
    <row r="379" spans="2:43" ht="12.75" customHeight="1" x14ac:dyDescent="0.15">
      <c r="B379" s="40"/>
      <c r="C379" s="40"/>
      <c r="D379" s="40"/>
      <c r="E379" s="40"/>
      <c r="F379" s="40"/>
      <c r="G379" s="40"/>
      <c r="H379" s="53"/>
      <c r="R379" s="40"/>
      <c r="S379" s="40"/>
      <c r="T379" s="40"/>
      <c r="U379" s="40"/>
      <c r="V379" s="40"/>
      <c r="X379" s="40"/>
      <c r="Y379" s="40"/>
      <c r="Z379" s="40"/>
      <c r="AA379" s="41"/>
      <c r="AB379" s="41"/>
      <c r="AC379" s="41"/>
      <c r="AD379" s="41"/>
      <c r="AE379" s="41"/>
      <c r="AF379" s="40"/>
      <c r="AG379" s="40"/>
      <c r="AH379" s="5"/>
      <c r="AI379" s="5"/>
      <c r="AJ379" s="40"/>
      <c r="AK379" s="40"/>
      <c r="AL379" s="40"/>
      <c r="AM379" s="40"/>
      <c r="AO379" s="40"/>
      <c r="AQ379" s="40"/>
    </row>
    <row r="380" spans="2:43" ht="12.75" customHeight="1" x14ac:dyDescent="0.15">
      <c r="B380" s="40"/>
      <c r="C380" s="40"/>
      <c r="D380" s="40"/>
      <c r="E380" s="40"/>
      <c r="F380" s="40"/>
      <c r="G380" s="40"/>
      <c r="H380" s="53"/>
      <c r="R380" s="40"/>
      <c r="S380" s="40"/>
      <c r="T380" s="40"/>
      <c r="U380" s="40"/>
      <c r="V380" s="40"/>
      <c r="X380" s="40"/>
      <c r="Y380" s="40"/>
      <c r="Z380" s="40"/>
      <c r="AA380" s="41"/>
      <c r="AB380" s="41"/>
      <c r="AC380" s="41"/>
      <c r="AD380" s="41"/>
      <c r="AE380" s="41"/>
      <c r="AF380" s="40"/>
      <c r="AG380" s="40"/>
      <c r="AH380" s="5"/>
      <c r="AI380" s="5"/>
      <c r="AJ380" s="40"/>
      <c r="AK380" s="40"/>
      <c r="AL380" s="40"/>
      <c r="AM380" s="40"/>
      <c r="AO380" s="40"/>
      <c r="AQ380" s="40"/>
    </row>
    <row r="381" spans="2:43" ht="12.75" customHeight="1" x14ac:dyDescent="0.15">
      <c r="B381" s="40"/>
      <c r="C381" s="40"/>
      <c r="D381" s="40"/>
      <c r="E381" s="40"/>
      <c r="F381" s="40"/>
      <c r="G381" s="40"/>
      <c r="H381" s="53"/>
      <c r="R381" s="40"/>
      <c r="S381" s="40"/>
      <c r="T381" s="40"/>
      <c r="U381" s="40"/>
      <c r="V381" s="40"/>
      <c r="X381" s="40"/>
      <c r="Y381" s="40"/>
      <c r="Z381" s="40"/>
      <c r="AA381" s="41"/>
      <c r="AB381" s="41"/>
      <c r="AC381" s="41"/>
      <c r="AD381" s="41"/>
      <c r="AE381" s="41"/>
      <c r="AF381" s="40"/>
      <c r="AG381" s="40"/>
      <c r="AH381" s="5"/>
      <c r="AI381" s="5"/>
      <c r="AJ381" s="40"/>
      <c r="AK381" s="40"/>
      <c r="AL381" s="40"/>
      <c r="AM381" s="40"/>
      <c r="AO381" s="40"/>
      <c r="AQ381" s="40"/>
    </row>
    <row r="382" spans="2:43" ht="12.75" customHeight="1" x14ac:dyDescent="0.15">
      <c r="B382" s="40"/>
      <c r="C382" s="40"/>
      <c r="D382" s="40"/>
      <c r="E382" s="40"/>
      <c r="F382" s="40"/>
      <c r="G382" s="40"/>
      <c r="H382" s="53"/>
      <c r="R382" s="40"/>
      <c r="S382" s="40"/>
      <c r="T382" s="40"/>
      <c r="U382" s="40"/>
      <c r="V382" s="40"/>
      <c r="X382" s="40"/>
      <c r="Y382" s="40"/>
      <c r="Z382" s="40"/>
      <c r="AA382" s="41"/>
      <c r="AB382" s="41"/>
      <c r="AC382" s="41"/>
      <c r="AD382" s="41"/>
      <c r="AE382" s="41"/>
      <c r="AF382" s="40"/>
      <c r="AG382" s="40"/>
      <c r="AH382" s="5"/>
      <c r="AI382" s="5"/>
      <c r="AJ382" s="40"/>
      <c r="AK382" s="40"/>
      <c r="AL382" s="40"/>
      <c r="AM382" s="40"/>
      <c r="AO382" s="40"/>
      <c r="AQ382" s="40"/>
    </row>
    <row r="383" spans="2:43" ht="12.75" customHeight="1" x14ac:dyDescent="0.15">
      <c r="B383" s="40"/>
      <c r="C383" s="40"/>
      <c r="D383" s="40"/>
      <c r="E383" s="40"/>
      <c r="F383" s="40"/>
      <c r="G383" s="40"/>
      <c r="H383" s="53"/>
      <c r="R383" s="40"/>
      <c r="S383" s="40"/>
      <c r="T383" s="40"/>
      <c r="U383" s="40"/>
      <c r="V383" s="40"/>
      <c r="X383" s="40"/>
      <c r="Y383" s="40"/>
      <c r="Z383" s="40"/>
      <c r="AA383" s="41"/>
      <c r="AB383" s="41"/>
      <c r="AC383" s="41"/>
      <c r="AD383" s="41"/>
      <c r="AE383" s="41"/>
      <c r="AF383" s="40"/>
      <c r="AG383" s="40"/>
      <c r="AH383" s="5"/>
      <c r="AI383" s="5"/>
      <c r="AJ383" s="40"/>
      <c r="AK383" s="40"/>
      <c r="AL383" s="40"/>
      <c r="AM383" s="40"/>
      <c r="AO383" s="40"/>
      <c r="AQ383" s="40"/>
    </row>
    <row r="384" spans="2:43" ht="12.75" customHeight="1" x14ac:dyDescent="0.15">
      <c r="B384" s="40"/>
      <c r="C384" s="40"/>
      <c r="D384" s="40"/>
      <c r="E384" s="40"/>
      <c r="F384" s="40"/>
      <c r="G384" s="40"/>
      <c r="H384" s="53"/>
      <c r="R384" s="40"/>
      <c r="S384" s="40"/>
      <c r="T384" s="40"/>
      <c r="U384" s="40"/>
      <c r="V384" s="40"/>
      <c r="X384" s="40"/>
      <c r="Y384" s="40"/>
      <c r="Z384" s="40"/>
      <c r="AA384" s="41"/>
      <c r="AB384" s="41"/>
      <c r="AC384" s="41"/>
      <c r="AD384" s="41"/>
      <c r="AE384" s="41"/>
      <c r="AF384" s="40"/>
      <c r="AG384" s="40"/>
      <c r="AH384" s="5"/>
      <c r="AI384" s="5"/>
      <c r="AJ384" s="40"/>
      <c r="AK384" s="40"/>
      <c r="AL384" s="40"/>
      <c r="AM384" s="40"/>
      <c r="AO384" s="40"/>
      <c r="AQ384" s="40"/>
    </row>
    <row r="385" spans="2:43" ht="12.75" customHeight="1" x14ac:dyDescent="0.15">
      <c r="B385" s="40"/>
      <c r="C385" s="40"/>
      <c r="D385" s="40"/>
      <c r="E385" s="40"/>
      <c r="F385" s="40"/>
      <c r="G385" s="40"/>
      <c r="H385" s="53"/>
      <c r="R385" s="40"/>
      <c r="S385" s="40"/>
      <c r="T385" s="40"/>
      <c r="U385" s="40"/>
      <c r="V385" s="40"/>
      <c r="X385" s="40"/>
      <c r="Y385" s="40"/>
      <c r="Z385" s="40"/>
      <c r="AA385" s="41"/>
      <c r="AB385" s="41"/>
      <c r="AC385" s="41"/>
      <c r="AD385" s="41"/>
      <c r="AE385" s="41"/>
      <c r="AF385" s="40"/>
      <c r="AG385" s="40"/>
      <c r="AH385" s="5"/>
      <c r="AI385" s="5"/>
      <c r="AJ385" s="40"/>
      <c r="AK385" s="40"/>
      <c r="AL385" s="40"/>
      <c r="AM385" s="40"/>
      <c r="AO385" s="40"/>
      <c r="AQ385" s="40"/>
    </row>
    <row r="386" spans="2:43" ht="12.75" customHeight="1" x14ac:dyDescent="0.15">
      <c r="B386" s="40"/>
      <c r="C386" s="40"/>
      <c r="D386" s="40"/>
      <c r="E386" s="40"/>
      <c r="F386" s="40"/>
      <c r="G386" s="40"/>
      <c r="H386" s="53"/>
      <c r="R386" s="40"/>
      <c r="S386" s="40"/>
      <c r="T386" s="40"/>
      <c r="U386" s="40"/>
      <c r="V386" s="40"/>
      <c r="X386" s="40"/>
      <c r="Y386" s="40"/>
      <c r="Z386" s="40"/>
      <c r="AA386" s="41"/>
      <c r="AB386" s="41"/>
      <c r="AC386" s="41"/>
      <c r="AD386" s="41"/>
      <c r="AE386" s="41"/>
      <c r="AF386" s="40"/>
      <c r="AG386" s="40"/>
      <c r="AH386" s="5"/>
      <c r="AI386" s="5"/>
      <c r="AJ386" s="40"/>
      <c r="AK386" s="40"/>
      <c r="AL386" s="40"/>
      <c r="AM386" s="40"/>
      <c r="AO386" s="40"/>
      <c r="AQ386" s="40"/>
    </row>
    <row r="387" spans="2:43" ht="12.75" customHeight="1" x14ac:dyDescent="0.15">
      <c r="B387" s="40"/>
      <c r="C387" s="40"/>
      <c r="D387" s="40"/>
      <c r="E387" s="40"/>
      <c r="F387" s="40"/>
      <c r="G387" s="40"/>
      <c r="H387" s="53"/>
      <c r="R387" s="40"/>
      <c r="S387" s="40"/>
      <c r="T387" s="40"/>
      <c r="U387" s="40"/>
      <c r="V387" s="40"/>
      <c r="X387" s="40"/>
      <c r="Y387" s="40"/>
      <c r="Z387" s="40"/>
      <c r="AA387" s="41"/>
      <c r="AB387" s="41"/>
      <c r="AC387" s="41"/>
      <c r="AD387" s="41"/>
      <c r="AE387" s="41"/>
      <c r="AF387" s="40"/>
      <c r="AG387" s="40"/>
      <c r="AH387" s="5"/>
      <c r="AI387" s="5"/>
      <c r="AJ387" s="40"/>
      <c r="AK387" s="40"/>
      <c r="AL387" s="40"/>
      <c r="AM387" s="40"/>
      <c r="AO387" s="40"/>
      <c r="AQ387" s="40"/>
    </row>
    <row r="388" spans="2:43" ht="12.75" customHeight="1" x14ac:dyDescent="0.15">
      <c r="B388" s="40"/>
      <c r="C388" s="40"/>
      <c r="D388" s="40"/>
      <c r="E388" s="40"/>
      <c r="F388" s="40"/>
      <c r="G388" s="40"/>
      <c r="H388" s="53"/>
      <c r="R388" s="40"/>
      <c r="S388" s="40"/>
      <c r="T388" s="40"/>
      <c r="U388" s="40"/>
      <c r="V388" s="40"/>
      <c r="X388" s="40"/>
      <c r="Y388" s="40"/>
      <c r="Z388" s="40"/>
      <c r="AA388" s="41"/>
      <c r="AB388" s="41"/>
      <c r="AC388" s="41"/>
      <c r="AD388" s="41"/>
      <c r="AE388" s="41"/>
      <c r="AF388" s="40"/>
      <c r="AG388" s="40"/>
      <c r="AH388" s="5"/>
      <c r="AI388" s="5"/>
      <c r="AJ388" s="40"/>
      <c r="AK388" s="40"/>
      <c r="AL388" s="40"/>
      <c r="AM388" s="40"/>
      <c r="AO388" s="40"/>
      <c r="AQ388" s="40"/>
    </row>
    <row r="389" spans="2:43" ht="12.75" customHeight="1" x14ac:dyDescent="0.15">
      <c r="B389" s="40"/>
      <c r="C389" s="40"/>
      <c r="D389" s="40"/>
      <c r="E389" s="40"/>
      <c r="F389" s="40"/>
      <c r="G389" s="40"/>
      <c r="H389" s="53"/>
      <c r="R389" s="40"/>
      <c r="S389" s="40"/>
      <c r="T389" s="40"/>
      <c r="U389" s="40"/>
      <c r="V389" s="40"/>
      <c r="X389" s="40"/>
      <c r="Y389" s="40"/>
      <c r="Z389" s="40"/>
      <c r="AA389" s="41"/>
      <c r="AB389" s="41"/>
      <c r="AC389" s="41"/>
      <c r="AD389" s="41"/>
      <c r="AE389" s="41"/>
      <c r="AF389" s="40"/>
      <c r="AG389" s="40"/>
      <c r="AH389" s="5"/>
      <c r="AI389" s="5"/>
      <c r="AJ389" s="40"/>
      <c r="AK389" s="40"/>
      <c r="AL389" s="40"/>
      <c r="AM389" s="40"/>
      <c r="AO389" s="40"/>
      <c r="AQ389" s="40"/>
    </row>
    <row r="390" spans="2:43" ht="12.75" customHeight="1" x14ac:dyDescent="0.15">
      <c r="B390" s="40"/>
      <c r="C390" s="40"/>
      <c r="D390" s="40"/>
      <c r="E390" s="40"/>
      <c r="F390" s="40"/>
      <c r="G390" s="40"/>
      <c r="H390" s="53"/>
      <c r="R390" s="40"/>
      <c r="S390" s="40"/>
      <c r="T390" s="40"/>
      <c r="U390" s="40"/>
      <c r="V390" s="40"/>
      <c r="X390" s="40"/>
      <c r="Y390" s="40"/>
      <c r="Z390" s="40"/>
      <c r="AA390" s="41"/>
      <c r="AB390" s="41"/>
      <c r="AC390" s="41"/>
      <c r="AD390" s="41"/>
      <c r="AE390" s="41"/>
      <c r="AF390" s="40"/>
      <c r="AG390" s="40"/>
      <c r="AH390" s="5"/>
      <c r="AI390" s="5"/>
      <c r="AJ390" s="40"/>
      <c r="AK390" s="40"/>
      <c r="AL390" s="40"/>
      <c r="AM390" s="40"/>
      <c r="AO390" s="40"/>
      <c r="AQ390" s="40"/>
    </row>
    <row r="391" spans="2:43" ht="12.75" customHeight="1" x14ac:dyDescent="0.15">
      <c r="B391" s="40"/>
      <c r="C391" s="40"/>
      <c r="D391" s="40"/>
      <c r="E391" s="40"/>
      <c r="F391" s="40"/>
      <c r="G391" s="40"/>
      <c r="H391" s="53"/>
      <c r="R391" s="40"/>
      <c r="S391" s="40"/>
      <c r="T391" s="40"/>
      <c r="U391" s="40"/>
      <c r="V391" s="40"/>
      <c r="X391" s="40"/>
      <c r="Y391" s="40"/>
      <c r="Z391" s="40"/>
      <c r="AA391" s="41"/>
      <c r="AB391" s="41"/>
      <c r="AC391" s="41"/>
      <c r="AD391" s="41"/>
      <c r="AE391" s="41"/>
      <c r="AF391" s="40"/>
      <c r="AG391" s="40"/>
      <c r="AH391" s="5"/>
      <c r="AI391" s="5"/>
      <c r="AJ391" s="40"/>
      <c r="AK391" s="40"/>
      <c r="AL391" s="40"/>
      <c r="AM391" s="40"/>
      <c r="AO391" s="40"/>
      <c r="AQ391" s="40"/>
    </row>
    <row r="392" spans="2:43" ht="12.75" customHeight="1" x14ac:dyDescent="0.15">
      <c r="B392" s="40"/>
      <c r="C392" s="40"/>
      <c r="D392" s="40"/>
      <c r="E392" s="40"/>
      <c r="F392" s="40"/>
      <c r="G392" s="40"/>
      <c r="H392" s="53"/>
      <c r="R392" s="40"/>
      <c r="S392" s="40"/>
      <c r="T392" s="40"/>
      <c r="U392" s="40"/>
      <c r="V392" s="40"/>
      <c r="X392" s="40"/>
      <c r="Y392" s="40"/>
      <c r="Z392" s="40"/>
      <c r="AA392" s="41"/>
      <c r="AB392" s="41"/>
      <c r="AC392" s="41"/>
      <c r="AD392" s="41"/>
      <c r="AE392" s="41"/>
      <c r="AF392" s="40"/>
      <c r="AG392" s="40"/>
      <c r="AH392" s="5"/>
      <c r="AI392" s="5"/>
      <c r="AJ392" s="40"/>
      <c r="AK392" s="40"/>
      <c r="AL392" s="40"/>
      <c r="AM392" s="40"/>
      <c r="AO392" s="40"/>
      <c r="AQ392" s="40"/>
    </row>
    <row r="393" spans="2:43" ht="12.75" customHeight="1" x14ac:dyDescent="0.15">
      <c r="B393" s="40"/>
      <c r="C393" s="40"/>
      <c r="D393" s="40"/>
      <c r="E393" s="40"/>
      <c r="F393" s="40"/>
      <c r="G393" s="40"/>
      <c r="H393" s="53"/>
      <c r="R393" s="40"/>
      <c r="S393" s="40"/>
      <c r="T393" s="40"/>
      <c r="U393" s="40"/>
      <c r="V393" s="40"/>
      <c r="X393" s="40"/>
      <c r="Y393" s="40"/>
      <c r="Z393" s="40"/>
      <c r="AA393" s="41"/>
      <c r="AB393" s="41"/>
      <c r="AC393" s="41"/>
      <c r="AD393" s="41"/>
      <c r="AE393" s="41"/>
      <c r="AF393" s="40"/>
      <c r="AG393" s="40"/>
      <c r="AH393" s="5"/>
      <c r="AI393" s="5"/>
      <c r="AJ393" s="40"/>
      <c r="AK393" s="40"/>
      <c r="AL393" s="40"/>
      <c r="AM393" s="40"/>
      <c r="AO393" s="40"/>
      <c r="AQ393" s="40"/>
    </row>
    <row r="394" spans="2:43" ht="12.75" customHeight="1" x14ac:dyDescent="0.15">
      <c r="B394" s="40"/>
      <c r="C394" s="40"/>
      <c r="D394" s="40"/>
      <c r="E394" s="40"/>
      <c r="F394" s="40"/>
      <c r="G394" s="40"/>
      <c r="H394" s="53"/>
      <c r="R394" s="40"/>
      <c r="S394" s="40"/>
      <c r="T394" s="40"/>
      <c r="U394" s="40"/>
      <c r="V394" s="40"/>
      <c r="X394" s="40"/>
      <c r="Y394" s="40"/>
      <c r="Z394" s="40"/>
      <c r="AA394" s="41"/>
      <c r="AB394" s="41"/>
      <c r="AC394" s="41"/>
      <c r="AD394" s="41"/>
      <c r="AE394" s="41"/>
      <c r="AF394" s="40"/>
      <c r="AG394" s="40"/>
      <c r="AH394" s="5"/>
      <c r="AI394" s="5"/>
      <c r="AJ394" s="40"/>
      <c r="AK394" s="40"/>
      <c r="AL394" s="40"/>
      <c r="AM394" s="40"/>
      <c r="AO394" s="40"/>
      <c r="AQ394" s="40"/>
    </row>
    <row r="395" spans="2:43" ht="12.75" customHeight="1" x14ac:dyDescent="0.15">
      <c r="B395" s="40"/>
      <c r="C395" s="40"/>
      <c r="D395" s="40"/>
      <c r="E395" s="40"/>
      <c r="F395" s="40"/>
      <c r="G395" s="40"/>
      <c r="H395" s="53"/>
      <c r="R395" s="40"/>
      <c r="S395" s="40"/>
      <c r="T395" s="40"/>
      <c r="U395" s="40"/>
      <c r="V395" s="40"/>
      <c r="X395" s="40"/>
      <c r="Y395" s="40"/>
      <c r="Z395" s="40"/>
      <c r="AA395" s="41"/>
      <c r="AB395" s="41"/>
      <c r="AC395" s="41"/>
      <c r="AD395" s="41"/>
      <c r="AE395" s="41"/>
      <c r="AF395" s="40"/>
      <c r="AG395" s="40"/>
      <c r="AH395" s="5"/>
      <c r="AI395" s="5"/>
      <c r="AJ395" s="40"/>
      <c r="AK395" s="40"/>
      <c r="AL395" s="40"/>
      <c r="AM395" s="40"/>
      <c r="AO395" s="40"/>
      <c r="AQ395" s="40"/>
    </row>
    <row r="396" spans="2:43" ht="12.75" customHeight="1" x14ac:dyDescent="0.15">
      <c r="B396" s="40"/>
      <c r="C396" s="40"/>
      <c r="D396" s="40"/>
      <c r="E396" s="40"/>
      <c r="F396" s="40"/>
      <c r="G396" s="40"/>
      <c r="H396" s="53"/>
      <c r="R396" s="40"/>
      <c r="S396" s="40"/>
      <c r="T396" s="40"/>
      <c r="U396" s="40"/>
      <c r="V396" s="40"/>
      <c r="X396" s="40"/>
      <c r="Y396" s="40"/>
      <c r="Z396" s="40"/>
      <c r="AA396" s="41"/>
      <c r="AB396" s="41"/>
      <c r="AC396" s="41"/>
      <c r="AD396" s="41"/>
      <c r="AE396" s="41"/>
      <c r="AF396" s="40"/>
      <c r="AG396" s="40"/>
      <c r="AH396" s="5"/>
      <c r="AI396" s="5"/>
      <c r="AJ396" s="40"/>
      <c r="AK396" s="40"/>
      <c r="AL396" s="40"/>
      <c r="AM396" s="40"/>
      <c r="AO396" s="40"/>
      <c r="AQ396" s="40"/>
    </row>
    <row r="397" spans="2:43" ht="12.75" customHeight="1" x14ac:dyDescent="0.15">
      <c r="B397" s="40"/>
      <c r="C397" s="40"/>
      <c r="D397" s="40"/>
      <c r="E397" s="40"/>
      <c r="F397" s="40"/>
      <c r="G397" s="40"/>
      <c r="H397" s="53"/>
      <c r="R397" s="40"/>
      <c r="S397" s="40"/>
      <c r="T397" s="40"/>
      <c r="U397" s="40"/>
      <c r="V397" s="40"/>
      <c r="X397" s="40"/>
      <c r="Y397" s="40"/>
      <c r="Z397" s="40"/>
      <c r="AA397" s="41"/>
      <c r="AB397" s="41"/>
      <c r="AC397" s="41"/>
      <c r="AD397" s="41"/>
      <c r="AE397" s="41"/>
      <c r="AF397" s="40"/>
      <c r="AG397" s="40"/>
      <c r="AH397" s="5"/>
      <c r="AI397" s="5"/>
      <c r="AJ397" s="40"/>
      <c r="AK397" s="40"/>
      <c r="AL397" s="40"/>
      <c r="AM397" s="40"/>
      <c r="AO397" s="40"/>
      <c r="AQ397" s="40"/>
    </row>
    <row r="398" spans="2:43" ht="12.75" customHeight="1" x14ac:dyDescent="0.15">
      <c r="B398" s="40"/>
      <c r="C398" s="40"/>
      <c r="D398" s="40"/>
      <c r="E398" s="40"/>
      <c r="F398" s="40"/>
      <c r="G398" s="40"/>
      <c r="H398" s="53"/>
      <c r="R398" s="40"/>
      <c r="S398" s="40"/>
      <c r="T398" s="40"/>
      <c r="U398" s="40"/>
      <c r="V398" s="40"/>
      <c r="X398" s="40"/>
      <c r="Y398" s="40"/>
      <c r="Z398" s="40"/>
      <c r="AA398" s="41"/>
      <c r="AB398" s="41"/>
      <c r="AC398" s="41"/>
      <c r="AD398" s="41"/>
      <c r="AE398" s="41"/>
      <c r="AF398" s="40"/>
      <c r="AG398" s="40"/>
      <c r="AH398" s="5"/>
      <c r="AI398" s="5"/>
      <c r="AJ398" s="40"/>
      <c r="AK398" s="40"/>
      <c r="AL398" s="40"/>
      <c r="AM398" s="40"/>
      <c r="AO398" s="40"/>
      <c r="AQ398" s="40"/>
    </row>
    <row r="399" spans="2:43" ht="12.75" customHeight="1" x14ac:dyDescent="0.15">
      <c r="B399" s="40"/>
      <c r="C399" s="40"/>
      <c r="D399" s="40"/>
      <c r="E399" s="40"/>
      <c r="F399" s="40"/>
      <c r="G399" s="40"/>
      <c r="H399" s="53"/>
      <c r="R399" s="40"/>
      <c r="S399" s="40"/>
      <c r="T399" s="40"/>
      <c r="U399" s="40"/>
      <c r="V399" s="40"/>
      <c r="X399" s="40"/>
      <c r="Y399" s="40"/>
      <c r="Z399" s="40"/>
      <c r="AA399" s="41"/>
      <c r="AB399" s="41"/>
      <c r="AC399" s="41"/>
      <c r="AD399" s="41"/>
      <c r="AE399" s="41"/>
      <c r="AF399" s="40"/>
      <c r="AG399" s="40"/>
      <c r="AH399" s="5"/>
      <c r="AI399" s="5"/>
      <c r="AJ399" s="40"/>
      <c r="AK399" s="40"/>
      <c r="AL399" s="40"/>
      <c r="AM399" s="40"/>
      <c r="AO399" s="40"/>
      <c r="AQ399" s="40"/>
    </row>
    <row r="400" spans="2:43" ht="12.75" customHeight="1" x14ac:dyDescent="0.15">
      <c r="B400" s="40"/>
      <c r="C400" s="40"/>
      <c r="D400" s="40"/>
      <c r="E400" s="40"/>
      <c r="F400" s="40"/>
      <c r="G400" s="40"/>
      <c r="H400" s="53"/>
      <c r="R400" s="40"/>
      <c r="S400" s="40"/>
      <c r="T400" s="40"/>
      <c r="U400" s="40"/>
      <c r="V400" s="40"/>
      <c r="X400" s="40"/>
      <c r="Y400" s="40"/>
      <c r="Z400" s="40"/>
      <c r="AA400" s="41"/>
      <c r="AB400" s="41"/>
      <c r="AC400" s="41"/>
      <c r="AD400" s="41"/>
      <c r="AE400" s="41"/>
      <c r="AF400" s="40"/>
      <c r="AG400" s="40"/>
      <c r="AH400" s="5"/>
      <c r="AI400" s="5"/>
      <c r="AJ400" s="40"/>
      <c r="AK400" s="40"/>
      <c r="AL400" s="40"/>
      <c r="AM400" s="40"/>
      <c r="AO400" s="40"/>
      <c r="AQ400" s="40"/>
    </row>
    <row r="401" spans="2:43" ht="12.75" customHeight="1" x14ac:dyDescent="0.15">
      <c r="B401" s="40"/>
      <c r="C401" s="40"/>
      <c r="D401" s="40"/>
      <c r="E401" s="40"/>
      <c r="F401" s="40"/>
      <c r="G401" s="40"/>
      <c r="H401" s="53"/>
      <c r="R401" s="40"/>
      <c r="S401" s="40"/>
      <c r="T401" s="40"/>
      <c r="U401" s="40"/>
      <c r="V401" s="40"/>
      <c r="X401" s="40"/>
      <c r="Y401" s="40"/>
      <c r="Z401" s="40"/>
      <c r="AA401" s="41"/>
      <c r="AB401" s="41"/>
      <c r="AC401" s="41"/>
      <c r="AD401" s="41"/>
      <c r="AE401" s="41"/>
      <c r="AF401" s="40"/>
      <c r="AG401" s="40"/>
      <c r="AH401" s="5"/>
      <c r="AI401" s="5"/>
      <c r="AJ401" s="40"/>
      <c r="AK401" s="40"/>
      <c r="AL401" s="40"/>
      <c r="AM401" s="40"/>
      <c r="AO401" s="40"/>
      <c r="AQ401" s="40"/>
    </row>
    <row r="402" spans="2:43" ht="12.75" customHeight="1" x14ac:dyDescent="0.15">
      <c r="B402" s="40"/>
      <c r="C402" s="40"/>
      <c r="D402" s="40"/>
      <c r="E402" s="40"/>
      <c r="F402" s="40"/>
      <c r="G402" s="40"/>
      <c r="H402" s="53"/>
      <c r="R402" s="40"/>
      <c r="S402" s="40"/>
      <c r="T402" s="40"/>
      <c r="U402" s="40"/>
      <c r="V402" s="40"/>
      <c r="X402" s="40"/>
      <c r="Y402" s="40"/>
      <c r="Z402" s="40"/>
      <c r="AA402" s="41"/>
      <c r="AB402" s="41"/>
      <c r="AC402" s="41"/>
      <c r="AD402" s="41"/>
      <c r="AE402" s="41"/>
      <c r="AF402" s="40"/>
      <c r="AG402" s="40"/>
      <c r="AH402" s="5"/>
      <c r="AI402" s="5"/>
      <c r="AJ402" s="40"/>
      <c r="AK402" s="40"/>
      <c r="AL402" s="40"/>
      <c r="AM402" s="40"/>
      <c r="AO402" s="40"/>
      <c r="AQ402" s="40"/>
    </row>
    <row r="403" spans="2:43" ht="12.75" customHeight="1" x14ac:dyDescent="0.15">
      <c r="B403" s="40"/>
      <c r="C403" s="40"/>
      <c r="D403" s="40"/>
      <c r="E403" s="40"/>
      <c r="F403" s="40"/>
      <c r="G403" s="40"/>
      <c r="H403" s="53"/>
      <c r="R403" s="40"/>
      <c r="S403" s="40"/>
      <c r="T403" s="40"/>
      <c r="U403" s="40"/>
      <c r="V403" s="40"/>
      <c r="X403" s="40"/>
      <c r="Y403" s="40"/>
      <c r="Z403" s="40"/>
      <c r="AA403" s="41"/>
      <c r="AB403" s="41"/>
      <c r="AC403" s="41"/>
      <c r="AD403" s="41"/>
      <c r="AE403" s="41"/>
      <c r="AF403" s="40"/>
      <c r="AG403" s="40"/>
      <c r="AH403" s="5"/>
      <c r="AI403" s="5"/>
      <c r="AJ403" s="40"/>
      <c r="AK403" s="40"/>
      <c r="AL403" s="40"/>
      <c r="AM403" s="40"/>
      <c r="AO403" s="40"/>
      <c r="AQ403" s="40"/>
    </row>
    <row r="404" spans="2:43" ht="12.75" customHeight="1" x14ac:dyDescent="0.15">
      <c r="B404" s="40"/>
      <c r="C404" s="40"/>
      <c r="D404" s="40"/>
      <c r="E404" s="40"/>
      <c r="F404" s="40"/>
      <c r="G404" s="40"/>
      <c r="H404" s="53"/>
      <c r="R404" s="40"/>
      <c r="S404" s="40"/>
      <c r="T404" s="40"/>
      <c r="U404" s="40"/>
      <c r="V404" s="40"/>
      <c r="X404" s="40"/>
      <c r="Y404" s="40"/>
      <c r="Z404" s="40"/>
      <c r="AA404" s="41"/>
      <c r="AB404" s="41"/>
      <c r="AC404" s="41"/>
      <c r="AD404" s="41"/>
      <c r="AE404" s="41"/>
      <c r="AF404" s="40"/>
      <c r="AG404" s="40"/>
      <c r="AH404" s="5"/>
      <c r="AI404" s="5"/>
      <c r="AJ404" s="40"/>
      <c r="AK404" s="40"/>
      <c r="AL404" s="40"/>
      <c r="AM404" s="40"/>
      <c r="AO404" s="40"/>
      <c r="AQ404" s="40"/>
    </row>
    <row r="405" spans="2:43" ht="12.75" customHeight="1" x14ac:dyDescent="0.15">
      <c r="B405" s="40"/>
      <c r="C405" s="40"/>
      <c r="D405" s="40"/>
      <c r="E405" s="40"/>
      <c r="F405" s="40"/>
      <c r="G405" s="40"/>
      <c r="H405" s="53"/>
      <c r="R405" s="40"/>
      <c r="S405" s="40"/>
      <c r="T405" s="40"/>
      <c r="U405" s="40"/>
      <c r="V405" s="40"/>
      <c r="X405" s="40"/>
      <c r="Y405" s="40"/>
      <c r="Z405" s="40"/>
      <c r="AA405" s="41"/>
      <c r="AB405" s="41"/>
      <c r="AC405" s="41"/>
      <c r="AD405" s="41"/>
      <c r="AE405" s="41"/>
      <c r="AF405" s="40"/>
      <c r="AG405" s="40"/>
      <c r="AH405" s="5"/>
      <c r="AI405" s="5"/>
      <c r="AJ405" s="40"/>
      <c r="AK405" s="40"/>
      <c r="AL405" s="40"/>
      <c r="AM405" s="40"/>
      <c r="AO405" s="40"/>
      <c r="AQ405" s="40"/>
    </row>
    <row r="406" spans="2:43" ht="12.75" customHeight="1" x14ac:dyDescent="0.15">
      <c r="B406" s="40"/>
      <c r="C406" s="40"/>
      <c r="D406" s="40"/>
      <c r="E406" s="40"/>
      <c r="F406" s="40"/>
      <c r="G406" s="40"/>
      <c r="H406" s="53"/>
      <c r="R406" s="40"/>
      <c r="S406" s="40"/>
      <c r="T406" s="40"/>
      <c r="U406" s="40"/>
      <c r="V406" s="40"/>
      <c r="X406" s="40"/>
      <c r="Y406" s="40"/>
      <c r="Z406" s="40"/>
      <c r="AA406" s="41"/>
      <c r="AB406" s="41"/>
      <c r="AC406" s="41"/>
      <c r="AD406" s="41"/>
      <c r="AE406" s="41"/>
      <c r="AF406" s="40"/>
      <c r="AG406" s="40"/>
      <c r="AH406" s="5"/>
      <c r="AI406" s="5"/>
      <c r="AJ406" s="40"/>
      <c r="AK406" s="40"/>
      <c r="AL406" s="40"/>
      <c r="AM406" s="40"/>
      <c r="AO406" s="40"/>
      <c r="AQ406" s="40"/>
    </row>
    <row r="407" spans="2:43" ht="12.75" customHeight="1" x14ac:dyDescent="0.15">
      <c r="B407" s="40"/>
      <c r="C407" s="40"/>
      <c r="D407" s="40"/>
      <c r="E407" s="40"/>
      <c r="F407" s="40"/>
      <c r="G407" s="40"/>
      <c r="H407" s="53"/>
      <c r="R407" s="40"/>
      <c r="S407" s="40"/>
      <c r="T407" s="40"/>
      <c r="U407" s="40"/>
      <c r="V407" s="40"/>
      <c r="X407" s="40"/>
      <c r="Y407" s="40"/>
      <c r="Z407" s="40"/>
      <c r="AA407" s="41"/>
      <c r="AB407" s="41"/>
      <c r="AC407" s="41"/>
      <c r="AD407" s="41"/>
      <c r="AE407" s="41"/>
      <c r="AF407" s="40"/>
      <c r="AG407" s="40"/>
      <c r="AH407" s="5"/>
      <c r="AI407" s="5"/>
      <c r="AJ407" s="40"/>
      <c r="AK407" s="40"/>
      <c r="AL407" s="40"/>
      <c r="AM407" s="40"/>
      <c r="AO407" s="40"/>
      <c r="AQ407" s="40"/>
    </row>
    <row r="408" spans="2:43" ht="12.75" customHeight="1" x14ac:dyDescent="0.15">
      <c r="B408" s="40"/>
      <c r="C408" s="40"/>
      <c r="D408" s="40"/>
      <c r="E408" s="40"/>
      <c r="F408" s="40"/>
      <c r="G408" s="40"/>
      <c r="H408" s="53"/>
      <c r="R408" s="40"/>
      <c r="S408" s="40"/>
      <c r="T408" s="40"/>
      <c r="U408" s="40"/>
      <c r="V408" s="40"/>
      <c r="X408" s="40"/>
      <c r="Y408" s="40"/>
      <c r="Z408" s="40"/>
      <c r="AA408" s="41"/>
      <c r="AB408" s="41"/>
      <c r="AC408" s="41"/>
      <c r="AD408" s="41"/>
      <c r="AE408" s="41"/>
      <c r="AF408" s="40"/>
      <c r="AG408" s="40"/>
      <c r="AH408" s="5"/>
      <c r="AI408" s="5"/>
      <c r="AJ408" s="40"/>
      <c r="AK408" s="40"/>
      <c r="AL408" s="40"/>
      <c r="AM408" s="40"/>
      <c r="AO408" s="40"/>
      <c r="AQ408" s="40"/>
    </row>
    <row r="409" spans="2:43" ht="12.75" customHeight="1" x14ac:dyDescent="0.15">
      <c r="B409" s="40"/>
      <c r="C409" s="40"/>
      <c r="D409" s="40"/>
      <c r="E409" s="40"/>
      <c r="F409" s="40"/>
      <c r="G409" s="40"/>
      <c r="H409" s="53"/>
      <c r="R409" s="40"/>
      <c r="S409" s="40"/>
      <c r="T409" s="40"/>
      <c r="U409" s="40"/>
      <c r="V409" s="40"/>
      <c r="X409" s="40"/>
      <c r="Y409" s="40"/>
      <c r="Z409" s="40"/>
      <c r="AA409" s="41"/>
      <c r="AB409" s="41"/>
      <c r="AC409" s="41"/>
      <c r="AD409" s="41"/>
      <c r="AE409" s="41"/>
      <c r="AF409" s="40"/>
      <c r="AG409" s="40"/>
      <c r="AH409" s="5"/>
      <c r="AI409" s="5"/>
      <c r="AJ409" s="40"/>
      <c r="AK409" s="40"/>
      <c r="AL409" s="40"/>
      <c r="AM409" s="40"/>
      <c r="AO409" s="40"/>
      <c r="AQ409" s="40"/>
    </row>
    <row r="410" spans="2:43" ht="12.75" customHeight="1" x14ac:dyDescent="0.15">
      <c r="B410" s="40"/>
      <c r="C410" s="40"/>
      <c r="D410" s="40"/>
      <c r="E410" s="40"/>
      <c r="F410" s="40"/>
      <c r="G410" s="40"/>
      <c r="H410" s="53"/>
      <c r="R410" s="40"/>
      <c r="S410" s="40"/>
      <c r="T410" s="40"/>
      <c r="U410" s="40"/>
      <c r="V410" s="40"/>
      <c r="X410" s="40"/>
      <c r="Y410" s="40"/>
      <c r="Z410" s="40"/>
      <c r="AA410" s="41"/>
      <c r="AB410" s="41"/>
      <c r="AC410" s="41"/>
      <c r="AD410" s="41"/>
      <c r="AE410" s="41"/>
      <c r="AF410" s="40"/>
      <c r="AG410" s="40"/>
      <c r="AH410" s="5"/>
      <c r="AI410" s="5"/>
      <c r="AJ410" s="40"/>
      <c r="AK410" s="40"/>
      <c r="AL410" s="40"/>
      <c r="AM410" s="40"/>
      <c r="AO410" s="40"/>
      <c r="AQ410" s="40"/>
    </row>
    <row r="411" spans="2:43" ht="12.75" customHeight="1" x14ac:dyDescent="0.15">
      <c r="B411" s="40"/>
      <c r="C411" s="40"/>
      <c r="D411" s="40"/>
      <c r="E411" s="40"/>
      <c r="F411" s="40"/>
      <c r="G411" s="40"/>
      <c r="H411" s="53"/>
      <c r="R411" s="40"/>
      <c r="S411" s="40"/>
      <c r="T411" s="40"/>
      <c r="U411" s="40"/>
      <c r="V411" s="40"/>
      <c r="X411" s="40"/>
      <c r="Y411" s="40"/>
      <c r="Z411" s="40"/>
      <c r="AA411" s="41"/>
      <c r="AB411" s="41"/>
      <c r="AC411" s="41"/>
      <c r="AD411" s="41"/>
      <c r="AE411" s="41"/>
      <c r="AF411" s="40"/>
      <c r="AG411" s="40"/>
      <c r="AH411" s="5"/>
      <c r="AI411" s="5"/>
      <c r="AJ411" s="40"/>
      <c r="AK411" s="40"/>
      <c r="AL411" s="40"/>
      <c r="AM411" s="40"/>
      <c r="AO411" s="40"/>
      <c r="AQ411" s="40"/>
    </row>
    <row r="412" spans="2:43" ht="12.75" customHeight="1" x14ac:dyDescent="0.15">
      <c r="B412" s="40"/>
      <c r="C412" s="40"/>
      <c r="D412" s="40"/>
      <c r="E412" s="40"/>
      <c r="F412" s="40"/>
      <c r="G412" s="40"/>
      <c r="H412" s="53"/>
      <c r="R412" s="40"/>
      <c r="S412" s="40"/>
      <c r="T412" s="40"/>
      <c r="U412" s="40"/>
      <c r="V412" s="40"/>
      <c r="X412" s="40"/>
      <c r="Y412" s="40"/>
      <c r="Z412" s="40"/>
      <c r="AA412" s="41"/>
      <c r="AB412" s="41"/>
      <c r="AC412" s="41"/>
      <c r="AD412" s="41"/>
      <c r="AE412" s="41"/>
      <c r="AF412" s="40"/>
      <c r="AG412" s="40"/>
      <c r="AH412" s="5"/>
      <c r="AI412" s="5"/>
      <c r="AJ412" s="40"/>
      <c r="AK412" s="40"/>
      <c r="AL412" s="40"/>
      <c r="AM412" s="40"/>
      <c r="AO412" s="40"/>
      <c r="AQ412" s="40"/>
    </row>
    <row r="413" spans="2:43" ht="12.75" customHeight="1" x14ac:dyDescent="0.15">
      <c r="B413" s="40"/>
      <c r="C413" s="40"/>
      <c r="D413" s="40"/>
      <c r="E413" s="40"/>
      <c r="F413" s="40"/>
      <c r="G413" s="40"/>
      <c r="H413" s="53"/>
      <c r="R413" s="40"/>
      <c r="S413" s="40"/>
      <c r="T413" s="40"/>
      <c r="U413" s="40"/>
      <c r="V413" s="40"/>
      <c r="X413" s="40"/>
      <c r="Y413" s="40"/>
      <c r="Z413" s="40"/>
      <c r="AA413" s="41"/>
      <c r="AB413" s="41"/>
      <c r="AC413" s="41"/>
      <c r="AD413" s="41"/>
      <c r="AE413" s="41"/>
      <c r="AF413" s="40"/>
      <c r="AG413" s="40"/>
      <c r="AH413" s="5"/>
      <c r="AI413" s="5"/>
      <c r="AJ413" s="40"/>
      <c r="AK413" s="40"/>
      <c r="AL413" s="40"/>
      <c r="AM413" s="40"/>
      <c r="AO413" s="40"/>
      <c r="AQ413" s="40"/>
    </row>
    <row r="414" spans="2:43" ht="12.75" customHeight="1" x14ac:dyDescent="0.15">
      <c r="B414" s="40"/>
      <c r="C414" s="40"/>
      <c r="D414" s="40"/>
      <c r="E414" s="40"/>
      <c r="F414" s="40"/>
      <c r="G414" s="40"/>
      <c r="H414" s="53"/>
      <c r="R414" s="40"/>
      <c r="S414" s="40"/>
      <c r="T414" s="40"/>
      <c r="U414" s="40"/>
      <c r="V414" s="40"/>
      <c r="X414" s="40"/>
      <c r="Y414" s="40"/>
      <c r="Z414" s="40"/>
      <c r="AA414" s="41"/>
      <c r="AB414" s="41"/>
      <c r="AC414" s="41"/>
      <c r="AD414" s="41"/>
      <c r="AE414" s="41"/>
      <c r="AF414" s="40"/>
      <c r="AG414" s="40"/>
      <c r="AH414" s="5"/>
      <c r="AI414" s="5"/>
      <c r="AJ414" s="40"/>
      <c r="AK414" s="40"/>
      <c r="AL414" s="40"/>
      <c r="AM414" s="40"/>
      <c r="AO414" s="40"/>
      <c r="AQ414" s="40"/>
    </row>
    <row r="415" spans="2:43" ht="12.75" customHeight="1" x14ac:dyDescent="0.15">
      <c r="B415" s="40"/>
      <c r="C415" s="40"/>
      <c r="D415" s="40"/>
      <c r="E415" s="40"/>
      <c r="F415" s="40"/>
      <c r="G415" s="40"/>
      <c r="H415" s="53"/>
      <c r="R415" s="40"/>
      <c r="S415" s="40"/>
      <c r="T415" s="40"/>
      <c r="U415" s="40"/>
      <c r="V415" s="40"/>
      <c r="X415" s="40"/>
      <c r="Y415" s="40"/>
      <c r="Z415" s="40"/>
      <c r="AA415" s="41"/>
      <c r="AB415" s="41"/>
      <c r="AC415" s="41"/>
      <c r="AD415" s="41"/>
      <c r="AE415" s="41"/>
      <c r="AF415" s="40"/>
      <c r="AG415" s="40"/>
      <c r="AH415" s="5"/>
      <c r="AI415" s="5"/>
      <c r="AJ415" s="40"/>
      <c r="AK415" s="40"/>
      <c r="AL415" s="40"/>
      <c r="AM415" s="40"/>
      <c r="AO415" s="40"/>
      <c r="AQ415" s="40"/>
    </row>
    <row r="416" spans="2:43" ht="12.75" customHeight="1" x14ac:dyDescent="0.15">
      <c r="B416" s="40"/>
      <c r="C416" s="40"/>
      <c r="D416" s="40"/>
      <c r="E416" s="40"/>
      <c r="F416" s="40"/>
      <c r="G416" s="40"/>
      <c r="H416" s="53"/>
      <c r="R416" s="40"/>
      <c r="S416" s="40"/>
      <c r="T416" s="40"/>
      <c r="U416" s="40"/>
      <c r="V416" s="40"/>
      <c r="X416" s="40"/>
      <c r="Y416" s="40"/>
      <c r="Z416" s="40"/>
      <c r="AA416" s="41"/>
      <c r="AB416" s="41"/>
      <c r="AC416" s="41"/>
      <c r="AD416" s="41"/>
      <c r="AE416" s="41"/>
      <c r="AF416" s="40"/>
      <c r="AG416" s="40"/>
      <c r="AH416" s="5"/>
      <c r="AI416" s="5"/>
      <c r="AJ416" s="40"/>
      <c r="AK416" s="40"/>
      <c r="AL416" s="40"/>
      <c r="AM416" s="40"/>
      <c r="AO416" s="40"/>
      <c r="AQ416" s="40"/>
    </row>
    <row r="417" spans="2:43" ht="12.75" customHeight="1" x14ac:dyDescent="0.15">
      <c r="B417" s="40"/>
      <c r="C417" s="40"/>
      <c r="D417" s="40"/>
      <c r="E417" s="40"/>
      <c r="F417" s="40"/>
      <c r="G417" s="40"/>
      <c r="H417" s="53"/>
      <c r="R417" s="40"/>
      <c r="S417" s="40"/>
      <c r="T417" s="40"/>
      <c r="U417" s="40"/>
      <c r="V417" s="40"/>
      <c r="X417" s="40"/>
      <c r="Y417" s="40"/>
      <c r="Z417" s="40"/>
      <c r="AA417" s="41"/>
      <c r="AB417" s="41"/>
      <c r="AC417" s="41"/>
      <c r="AD417" s="41"/>
      <c r="AE417" s="41"/>
      <c r="AF417" s="40"/>
      <c r="AG417" s="40"/>
      <c r="AH417" s="5"/>
      <c r="AI417" s="5"/>
      <c r="AJ417" s="40"/>
      <c r="AK417" s="40"/>
      <c r="AL417" s="40"/>
      <c r="AM417" s="40"/>
      <c r="AO417" s="40"/>
      <c r="AQ417" s="40"/>
    </row>
    <row r="418" spans="2:43" ht="12.75" customHeight="1" x14ac:dyDescent="0.15">
      <c r="B418" s="40"/>
      <c r="C418" s="40"/>
      <c r="D418" s="40"/>
      <c r="E418" s="40"/>
      <c r="F418" s="40"/>
      <c r="G418" s="40"/>
      <c r="H418" s="53"/>
      <c r="R418" s="40"/>
      <c r="S418" s="40"/>
      <c r="T418" s="40"/>
      <c r="U418" s="40"/>
      <c r="V418" s="40"/>
      <c r="X418" s="40"/>
      <c r="Y418" s="40"/>
      <c r="Z418" s="40"/>
      <c r="AA418" s="41"/>
      <c r="AB418" s="41"/>
      <c r="AC418" s="41"/>
      <c r="AD418" s="41"/>
      <c r="AE418" s="41"/>
      <c r="AF418" s="40"/>
      <c r="AG418" s="40"/>
      <c r="AH418" s="5"/>
      <c r="AI418" s="5"/>
      <c r="AJ418" s="40"/>
      <c r="AK418" s="40"/>
      <c r="AL418" s="40"/>
      <c r="AM418" s="40"/>
      <c r="AO418" s="40"/>
      <c r="AQ418" s="40"/>
    </row>
    <row r="419" spans="2:43" ht="12.75" customHeight="1" x14ac:dyDescent="0.15">
      <c r="B419" s="40"/>
      <c r="C419" s="40"/>
      <c r="D419" s="40"/>
      <c r="E419" s="40"/>
      <c r="F419" s="40"/>
      <c r="G419" s="40"/>
      <c r="H419" s="53"/>
      <c r="R419" s="40"/>
      <c r="S419" s="40"/>
      <c r="T419" s="40"/>
      <c r="U419" s="40"/>
      <c r="V419" s="40"/>
      <c r="X419" s="40"/>
      <c r="Y419" s="40"/>
      <c r="Z419" s="40"/>
      <c r="AA419" s="41"/>
      <c r="AB419" s="41"/>
      <c r="AC419" s="41"/>
      <c r="AD419" s="41"/>
      <c r="AE419" s="41"/>
      <c r="AF419" s="40"/>
      <c r="AG419" s="40"/>
      <c r="AH419" s="5"/>
      <c r="AI419" s="5"/>
      <c r="AJ419" s="40"/>
      <c r="AK419" s="40"/>
      <c r="AL419" s="40"/>
      <c r="AM419" s="40"/>
      <c r="AO419" s="40"/>
      <c r="AQ419" s="40"/>
    </row>
    <row r="420" spans="2:43" ht="12.75" customHeight="1" x14ac:dyDescent="0.15">
      <c r="B420" s="40"/>
      <c r="C420" s="40"/>
      <c r="D420" s="40"/>
      <c r="E420" s="40"/>
      <c r="F420" s="40"/>
      <c r="G420" s="40"/>
      <c r="H420" s="53"/>
      <c r="R420" s="40"/>
      <c r="S420" s="40"/>
      <c r="T420" s="40"/>
      <c r="U420" s="40"/>
      <c r="V420" s="40"/>
      <c r="X420" s="40"/>
      <c r="Y420" s="40"/>
      <c r="Z420" s="40"/>
      <c r="AA420" s="41"/>
      <c r="AB420" s="41"/>
      <c r="AC420" s="41"/>
      <c r="AD420" s="41"/>
      <c r="AE420" s="41"/>
      <c r="AF420" s="40"/>
      <c r="AG420" s="40"/>
      <c r="AH420" s="5"/>
      <c r="AI420" s="5"/>
      <c r="AJ420" s="40"/>
      <c r="AK420" s="40"/>
      <c r="AL420" s="40"/>
      <c r="AM420" s="40"/>
      <c r="AO420" s="40"/>
      <c r="AQ420" s="40"/>
    </row>
    <row r="421" spans="2:43" ht="12.75" customHeight="1" x14ac:dyDescent="0.15">
      <c r="B421" s="40"/>
      <c r="C421" s="40"/>
      <c r="D421" s="40"/>
      <c r="E421" s="40"/>
      <c r="F421" s="40"/>
      <c r="G421" s="40"/>
      <c r="H421" s="53"/>
      <c r="R421" s="40"/>
      <c r="S421" s="40"/>
      <c r="T421" s="40"/>
      <c r="U421" s="40"/>
      <c r="V421" s="40"/>
      <c r="X421" s="40"/>
      <c r="Y421" s="40"/>
      <c r="Z421" s="40"/>
      <c r="AA421" s="41"/>
      <c r="AB421" s="41"/>
      <c r="AC421" s="41"/>
      <c r="AD421" s="41"/>
      <c r="AE421" s="41"/>
      <c r="AF421" s="40"/>
      <c r="AG421" s="40"/>
      <c r="AH421" s="5"/>
      <c r="AI421" s="5"/>
      <c r="AJ421" s="40"/>
      <c r="AK421" s="40"/>
      <c r="AL421" s="40"/>
      <c r="AM421" s="40"/>
      <c r="AO421" s="40"/>
      <c r="AQ421" s="40"/>
    </row>
    <row r="422" spans="2:43" ht="12.75" customHeight="1" x14ac:dyDescent="0.15">
      <c r="B422" s="40"/>
      <c r="C422" s="40"/>
      <c r="D422" s="40"/>
      <c r="E422" s="40"/>
      <c r="F422" s="40"/>
      <c r="G422" s="40"/>
      <c r="H422" s="53"/>
      <c r="R422" s="40"/>
      <c r="S422" s="40"/>
      <c r="T422" s="40"/>
      <c r="U422" s="40"/>
      <c r="V422" s="40"/>
      <c r="X422" s="40"/>
      <c r="Y422" s="40"/>
      <c r="Z422" s="40"/>
      <c r="AA422" s="41"/>
      <c r="AB422" s="41"/>
      <c r="AC422" s="41"/>
      <c r="AD422" s="41"/>
      <c r="AE422" s="41"/>
      <c r="AF422" s="40"/>
      <c r="AG422" s="40"/>
      <c r="AH422" s="5"/>
      <c r="AI422" s="5"/>
      <c r="AJ422" s="40"/>
      <c r="AK422" s="40"/>
      <c r="AL422" s="40"/>
      <c r="AM422" s="40"/>
      <c r="AO422" s="40"/>
      <c r="AQ422" s="40"/>
    </row>
    <row r="423" spans="2:43" ht="12.75" customHeight="1" x14ac:dyDescent="0.15">
      <c r="B423" s="40"/>
      <c r="C423" s="40"/>
      <c r="D423" s="40"/>
      <c r="E423" s="40"/>
      <c r="F423" s="40"/>
      <c r="G423" s="40"/>
      <c r="H423" s="53"/>
      <c r="R423" s="40"/>
      <c r="S423" s="40"/>
      <c r="T423" s="40"/>
      <c r="U423" s="40"/>
      <c r="V423" s="40"/>
      <c r="X423" s="40"/>
      <c r="Y423" s="40"/>
      <c r="Z423" s="40"/>
      <c r="AA423" s="41"/>
      <c r="AB423" s="41"/>
      <c r="AC423" s="41"/>
      <c r="AD423" s="41"/>
      <c r="AE423" s="41"/>
      <c r="AF423" s="40"/>
      <c r="AG423" s="40"/>
      <c r="AH423" s="5"/>
      <c r="AI423" s="5"/>
      <c r="AJ423" s="40"/>
      <c r="AK423" s="40"/>
      <c r="AL423" s="40"/>
      <c r="AM423" s="40"/>
      <c r="AO423" s="40"/>
      <c r="AQ423" s="40"/>
    </row>
    <row r="424" spans="2:43" ht="12.75" customHeight="1" x14ac:dyDescent="0.15">
      <c r="B424" s="40"/>
      <c r="C424" s="40"/>
      <c r="D424" s="40"/>
      <c r="E424" s="40"/>
      <c r="F424" s="40"/>
      <c r="G424" s="40"/>
      <c r="H424" s="53"/>
      <c r="R424" s="40"/>
      <c r="S424" s="40"/>
      <c r="T424" s="40"/>
      <c r="U424" s="40"/>
      <c r="V424" s="40"/>
      <c r="X424" s="40"/>
      <c r="Y424" s="40"/>
      <c r="Z424" s="40"/>
      <c r="AA424" s="41"/>
      <c r="AB424" s="41"/>
      <c r="AC424" s="41"/>
      <c r="AD424" s="41"/>
      <c r="AE424" s="41"/>
      <c r="AF424" s="40"/>
      <c r="AG424" s="40"/>
      <c r="AH424" s="5"/>
      <c r="AI424" s="5"/>
      <c r="AJ424" s="40"/>
      <c r="AK424" s="40"/>
      <c r="AL424" s="40"/>
      <c r="AM424" s="40"/>
      <c r="AO424" s="40"/>
      <c r="AQ424" s="40"/>
    </row>
    <row r="425" spans="2:43" ht="12.75" customHeight="1" x14ac:dyDescent="0.15">
      <c r="B425" s="40"/>
      <c r="C425" s="40"/>
      <c r="D425" s="40"/>
      <c r="E425" s="40"/>
      <c r="F425" s="40"/>
      <c r="G425" s="40"/>
      <c r="H425" s="53"/>
      <c r="R425" s="40"/>
      <c r="S425" s="40"/>
      <c r="T425" s="40"/>
      <c r="U425" s="40"/>
      <c r="V425" s="40"/>
      <c r="X425" s="40"/>
      <c r="Y425" s="40"/>
      <c r="Z425" s="40"/>
      <c r="AA425" s="41"/>
      <c r="AB425" s="41"/>
      <c r="AC425" s="41"/>
      <c r="AD425" s="41"/>
      <c r="AE425" s="41"/>
      <c r="AF425" s="40"/>
      <c r="AG425" s="40"/>
      <c r="AH425" s="5"/>
      <c r="AI425" s="5"/>
      <c r="AJ425" s="40"/>
      <c r="AK425" s="40"/>
      <c r="AL425" s="40"/>
      <c r="AM425" s="40"/>
      <c r="AO425" s="40"/>
      <c r="AQ425" s="40"/>
    </row>
    <row r="426" spans="2:43" ht="12.75" customHeight="1" x14ac:dyDescent="0.15">
      <c r="B426" s="40"/>
      <c r="C426" s="40"/>
      <c r="D426" s="40"/>
      <c r="E426" s="40"/>
      <c r="F426" s="40"/>
      <c r="G426" s="40"/>
      <c r="H426" s="53"/>
      <c r="R426" s="40"/>
      <c r="S426" s="40"/>
      <c r="T426" s="40"/>
      <c r="U426" s="40"/>
      <c r="V426" s="40"/>
      <c r="X426" s="40"/>
      <c r="Y426" s="40"/>
      <c r="Z426" s="40"/>
      <c r="AA426" s="41"/>
      <c r="AB426" s="41"/>
      <c r="AC426" s="41"/>
      <c r="AD426" s="41"/>
      <c r="AE426" s="41"/>
      <c r="AF426" s="40"/>
      <c r="AG426" s="40"/>
      <c r="AH426" s="5"/>
      <c r="AI426" s="5"/>
      <c r="AJ426" s="40"/>
      <c r="AK426" s="40"/>
      <c r="AL426" s="40"/>
      <c r="AM426" s="40"/>
      <c r="AO426" s="40"/>
      <c r="AQ426" s="40"/>
    </row>
    <row r="427" spans="2:43" ht="12.75" customHeight="1" x14ac:dyDescent="0.15">
      <c r="B427" s="40"/>
      <c r="C427" s="40"/>
      <c r="D427" s="40"/>
      <c r="E427" s="40"/>
      <c r="F427" s="40"/>
      <c r="G427" s="40"/>
      <c r="H427" s="53"/>
      <c r="R427" s="40"/>
      <c r="S427" s="40"/>
      <c r="T427" s="40"/>
      <c r="U427" s="40"/>
      <c r="V427" s="40"/>
      <c r="X427" s="40"/>
      <c r="Y427" s="40"/>
      <c r="Z427" s="40"/>
      <c r="AA427" s="41"/>
      <c r="AB427" s="41"/>
      <c r="AC427" s="41"/>
      <c r="AD427" s="41"/>
      <c r="AE427" s="41"/>
      <c r="AF427" s="40"/>
      <c r="AG427" s="40"/>
      <c r="AH427" s="5"/>
      <c r="AI427" s="5"/>
      <c r="AJ427" s="40"/>
      <c r="AK427" s="40"/>
      <c r="AL427" s="40"/>
      <c r="AM427" s="40"/>
      <c r="AO427" s="40"/>
      <c r="AQ427" s="40"/>
    </row>
    <row r="428" spans="2:43" ht="12.75" customHeight="1" x14ac:dyDescent="0.15">
      <c r="B428" s="40"/>
      <c r="C428" s="40"/>
      <c r="D428" s="40"/>
      <c r="E428" s="40"/>
      <c r="F428" s="40"/>
      <c r="G428" s="40"/>
      <c r="H428" s="53"/>
      <c r="R428" s="40"/>
      <c r="S428" s="40"/>
      <c r="T428" s="40"/>
      <c r="U428" s="40"/>
      <c r="V428" s="40"/>
      <c r="X428" s="40"/>
      <c r="Y428" s="40"/>
      <c r="Z428" s="40"/>
      <c r="AA428" s="41"/>
      <c r="AB428" s="41"/>
      <c r="AC428" s="41"/>
      <c r="AD428" s="41"/>
      <c r="AE428" s="41"/>
      <c r="AF428" s="40"/>
      <c r="AG428" s="40"/>
      <c r="AH428" s="5"/>
      <c r="AI428" s="5"/>
      <c r="AJ428" s="40"/>
      <c r="AK428" s="40"/>
      <c r="AL428" s="40"/>
      <c r="AM428" s="40"/>
      <c r="AO428" s="40"/>
      <c r="AQ428" s="40"/>
    </row>
    <row r="429" spans="2:43" ht="12.75" customHeight="1" x14ac:dyDescent="0.15">
      <c r="B429" s="40"/>
      <c r="C429" s="40"/>
      <c r="D429" s="40"/>
      <c r="E429" s="40"/>
      <c r="F429" s="40"/>
      <c r="G429" s="40"/>
      <c r="H429" s="53"/>
      <c r="R429" s="40"/>
      <c r="S429" s="40"/>
      <c r="T429" s="40"/>
      <c r="U429" s="40"/>
      <c r="V429" s="40"/>
      <c r="X429" s="40"/>
      <c r="Y429" s="40"/>
      <c r="Z429" s="40"/>
      <c r="AA429" s="41"/>
      <c r="AB429" s="41"/>
      <c r="AC429" s="41"/>
      <c r="AD429" s="41"/>
      <c r="AE429" s="41"/>
      <c r="AF429" s="40"/>
      <c r="AG429" s="40"/>
      <c r="AH429" s="5"/>
      <c r="AI429" s="5"/>
      <c r="AJ429" s="40"/>
      <c r="AK429" s="40"/>
      <c r="AL429" s="40"/>
      <c r="AM429" s="40"/>
      <c r="AO429" s="40"/>
      <c r="AQ429" s="40"/>
    </row>
    <row r="430" spans="2:43" ht="12.75" customHeight="1" x14ac:dyDescent="0.15">
      <c r="B430" s="40"/>
      <c r="C430" s="40"/>
      <c r="D430" s="40"/>
      <c r="E430" s="40"/>
      <c r="F430" s="40"/>
      <c r="G430" s="40"/>
      <c r="H430" s="53"/>
      <c r="R430" s="40"/>
      <c r="S430" s="40"/>
      <c r="T430" s="40"/>
      <c r="U430" s="40"/>
      <c r="V430" s="40"/>
      <c r="X430" s="40"/>
      <c r="Y430" s="40"/>
      <c r="Z430" s="40"/>
      <c r="AA430" s="41"/>
      <c r="AB430" s="41"/>
      <c r="AC430" s="41"/>
      <c r="AD430" s="41"/>
      <c r="AE430" s="41"/>
      <c r="AF430" s="40"/>
      <c r="AG430" s="40"/>
      <c r="AH430" s="5"/>
      <c r="AI430" s="5"/>
      <c r="AJ430" s="40"/>
      <c r="AK430" s="40"/>
      <c r="AL430" s="40"/>
      <c r="AM430" s="40"/>
      <c r="AO430" s="40"/>
      <c r="AQ430" s="40"/>
    </row>
    <row r="431" spans="2:43" ht="12.75" customHeight="1" x14ac:dyDescent="0.15">
      <c r="B431" s="40"/>
      <c r="C431" s="40"/>
      <c r="D431" s="40"/>
      <c r="E431" s="40"/>
      <c r="F431" s="40"/>
      <c r="G431" s="40"/>
      <c r="H431" s="53"/>
      <c r="R431" s="40"/>
      <c r="S431" s="40"/>
      <c r="T431" s="40"/>
      <c r="U431" s="40"/>
      <c r="V431" s="40"/>
      <c r="X431" s="40"/>
      <c r="Y431" s="40"/>
      <c r="Z431" s="40"/>
      <c r="AA431" s="41"/>
      <c r="AB431" s="41"/>
      <c r="AC431" s="41"/>
      <c r="AD431" s="41"/>
      <c r="AE431" s="41"/>
      <c r="AF431" s="40"/>
      <c r="AG431" s="40"/>
      <c r="AH431" s="5"/>
      <c r="AI431" s="5"/>
      <c r="AJ431" s="40"/>
      <c r="AK431" s="40"/>
      <c r="AL431" s="40"/>
      <c r="AM431" s="40"/>
      <c r="AO431" s="40"/>
      <c r="AQ431" s="40"/>
    </row>
    <row r="432" spans="2:43" ht="12.75" customHeight="1" x14ac:dyDescent="0.15">
      <c r="B432" s="40"/>
      <c r="C432" s="40"/>
      <c r="D432" s="40"/>
      <c r="E432" s="40"/>
      <c r="F432" s="40"/>
      <c r="G432" s="40"/>
      <c r="H432" s="53"/>
      <c r="R432" s="40"/>
      <c r="S432" s="40"/>
      <c r="T432" s="40"/>
      <c r="U432" s="40"/>
      <c r="V432" s="40"/>
      <c r="X432" s="40"/>
      <c r="Y432" s="40"/>
      <c r="Z432" s="40"/>
      <c r="AA432" s="41"/>
      <c r="AB432" s="41"/>
      <c r="AC432" s="41"/>
      <c r="AD432" s="41"/>
      <c r="AE432" s="41"/>
      <c r="AF432" s="40"/>
      <c r="AG432" s="40"/>
      <c r="AH432" s="5"/>
      <c r="AI432" s="5"/>
      <c r="AJ432" s="40"/>
      <c r="AK432" s="40"/>
      <c r="AL432" s="40"/>
      <c r="AM432" s="40"/>
      <c r="AO432" s="40"/>
      <c r="AQ432" s="40"/>
    </row>
    <row r="433" spans="2:43" ht="12.75" customHeight="1" x14ac:dyDescent="0.15">
      <c r="B433" s="40"/>
      <c r="C433" s="40"/>
      <c r="D433" s="40"/>
      <c r="E433" s="40"/>
      <c r="F433" s="40"/>
      <c r="G433" s="40"/>
      <c r="H433" s="53"/>
      <c r="R433" s="40"/>
      <c r="S433" s="40"/>
      <c r="T433" s="40"/>
      <c r="U433" s="40"/>
      <c r="V433" s="40"/>
      <c r="X433" s="40"/>
      <c r="Y433" s="40"/>
      <c r="Z433" s="40"/>
      <c r="AA433" s="41"/>
      <c r="AB433" s="41"/>
      <c r="AC433" s="41"/>
      <c r="AD433" s="41"/>
      <c r="AE433" s="41"/>
      <c r="AF433" s="40"/>
      <c r="AG433" s="40"/>
      <c r="AH433" s="5"/>
      <c r="AI433" s="5"/>
      <c r="AJ433" s="40"/>
      <c r="AK433" s="40"/>
      <c r="AL433" s="40"/>
      <c r="AM433" s="40"/>
      <c r="AO433" s="40"/>
      <c r="AQ433" s="40"/>
    </row>
    <row r="434" spans="2:43" ht="12.75" customHeight="1" x14ac:dyDescent="0.15">
      <c r="B434" s="40"/>
      <c r="C434" s="40"/>
      <c r="D434" s="40"/>
      <c r="E434" s="40"/>
      <c r="F434" s="40"/>
      <c r="G434" s="40"/>
      <c r="H434" s="53"/>
      <c r="R434" s="40"/>
      <c r="S434" s="40"/>
      <c r="T434" s="40"/>
      <c r="U434" s="40"/>
      <c r="V434" s="40"/>
      <c r="X434" s="40"/>
      <c r="Y434" s="40"/>
      <c r="Z434" s="40"/>
      <c r="AA434" s="41"/>
      <c r="AB434" s="41"/>
      <c r="AC434" s="41"/>
      <c r="AD434" s="41"/>
      <c r="AE434" s="41"/>
      <c r="AF434" s="40"/>
      <c r="AG434" s="40"/>
      <c r="AH434" s="5"/>
      <c r="AI434" s="5"/>
      <c r="AJ434" s="40"/>
      <c r="AK434" s="40"/>
      <c r="AL434" s="40"/>
      <c r="AM434" s="40"/>
      <c r="AO434" s="40"/>
      <c r="AQ434" s="40"/>
    </row>
    <row r="435" spans="2:43" ht="12.75" customHeight="1" x14ac:dyDescent="0.15">
      <c r="B435" s="40"/>
      <c r="C435" s="40"/>
      <c r="D435" s="40"/>
      <c r="E435" s="40"/>
      <c r="F435" s="40"/>
      <c r="G435" s="40"/>
      <c r="H435" s="53"/>
      <c r="R435" s="40"/>
      <c r="S435" s="40"/>
      <c r="T435" s="40"/>
      <c r="U435" s="40"/>
      <c r="V435" s="40"/>
      <c r="X435" s="40"/>
      <c r="Y435" s="40"/>
      <c r="Z435" s="40"/>
      <c r="AA435" s="41"/>
      <c r="AB435" s="41"/>
      <c r="AC435" s="41"/>
      <c r="AD435" s="41"/>
      <c r="AE435" s="41"/>
      <c r="AF435" s="40"/>
      <c r="AG435" s="40"/>
      <c r="AH435" s="5"/>
      <c r="AI435" s="5"/>
      <c r="AJ435" s="40"/>
      <c r="AK435" s="40"/>
      <c r="AL435" s="40"/>
      <c r="AM435" s="40"/>
      <c r="AO435" s="40"/>
      <c r="AQ435" s="40"/>
    </row>
    <row r="436" spans="2:43" ht="12.75" customHeight="1" x14ac:dyDescent="0.15">
      <c r="B436" s="40"/>
      <c r="C436" s="40"/>
      <c r="D436" s="40"/>
      <c r="E436" s="40"/>
      <c r="F436" s="40"/>
      <c r="G436" s="40"/>
      <c r="H436" s="53"/>
      <c r="R436" s="40"/>
      <c r="S436" s="40"/>
      <c r="T436" s="40"/>
      <c r="U436" s="40"/>
      <c r="V436" s="40"/>
      <c r="X436" s="40"/>
      <c r="Y436" s="40"/>
      <c r="Z436" s="40"/>
      <c r="AA436" s="41"/>
      <c r="AB436" s="41"/>
      <c r="AC436" s="41"/>
      <c r="AD436" s="41"/>
      <c r="AE436" s="41"/>
      <c r="AF436" s="40"/>
      <c r="AG436" s="40"/>
      <c r="AH436" s="5"/>
      <c r="AI436" s="5"/>
      <c r="AJ436" s="40"/>
      <c r="AK436" s="40"/>
      <c r="AL436" s="40"/>
      <c r="AM436" s="40"/>
      <c r="AO436" s="40"/>
      <c r="AQ436" s="40"/>
    </row>
    <row r="437" spans="2:43" ht="12.75" customHeight="1" x14ac:dyDescent="0.15">
      <c r="B437" s="40"/>
      <c r="C437" s="40"/>
      <c r="D437" s="40"/>
      <c r="E437" s="40"/>
      <c r="F437" s="40"/>
      <c r="G437" s="40"/>
      <c r="H437" s="53"/>
      <c r="R437" s="40"/>
      <c r="S437" s="40"/>
      <c r="T437" s="40"/>
      <c r="U437" s="40"/>
      <c r="V437" s="40"/>
      <c r="X437" s="40"/>
      <c r="Y437" s="40"/>
      <c r="Z437" s="40"/>
      <c r="AA437" s="41"/>
      <c r="AB437" s="41"/>
      <c r="AC437" s="41"/>
      <c r="AD437" s="41"/>
      <c r="AE437" s="41"/>
      <c r="AF437" s="40"/>
      <c r="AG437" s="40"/>
      <c r="AH437" s="5"/>
      <c r="AI437" s="5"/>
      <c r="AJ437" s="40"/>
      <c r="AK437" s="40"/>
      <c r="AL437" s="40"/>
      <c r="AM437" s="40"/>
      <c r="AO437" s="40"/>
      <c r="AQ437" s="40"/>
    </row>
    <row r="438" spans="2:43" ht="12.75" customHeight="1" x14ac:dyDescent="0.15">
      <c r="B438" s="40"/>
      <c r="C438" s="40"/>
      <c r="D438" s="40"/>
      <c r="E438" s="40"/>
      <c r="F438" s="40"/>
      <c r="G438" s="40"/>
      <c r="H438" s="53"/>
      <c r="R438" s="40"/>
      <c r="S438" s="40"/>
      <c r="T438" s="40"/>
      <c r="U438" s="40"/>
      <c r="V438" s="40"/>
      <c r="X438" s="40"/>
      <c r="Y438" s="40"/>
      <c r="Z438" s="40"/>
      <c r="AA438" s="41"/>
      <c r="AB438" s="41"/>
      <c r="AC438" s="41"/>
      <c r="AD438" s="41"/>
      <c r="AE438" s="41"/>
      <c r="AF438" s="40"/>
      <c r="AG438" s="40"/>
      <c r="AH438" s="5"/>
      <c r="AI438" s="5"/>
      <c r="AJ438" s="40"/>
      <c r="AK438" s="40"/>
      <c r="AL438" s="40"/>
      <c r="AM438" s="40"/>
      <c r="AO438" s="40"/>
      <c r="AQ438" s="40"/>
    </row>
    <row r="439" spans="2:43" ht="12.75" customHeight="1" x14ac:dyDescent="0.15">
      <c r="B439" s="40"/>
      <c r="C439" s="40"/>
      <c r="D439" s="40"/>
      <c r="E439" s="40"/>
      <c r="F439" s="40"/>
      <c r="G439" s="40"/>
      <c r="H439" s="53"/>
      <c r="R439" s="40"/>
      <c r="S439" s="40"/>
      <c r="T439" s="40"/>
      <c r="U439" s="40"/>
      <c r="V439" s="40"/>
      <c r="X439" s="40"/>
      <c r="Y439" s="40"/>
      <c r="Z439" s="40"/>
      <c r="AA439" s="41"/>
      <c r="AB439" s="41"/>
      <c r="AC439" s="41"/>
      <c r="AD439" s="41"/>
      <c r="AE439" s="41"/>
      <c r="AF439" s="40"/>
      <c r="AG439" s="40"/>
      <c r="AH439" s="5"/>
      <c r="AI439" s="5"/>
      <c r="AJ439" s="40"/>
      <c r="AK439" s="40"/>
      <c r="AL439" s="40"/>
      <c r="AM439" s="40"/>
      <c r="AO439" s="40"/>
      <c r="AQ439" s="40"/>
    </row>
    <row r="440" spans="2:43" ht="12.75" customHeight="1" x14ac:dyDescent="0.15">
      <c r="B440" s="40"/>
      <c r="C440" s="40"/>
      <c r="D440" s="40"/>
      <c r="E440" s="40"/>
      <c r="F440" s="40"/>
      <c r="G440" s="40"/>
      <c r="H440" s="53"/>
      <c r="R440" s="40"/>
      <c r="S440" s="40"/>
      <c r="T440" s="40"/>
      <c r="U440" s="40"/>
      <c r="V440" s="40"/>
      <c r="X440" s="40"/>
      <c r="Y440" s="40"/>
      <c r="Z440" s="40"/>
      <c r="AA440" s="41"/>
      <c r="AB440" s="41"/>
      <c r="AC440" s="41"/>
      <c r="AD440" s="41"/>
      <c r="AE440" s="41"/>
      <c r="AF440" s="40"/>
      <c r="AG440" s="40"/>
      <c r="AH440" s="5"/>
      <c r="AI440" s="5"/>
      <c r="AJ440" s="40"/>
      <c r="AK440" s="40"/>
      <c r="AL440" s="40"/>
      <c r="AM440" s="40"/>
      <c r="AO440" s="40"/>
      <c r="AQ440" s="40"/>
    </row>
    <row r="441" spans="2:43" ht="12.75" customHeight="1" x14ac:dyDescent="0.15">
      <c r="B441" s="40"/>
      <c r="C441" s="40"/>
      <c r="D441" s="40"/>
      <c r="E441" s="40"/>
      <c r="F441" s="40"/>
      <c r="G441" s="40"/>
      <c r="H441" s="53"/>
      <c r="R441" s="40"/>
      <c r="S441" s="40"/>
      <c r="T441" s="40"/>
      <c r="U441" s="40"/>
      <c r="V441" s="40"/>
      <c r="X441" s="40"/>
      <c r="Y441" s="40"/>
      <c r="Z441" s="40"/>
      <c r="AA441" s="41"/>
      <c r="AB441" s="41"/>
      <c r="AC441" s="41"/>
      <c r="AD441" s="41"/>
      <c r="AE441" s="41"/>
      <c r="AF441" s="40"/>
      <c r="AG441" s="40"/>
      <c r="AH441" s="5"/>
      <c r="AI441" s="5"/>
      <c r="AJ441" s="40"/>
      <c r="AK441" s="40"/>
      <c r="AL441" s="40"/>
      <c r="AM441" s="40"/>
      <c r="AO441" s="40"/>
      <c r="AQ441" s="40"/>
    </row>
    <row r="442" spans="2:43" ht="12.75" customHeight="1" x14ac:dyDescent="0.15">
      <c r="B442" s="40"/>
      <c r="C442" s="40"/>
      <c r="D442" s="40"/>
      <c r="E442" s="40"/>
      <c r="F442" s="40"/>
      <c r="G442" s="40"/>
      <c r="H442" s="53"/>
      <c r="R442" s="40"/>
      <c r="S442" s="40"/>
      <c r="T442" s="40"/>
      <c r="U442" s="40"/>
      <c r="V442" s="40"/>
      <c r="X442" s="40"/>
      <c r="Y442" s="40"/>
      <c r="Z442" s="40"/>
      <c r="AA442" s="41"/>
      <c r="AB442" s="41"/>
      <c r="AC442" s="41"/>
      <c r="AD442" s="41"/>
      <c r="AE442" s="41"/>
      <c r="AF442" s="40"/>
      <c r="AG442" s="40"/>
      <c r="AH442" s="5"/>
      <c r="AI442" s="5"/>
      <c r="AJ442" s="40"/>
      <c r="AK442" s="40"/>
      <c r="AL442" s="40"/>
      <c r="AM442" s="40"/>
      <c r="AO442" s="40"/>
      <c r="AQ442" s="40"/>
    </row>
    <row r="443" spans="2:43" ht="12.75" customHeight="1" x14ac:dyDescent="0.15">
      <c r="B443" s="40"/>
      <c r="C443" s="40"/>
      <c r="D443" s="40"/>
      <c r="E443" s="40"/>
      <c r="F443" s="40"/>
      <c r="G443" s="40"/>
      <c r="H443" s="53"/>
      <c r="R443" s="40"/>
      <c r="S443" s="40"/>
      <c r="T443" s="40"/>
      <c r="U443" s="40"/>
      <c r="V443" s="40"/>
      <c r="X443" s="40"/>
      <c r="Y443" s="40"/>
      <c r="Z443" s="40"/>
      <c r="AA443" s="41"/>
      <c r="AB443" s="41"/>
      <c r="AC443" s="41"/>
      <c r="AD443" s="41"/>
      <c r="AE443" s="41"/>
      <c r="AF443" s="40"/>
      <c r="AG443" s="40"/>
      <c r="AH443" s="5"/>
      <c r="AI443" s="5"/>
      <c r="AJ443" s="40"/>
      <c r="AK443" s="40"/>
      <c r="AL443" s="40"/>
      <c r="AM443" s="40"/>
      <c r="AO443" s="40"/>
      <c r="AQ443" s="40"/>
    </row>
    <row r="444" spans="2:43" ht="12.75" customHeight="1" x14ac:dyDescent="0.15">
      <c r="B444" s="40"/>
      <c r="C444" s="40"/>
      <c r="D444" s="40"/>
      <c r="E444" s="40"/>
      <c r="F444" s="40"/>
      <c r="G444" s="40"/>
      <c r="H444" s="53"/>
      <c r="R444" s="40"/>
      <c r="S444" s="40"/>
      <c r="T444" s="40"/>
      <c r="U444" s="40"/>
      <c r="V444" s="40"/>
      <c r="X444" s="40"/>
      <c r="Y444" s="40"/>
      <c r="Z444" s="40"/>
      <c r="AA444" s="41"/>
      <c r="AB444" s="41"/>
      <c r="AC444" s="41"/>
      <c r="AD444" s="41"/>
      <c r="AE444" s="41"/>
      <c r="AF444" s="40"/>
      <c r="AG444" s="40"/>
      <c r="AH444" s="5"/>
      <c r="AI444" s="5"/>
      <c r="AJ444" s="40"/>
      <c r="AK444" s="40"/>
      <c r="AL444" s="40"/>
      <c r="AM444" s="40"/>
      <c r="AO444" s="40"/>
      <c r="AQ444" s="40"/>
    </row>
    <row r="445" spans="2:43" ht="12.75" customHeight="1" x14ac:dyDescent="0.15">
      <c r="B445" s="40"/>
      <c r="C445" s="40"/>
      <c r="D445" s="40"/>
      <c r="E445" s="40"/>
      <c r="F445" s="40"/>
      <c r="G445" s="40"/>
      <c r="H445" s="53"/>
      <c r="R445" s="40"/>
      <c r="S445" s="40"/>
      <c r="T445" s="40"/>
      <c r="U445" s="40"/>
      <c r="V445" s="40"/>
      <c r="X445" s="40"/>
      <c r="Y445" s="40"/>
      <c r="Z445" s="40"/>
      <c r="AA445" s="41"/>
      <c r="AB445" s="41"/>
      <c r="AC445" s="41"/>
      <c r="AD445" s="41"/>
      <c r="AE445" s="41"/>
      <c r="AF445" s="40"/>
      <c r="AG445" s="40"/>
      <c r="AH445" s="5"/>
      <c r="AI445" s="5"/>
      <c r="AJ445" s="40"/>
      <c r="AK445" s="40"/>
      <c r="AL445" s="40"/>
      <c r="AM445" s="40"/>
      <c r="AO445" s="40"/>
      <c r="AQ445" s="40"/>
    </row>
    <row r="446" spans="2:43" ht="12.75" customHeight="1" x14ac:dyDescent="0.15">
      <c r="B446" s="40"/>
      <c r="C446" s="40"/>
      <c r="D446" s="40"/>
      <c r="E446" s="40"/>
      <c r="F446" s="40"/>
      <c r="G446" s="40"/>
      <c r="H446" s="53"/>
      <c r="R446" s="40"/>
      <c r="S446" s="40"/>
      <c r="T446" s="40"/>
      <c r="U446" s="40"/>
      <c r="V446" s="40"/>
      <c r="X446" s="40"/>
      <c r="Y446" s="40"/>
      <c r="Z446" s="40"/>
      <c r="AA446" s="41"/>
      <c r="AB446" s="41"/>
      <c r="AC446" s="41"/>
      <c r="AD446" s="41"/>
      <c r="AE446" s="41"/>
      <c r="AF446" s="40"/>
      <c r="AG446" s="40"/>
      <c r="AH446" s="5"/>
      <c r="AI446" s="5"/>
      <c r="AJ446" s="40"/>
      <c r="AK446" s="40"/>
      <c r="AL446" s="40"/>
      <c r="AM446" s="40"/>
      <c r="AO446" s="40"/>
      <c r="AQ446" s="40"/>
    </row>
    <row r="447" spans="2:43" ht="12.75" customHeight="1" x14ac:dyDescent="0.15">
      <c r="B447" s="40"/>
      <c r="C447" s="40"/>
      <c r="D447" s="40"/>
      <c r="E447" s="40"/>
      <c r="F447" s="40"/>
      <c r="G447" s="40"/>
      <c r="H447" s="53"/>
      <c r="R447" s="40"/>
      <c r="S447" s="40"/>
      <c r="T447" s="40"/>
      <c r="U447" s="40"/>
      <c r="V447" s="40"/>
      <c r="X447" s="40"/>
      <c r="Y447" s="40"/>
      <c r="Z447" s="40"/>
      <c r="AA447" s="41"/>
      <c r="AB447" s="41"/>
      <c r="AC447" s="41"/>
      <c r="AD447" s="41"/>
      <c r="AE447" s="41"/>
      <c r="AF447" s="40"/>
      <c r="AG447" s="40"/>
      <c r="AH447" s="5"/>
      <c r="AI447" s="5"/>
      <c r="AJ447" s="40"/>
      <c r="AK447" s="40"/>
      <c r="AL447" s="40"/>
      <c r="AM447" s="40"/>
      <c r="AO447" s="40"/>
      <c r="AQ447" s="40"/>
    </row>
    <row r="448" spans="2:43" ht="12.75" customHeight="1" x14ac:dyDescent="0.15">
      <c r="B448" s="40"/>
      <c r="C448" s="40"/>
      <c r="D448" s="40"/>
      <c r="E448" s="40"/>
      <c r="F448" s="40"/>
      <c r="G448" s="40"/>
      <c r="H448" s="53"/>
      <c r="R448" s="40"/>
      <c r="S448" s="40"/>
      <c r="T448" s="40"/>
      <c r="U448" s="40"/>
      <c r="V448" s="40"/>
      <c r="X448" s="40"/>
      <c r="Y448" s="40"/>
      <c r="Z448" s="40"/>
      <c r="AA448" s="41"/>
      <c r="AB448" s="41"/>
      <c r="AC448" s="41"/>
      <c r="AD448" s="41"/>
      <c r="AE448" s="41"/>
      <c r="AF448" s="40"/>
      <c r="AG448" s="40"/>
      <c r="AH448" s="5"/>
      <c r="AI448" s="5"/>
      <c r="AJ448" s="40"/>
      <c r="AK448" s="40"/>
      <c r="AL448" s="40"/>
      <c r="AM448" s="40"/>
      <c r="AO448" s="40"/>
      <c r="AQ448" s="40"/>
    </row>
    <row r="449" spans="2:43" ht="12.75" customHeight="1" x14ac:dyDescent="0.15">
      <c r="B449" s="40"/>
      <c r="C449" s="40"/>
      <c r="D449" s="40"/>
      <c r="E449" s="40"/>
      <c r="F449" s="40"/>
      <c r="G449" s="40"/>
      <c r="H449" s="53"/>
      <c r="R449" s="40"/>
      <c r="S449" s="40"/>
      <c r="T449" s="40"/>
      <c r="U449" s="40"/>
      <c r="V449" s="40"/>
      <c r="X449" s="40"/>
      <c r="Y449" s="40"/>
      <c r="Z449" s="40"/>
      <c r="AA449" s="41"/>
      <c r="AB449" s="41"/>
      <c r="AC449" s="41"/>
      <c r="AD449" s="41"/>
      <c r="AE449" s="41"/>
      <c r="AF449" s="40"/>
      <c r="AG449" s="40"/>
      <c r="AH449" s="5"/>
      <c r="AI449" s="5"/>
      <c r="AJ449" s="40"/>
      <c r="AK449" s="40"/>
      <c r="AL449" s="40"/>
      <c r="AM449" s="40"/>
      <c r="AO449" s="40"/>
      <c r="AQ449" s="40"/>
    </row>
    <row r="450" spans="2:43" ht="12.75" customHeight="1" x14ac:dyDescent="0.15">
      <c r="B450" s="40"/>
      <c r="C450" s="40"/>
      <c r="D450" s="40"/>
      <c r="E450" s="40"/>
      <c r="F450" s="40"/>
      <c r="G450" s="40"/>
      <c r="H450" s="53"/>
      <c r="R450" s="40"/>
      <c r="S450" s="40"/>
      <c r="T450" s="40"/>
      <c r="U450" s="40"/>
      <c r="V450" s="40"/>
      <c r="X450" s="40"/>
      <c r="Y450" s="40"/>
      <c r="Z450" s="40"/>
      <c r="AA450" s="41"/>
      <c r="AB450" s="41"/>
      <c r="AC450" s="41"/>
      <c r="AD450" s="41"/>
      <c r="AE450" s="41"/>
      <c r="AF450" s="40"/>
      <c r="AG450" s="40"/>
      <c r="AH450" s="5"/>
      <c r="AI450" s="5"/>
      <c r="AJ450" s="40"/>
      <c r="AK450" s="40"/>
      <c r="AL450" s="40"/>
      <c r="AM450" s="40"/>
      <c r="AO450" s="40"/>
      <c r="AQ450" s="40"/>
    </row>
    <row r="451" spans="2:43" ht="12.75" customHeight="1" x14ac:dyDescent="0.15">
      <c r="B451" s="40"/>
      <c r="C451" s="40"/>
      <c r="D451" s="40"/>
      <c r="E451" s="40"/>
      <c r="F451" s="40"/>
      <c r="G451" s="40"/>
      <c r="H451" s="53"/>
      <c r="R451" s="40"/>
      <c r="S451" s="40"/>
      <c r="T451" s="40"/>
      <c r="U451" s="40"/>
      <c r="V451" s="40"/>
      <c r="X451" s="40"/>
      <c r="Y451" s="40"/>
      <c r="Z451" s="40"/>
      <c r="AA451" s="41"/>
      <c r="AB451" s="41"/>
      <c r="AC451" s="41"/>
      <c r="AD451" s="41"/>
      <c r="AE451" s="41"/>
      <c r="AF451" s="40"/>
      <c r="AG451" s="40"/>
      <c r="AH451" s="5"/>
      <c r="AI451" s="5"/>
      <c r="AJ451" s="40"/>
      <c r="AK451" s="40"/>
      <c r="AL451" s="40"/>
      <c r="AM451" s="40"/>
      <c r="AO451" s="40"/>
      <c r="AQ451" s="40"/>
    </row>
    <row r="452" spans="2:43" ht="12.75" customHeight="1" x14ac:dyDescent="0.15">
      <c r="B452" s="40"/>
      <c r="C452" s="40"/>
      <c r="D452" s="40"/>
      <c r="E452" s="40"/>
      <c r="F452" s="40"/>
      <c r="G452" s="40"/>
      <c r="H452" s="53"/>
      <c r="R452" s="40"/>
      <c r="S452" s="40"/>
      <c r="T452" s="40"/>
      <c r="U452" s="40"/>
      <c r="V452" s="40"/>
      <c r="X452" s="40"/>
      <c r="Y452" s="40"/>
      <c r="Z452" s="40"/>
      <c r="AA452" s="41"/>
      <c r="AB452" s="41"/>
      <c r="AC452" s="41"/>
      <c r="AD452" s="41"/>
      <c r="AE452" s="41"/>
      <c r="AF452" s="40"/>
      <c r="AG452" s="40"/>
      <c r="AH452" s="5"/>
      <c r="AI452" s="5"/>
      <c r="AJ452" s="40"/>
      <c r="AK452" s="40"/>
      <c r="AL452" s="40"/>
      <c r="AM452" s="40"/>
      <c r="AO452" s="40"/>
      <c r="AQ452" s="40"/>
    </row>
    <row r="453" spans="2:43" ht="12.75" customHeight="1" x14ac:dyDescent="0.15">
      <c r="B453" s="40"/>
      <c r="C453" s="40"/>
      <c r="D453" s="40"/>
      <c r="E453" s="40"/>
      <c r="F453" s="40"/>
      <c r="G453" s="40"/>
      <c r="H453" s="53"/>
      <c r="R453" s="40"/>
      <c r="S453" s="40"/>
      <c r="T453" s="40"/>
      <c r="U453" s="40"/>
      <c r="V453" s="40"/>
      <c r="X453" s="40"/>
      <c r="Y453" s="40"/>
      <c r="Z453" s="40"/>
      <c r="AA453" s="41"/>
      <c r="AB453" s="41"/>
      <c r="AC453" s="41"/>
      <c r="AD453" s="41"/>
      <c r="AE453" s="41"/>
      <c r="AF453" s="40"/>
      <c r="AG453" s="40"/>
      <c r="AH453" s="5"/>
      <c r="AI453" s="5"/>
      <c r="AJ453" s="40"/>
      <c r="AK453" s="40"/>
      <c r="AL453" s="40"/>
      <c r="AM453" s="40"/>
      <c r="AO453" s="40"/>
      <c r="AQ453" s="40"/>
    </row>
    <row r="454" spans="2:43" ht="12.75" customHeight="1" x14ac:dyDescent="0.15">
      <c r="B454" s="40"/>
      <c r="C454" s="40"/>
      <c r="D454" s="40"/>
      <c r="E454" s="40"/>
      <c r="F454" s="40"/>
      <c r="G454" s="40"/>
      <c r="H454" s="53"/>
      <c r="R454" s="40"/>
      <c r="S454" s="40"/>
      <c r="T454" s="40"/>
      <c r="U454" s="40"/>
      <c r="V454" s="40"/>
      <c r="X454" s="40"/>
      <c r="Y454" s="40"/>
      <c r="Z454" s="40"/>
      <c r="AA454" s="41"/>
      <c r="AB454" s="41"/>
      <c r="AC454" s="41"/>
      <c r="AD454" s="41"/>
      <c r="AE454" s="41"/>
      <c r="AF454" s="40"/>
      <c r="AG454" s="40"/>
      <c r="AH454" s="5"/>
      <c r="AI454" s="5"/>
      <c r="AJ454" s="40"/>
      <c r="AK454" s="40"/>
      <c r="AL454" s="40"/>
      <c r="AM454" s="40"/>
      <c r="AO454" s="40"/>
      <c r="AQ454" s="40"/>
    </row>
    <row r="455" spans="2:43" ht="12.75" customHeight="1" x14ac:dyDescent="0.15">
      <c r="B455" s="40"/>
      <c r="C455" s="40"/>
      <c r="D455" s="40"/>
      <c r="E455" s="40"/>
      <c r="F455" s="40"/>
      <c r="G455" s="40"/>
      <c r="H455" s="53"/>
      <c r="R455" s="40"/>
      <c r="S455" s="40"/>
      <c r="T455" s="40"/>
      <c r="U455" s="40"/>
      <c r="V455" s="40"/>
      <c r="X455" s="40"/>
      <c r="Y455" s="40"/>
      <c r="Z455" s="40"/>
      <c r="AA455" s="41"/>
      <c r="AB455" s="41"/>
      <c r="AC455" s="41"/>
      <c r="AD455" s="41"/>
      <c r="AE455" s="41"/>
      <c r="AF455" s="40"/>
      <c r="AG455" s="40"/>
      <c r="AH455" s="5"/>
      <c r="AI455" s="5"/>
      <c r="AJ455" s="40"/>
      <c r="AK455" s="40"/>
      <c r="AL455" s="40"/>
      <c r="AM455" s="40"/>
      <c r="AO455" s="40"/>
      <c r="AQ455" s="40"/>
    </row>
    <row r="456" spans="2:43" ht="12.75" customHeight="1" x14ac:dyDescent="0.15">
      <c r="B456" s="40"/>
      <c r="C456" s="40"/>
      <c r="D456" s="40"/>
      <c r="E456" s="40"/>
      <c r="F456" s="40"/>
      <c r="G456" s="40"/>
      <c r="H456" s="53"/>
      <c r="R456" s="40"/>
      <c r="S456" s="40"/>
      <c r="T456" s="40"/>
      <c r="U456" s="40"/>
      <c r="V456" s="40"/>
      <c r="X456" s="40"/>
      <c r="Y456" s="40"/>
      <c r="Z456" s="40"/>
      <c r="AA456" s="41"/>
      <c r="AB456" s="41"/>
      <c r="AC456" s="41"/>
      <c r="AD456" s="41"/>
      <c r="AE456" s="41"/>
      <c r="AF456" s="40"/>
      <c r="AG456" s="40"/>
      <c r="AH456" s="5"/>
      <c r="AI456" s="5"/>
      <c r="AJ456" s="40"/>
      <c r="AK456" s="40"/>
      <c r="AL456" s="40"/>
      <c r="AM456" s="40"/>
      <c r="AO456" s="40"/>
      <c r="AQ456" s="40"/>
    </row>
    <row r="457" spans="2:43" ht="12.75" customHeight="1" x14ac:dyDescent="0.15">
      <c r="B457" s="40"/>
      <c r="C457" s="40"/>
      <c r="D457" s="40"/>
      <c r="E457" s="40"/>
      <c r="F457" s="40"/>
      <c r="G457" s="40"/>
      <c r="H457" s="53"/>
      <c r="R457" s="40"/>
      <c r="S457" s="40"/>
      <c r="T457" s="40"/>
      <c r="U457" s="40"/>
      <c r="V457" s="40"/>
      <c r="X457" s="40"/>
      <c r="Y457" s="40"/>
      <c r="Z457" s="40"/>
      <c r="AA457" s="41"/>
      <c r="AB457" s="41"/>
      <c r="AC457" s="41"/>
      <c r="AD457" s="41"/>
      <c r="AE457" s="41"/>
      <c r="AF457" s="40"/>
      <c r="AG457" s="40"/>
      <c r="AH457" s="5"/>
      <c r="AI457" s="5"/>
      <c r="AJ457" s="40"/>
      <c r="AK457" s="40"/>
      <c r="AL457" s="40"/>
      <c r="AM457" s="40"/>
      <c r="AO457" s="40"/>
      <c r="AQ457" s="40"/>
    </row>
    <row r="458" spans="2:43" ht="12.75" customHeight="1" x14ac:dyDescent="0.15">
      <c r="B458" s="40"/>
      <c r="C458" s="40"/>
      <c r="D458" s="40"/>
      <c r="E458" s="40"/>
      <c r="F458" s="40"/>
      <c r="G458" s="40"/>
      <c r="H458" s="53"/>
      <c r="R458" s="40"/>
      <c r="S458" s="40"/>
      <c r="T458" s="40"/>
      <c r="U458" s="40"/>
      <c r="V458" s="40"/>
      <c r="X458" s="40"/>
      <c r="Y458" s="40"/>
      <c r="Z458" s="40"/>
      <c r="AA458" s="41"/>
      <c r="AB458" s="41"/>
      <c r="AC458" s="41"/>
      <c r="AD458" s="41"/>
      <c r="AE458" s="41"/>
      <c r="AF458" s="40"/>
      <c r="AG458" s="40"/>
      <c r="AH458" s="5"/>
      <c r="AI458" s="5"/>
      <c r="AJ458" s="40"/>
      <c r="AK458" s="40"/>
      <c r="AL458" s="40"/>
      <c r="AM458" s="40"/>
      <c r="AO458" s="40"/>
      <c r="AQ458" s="40"/>
    </row>
    <row r="459" spans="2:43" ht="12.75" customHeight="1" x14ac:dyDescent="0.15">
      <c r="B459" s="40"/>
      <c r="C459" s="40"/>
      <c r="D459" s="40"/>
      <c r="E459" s="40"/>
      <c r="F459" s="40"/>
      <c r="G459" s="40"/>
      <c r="H459" s="53"/>
      <c r="R459" s="40"/>
      <c r="S459" s="40"/>
      <c r="T459" s="40"/>
      <c r="U459" s="40"/>
      <c r="V459" s="40"/>
      <c r="X459" s="40"/>
      <c r="Y459" s="40"/>
      <c r="Z459" s="40"/>
      <c r="AA459" s="41"/>
      <c r="AB459" s="41"/>
      <c r="AC459" s="41"/>
      <c r="AD459" s="41"/>
      <c r="AE459" s="41"/>
      <c r="AF459" s="40"/>
      <c r="AG459" s="40"/>
      <c r="AH459" s="5"/>
      <c r="AI459" s="5"/>
      <c r="AJ459" s="40"/>
      <c r="AK459" s="40"/>
      <c r="AL459" s="40"/>
      <c r="AM459" s="40"/>
      <c r="AO459" s="40"/>
      <c r="AQ459" s="40"/>
    </row>
    <row r="460" spans="2:43" ht="12.75" customHeight="1" x14ac:dyDescent="0.15">
      <c r="B460" s="40"/>
      <c r="C460" s="40"/>
      <c r="D460" s="40"/>
      <c r="E460" s="40"/>
      <c r="F460" s="40"/>
      <c r="G460" s="40"/>
      <c r="H460" s="53"/>
      <c r="R460" s="40"/>
      <c r="S460" s="40"/>
      <c r="T460" s="40"/>
      <c r="U460" s="40"/>
      <c r="V460" s="40"/>
      <c r="X460" s="40"/>
      <c r="Y460" s="40"/>
      <c r="Z460" s="40"/>
      <c r="AA460" s="41"/>
      <c r="AB460" s="41"/>
      <c r="AC460" s="41"/>
      <c r="AD460" s="41"/>
      <c r="AE460" s="41"/>
      <c r="AF460" s="40"/>
      <c r="AG460" s="40"/>
      <c r="AH460" s="5"/>
      <c r="AI460" s="5"/>
      <c r="AJ460" s="40"/>
      <c r="AK460" s="40"/>
      <c r="AL460" s="40"/>
      <c r="AM460" s="40"/>
      <c r="AO460" s="40"/>
      <c r="AQ460" s="40"/>
    </row>
    <row r="461" spans="2:43" ht="12.75" customHeight="1" x14ac:dyDescent="0.15">
      <c r="B461" s="40"/>
      <c r="C461" s="40"/>
      <c r="D461" s="40"/>
      <c r="E461" s="40"/>
      <c r="F461" s="40"/>
      <c r="G461" s="40"/>
      <c r="H461" s="53"/>
      <c r="R461" s="40"/>
      <c r="S461" s="40"/>
      <c r="T461" s="40"/>
      <c r="U461" s="40"/>
      <c r="V461" s="40"/>
      <c r="X461" s="40"/>
      <c r="Y461" s="40"/>
      <c r="Z461" s="40"/>
      <c r="AA461" s="41"/>
      <c r="AB461" s="41"/>
      <c r="AC461" s="41"/>
      <c r="AD461" s="41"/>
      <c r="AE461" s="41"/>
      <c r="AF461" s="40"/>
      <c r="AG461" s="40"/>
      <c r="AH461" s="5"/>
      <c r="AI461" s="5"/>
      <c r="AJ461" s="40"/>
      <c r="AK461" s="40"/>
      <c r="AL461" s="40"/>
      <c r="AM461" s="40"/>
      <c r="AO461" s="40"/>
      <c r="AQ461" s="40"/>
    </row>
    <row r="462" spans="2:43" ht="12.75" customHeight="1" x14ac:dyDescent="0.15">
      <c r="B462" s="40"/>
      <c r="C462" s="40"/>
      <c r="D462" s="40"/>
      <c r="E462" s="40"/>
      <c r="F462" s="40"/>
      <c r="G462" s="40"/>
      <c r="H462" s="53"/>
      <c r="R462" s="40"/>
      <c r="S462" s="40"/>
      <c r="T462" s="40"/>
      <c r="U462" s="40"/>
      <c r="V462" s="40"/>
      <c r="X462" s="40"/>
      <c r="Y462" s="40"/>
      <c r="Z462" s="40"/>
      <c r="AA462" s="41"/>
      <c r="AB462" s="41"/>
      <c r="AC462" s="41"/>
      <c r="AD462" s="41"/>
      <c r="AE462" s="41"/>
      <c r="AF462" s="40"/>
      <c r="AG462" s="40"/>
      <c r="AH462" s="5"/>
      <c r="AI462" s="5"/>
      <c r="AJ462" s="40"/>
      <c r="AK462" s="40"/>
      <c r="AL462" s="40"/>
      <c r="AM462" s="40"/>
      <c r="AO462" s="40"/>
      <c r="AQ462" s="40"/>
    </row>
    <row r="463" spans="2:43" ht="12.75" customHeight="1" x14ac:dyDescent="0.15">
      <c r="B463" s="40"/>
      <c r="C463" s="40"/>
      <c r="D463" s="40"/>
      <c r="E463" s="40"/>
      <c r="F463" s="40"/>
      <c r="G463" s="40"/>
      <c r="H463" s="53"/>
      <c r="R463" s="40"/>
      <c r="S463" s="40"/>
      <c r="T463" s="40"/>
      <c r="U463" s="40"/>
      <c r="V463" s="40"/>
      <c r="X463" s="40"/>
      <c r="Y463" s="40"/>
      <c r="Z463" s="40"/>
      <c r="AA463" s="41"/>
      <c r="AB463" s="41"/>
      <c r="AC463" s="41"/>
      <c r="AD463" s="41"/>
      <c r="AE463" s="41"/>
      <c r="AF463" s="40"/>
      <c r="AG463" s="40"/>
      <c r="AH463" s="5"/>
      <c r="AI463" s="5"/>
      <c r="AJ463" s="40"/>
      <c r="AK463" s="40"/>
      <c r="AL463" s="40"/>
      <c r="AM463" s="40"/>
      <c r="AO463" s="40"/>
      <c r="AQ463" s="40"/>
    </row>
    <row r="464" spans="2:43" ht="12.75" customHeight="1" x14ac:dyDescent="0.15">
      <c r="B464" s="40"/>
      <c r="C464" s="40"/>
      <c r="D464" s="40"/>
      <c r="E464" s="40"/>
      <c r="F464" s="40"/>
      <c r="G464" s="40"/>
      <c r="H464" s="53"/>
      <c r="R464" s="40"/>
      <c r="S464" s="40"/>
      <c r="T464" s="40"/>
      <c r="U464" s="40"/>
      <c r="V464" s="40"/>
      <c r="X464" s="40"/>
      <c r="Y464" s="40"/>
      <c r="Z464" s="40"/>
      <c r="AA464" s="41"/>
      <c r="AB464" s="41"/>
      <c r="AC464" s="41"/>
      <c r="AD464" s="41"/>
      <c r="AE464" s="41"/>
      <c r="AF464" s="40"/>
      <c r="AG464" s="40"/>
      <c r="AH464" s="5"/>
      <c r="AI464" s="5"/>
      <c r="AJ464" s="40"/>
      <c r="AK464" s="40"/>
      <c r="AL464" s="40"/>
      <c r="AM464" s="40"/>
      <c r="AO464" s="40"/>
      <c r="AQ464" s="40"/>
    </row>
    <row r="465" spans="2:43" ht="12.75" customHeight="1" x14ac:dyDescent="0.15">
      <c r="B465" s="40"/>
      <c r="C465" s="40"/>
      <c r="D465" s="40"/>
      <c r="E465" s="40"/>
      <c r="F465" s="40"/>
      <c r="G465" s="40"/>
      <c r="H465" s="53"/>
      <c r="R465" s="40"/>
      <c r="S465" s="40"/>
      <c r="T465" s="40"/>
      <c r="U465" s="40"/>
      <c r="V465" s="40"/>
      <c r="X465" s="40"/>
      <c r="Y465" s="40"/>
      <c r="Z465" s="40"/>
      <c r="AA465" s="41"/>
      <c r="AB465" s="41"/>
      <c r="AC465" s="41"/>
      <c r="AD465" s="41"/>
      <c r="AE465" s="41"/>
      <c r="AF465" s="40"/>
      <c r="AG465" s="40"/>
      <c r="AH465" s="5"/>
      <c r="AI465" s="5"/>
      <c r="AJ465" s="40"/>
      <c r="AK465" s="40"/>
      <c r="AL465" s="40"/>
      <c r="AM465" s="40"/>
      <c r="AO465" s="40"/>
      <c r="AQ465" s="40"/>
    </row>
    <row r="466" spans="2:43" ht="12.75" customHeight="1" x14ac:dyDescent="0.15">
      <c r="B466" s="40"/>
      <c r="C466" s="40"/>
      <c r="D466" s="40"/>
      <c r="E466" s="40"/>
      <c r="F466" s="40"/>
      <c r="G466" s="40"/>
      <c r="H466" s="53"/>
      <c r="R466" s="40"/>
      <c r="S466" s="40"/>
      <c r="T466" s="40"/>
      <c r="U466" s="40"/>
      <c r="V466" s="40"/>
      <c r="X466" s="40"/>
      <c r="Y466" s="40"/>
      <c r="Z466" s="40"/>
      <c r="AA466" s="41"/>
      <c r="AB466" s="41"/>
      <c r="AC466" s="41"/>
      <c r="AD466" s="41"/>
      <c r="AE466" s="41"/>
      <c r="AF466" s="40"/>
      <c r="AG466" s="40"/>
      <c r="AH466" s="5"/>
      <c r="AI466" s="5"/>
      <c r="AJ466" s="40"/>
      <c r="AK466" s="40"/>
      <c r="AL466" s="40"/>
      <c r="AM466" s="40"/>
      <c r="AO466" s="40"/>
      <c r="AQ466" s="40"/>
    </row>
    <row r="467" spans="2:43" ht="12.75" customHeight="1" x14ac:dyDescent="0.15">
      <c r="B467" s="40"/>
      <c r="C467" s="40"/>
      <c r="D467" s="40"/>
      <c r="E467" s="40"/>
      <c r="F467" s="40"/>
      <c r="G467" s="40"/>
      <c r="H467" s="53"/>
      <c r="R467" s="40"/>
      <c r="S467" s="40"/>
      <c r="T467" s="40"/>
      <c r="U467" s="40"/>
      <c r="V467" s="40"/>
      <c r="X467" s="40"/>
      <c r="Y467" s="40"/>
      <c r="Z467" s="40"/>
      <c r="AA467" s="41"/>
      <c r="AB467" s="41"/>
      <c r="AC467" s="41"/>
      <c r="AD467" s="41"/>
      <c r="AE467" s="41"/>
      <c r="AF467" s="40"/>
      <c r="AG467" s="40"/>
      <c r="AH467" s="5"/>
      <c r="AI467" s="5"/>
      <c r="AJ467" s="40"/>
      <c r="AK467" s="40"/>
      <c r="AL467" s="40"/>
      <c r="AM467" s="40"/>
      <c r="AO467" s="40"/>
      <c r="AQ467" s="40"/>
    </row>
    <row r="468" spans="2:43" ht="12.75" customHeight="1" x14ac:dyDescent="0.15">
      <c r="B468" s="40"/>
      <c r="C468" s="40"/>
      <c r="D468" s="40"/>
      <c r="E468" s="40"/>
      <c r="F468" s="40"/>
      <c r="G468" s="40"/>
      <c r="H468" s="53"/>
      <c r="R468" s="40"/>
      <c r="S468" s="40"/>
      <c r="T468" s="40"/>
      <c r="U468" s="40"/>
      <c r="V468" s="40"/>
      <c r="X468" s="40"/>
      <c r="Y468" s="40"/>
      <c r="Z468" s="40"/>
      <c r="AA468" s="41"/>
      <c r="AB468" s="41"/>
      <c r="AC468" s="41"/>
      <c r="AD468" s="41"/>
      <c r="AE468" s="41"/>
      <c r="AF468" s="40"/>
      <c r="AG468" s="40"/>
      <c r="AH468" s="5"/>
      <c r="AI468" s="5"/>
      <c r="AJ468" s="40"/>
      <c r="AK468" s="40"/>
      <c r="AL468" s="40"/>
      <c r="AM468" s="40"/>
      <c r="AO468" s="40"/>
      <c r="AQ468" s="40"/>
    </row>
    <row r="469" spans="2:43" ht="12.75" customHeight="1" x14ac:dyDescent="0.15">
      <c r="B469" s="40"/>
      <c r="C469" s="40"/>
      <c r="D469" s="40"/>
      <c r="E469" s="40"/>
      <c r="F469" s="40"/>
      <c r="G469" s="40"/>
      <c r="H469" s="53"/>
      <c r="R469" s="40"/>
      <c r="S469" s="40"/>
      <c r="T469" s="40"/>
      <c r="U469" s="40"/>
      <c r="V469" s="40"/>
      <c r="X469" s="40"/>
      <c r="Y469" s="40"/>
      <c r="Z469" s="40"/>
      <c r="AA469" s="41"/>
      <c r="AB469" s="41"/>
      <c r="AC469" s="41"/>
      <c r="AD469" s="41"/>
      <c r="AE469" s="41"/>
      <c r="AF469" s="40"/>
      <c r="AG469" s="40"/>
      <c r="AH469" s="5"/>
      <c r="AI469" s="5"/>
      <c r="AJ469" s="40"/>
      <c r="AK469" s="40"/>
      <c r="AL469" s="40"/>
      <c r="AM469" s="40"/>
      <c r="AO469" s="40"/>
      <c r="AQ469" s="40"/>
    </row>
    <row r="470" spans="2:43" ht="12.75" customHeight="1" x14ac:dyDescent="0.15">
      <c r="B470" s="40"/>
      <c r="C470" s="40"/>
      <c r="D470" s="40"/>
      <c r="E470" s="40"/>
      <c r="F470" s="40"/>
      <c r="G470" s="40"/>
      <c r="H470" s="53"/>
      <c r="R470" s="40"/>
      <c r="S470" s="40"/>
      <c r="T470" s="40"/>
      <c r="U470" s="40"/>
      <c r="V470" s="40"/>
      <c r="X470" s="40"/>
      <c r="Y470" s="40"/>
      <c r="Z470" s="40"/>
      <c r="AA470" s="41"/>
      <c r="AB470" s="41"/>
      <c r="AC470" s="41"/>
      <c r="AD470" s="41"/>
      <c r="AE470" s="41"/>
      <c r="AF470" s="40"/>
      <c r="AG470" s="40"/>
      <c r="AH470" s="5"/>
      <c r="AI470" s="5"/>
      <c r="AJ470" s="40"/>
      <c r="AK470" s="40"/>
      <c r="AL470" s="40"/>
      <c r="AM470" s="40"/>
      <c r="AO470" s="40"/>
      <c r="AQ470" s="40"/>
    </row>
    <row r="471" spans="2:43" ht="12.75" customHeight="1" x14ac:dyDescent="0.15">
      <c r="B471" s="40"/>
      <c r="C471" s="40"/>
      <c r="D471" s="40"/>
      <c r="E471" s="40"/>
      <c r="F471" s="40"/>
      <c r="G471" s="40"/>
      <c r="H471" s="53"/>
      <c r="R471" s="40"/>
      <c r="S471" s="40"/>
      <c r="T471" s="40"/>
      <c r="U471" s="40"/>
      <c r="V471" s="40"/>
      <c r="X471" s="40"/>
      <c r="Y471" s="40"/>
      <c r="Z471" s="40"/>
      <c r="AA471" s="41"/>
      <c r="AB471" s="41"/>
      <c r="AC471" s="41"/>
      <c r="AD471" s="41"/>
      <c r="AE471" s="41"/>
      <c r="AF471" s="40"/>
      <c r="AG471" s="40"/>
      <c r="AH471" s="5"/>
      <c r="AI471" s="5"/>
      <c r="AJ471" s="40"/>
      <c r="AK471" s="40"/>
      <c r="AL471" s="40"/>
      <c r="AM471" s="40"/>
      <c r="AO471" s="40"/>
      <c r="AQ471" s="40"/>
    </row>
    <row r="472" spans="2:43" ht="12.75" customHeight="1" x14ac:dyDescent="0.15">
      <c r="B472" s="40"/>
      <c r="C472" s="40"/>
      <c r="D472" s="40"/>
      <c r="E472" s="40"/>
      <c r="F472" s="40"/>
      <c r="G472" s="40"/>
      <c r="H472" s="53"/>
      <c r="R472" s="40"/>
      <c r="S472" s="40"/>
      <c r="T472" s="40"/>
      <c r="U472" s="40"/>
      <c r="V472" s="40"/>
      <c r="X472" s="40"/>
      <c r="Y472" s="40"/>
      <c r="Z472" s="40"/>
      <c r="AA472" s="41"/>
      <c r="AB472" s="41"/>
      <c r="AC472" s="41"/>
      <c r="AD472" s="41"/>
      <c r="AE472" s="41"/>
      <c r="AF472" s="40"/>
      <c r="AG472" s="40"/>
      <c r="AH472" s="5"/>
      <c r="AI472" s="5"/>
      <c r="AJ472" s="40"/>
      <c r="AK472" s="40"/>
      <c r="AL472" s="40"/>
      <c r="AM472" s="40"/>
      <c r="AO472" s="40"/>
      <c r="AQ472" s="40"/>
    </row>
    <row r="473" spans="2:43" ht="12.75" customHeight="1" x14ac:dyDescent="0.15">
      <c r="B473" s="40"/>
      <c r="C473" s="40"/>
      <c r="D473" s="40"/>
      <c r="E473" s="40"/>
      <c r="F473" s="40"/>
      <c r="G473" s="40"/>
      <c r="H473" s="53"/>
      <c r="R473" s="40"/>
      <c r="S473" s="40"/>
      <c r="T473" s="40"/>
      <c r="U473" s="40"/>
      <c r="V473" s="40"/>
      <c r="X473" s="40"/>
      <c r="Y473" s="40"/>
      <c r="Z473" s="40"/>
      <c r="AA473" s="41"/>
      <c r="AB473" s="41"/>
      <c r="AC473" s="41"/>
      <c r="AD473" s="41"/>
      <c r="AE473" s="41"/>
      <c r="AF473" s="40"/>
      <c r="AG473" s="40"/>
      <c r="AH473" s="5"/>
      <c r="AI473" s="5"/>
      <c r="AJ473" s="40"/>
      <c r="AK473" s="40"/>
      <c r="AL473" s="40"/>
      <c r="AM473" s="40"/>
      <c r="AO473" s="40"/>
      <c r="AQ473" s="40"/>
    </row>
    <row r="474" spans="2:43" ht="12.75" customHeight="1" x14ac:dyDescent="0.15">
      <c r="B474" s="40"/>
      <c r="C474" s="40"/>
      <c r="D474" s="40"/>
      <c r="E474" s="40"/>
      <c r="F474" s="40"/>
      <c r="G474" s="40"/>
      <c r="H474" s="53"/>
      <c r="R474" s="40"/>
      <c r="S474" s="40"/>
      <c r="T474" s="40"/>
      <c r="U474" s="40"/>
      <c r="V474" s="40"/>
      <c r="X474" s="40"/>
      <c r="Y474" s="40"/>
      <c r="Z474" s="40"/>
      <c r="AA474" s="41"/>
      <c r="AB474" s="41"/>
      <c r="AC474" s="41"/>
      <c r="AD474" s="41"/>
      <c r="AE474" s="41"/>
      <c r="AF474" s="40"/>
      <c r="AG474" s="40"/>
      <c r="AH474" s="5"/>
      <c r="AI474" s="5"/>
      <c r="AJ474" s="40"/>
      <c r="AK474" s="40"/>
      <c r="AL474" s="40"/>
      <c r="AM474" s="40"/>
      <c r="AO474" s="40"/>
      <c r="AQ474" s="40"/>
    </row>
    <row r="475" spans="2:43" ht="12.75" customHeight="1" x14ac:dyDescent="0.15">
      <c r="B475" s="40"/>
      <c r="C475" s="40"/>
      <c r="D475" s="40"/>
      <c r="E475" s="40"/>
      <c r="F475" s="40"/>
      <c r="G475" s="40"/>
      <c r="H475" s="53"/>
      <c r="R475" s="40"/>
      <c r="S475" s="40"/>
      <c r="T475" s="40"/>
      <c r="U475" s="40"/>
      <c r="V475" s="40"/>
      <c r="X475" s="40"/>
      <c r="Y475" s="40"/>
      <c r="Z475" s="40"/>
      <c r="AA475" s="41"/>
      <c r="AB475" s="41"/>
      <c r="AC475" s="41"/>
      <c r="AD475" s="41"/>
      <c r="AE475" s="41"/>
      <c r="AF475" s="40"/>
      <c r="AG475" s="40"/>
      <c r="AH475" s="5"/>
      <c r="AI475" s="5"/>
      <c r="AJ475" s="40"/>
      <c r="AK475" s="40"/>
      <c r="AL475" s="40"/>
      <c r="AM475" s="40"/>
      <c r="AO475" s="40"/>
      <c r="AQ475" s="40"/>
    </row>
    <row r="476" spans="2:43" ht="12.75" customHeight="1" x14ac:dyDescent="0.15">
      <c r="B476" s="40"/>
      <c r="C476" s="40"/>
      <c r="D476" s="40"/>
      <c r="E476" s="40"/>
      <c r="F476" s="40"/>
      <c r="G476" s="40"/>
      <c r="H476" s="53"/>
      <c r="R476" s="40"/>
      <c r="S476" s="40"/>
      <c r="T476" s="40"/>
      <c r="U476" s="40"/>
      <c r="V476" s="40"/>
      <c r="X476" s="40"/>
      <c r="Y476" s="40"/>
      <c r="Z476" s="40"/>
      <c r="AA476" s="41"/>
      <c r="AB476" s="41"/>
      <c r="AC476" s="41"/>
      <c r="AD476" s="41"/>
      <c r="AE476" s="41"/>
      <c r="AF476" s="40"/>
      <c r="AG476" s="40"/>
      <c r="AH476" s="5"/>
      <c r="AI476" s="5"/>
      <c r="AJ476" s="40"/>
      <c r="AK476" s="40"/>
      <c r="AL476" s="40"/>
      <c r="AM476" s="40"/>
      <c r="AO476" s="40"/>
      <c r="AQ476" s="40"/>
    </row>
    <row r="477" spans="2:43" ht="12.75" customHeight="1" x14ac:dyDescent="0.15">
      <c r="B477" s="40"/>
      <c r="C477" s="40"/>
      <c r="D477" s="40"/>
      <c r="E477" s="40"/>
      <c r="F477" s="40"/>
      <c r="G477" s="40"/>
      <c r="H477" s="53"/>
      <c r="R477" s="40"/>
      <c r="S477" s="40"/>
      <c r="T477" s="40"/>
      <c r="U477" s="40"/>
      <c r="V477" s="40"/>
      <c r="X477" s="40"/>
      <c r="Y477" s="40"/>
      <c r="Z477" s="40"/>
      <c r="AA477" s="41"/>
      <c r="AB477" s="41"/>
      <c r="AC477" s="41"/>
      <c r="AD477" s="41"/>
      <c r="AE477" s="41"/>
      <c r="AF477" s="40"/>
      <c r="AG477" s="40"/>
      <c r="AH477" s="5"/>
      <c r="AI477" s="5"/>
      <c r="AJ477" s="40"/>
      <c r="AK477" s="40"/>
      <c r="AL477" s="40"/>
      <c r="AM477" s="40"/>
      <c r="AO477" s="40"/>
      <c r="AQ477" s="40"/>
    </row>
    <row r="478" spans="2:43" ht="12.75" customHeight="1" x14ac:dyDescent="0.15">
      <c r="B478" s="40"/>
      <c r="C478" s="40"/>
      <c r="D478" s="40"/>
      <c r="E478" s="40"/>
      <c r="F478" s="40"/>
      <c r="G478" s="40"/>
      <c r="H478" s="53"/>
      <c r="R478" s="40"/>
      <c r="S478" s="40"/>
      <c r="T478" s="40"/>
      <c r="U478" s="40"/>
      <c r="V478" s="40"/>
      <c r="X478" s="40"/>
      <c r="Y478" s="40"/>
      <c r="Z478" s="40"/>
      <c r="AA478" s="41"/>
      <c r="AB478" s="41"/>
      <c r="AC478" s="41"/>
      <c r="AD478" s="41"/>
      <c r="AE478" s="41"/>
      <c r="AF478" s="40"/>
      <c r="AG478" s="40"/>
      <c r="AH478" s="5"/>
      <c r="AI478" s="5"/>
      <c r="AJ478" s="40"/>
      <c r="AK478" s="40"/>
      <c r="AL478" s="40"/>
      <c r="AM478" s="40"/>
      <c r="AO478" s="40"/>
      <c r="AQ478" s="40"/>
    </row>
    <row r="479" spans="2:43" ht="12.75" customHeight="1" x14ac:dyDescent="0.15">
      <c r="B479" s="40"/>
      <c r="C479" s="40"/>
      <c r="D479" s="40"/>
      <c r="E479" s="40"/>
      <c r="F479" s="40"/>
      <c r="G479" s="40"/>
      <c r="H479" s="53"/>
      <c r="R479" s="40"/>
      <c r="S479" s="40"/>
      <c r="T479" s="40"/>
      <c r="U479" s="40"/>
      <c r="V479" s="40"/>
      <c r="X479" s="40"/>
      <c r="Y479" s="40"/>
      <c r="Z479" s="40"/>
      <c r="AA479" s="41"/>
      <c r="AB479" s="41"/>
      <c r="AC479" s="41"/>
      <c r="AD479" s="41"/>
      <c r="AE479" s="41"/>
      <c r="AF479" s="40"/>
      <c r="AG479" s="40"/>
      <c r="AH479" s="5"/>
      <c r="AI479" s="5"/>
      <c r="AJ479" s="40"/>
      <c r="AK479" s="40"/>
      <c r="AL479" s="40"/>
      <c r="AM479" s="40"/>
      <c r="AO479" s="40"/>
      <c r="AQ479" s="40"/>
    </row>
    <row r="480" spans="2:43" ht="12.75" customHeight="1" x14ac:dyDescent="0.15">
      <c r="B480" s="40"/>
      <c r="C480" s="40"/>
      <c r="D480" s="40"/>
      <c r="E480" s="40"/>
      <c r="F480" s="40"/>
      <c r="G480" s="40"/>
      <c r="H480" s="53"/>
      <c r="R480" s="40"/>
      <c r="S480" s="40"/>
      <c r="T480" s="40"/>
      <c r="U480" s="40"/>
      <c r="V480" s="40"/>
      <c r="X480" s="40"/>
      <c r="Y480" s="40"/>
      <c r="Z480" s="40"/>
      <c r="AA480" s="41"/>
      <c r="AB480" s="41"/>
      <c r="AC480" s="41"/>
      <c r="AD480" s="41"/>
      <c r="AE480" s="41"/>
      <c r="AF480" s="40"/>
      <c r="AG480" s="40"/>
      <c r="AH480" s="5"/>
      <c r="AI480" s="5"/>
      <c r="AJ480" s="40"/>
      <c r="AK480" s="40"/>
      <c r="AL480" s="40"/>
      <c r="AM480" s="40"/>
      <c r="AO480" s="40"/>
      <c r="AQ480" s="40"/>
    </row>
    <row r="481" spans="2:43" ht="12.75" customHeight="1" x14ac:dyDescent="0.15">
      <c r="B481" s="40"/>
      <c r="C481" s="40"/>
      <c r="D481" s="40"/>
      <c r="E481" s="40"/>
      <c r="F481" s="40"/>
      <c r="G481" s="40"/>
      <c r="H481" s="53"/>
      <c r="R481" s="40"/>
      <c r="S481" s="40"/>
      <c r="T481" s="40"/>
      <c r="U481" s="40"/>
      <c r="V481" s="40"/>
      <c r="X481" s="40"/>
      <c r="Y481" s="40"/>
      <c r="Z481" s="40"/>
      <c r="AA481" s="41"/>
      <c r="AB481" s="41"/>
      <c r="AC481" s="41"/>
      <c r="AD481" s="41"/>
      <c r="AE481" s="41"/>
      <c r="AF481" s="40"/>
      <c r="AG481" s="40"/>
      <c r="AH481" s="5"/>
      <c r="AI481" s="5"/>
      <c r="AJ481" s="40"/>
      <c r="AK481" s="40"/>
      <c r="AL481" s="40"/>
      <c r="AM481" s="40"/>
      <c r="AO481" s="40"/>
      <c r="AQ481" s="40"/>
    </row>
    <row r="482" spans="2:43" ht="12.75" customHeight="1" x14ac:dyDescent="0.15">
      <c r="B482" s="40"/>
      <c r="C482" s="40"/>
      <c r="D482" s="40"/>
      <c r="E482" s="40"/>
      <c r="F482" s="40"/>
      <c r="G482" s="40"/>
      <c r="H482" s="53"/>
      <c r="R482" s="40"/>
      <c r="S482" s="40"/>
      <c r="T482" s="40"/>
      <c r="U482" s="40"/>
      <c r="V482" s="40"/>
      <c r="X482" s="40"/>
      <c r="Y482" s="40"/>
      <c r="Z482" s="40"/>
      <c r="AA482" s="41"/>
      <c r="AB482" s="41"/>
      <c r="AC482" s="41"/>
      <c r="AD482" s="41"/>
      <c r="AE482" s="41"/>
      <c r="AF482" s="40"/>
      <c r="AG482" s="40"/>
      <c r="AH482" s="5"/>
      <c r="AI482" s="5"/>
      <c r="AJ482" s="40"/>
      <c r="AK482" s="40"/>
      <c r="AL482" s="40"/>
      <c r="AM482" s="40"/>
      <c r="AO482" s="40"/>
      <c r="AQ482" s="40"/>
    </row>
    <row r="483" spans="2:43" ht="12.75" customHeight="1" x14ac:dyDescent="0.15">
      <c r="B483" s="40"/>
      <c r="C483" s="40"/>
      <c r="D483" s="40"/>
      <c r="E483" s="40"/>
      <c r="F483" s="40"/>
      <c r="G483" s="40"/>
      <c r="H483" s="53"/>
      <c r="R483" s="40"/>
      <c r="S483" s="40"/>
      <c r="T483" s="40"/>
      <c r="U483" s="40"/>
      <c r="V483" s="40"/>
      <c r="X483" s="40"/>
      <c r="Y483" s="40"/>
      <c r="Z483" s="40"/>
      <c r="AA483" s="41"/>
      <c r="AB483" s="41"/>
      <c r="AC483" s="41"/>
      <c r="AD483" s="41"/>
      <c r="AE483" s="41"/>
      <c r="AF483" s="40"/>
      <c r="AG483" s="40"/>
      <c r="AH483" s="5"/>
      <c r="AI483" s="5"/>
      <c r="AJ483" s="40"/>
      <c r="AK483" s="40"/>
      <c r="AL483" s="40"/>
      <c r="AM483" s="40"/>
      <c r="AO483" s="40"/>
      <c r="AQ483" s="40"/>
    </row>
    <row r="484" spans="2:43" ht="12.75" customHeight="1" x14ac:dyDescent="0.15">
      <c r="B484" s="40"/>
      <c r="C484" s="40"/>
      <c r="D484" s="40"/>
      <c r="E484" s="40"/>
      <c r="F484" s="40"/>
      <c r="G484" s="40"/>
      <c r="H484" s="53"/>
      <c r="R484" s="40"/>
      <c r="S484" s="40"/>
      <c r="T484" s="40"/>
      <c r="U484" s="40"/>
      <c r="V484" s="40"/>
      <c r="X484" s="40"/>
      <c r="Y484" s="40"/>
      <c r="Z484" s="40"/>
      <c r="AA484" s="41"/>
      <c r="AB484" s="41"/>
      <c r="AC484" s="41"/>
      <c r="AD484" s="41"/>
      <c r="AE484" s="41"/>
      <c r="AF484" s="40"/>
      <c r="AG484" s="40"/>
      <c r="AH484" s="5"/>
      <c r="AI484" s="5"/>
      <c r="AJ484" s="40"/>
      <c r="AK484" s="40"/>
      <c r="AL484" s="40"/>
      <c r="AM484" s="40"/>
      <c r="AO484" s="40"/>
      <c r="AQ484" s="40"/>
    </row>
    <row r="485" spans="2:43" ht="12.75" customHeight="1" x14ac:dyDescent="0.15">
      <c r="B485" s="40"/>
      <c r="C485" s="40"/>
      <c r="D485" s="40"/>
      <c r="E485" s="40"/>
      <c r="F485" s="40"/>
      <c r="G485" s="40"/>
      <c r="H485" s="53"/>
      <c r="R485" s="40"/>
      <c r="S485" s="40"/>
      <c r="T485" s="40"/>
      <c r="U485" s="40"/>
      <c r="V485" s="40"/>
      <c r="X485" s="40"/>
      <c r="Y485" s="40"/>
      <c r="Z485" s="40"/>
      <c r="AA485" s="41"/>
      <c r="AB485" s="41"/>
      <c r="AC485" s="41"/>
      <c r="AD485" s="41"/>
      <c r="AE485" s="41"/>
      <c r="AF485" s="40"/>
      <c r="AG485" s="40"/>
      <c r="AH485" s="5"/>
      <c r="AI485" s="5"/>
      <c r="AJ485" s="40"/>
      <c r="AK485" s="40"/>
      <c r="AL485" s="40"/>
      <c r="AM485" s="40"/>
      <c r="AO485" s="40"/>
      <c r="AQ485" s="40"/>
    </row>
    <row r="486" spans="2:43" ht="12.75" customHeight="1" x14ac:dyDescent="0.15">
      <c r="B486" s="40"/>
      <c r="C486" s="40"/>
      <c r="D486" s="40"/>
      <c r="E486" s="40"/>
      <c r="F486" s="40"/>
      <c r="G486" s="40"/>
      <c r="H486" s="53"/>
      <c r="R486" s="40"/>
      <c r="S486" s="40"/>
      <c r="T486" s="40"/>
      <c r="U486" s="40"/>
      <c r="V486" s="40"/>
      <c r="X486" s="40"/>
      <c r="Y486" s="40"/>
      <c r="Z486" s="40"/>
      <c r="AA486" s="41"/>
      <c r="AB486" s="41"/>
      <c r="AC486" s="41"/>
      <c r="AD486" s="41"/>
      <c r="AE486" s="41"/>
      <c r="AF486" s="40"/>
      <c r="AG486" s="40"/>
      <c r="AH486" s="5"/>
      <c r="AI486" s="5"/>
      <c r="AJ486" s="40"/>
      <c r="AK486" s="40"/>
      <c r="AL486" s="40"/>
      <c r="AM486" s="40"/>
      <c r="AO486" s="40"/>
      <c r="AQ486" s="40"/>
    </row>
    <row r="487" spans="2:43" ht="12.75" customHeight="1" x14ac:dyDescent="0.15">
      <c r="B487" s="40"/>
      <c r="C487" s="40"/>
      <c r="D487" s="40"/>
      <c r="E487" s="40"/>
      <c r="F487" s="40"/>
      <c r="G487" s="40"/>
      <c r="H487" s="53"/>
      <c r="R487" s="40"/>
      <c r="S487" s="40"/>
      <c r="T487" s="40"/>
      <c r="U487" s="40"/>
      <c r="V487" s="40"/>
      <c r="X487" s="40"/>
      <c r="Y487" s="40"/>
      <c r="Z487" s="40"/>
      <c r="AA487" s="41"/>
      <c r="AB487" s="41"/>
      <c r="AC487" s="41"/>
      <c r="AD487" s="41"/>
      <c r="AE487" s="41"/>
      <c r="AF487" s="40"/>
      <c r="AG487" s="40"/>
      <c r="AH487" s="5"/>
      <c r="AI487" s="5"/>
      <c r="AJ487" s="40"/>
      <c r="AK487" s="40"/>
      <c r="AL487" s="40"/>
      <c r="AM487" s="40"/>
      <c r="AO487" s="40"/>
      <c r="AQ487" s="40"/>
    </row>
    <row r="488" spans="2:43" ht="12.75" customHeight="1" x14ac:dyDescent="0.15">
      <c r="B488" s="40"/>
      <c r="C488" s="40"/>
      <c r="D488" s="40"/>
      <c r="E488" s="40"/>
      <c r="F488" s="40"/>
      <c r="G488" s="40"/>
      <c r="H488" s="53"/>
      <c r="R488" s="40"/>
      <c r="S488" s="40"/>
      <c r="T488" s="40"/>
      <c r="U488" s="40"/>
      <c r="V488" s="40"/>
      <c r="X488" s="40"/>
      <c r="Y488" s="40"/>
      <c r="Z488" s="40"/>
      <c r="AA488" s="41"/>
      <c r="AB488" s="41"/>
      <c r="AC488" s="41"/>
      <c r="AD488" s="41"/>
      <c r="AE488" s="41"/>
      <c r="AF488" s="40"/>
      <c r="AG488" s="40"/>
      <c r="AH488" s="5"/>
      <c r="AI488" s="5"/>
      <c r="AJ488" s="40"/>
      <c r="AK488" s="40"/>
      <c r="AL488" s="40"/>
      <c r="AM488" s="40"/>
      <c r="AO488" s="40"/>
      <c r="AQ488" s="40"/>
    </row>
    <row r="489" spans="2:43" ht="12.75" customHeight="1" x14ac:dyDescent="0.15">
      <c r="B489" s="40"/>
      <c r="C489" s="40"/>
      <c r="D489" s="40"/>
      <c r="E489" s="40"/>
      <c r="F489" s="40"/>
      <c r="G489" s="40"/>
      <c r="H489" s="53"/>
      <c r="R489" s="40"/>
      <c r="S489" s="40"/>
      <c r="T489" s="40"/>
      <c r="U489" s="40"/>
      <c r="V489" s="40"/>
      <c r="X489" s="40"/>
      <c r="Y489" s="40"/>
      <c r="Z489" s="40"/>
      <c r="AA489" s="41"/>
      <c r="AB489" s="41"/>
      <c r="AC489" s="41"/>
      <c r="AD489" s="41"/>
      <c r="AE489" s="41"/>
      <c r="AF489" s="40"/>
      <c r="AG489" s="40"/>
      <c r="AH489" s="5"/>
      <c r="AI489" s="5"/>
      <c r="AJ489" s="40"/>
      <c r="AK489" s="40"/>
      <c r="AL489" s="40"/>
      <c r="AM489" s="40"/>
      <c r="AO489" s="40"/>
      <c r="AQ489" s="40"/>
    </row>
    <row r="490" spans="2:43" ht="12.75" customHeight="1" x14ac:dyDescent="0.15">
      <c r="B490" s="40"/>
      <c r="C490" s="40"/>
      <c r="D490" s="40"/>
      <c r="E490" s="40"/>
      <c r="F490" s="40"/>
      <c r="G490" s="40"/>
      <c r="H490" s="53"/>
      <c r="R490" s="40"/>
      <c r="S490" s="40"/>
      <c r="T490" s="40"/>
      <c r="U490" s="40"/>
      <c r="V490" s="40"/>
      <c r="X490" s="40"/>
      <c r="Y490" s="40"/>
      <c r="Z490" s="40"/>
      <c r="AA490" s="41"/>
      <c r="AB490" s="41"/>
      <c r="AC490" s="41"/>
      <c r="AD490" s="41"/>
      <c r="AE490" s="41"/>
      <c r="AF490" s="40"/>
      <c r="AG490" s="40"/>
      <c r="AH490" s="5"/>
      <c r="AI490" s="5"/>
      <c r="AJ490" s="40"/>
      <c r="AK490" s="40"/>
      <c r="AL490" s="40"/>
      <c r="AM490" s="40"/>
      <c r="AO490" s="40"/>
      <c r="AQ490" s="40"/>
    </row>
    <row r="491" spans="2:43" ht="12.75" customHeight="1" x14ac:dyDescent="0.15">
      <c r="B491" s="40"/>
      <c r="C491" s="40"/>
      <c r="D491" s="40"/>
      <c r="E491" s="40"/>
      <c r="F491" s="40"/>
      <c r="G491" s="40"/>
      <c r="H491" s="53"/>
      <c r="R491" s="40"/>
      <c r="S491" s="40"/>
      <c r="T491" s="40"/>
      <c r="U491" s="40"/>
      <c r="V491" s="40"/>
      <c r="X491" s="40"/>
      <c r="Y491" s="40"/>
      <c r="Z491" s="40"/>
      <c r="AA491" s="41"/>
      <c r="AB491" s="41"/>
      <c r="AC491" s="41"/>
      <c r="AD491" s="41"/>
      <c r="AE491" s="41"/>
      <c r="AF491" s="40"/>
      <c r="AG491" s="40"/>
      <c r="AH491" s="5"/>
      <c r="AI491" s="5"/>
      <c r="AJ491" s="40"/>
      <c r="AK491" s="40"/>
      <c r="AL491" s="40"/>
      <c r="AM491" s="40"/>
      <c r="AO491" s="40"/>
      <c r="AQ491" s="40"/>
    </row>
    <row r="492" spans="2:43" ht="12.75" customHeight="1" x14ac:dyDescent="0.15">
      <c r="B492" s="40"/>
      <c r="C492" s="40"/>
      <c r="D492" s="40"/>
      <c r="E492" s="40"/>
      <c r="F492" s="40"/>
      <c r="G492" s="40"/>
      <c r="H492" s="53"/>
      <c r="R492" s="40"/>
      <c r="S492" s="40"/>
      <c r="T492" s="40"/>
      <c r="U492" s="40"/>
      <c r="V492" s="40"/>
      <c r="X492" s="40"/>
      <c r="Y492" s="40"/>
      <c r="Z492" s="40"/>
      <c r="AA492" s="41"/>
      <c r="AB492" s="41"/>
      <c r="AC492" s="41"/>
      <c r="AD492" s="41"/>
      <c r="AE492" s="41"/>
      <c r="AF492" s="40"/>
      <c r="AG492" s="40"/>
      <c r="AH492" s="5"/>
      <c r="AI492" s="5"/>
      <c r="AJ492" s="40"/>
      <c r="AK492" s="40"/>
      <c r="AL492" s="40"/>
      <c r="AM492" s="40"/>
      <c r="AO492" s="40"/>
      <c r="AQ492" s="40"/>
    </row>
    <row r="493" spans="2:43" ht="12.75" customHeight="1" x14ac:dyDescent="0.15">
      <c r="B493" s="40"/>
      <c r="C493" s="40"/>
      <c r="D493" s="40"/>
      <c r="E493" s="40"/>
      <c r="F493" s="40"/>
      <c r="G493" s="40"/>
      <c r="H493" s="53"/>
      <c r="R493" s="40"/>
      <c r="S493" s="40"/>
      <c r="T493" s="40"/>
      <c r="U493" s="40"/>
      <c r="V493" s="40"/>
      <c r="X493" s="40"/>
      <c r="Y493" s="40"/>
      <c r="Z493" s="40"/>
      <c r="AA493" s="41"/>
      <c r="AB493" s="41"/>
      <c r="AC493" s="41"/>
      <c r="AD493" s="41"/>
      <c r="AE493" s="41"/>
      <c r="AF493" s="40"/>
      <c r="AG493" s="40"/>
      <c r="AH493" s="5"/>
      <c r="AI493" s="5"/>
      <c r="AJ493" s="40"/>
      <c r="AK493" s="40"/>
      <c r="AL493" s="40"/>
      <c r="AM493" s="40"/>
      <c r="AO493" s="40"/>
      <c r="AQ493" s="40"/>
    </row>
    <row r="494" spans="2:43" ht="12.75" customHeight="1" x14ac:dyDescent="0.15">
      <c r="B494" s="40"/>
      <c r="C494" s="40"/>
      <c r="D494" s="40"/>
      <c r="E494" s="40"/>
      <c r="F494" s="40"/>
      <c r="G494" s="40"/>
      <c r="H494" s="53"/>
      <c r="R494" s="40"/>
      <c r="S494" s="40"/>
      <c r="T494" s="40"/>
      <c r="U494" s="40"/>
      <c r="V494" s="40"/>
      <c r="X494" s="40"/>
      <c r="Y494" s="40"/>
      <c r="Z494" s="40"/>
      <c r="AA494" s="41"/>
      <c r="AB494" s="41"/>
      <c r="AC494" s="41"/>
      <c r="AD494" s="41"/>
      <c r="AE494" s="41"/>
      <c r="AF494" s="40"/>
      <c r="AG494" s="40"/>
      <c r="AH494" s="5"/>
      <c r="AI494" s="5"/>
      <c r="AJ494" s="40"/>
      <c r="AK494" s="40"/>
      <c r="AL494" s="40"/>
      <c r="AM494" s="40"/>
      <c r="AO494" s="40"/>
      <c r="AQ494" s="40"/>
    </row>
    <row r="495" spans="2:43" ht="12.75" customHeight="1" x14ac:dyDescent="0.15">
      <c r="B495" s="40"/>
      <c r="C495" s="40"/>
      <c r="D495" s="40"/>
      <c r="E495" s="40"/>
      <c r="F495" s="40"/>
      <c r="G495" s="40"/>
      <c r="H495" s="53"/>
      <c r="R495" s="40"/>
      <c r="S495" s="40"/>
      <c r="T495" s="40"/>
      <c r="U495" s="40"/>
      <c r="V495" s="40"/>
      <c r="X495" s="40"/>
      <c r="Y495" s="40"/>
      <c r="Z495" s="40"/>
      <c r="AA495" s="41"/>
      <c r="AB495" s="41"/>
      <c r="AC495" s="41"/>
      <c r="AD495" s="41"/>
      <c r="AE495" s="41"/>
      <c r="AF495" s="40"/>
      <c r="AG495" s="40"/>
      <c r="AH495" s="5"/>
      <c r="AI495" s="5"/>
      <c r="AJ495" s="40"/>
      <c r="AK495" s="40"/>
      <c r="AL495" s="40"/>
      <c r="AM495" s="40"/>
      <c r="AO495" s="40"/>
      <c r="AQ495" s="40"/>
    </row>
    <row r="496" spans="2:43" ht="12.75" customHeight="1" x14ac:dyDescent="0.15">
      <c r="B496" s="40"/>
      <c r="C496" s="40"/>
      <c r="D496" s="40"/>
      <c r="E496" s="40"/>
      <c r="F496" s="40"/>
      <c r="G496" s="40"/>
      <c r="H496" s="53"/>
      <c r="R496" s="40"/>
      <c r="S496" s="40"/>
      <c r="T496" s="40"/>
      <c r="U496" s="40"/>
      <c r="V496" s="40"/>
      <c r="X496" s="40"/>
      <c r="Y496" s="40"/>
      <c r="Z496" s="40"/>
      <c r="AA496" s="41"/>
      <c r="AB496" s="41"/>
      <c r="AC496" s="41"/>
      <c r="AD496" s="41"/>
      <c r="AE496" s="41"/>
      <c r="AF496" s="40"/>
      <c r="AG496" s="40"/>
      <c r="AH496" s="5"/>
      <c r="AI496" s="5"/>
      <c r="AJ496" s="40"/>
      <c r="AK496" s="40"/>
      <c r="AL496" s="40"/>
      <c r="AM496" s="40"/>
      <c r="AO496" s="40"/>
      <c r="AQ496" s="40"/>
    </row>
    <row r="497" spans="2:43" ht="12.75" customHeight="1" x14ac:dyDescent="0.15">
      <c r="B497" s="40"/>
      <c r="C497" s="40"/>
      <c r="D497" s="40"/>
      <c r="E497" s="40"/>
      <c r="F497" s="40"/>
      <c r="G497" s="40"/>
      <c r="H497" s="53"/>
      <c r="R497" s="40"/>
      <c r="S497" s="40"/>
      <c r="T497" s="40"/>
      <c r="U497" s="40"/>
      <c r="V497" s="40"/>
      <c r="X497" s="40"/>
      <c r="Y497" s="40"/>
      <c r="Z497" s="40"/>
      <c r="AA497" s="41"/>
      <c r="AB497" s="41"/>
      <c r="AC497" s="41"/>
      <c r="AD497" s="41"/>
      <c r="AE497" s="41"/>
      <c r="AF497" s="40"/>
      <c r="AG497" s="40"/>
      <c r="AH497" s="5"/>
      <c r="AI497" s="5"/>
      <c r="AJ497" s="40"/>
      <c r="AK497" s="40"/>
      <c r="AL497" s="40"/>
      <c r="AM497" s="40"/>
      <c r="AO497" s="40"/>
      <c r="AQ497" s="40"/>
    </row>
    <row r="498" spans="2:43" ht="12.75" customHeight="1" x14ac:dyDescent="0.15">
      <c r="B498" s="40"/>
      <c r="C498" s="40"/>
      <c r="D498" s="40"/>
      <c r="E498" s="40"/>
      <c r="F498" s="40"/>
      <c r="G498" s="40"/>
      <c r="H498" s="53"/>
      <c r="R498" s="40"/>
      <c r="S498" s="40"/>
      <c r="T498" s="40"/>
      <c r="U498" s="40"/>
      <c r="V498" s="40"/>
      <c r="X498" s="40"/>
      <c r="Y498" s="40"/>
      <c r="Z498" s="40"/>
      <c r="AA498" s="41"/>
      <c r="AB498" s="41"/>
      <c r="AC498" s="41"/>
      <c r="AD498" s="41"/>
      <c r="AE498" s="41"/>
      <c r="AF498" s="40"/>
      <c r="AG498" s="40"/>
      <c r="AH498" s="5"/>
      <c r="AI498" s="5"/>
      <c r="AJ498" s="40"/>
      <c r="AK498" s="40"/>
      <c r="AL498" s="40"/>
      <c r="AM498" s="40"/>
      <c r="AO498" s="40"/>
      <c r="AQ498" s="40"/>
    </row>
    <row r="499" spans="2:43" ht="12.75" customHeight="1" x14ac:dyDescent="0.15">
      <c r="B499" s="40"/>
      <c r="C499" s="40"/>
      <c r="D499" s="40"/>
      <c r="E499" s="40"/>
      <c r="F499" s="40"/>
      <c r="G499" s="40"/>
      <c r="H499" s="53"/>
      <c r="R499" s="40"/>
      <c r="S499" s="40"/>
      <c r="T499" s="40"/>
      <c r="U499" s="40"/>
      <c r="V499" s="40"/>
      <c r="X499" s="40"/>
      <c r="Y499" s="40"/>
      <c r="Z499" s="40"/>
      <c r="AA499" s="41"/>
      <c r="AB499" s="41"/>
      <c r="AC499" s="41"/>
      <c r="AD499" s="41"/>
      <c r="AE499" s="41"/>
      <c r="AF499" s="40"/>
      <c r="AG499" s="40"/>
      <c r="AH499" s="5"/>
      <c r="AI499" s="5"/>
      <c r="AJ499" s="40"/>
      <c r="AK499" s="40"/>
      <c r="AL499" s="40"/>
      <c r="AM499" s="40"/>
      <c r="AO499" s="40"/>
      <c r="AQ499" s="40"/>
    </row>
    <row r="500" spans="2:43" ht="12.75" customHeight="1" x14ac:dyDescent="0.15">
      <c r="B500" s="40"/>
      <c r="C500" s="40"/>
      <c r="D500" s="40"/>
      <c r="E500" s="40"/>
      <c r="F500" s="40"/>
      <c r="G500" s="40"/>
      <c r="H500" s="53"/>
      <c r="R500" s="40"/>
      <c r="S500" s="40"/>
      <c r="T500" s="40"/>
      <c r="U500" s="40"/>
      <c r="V500" s="40"/>
      <c r="X500" s="40"/>
      <c r="Y500" s="40"/>
      <c r="Z500" s="40"/>
      <c r="AA500" s="41"/>
      <c r="AB500" s="41"/>
      <c r="AC500" s="41"/>
      <c r="AD500" s="41"/>
      <c r="AE500" s="41"/>
      <c r="AF500" s="40"/>
      <c r="AG500" s="40"/>
      <c r="AH500" s="5"/>
      <c r="AI500" s="5"/>
      <c r="AJ500" s="40"/>
      <c r="AK500" s="40"/>
      <c r="AL500" s="40"/>
      <c r="AM500" s="40"/>
      <c r="AO500" s="40"/>
      <c r="AQ500" s="40"/>
    </row>
    <row r="501" spans="2:43" ht="12.75" customHeight="1" x14ac:dyDescent="0.15">
      <c r="B501" s="40"/>
      <c r="C501" s="40"/>
      <c r="D501" s="40"/>
      <c r="E501" s="40"/>
      <c r="F501" s="40"/>
      <c r="G501" s="40"/>
      <c r="H501" s="53"/>
      <c r="R501" s="40"/>
      <c r="S501" s="40"/>
      <c r="T501" s="40"/>
      <c r="U501" s="40"/>
      <c r="V501" s="40"/>
      <c r="X501" s="40"/>
      <c r="Y501" s="40"/>
      <c r="Z501" s="40"/>
      <c r="AA501" s="41"/>
      <c r="AB501" s="41"/>
      <c r="AC501" s="41"/>
      <c r="AD501" s="41"/>
      <c r="AE501" s="41"/>
      <c r="AF501" s="40"/>
      <c r="AG501" s="40"/>
      <c r="AH501" s="5"/>
      <c r="AI501" s="5"/>
      <c r="AJ501" s="40"/>
      <c r="AK501" s="40"/>
      <c r="AL501" s="40"/>
      <c r="AM501" s="40"/>
      <c r="AO501" s="40"/>
      <c r="AQ501" s="40"/>
    </row>
    <row r="502" spans="2:43" ht="12.75" customHeight="1" x14ac:dyDescent="0.15">
      <c r="B502" s="40"/>
      <c r="C502" s="40"/>
      <c r="D502" s="40"/>
      <c r="E502" s="40"/>
      <c r="F502" s="40"/>
      <c r="G502" s="40"/>
      <c r="H502" s="53"/>
      <c r="R502" s="40"/>
      <c r="S502" s="40"/>
      <c r="T502" s="40"/>
      <c r="U502" s="40"/>
      <c r="V502" s="40"/>
      <c r="X502" s="40"/>
      <c r="Y502" s="40"/>
      <c r="Z502" s="40"/>
      <c r="AA502" s="41"/>
      <c r="AB502" s="41"/>
      <c r="AC502" s="41"/>
      <c r="AD502" s="41"/>
      <c r="AE502" s="41"/>
      <c r="AF502" s="40"/>
      <c r="AG502" s="40"/>
      <c r="AH502" s="5"/>
      <c r="AI502" s="5"/>
      <c r="AJ502" s="40"/>
      <c r="AK502" s="40"/>
      <c r="AL502" s="40"/>
      <c r="AM502" s="40"/>
      <c r="AO502" s="40"/>
      <c r="AQ502" s="40"/>
    </row>
    <row r="503" spans="2:43" ht="12.75" customHeight="1" x14ac:dyDescent="0.15">
      <c r="B503" s="40"/>
      <c r="C503" s="40"/>
      <c r="D503" s="40"/>
      <c r="E503" s="40"/>
      <c r="F503" s="40"/>
      <c r="G503" s="40"/>
      <c r="H503" s="53"/>
      <c r="R503" s="40"/>
      <c r="S503" s="40"/>
      <c r="T503" s="40"/>
      <c r="U503" s="40"/>
      <c r="V503" s="40"/>
      <c r="X503" s="40"/>
      <c r="Y503" s="40"/>
      <c r="Z503" s="40"/>
      <c r="AA503" s="41"/>
      <c r="AB503" s="41"/>
      <c r="AC503" s="41"/>
      <c r="AD503" s="41"/>
      <c r="AE503" s="41"/>
      <c r="AF503" s="40"/>
      <c r="AG503" s="40"/>
      <c r="AH503" s="5"/>
      <c r="AI503" s="5"/>
      <c r="AJ503" s="40"/>
      <c r="AK503" s="40"/>
      <c r="AL503" s="40"/>
      <c r="AM503" s="40"/>
      <c r="AO503" s="40"/>
      <c r="AQ503" s="40"/>
    </row>
    <row r="504" spans="2:43" ht="12.75" customHeight="1" x14ac:dyDescent="0.15">
      <c r="B504" s="40"/>
      <c r="C504" s="40"/>
      <c r="D504" s="40"/>
      <c r="E504" s="40"/>
      <c r="F504" s="40"/>
      <c r="G504" s="40"/>
      <c r="H504" s="53"/>
      <c r="R504" s="40"/>
      <c r="S504" s="40"/>
      <c r="T504" s="40"/>
      <c r="U504" s="40"/>
      <c r="V504" s="40"/>
      <c r="X504" s="40"/>
      <c r="Y504" s="40"/>
      <c r="Z504" s="40"/>
      <c r="AA504" s="41"/>
      <c r="AB504" s="41"/>
      <c r="AC504" s="41"/>
      <c r="AD504" s="41"/>
      <c r="AE504" s="41"/>
      <c r="AF504" s="40"/>
      <c r="AG504" s="40"/>
      <c r="AH504" s="5"/>
      <c r="AI504" s="5"/>
      <c r="AJ504" s="40"/>
      <c r="AK504" s="40"/>
      <c r="AL504" s="40"/>
      <c r="AM504" s="40"/>
      <c r="AO504" s="40"/>
      <c r="AQ504" s="40"/>
    </row>
    <row r="505" spans="2:43" ht="12.75" customHeight="1" x14ac:dyDescent="0.15">
      <c r="B505" s="40"/>
      <c r="C505" s="40"/>
      <c r="D505" s="40"/>
      <c r="E505" s="40"/>
      <c r="F505" s="40"/>
      <c r="G505" s="40"/>
      <c r="H505" s="53"/>
      <c r="R505" s="40"/>
      <c r="S505" s="40"/>
      <c r="T505" s="40"/>
      <c r="U505" s="40"/>
      <c r="V505" s="40"/>
      <c r="X505" s="40"/>
      <c r="Y505" s="40"/>
      <c r="Z505" s="40"/>
      <c r="AA505" s="41"/>
      <c r="AB505" s="41"/>
      <c r="AC505" s="41"/>
      <c r="AD505" s="41"/>
      <c r="AE505" s="41"/>
      <c r="AF505" s="40"/>
      <c r="AG505" s="40"/>
      <c r="AH505" s="5"/>
      <c r="AI505" s="5"/>
      <c r="AJ505" s="40"/>
      <c r="AK505" s="40"/>
      <c r="AL505" s="40"/>
      <c r="AM505" s="40"/>
      <c r="AO505" s="40"/>
      <c r="AQ505" s="40"/>
    </row>
    <row r="506" spans="2:43" ht="12.75" customHeight="1" x14ac:dyDescent="0.15">
      <c r="B506" s="40"/>
      <c r="C506" s="40"/>
      <c r="D506" s="40"/>
      <c r="E506" s="40"/>
      <c r="F506" s="40"/>
      <c r="G506" s="40"/>
      <c r="H506" s="53"/>
      <c r="R506" s="40"/>
      <c r="S506" s="40"/>
      <c r="T506" s="40"/>
      <c r="U506" s="40"/>
      <c r="V506" s="40"/>
      <c r="X506" s="40"/>
      <c r="Y506" s="40"/>
      <c r="Z506" s="40"/>
      <c r="AA506" s="41"/>
      <c r="AB506" s="41"/>
      <c r="AC506" s="41"/>
      <c r="AD506" s="41"/>
      <c r="AE506" s="41"/>
      <c r="AF506" s="40"/>
      <c r="AG506" s="40"/>
      <c r="AH506" s="5"/>
      <c r="AI506" s="5"/>
      <c r="AJ506" s="40"/>
      <c r="AK506" s="40"/>
      <c r="AL506" s="40"/>
      <c r="AM506" s="40"/>
      <c r="AO506" s="40"/>
      <c r="AQ506" s="40"/>
    </row>
    <row r="507" spans="2:43" ht="12.75" customHeight="1" x14ac:dyDescent="0.15">
      <c r="B507" s="40"/>
      <c r="C507" s="40"/>
      <c r="D507" s="40"/>
      <c r="E507" s="40"/>
      <c r="F507" s="40"/>
      <c r="G507" s="40"/>
      <c r="H507" s="53"/>
      <c r="R507" s="40"/>
      <c r="S507" s="40"/>
      <c r="T507" s="40"/>
      <c r="U507" s="40"/>
      <c r="V507" s="40"/>
      <c r="X507" s="40"/>
      <c r="Y507" s="40"/>
      <c r="Z507" s="40"/>
      <c r="AA507" s="41"/>
      <c r="AB507" s="41"/>
      <c r="AC507" s="41"/>
      <c r="AD507" s="41"/>
      <c r="AE507" s="41"/>
      <c r="AF507" s="40"/>
      <c r="AG507" s="40"/>
      <c r="AH507" s="5"/>
      <c r="AI507" s="5"/>
      <c r="AJ507" s="40"/>
      <c r="AK507" s="40"/>
      <c r="AL507" s="40"/>
      <c r="AM507" s="40"/>
      <c r="AO507" s="40"/>
      <c r="AQ507" s="40"/>
    </row>
    <row r="508" spans="2:43" ht="12.75" customHeight="1" x14ac:dyDescent="0.15">
      <c r="B508" s="40"/>
      <c r="C508" s="40"/>
      <c r="D508" s="40"/>
      <c r="E508" s="40"/>
      <c r="F508" s="40"/>
      <c r="G508" s="40"/>
      <c r="H508" s="53"/>
      <c r="R508" s="40"/>
      <c r="S508" s="40"/>
      <c r="T508" s="40"/>
      <c r="U508" s="40"/>
      <c r="V508" s="40"/>
      <c r="X508" s="40"/>
      <c r="Y508" s="40"/>
      <c r="Z508" s="40"/>
      <c r="AA508" s="41"/>
      <c r="AB508" s="41"/>
      <c r="AC508" s="41"/>
      <c r="AD508" s="41"/>
      <c r="AE508" s="41"/>
      <c r="AF508" s="40"/>
      <c r="AG508" s="40"/>
      <c r="AH508" s="5"/>
      <c r="AI508" s="5"/>
      <c r="AJ508" s="40"/>
      <c r="AK508" s="40"/>
      <c r="AL508" s="40"/>
      <c r="AM508" s="40"/>
      <c r="AO508" s="40"/>
      <c r="AQ508" s="40"/>
    </row>
    <row r="509" spans="2:43" ht="12.75" customHeight="1" x14ac:dyDescent="0.15">
      <c r="B509" s="40"/>
      <c r="C509" s="40"/>
      <c r="D509" s="40"/>
      <c r="E509" s="40"/>
      <c r="F509" s="40"/>
      <c r="G509" s="40"/>
      <c r="H509" s="53"/>
      <c r="R509" s="40"/>
      <c r="S509" s="40"/>
      <c r="T509" s="40"/>
      <c r="U509" s="40"/>
      <c r="V509" s="40"/>
      <c r="X509" s="40"/>
      <c r="Y509" s="40"/>
      <c r="Z509" s="40"/>
      <c r="AA509" s="41"/>
      <c r="AB509" s="41"/>
      <c r="AC509" s="41"/>
      <c r="AD509" s="41"/>
      <c r="AE509" s="41"/>
      <c r="AF509" s="40"/>
      <c r="AG509" s="40"/>
      <c r="AH509" s="5"/>
      <c r="AI509" s="5"/>
      <c r="AJ509" s="40"/>
      <c r="AK509" s="40"/>
      <c r="AL509" s="40"/>
      <c r="AM509" s="40"/>
      <c r="AO509" s="40"/>
      <c r="AQ509" s="40"/>
    </row>
    <row r="510" spans="2:43" ht="12.75" customHeight="1" x14ac:dyDescent="0.15">
      <c r="B510" s="40"/>
      <c r="C510" s="40"/>
      <c r="D510" s="40"/>
      <c r="E510" s="40"/>
      <c r="F510" s="40"/>
      <c r="G510" s="40"/>
      <c r="H510" s="53"/>
      <c r="R510" s="40"/>
      <c r="S510" s="40"/>
      <c r="T510" s="40"/>
      <c r="U510" s="40"/>
      <c r="V510" s="40"/>
      <c r="X510" s="40"/>
      <c r="Y510" s="40"/>
      <c r="Z510" s="40"/>
      <c r="AA510" s="41"/>
      <c r="AB510" s="41"/>
      <c r="AC510" s="41"/>
      <c r="AD510" s="41"/>
      <c r="AE510" s="41"/>
      <c r="AF510" s="40"/>
      <c r="AG510" s="40"/>
      <c r="AH510" s="5"/>
      <c r="AI510" s="5"/>
      <c r="AJ510" s="40"/>
      <c r="AK510" s="40"/>
      <c r="AL510" s="40"/>
      <c r="AM510" s="40"/>
      <c r="AO510" s="40"/>
      <c r="AQ510" s="40"/>
    </row>
    <row r="511" spans="2:43" ht="12.75" customHeight="1" x14ac:dyDescent="0.15">
      <c r="B511" s="40"/>
      <c r="C511" s="40"/>
      <c r="D511" s="40"/>
      <c r="E511" s="40"/>
      <c r="F511" s="40"/>
      <c r="G511" s="40"/>
      <c r="H511" s="53"/>
      <c r="R511" s="40"/>
      <c r="S511" s="40"/>
      <c r="T511" s="40"/>
      <c r="U511" s="40"/>
      <c r="V511" s="40"/>
      <c r="X511" s="40"/>
      <c r="Y511" s="40"/>
      <c r="Z511" s="40"/>
      <c r="AA511" s="41"/>
      <c r="AB511" s="41"/>
      <c r="AC511" s="41"/>
      <c r="AD511" s="41"/>
      <c r="AE511" s="41"/>
      <c r="AF511" s="40"/>
      <c r="AG511" s="40"/>
      <c r="AH511" s="5"/>
      <c r="AI511" s="5"/>
      <c r="AJ511" s="40"/>
      <c r="AK511" s="40"/>
      <c r="AL511" s="40"/>
      <c r="AM511" s="40"/>
      <c r="AO511" s="40"/>
      <c r="AQ511" s="40"/>
    </row>
    <row r="512" spans="2:43" ht="12.75" customHeight="1" x14ac:dyDescent="0.15">
      <c r="B512" s="40"/>
      <c r="C512" s="40"/>
      <c r="D512" s="40"/>
      <c r="E512" s="40"/>
      <c r="F512" s="40"/>
      <c r="G512" s="40"/>
      <c r="H512" s="53"/>
      <c r="R512" s="40"/>
      <c r="S512" s="40"/>
      <c r="T512" s="40"/>
      <c r="U512" s="40"/>
      <c r="V512" s="40"/>
      <c r="X512" s="40"/>
      <c r="Y512" s="40"/>
      <c r="Z512" s="40"/>
      <c r="AA512" s="41"/>
      <c r="AB512" s="41"/>
      <c r="AC512" s="41"/>
      <c r="AD512" s="41"/>
      <c r="AE512" s="41"/>
      <c r="AF512" s="40"/>
      <c r="AG512" s="40"/>
      <c r="AH512" s="5"/>
      <c r="AI512" s="5"/>
      <c r="AJ512" s="40"/>
      <c r="AK512" s="40"/>
      <c r="AL512" s="40"/>
      <c r="AM512" s="40"/>
      <c r="AO512" s="40"/>
      <c r="AQ512" s="40"/>
    </row>
    <row r="513" spans="2:43" ht="12.75" customHeight="1" x14ac:dyDescent="0.15">
      <c r="B513" s="40"/>
      <c r="C513" s="40"/>
      <c r="D513" s="40"/>
      <c r="E513" s="40"/>
      <c r="F513" s="40"/>
      <c r="G513" s="40"/>
      <c r="H513" s="53"/>
      <c r="R513" s="40"/>
      <c r="S513" s="40"/>
      <c r="T513" s="40"/>
      <c r="U513" s="40"/>
      <c r="V513" s="40"/>
      <c r="X513" s="40"/>
      <c r="Y513" s="40"/>
      <c r="Z513" s="40"/>
      <c r="AA513" s="41"/>
      <c r="AB513" s="41"/>
      <c r="AC513" s="41"/>
      <c r="AD513" s="41"/>
      <c r="AE513" s="41"/>
      <c r="AF513" s="40"/>
      <c r="AG513" s="40"/>
      <c r="AH513" s="5"/>
      <c r="AI513" s="5"/>
      <c r="AJ513" s="40"/>
      <c r="AK513" s="40"/>
      <c r="AL513" s="40"/>
      <c r="AM513" s="40"/>
      <c r="AO513" s="40"/>
      <c r="AQ513" s="40"/>
    </row>
    <row r="514" spans="2:43" ht="12.75" customHeight="1" x14ac:dyDescent="0.15">
      <c r="B514" s="40"/>
      <c r="C514" s="40"/>
      <c r="D514" s="40"/>
      <c r="E514" s="40"/>
      <c r="F514" s="40"/>
      <c r="G514" s="40"/>
      <c r="H514" s="53"/>
      <c r="R514" s="40"/>
      <c r="S514" s="40"/>
      <c r="T514" s="40"/>
      <c r="U514" s="40"/>
      <c r="V514" s="40"/>
      <c r="X514" s="40"/>
      <c r="Y514" s="40"/>
      <c r="Z514" s="40"/>
      <c r="AA514" s="41"/>
      <c r="AB514" s="41"/>
      <c r="AC514" s="41"/>
      <c r="AD514" s="41"/>
      <c r="AE514" s="41"/>
      <c r="AF514" s="40"/>
      <c r="AG514" s="40"/>
      <c r="AH514" s="5"/>
      <c r="AI514" s="5"/>
      <c r="AJ514" s="40"/>
      <c r="AK514" s="40"/>
      <c r="AL514" s="40"/>
      <c r="AM514" s="40"/>
      <c r="AO514" s="40"/>
      <c r="AQ514" s="40"/>
    </row>
    <row r="515" spans="2:43" ht="12.75" customHeight="1" x14ac:dyDescent="0.15">
      <c r="B515" s="40"/>
      <c r="C515" s="40"/>
      <c r="D515" s="40"/>
      <c r="E515" s="40"/>
      <c r="F515" s="40"/>
      <c r="G515" s="40"/>
      <c r="H515" s="53"/>
      <c r="R515" s="40"/>
      <c r="S515" s="40"/>
      <c r="T515" s="40"/>
      <c r="U515" s="40"/>
      <c r="V515" s="40"/>
      <c r="X515" s="40"/>
      <c r="Y515" s="40"/>
      <c r="Z515" s="40"/>
      <c r="AA515" s="41"/>
      <c r="AB515" s="41"/>
      <c r="AC515" s="41"/>
      <c r="AD515" s="41"/>
      <c r="AE515" s="41"/>
      <c r="AF515" s="40"/>
      <c r="AG515" s="40"/>
      <c r="AH515" s="5"/>
      <c r="AI515" s="5"/>
      <c r="AJ515" s="40"/>
      <c r="AK515" s="40"/>
      <c r="AL515" s="40"/>
      <c r="AM515" s="40"/>
      <c r="AO515" s="40"/>
      <c r="AQ515" s="40"/>
    </row>
    <row r="516" spans="2:43" ht="12.75" customHeight="1" x14ac:dyDescent="0.15">
      <c r="B516" s="40"/>
      <c r="C516" s="40"/>
      <c r="D516" s="40"/>
      <c r="E516" s="40"/>
      <c r="F516" s="40"/>
      <c r="G516" s="40"/>
      <c r="H516" s="53"/>
      <c r="R516" s="40"/>
      <c r="S516" s="40"/>
      <c r="T516" s="40"/>
      <c r="U516" s="40"/>
      <c r="V516" s="40"/>
      <c r="X516" s="40"/>
      <c r="Y516" s="40"/>
      <c r="Z516" s="40"/>
      <c r="AA516" s="41"/>
      <c r="AB516" s="41"/>
      <c r="AC516" s="41"/>
      <c r="AD516" s="41"/>
      <c r="AE516" s="41"/>
      <c r="AF516" s="40"/>
      <c r="AG516" s="40"/>
      <c r="AH516" s="5"/>
      <c r="AI516" s="5"/>
      <c r="AJ516" s="40"/>
      <c r="AK516" s="40"/>
      <c r="AL516" s="40"/>
      <c r="AM516" s="40"/>
      <c r="AO516" s="40"/>
      <c r="AQ516" s="40"/>
    </row>
    <row r="517" spans="2:43" ht="12.75" customHeight="1" x14ac:dyDescent="0.15">
      <c r="B517" s="40"/>
      <c r="C517" s="40"/>
      <c r="D517" s="40"/>
      <c r="E517" s="40"/>
      <c r="F517" s="40"/>
      <c r="G517" s="40"/>
      <c r="H517" s="53"/>
      <c r="R517" s="40"/>
      <c r="S517" s="40"/>
      <c r="T517" s="40"/>
      <c r="U517" s="40"/>
      <c r="V517" s="40"/>
      <c r="X517" s="40"/>
      <c r="Y517" s="40"/>
      <c r="Z517" s="40"/>
      <c r="AA517" s="41"/>
      <c r="AB517" s="41"/>
      <c r="AC517" s="41"/>
      <c r="AD517" s="41"/>
      <c r="AE517" s="41"/>
      <c r="AF517" s="40"/>
      <c r="AG517" s="40"/>
      <c r="AH517" s="5"/>
      <c r="AI517" s="5"/>
      <c r="AJ517" s="40"/>
      <c r="AK517" s="40"/>
      <c r="AL517" s="40"/>
      <c r="AM517" s="40"/>
      <c r="AO517" s="40"/>
      <c r="AQ517" s="40"/>
    </row>
    <row r="518" spans="2:43" ht="12.75" customHeight="1" x14ac:dyDescent="0.15">
      <c r="B518" s="40"/>
      <c r="C518" s="40"/>
      <c r="D518" s="40"/>
      <c r="E518" s="40"/>
      <c r="F518" s="40"/>
      <c r="G518" s="40"/>
      <c r="H518" s="53"/>
      <c r="R518" s="40"/>
      <c r="S518" s="40"/>
      <c r="T518" s="40"/>
      <c r="U518" s="40"/>
      <c r="V518" s="40"/>
      <c r="X518" s="40"/>
      <c r="Y518" s="40"/>
      <c r="Z518" s="40"/>
      <c r="AA518" s="41"/>
      <c r="AB518" s="41"/>
      <c r="AC518" s="41"/>
      <c r="AD518" s="41"/>
      <c r="AE518" s="41"/>
      <c r="AF518" s="40"/>
      <c r="AG518" s="40"/>
      <c r="AH518" s="5"/>
      <c r="AI518" s="5"/>
      <c r="AJ518" s="40"/>
      <c r="AK518" s="40"/>
      <c r="AL518" s="40"/>
      <c r="AM518" s="40"/>
      <c r="AO518" s="40"/>
      <c r="AQ518" s="40"/>
    </row>
    <row r="519" spans="2:43" ht="12.75" customHeight="1" x14ac:dyDescent="0.15">
      <c r="B519" s="40"/>
      <c r="C519" s="40"/>
      <c r="D519" s="40"/>
      <c r="E519" s="40"/>
      <c r="F519" s="40"/>
      <c r="G519" s="40"/>
      <c r="H519" s="53"/>
      <c r="R519" s="40"/>
      <c r="S519" s="40"/>
      <c r="T519" s="40"/>
      <c r="U519" s="40"/>
      <c r="V519" s="40"/>
      <c r="X519" s="40"/>
      <c r="Y519" s="40"/>
      <c r="Z519" s="40"/>
      <c r="AA519" s="41"/>
      <c r="AB519" s="41"/>
      <c r="AC519" s="41"/>
      <c r="AD519" s="41"/>
      <c r="AE519" s="41"/>
      <c r="AF519" s="40"/>
      <c r="AG519" s="40"/>
      <c r="AH519" s="5"/>
      <c r="AI519" s="5"/>
      <c r="AJ519" s="40"/>
      <c r="AK519" s="40"/>
      <c r="AL519" s="40"/>
      <c r="AM519" s="40"/>
      <c r="AO519" s="40"/>
      <c r="AQ519" s="40"/>
    </row>
    <row r="520" spans="2:43" ht="12.75" customHeight="1" x14ac:dyDescent="0.15">
      <c r="B520" s="40"/>
      <c r="C520" s="40"/>
      <c r="D520" s="40"/>
      <c r="E520" s="40"/>
      <c r="F520" s="40"/>
      <c r="G520" s="40"/>
      <c r="H520" s="53"/>
      <c r="R520" s="40"/>
      <c r="S520" s="40"/>
      <c r="T520" s="40"/>
      <c r="U520" s="40"/>
      <c r="V520" s="40"/>
      <c r="X520" s="40"/>
      <c r="Y520" s="40"/>
      <c r="Z520" s="40"/>
      <c r="AA520" s="41"/>
      <c r="AB520" s="41"/>
      <c r="AC520" s="41"/>
      <c r="AD520" s="41"/>
      <c r="AE520" s="41"/>
      <c r="AF520" s="40"/>
      <c r="AG520" s="40"/>
      <c r="AH520" s="5"/>
      <c r="AI520" s="5"/>
      <c r="AJ520" s="40"/>
      <c r="AK520" s="40"/>
      <c r="AL520" s="40"/>
      <c r="AM520" s="40"/>
      <c r="AO520" s="40"/>
      <c r="AQ520" s="40"/>
    </row>
    <row r="521" spans="2:43" ht="12.75" customHeight="1" x14ac:dyDescent="0.15">
      <c r="B521" s="40"/>
      <c r="C521" s="40"/>
      <c r="D521" s="40"/>
      <c r="E521" s="40"/>
      <c r="F521" s="40"/>
      <c r="G521" s="40"/>
      <c r="H521" s="53"/>
      <c r="R521" s="40"/>
      <c r="S521" s="40"/>
      <c r="T521" s="40"/>
      <c r="U521" s="40"/>
      <c r="V521" s="40"/>
      <c r="X521" s="40"/>
      <c r="Y521" s="40"/>
      <c r="Z521" s="40"/>
      <c r="AA521" s="41"/>
      <c r="AB521" s="41"/>
      <c r="AC521" s="41"/>
      <c r="AD521" s="41"/>
      <c r="AE521" s="41"/>
      <c r="AF521" s="40"/>
      <c r="AG521" s="40"/>
      <c r="AH521" s="5"/>
      <c r="AI521" s="5"/>
      <c r="AJ521" s="40"/>
      <c r="AK521" s="40"/>
      <c r="AL521" s="40"/>
      <c r="AM521" s="40"/>
      <c r="AO521" s="40"/>
      <c r="AQ521" s="40"/>
    </row>
    <row r="522" spans="2:43" ht="12.75" customHeight="1" x14ac:dyDescent="0.15">
      <c r="B522" s="40"/>
      <c r="C522" s="40"/>
      <c r="D522" s="40"/>
      <c r="E522" s="40"/>
      <c r="F522" s="40"/>
      <c r="G522" s="40"/>
      <c r="H522" s="53"/>
      <c r="R522" s="40"/>
      <c r="S522" s="40"/>
      <c r="T522" s="40"/>
      <c r="U522" s="40"/>
      <c r="V522" s="40"/>
      <c r="X522" s="40"/>
      <c r="Y522" s="40"/>
      <c r="Z522" s="40"/>
      <c r="AA522" s="41"/>
      <c r="AB522" s="41"/>
      <c r="AC522" s="41"/>
      <c r="AD522" s="41"/>
      <c r="AE522" s="41"/>
      <c r="AF522" s="40"/>
      <c r="AG522" s="40"/>
      <c r="AH522" s="5"/>
      <c r="AI522" s="5"/>
      <c r="AJ522" s="40"/>
      <c r="AK522" s="40"/>
      <c r="AL522" s="40"/>
      <c r="AM522" s="40"/>
      <c r="AO522" s="40"/>
      <c r="AQ522" s="40"/>
    </row>
    <row r="523" spans="2:43" ht="12.75" customHeight="1" x14ac:dyDescent="0.15">
      <c r="B523" s="40"/>
      <c r="C523" s="40"/>
      <c r="D523" s="40"/>
      <c r="E523" s="40"/>
      <c r="F523" s="40"/>
      <c r="G523" s="40"/>
      <c r="H523" s="53"/>
      <c r="R523" s="40"/>
      <c r="S523" s="40"/>
      <c r="T523" s="40"/>
      <c r="U523" s="40"/>
      <c r="V523" s="40"/>
      <c r="X523" s="40"/>
      <c r="Y523" s="40"/>
      <c r="Z523" s="40"/>
      <c r="AA523" s="41"/>
      <c r="AB523" s="41"/>
      <c r="AC523" s="41"/>
      <c r="AD523" s="41"/>
      <c r="AE523" s="41"/>
      <c r="AF523" s="40"/>
      <c r="AG523" s="40"/>
      <c r="AH523" s="5"/>
      <c r="AI523" s="5"/>
      <c r="AJ523" s="40"/>
      <c r="AK523" s="40"/>
      <c r="AL523" s="40"/>
      <c r="AM523" s="40"/>
      <c r="AO523" s="40"/>
      <c r="AQ523" s="40"/>
    </row>
    <row r="524" spans="2:43" ht="12.75" customHeight="1" x14ac:dyDescent="0.15">
      <c r="B524" s="40"/>
      <c r="C524" s="40"/>
      <c r="D524" s="40"/>
      <c r="E524" s="40"/>
      <c r="F524" s="40"/>
      <c r="G524" s="40"/>
      <c r="H524" s="53"/>
      <c r="R524" s="40"/>
      <c r="S524" s="40"/>
      <c r="T524" s="40"/>
      <c r="U524" s="40"/>
      <c r="V524" s="40"/>
      <c r="X524" s="40"/>
      <c r="Y524" s="40"/>
      <c r="Z524" s="40"/>
      <c r="AA524" s="41"/>
      <c r="AB524" s="41"/>
      <c r="AC524" s="41"/>
      <c r="AD524" s="41"/>
      <c r="AE524" s="41"/>
      <c r="AF524" s="40"/>
      <c r="AG524" s="40"/>
      <c r="AH524" s="5"/>
      <c r="AI524" s="5"/>
      <c r="AJ524" s="40"/>
      <c r="AK524" s="40"/>
      <c r="AL524" s="40"/>
      <c r="AM524" s="40"/>
      <c r="AO524" s="40"/>
      <c r="AQ524" s="40"/>
    </row>
    <row r="525" spans="2:43" ht="12.75" customHeight="1" x14ac:dyDescent="0.15">
      <c r="B525" s="40"/>
      <c r="C525" s="40"/>
      <c r="D525" s="40"/>
      <c r="E525" s="40"/>
      <c r="F525" s="40"/>
      <c r="G525" s="40"/>
      <c r="H525" s="53"/>
      <c r="R525" s="40"/>
      <c r="S525" s="40"/>
      <c r="T525" s="40"/>
      <c r="U525" s="40"/>
      <c r="V525" s="40"/>
      <c r="X525" s="40"/>
      <c r="Y525" s="40"/>
      <c r="Z525" s="40"/>
      <c r="AA525" s="41"/>
      <c r="AB525" s="41"/>
      <c r="AC525" s="41"/>
      <c r="AD525" s="41"/>
      <c r="AE525" s="41"/>
      <c r="AF525" s="40"/>
      <c r="AG525" s="40"/>
      <c r="AH525" s="5"/>
      <c r="AI525" s="5"/>
      <c r="AJ525" s="40"/>
      <c r="AK525" s="40"/>
      <c r="AL525" s="40"/>
      <c r="AM525" s="40"/>
      <c r="AO525" s="40"/>
      <c r="AQ525" s="40"/>
    </row>
    <row r="526" spans="2:43" ht="12.75" customHeight="1" x14ac:dyDescent="0.15">
      <c r="B526" s="40"/>
      <c r="C526" s="40"/>
      <c r="D526" s="40"/>
      <c r="E526" s="40"/>
      <c r="F526" s="40"/>
      <c r="G526" s="40"/>
      <c r="H526" s="53"/>
      <c r="R526" s="40"/>
      <c r="S526" s="40"/>
      <c r="T526" s="40"/>
      <c r="U526" s="40"/>
      <c r="V526" s="40"/>
      <c r="X526" s="40"/>
      <c r="Y526" s="40"/>
      <c r="Z526" s="40"/>
      <c r="AA526" s="41"/>
      <c r="AB526" s="41"/>
      <c r="AC526" s="41"/>
      <c r="AD526" s="41"/>
      <c r="AE526" s="41"/>
      <c r="AF526" s="40"/>
      <c r="AG526" s="40"/>
      <c r="AH526" s="5"/>
      <c r="AI526" s="5"/>
      <c r="AJ526" s="40"/>
      <c r="AK526" s="40"/>
      <c r="AL526" s="40"/>
      <c r="AM526" s="40"/>
      <c r="AO526" s="40"/>
      <c r="AQ526" s="40"/>
    </row>
    <row r="527" spans="2:43" ht="12.75" customHeight="1" x14ac:dyDescent="0.15">
      <c r="B527" s="40"/>
      <c r="C527" s="40"/>
      <c r="D527" s="40"/>
      <c r="E527" s="40"/>
      <c r="F527" s="40"/>
      <c r="G527" s="40"/>
      <c r="H527" s="53"/>
      <c r="R527" s="40"/>
      <c r="S527" s="40"/>
      <c r="T527" s="40"/>
      <c r="U527" s="40"/>
      <c r="V527" s="40"/>
      <c r="X527" s="40"/>
      <c r="Y527" s="40"/>
      <c r="Z527" s="40"/>
      <c r="AA527" s="41"/>
      <c r="AB527" s="41"/>
      <c r="AC527" s="41"/>
      <c r="AD527" s="41"/>
      <c r="AE527" s="41"/>
      <c r="AF527" s="40"/>
      <c r="AG527" s="40"/>
      <c r="AH527" s="5"/>
      <c r="AI527" s="5"/>
      <c r="AJ527" s="40"/>
      <c r="AK527" s="40"/>
      <c r="AL527" s="40"/>
      <c r="AM527" s="40"/>
      <c r="AO527" s="40"/>
      <c r="AQ527" s="40"/>
    </row>
    <row r="528" spans="2:43" ht="12.75" customHeight="1" x14ac:dyDescent="0.15">
      <c r="B528" s="40"/>
      <c r="C528" s="40"/>
      <c r="D528" s="40"/>
      <c r="E528" s="40"/>
      <c r="F528" s="40"/>
      <c r="G528" s="40"/>
      <c r="H528" s="53"/>
      <c r="R528" s="40"/>
      <c r="S528" s="40"/>
      <c r="T528" s="40"/>
      <c r="U528" s="40"/>
      <c r="V528" s="40"/>
      <c r="X528" s="40"/>
      <c r="Y528" s="40"/>
      <c r="Z528" s="40"/>
      <c r="AA528" s="41"/>
      <c r="AB528" s="41"/>
      <c r="AC528" s="41"/>
      <c r="AD528" s="41"/>
      <c r="AE528" s="41"/>
      <c r="AF528" s="40"/>
      <c r="AG528" s="40"/>
      <c r="AH528" s="5"/>
      <c r="AI528" s="5"/>
      <c r="AJ528" s="40"/>
      <c r="AK528" s="40"/>
      <c r="AL528" s="40"/>
      <c r="AM528" s="40"/>
      <c r="AO528" s="40"/>
      <c r="AQ528" s="40"/>
    </row>
    <row r="529" spans="2:43" ht="12.75" customHeight="1" x14ac:dyDescent="0.15">
      <c r="B529" s="40"/>
      <c r="C529" s="40"/>
      <c r="D529" s="40"/>
      <c r="E529" s="40"/>
      <c r="F529" s="40"/>
      <c r="G529" s="40"/>
      <c r="H529" s="53"/>
      <c r="R529" s="40"/>
      <c r="S529" s="40"/>
      <c r="T529" s="40"/>
      <c r="U529" s="40"/>
      <c r="V529" s="40"/>
      <c r="X529" s="40"/>
      <c r="Y529" s="40"/>
      <c r="Z529" s="40"/>
      <c r="AA529" s="41"/>
      <c r="AB529" s="41"/>
      <c r="AC529" s="41"/>
      <c r="AD529" s="41"/>
      <c r="AE529" s="41"/>
      <c r="AF529" s="40"/>
      <c r="AG529" s="40"/>
      <c r="AH529" s="5"/>
      <c r="AI529" s="5"/>
      <c r="AJ529" s="40"/>
      <c r="AK529" s="40"/>
      <c r="AL529" s="40"/>
      <c r="AM529" s="40"/>
      <c r="AO529" s="40"/>
      <c r="AQ529" s="40"/>
    </row>
    <row r="530" spans="2:43" ht="12.75" customHeight="1" x14ac:dyDescent="0.15">
      <c r="B530" s="40"/>
      <c r="C530" s="40"/>
      <c r="D530" s="40"/>
      <c r="E530" s="40"/>
      <c r="F530" s="40"/>
      <c r="G530" s="40"/>
      <c r="H530" s="53"/>
      <c r="R530" s="40"/>
      <c r="S530" s="40"/>
      <c r="T530" s="40"/>
      <c r="U530" s="40"/>
      <c r="V530" s="40"/>
      <c r="X530" s="40"/>
      <c r="Y530" s="40"/>
      <c r="Z530" s="40"/>
      <c r="AA530" s="41"/>
      <c r="AB530" s="41"/>
      <c r="AC530" s="41"/>
      <c r="AD530" s="41"/>
      <c r="AE530" s="41"/>
      <c r="AF530" s="40"/>
      <c r="AG530" s="40"/>
      <c r="AH530" s="5"/>
      <c r="AI530" s="5"/>
      <c r="AJ530" s="40"/>
      <c r="AK530" s="40"/>
      <c r="AL530" s="40"/>
      <c r="AM530" s="40"/>
      <c r="AO530" s="40"/>
      <c r="AQ530" s="40"/>
    </row>
    <row r="531" spans="2:43" ht="12.75" customHeight="1" x14ac:dyDescent="0.15">
      <c r="B531" s="40"/>
      <c r="C531" s="40"/>
      <c r="D531" s="40"/>
      <c r="E531" s="40"/>
      <c r="F531" s="40"/>
      <c r="G531" s="40"/>
      <c r="H531" s="53"/>
      <c r="R531" s="40"/>
      <c r="S531" s="40"/>
      <c r="T531" s="40"/>
      <c r="U531" s="40"/>
      <c r="V531" s="40"/>
      <c r="X531" s="40"/>
      <c r="Y531" s="40"/>
      <c r="Z531" s="40"/>
      <c r="AA531" s="41"/>
      <c r="AB531" s="41"/>
      <c r="AC531" s="41"/>
      <c r="AD531" s="41"/>
      <c r="AE531" s="41"/>
      <c r="AF531" s="40"/>
      <c r="AG531" s="40"/>
      <c r="AH531" s="5"/>
      <c r="AI531" s="5"/>
      <c r="AJ531" s="40"/>
      <c r="AK531" s="40"/>
      <c r="AL531" s="40"/>
      <c r="AM531" s="40"/>
      <c r="AO531" s="40"/>
      <c r="AQ531" s="40"/>
    </row>
    <row r="532" spans="2:43" ht="12.75" customHeight="1" x14ac:dyDescent="0.15">
      <c r="B532" s="40"/>
      <c r="C532" s="40"/>
      <c r="D532" s="40"/>
      <c r="E532" s="40"/>
      <c r="F532" s="40"/>
      <c r="G532" s="40"/>
      <c r="H532" s="53"/>
      <c r="R532" s="40"/>
      <c r="S532" s="40"/>
      <c r="T532" s="40"/>
      <c r="U532" s="40"/>
      <c r="V532" s="40"/>
      <c r="X532" s="40"/>
      <c r="Y532" s="40"/>
      <c r="Z532" s="40"/>
      <c r="AA532" s="41"/>
      <c r="AB532" s="41"/>
      <c r="AC532" s="41"/>
      <c r="AD532" s="41"/>
      <c r="AE532" s="41"/>
      <c r="AF532" s="40"/>
      <c r="AG532" s="40"/>
      <c r="AH532" s="5"/>
      <c r="AI532" s="5"/>
      <c r="AJ532" s="40"/>
      <c r="AK532" s="40"/>
      <c r="AL532" s="40"/>
      <c r="AM532" s="40"/>
      <c r="AO532" s="40"/>
      <c r="AQ532" s="40"/>
    </row>
    <row r="533" spans="2:43" ht="12.75" customHeight="1" x14ac:dyDescent="0.15">
      <c r="B533" s="40"/>
      <c r="C533" s="40"/>
      <c r="D533" s="40"/>
      <c r="E533" s="40"/>
      <c r="F533" s="40"/>
      <c r="G533" s="40"/>
      <c r="H533" s="53"/>
      <c r="R533" s="40"/>
      <c r="S533" s="40"/>
      <c r="T533" s="40"/>
      <c r="U533" s="40"/>
      <c r="V533" s="40"/>
      <c r="X533" s="40"/>
      <c r="Y533" s="40"/>
      <c r="Z533" s="40"/>
      <c r="AA533" s="41"/>
      <c r="AB533" s="41"/>
      <c r="AC533" s="41"/>
      <c r="AD533" s="41"/>
      <c r="AE533" s="41"/>
      <c r="AF533" s="40"/>
      <c r="AG533" s="40"/>
      <c r="AH533" s="5"/>
      <c r="AI533" s="5"/>
      <c r="AJ533" s="40"/>
      <c r="AK533" s="40"/>
      <c r="AL533" s="40"/>
      <c r="AM533" s="40"/>
      <c r="AO533" s="40"/>
      <c r="AQ533" s="40"/>
    </row>
    <row r="534" spans="2:43" ht="12.75" customHeight="1" x14ac:dyDescent="0.15">
      <c r="B534" s="40"/>
      <c r="C534" s="40"/>
      <c r="D534" s="40"/>
      <c r="E534" s="40"/>
      <c r="F534" s="40"/>
      <c r="G534" s="40"/>
      <c r="H534" s="53"/>
      <c r="R534" s="40"/>
      <c r="S534" s="40"/>
      <c r="T534" s="40"/>
      <c r="U534" s="40"/>
      <c r="V534" s="40"/>
      <c r="X534" s="40"/>
      <c r="Y534" s="40"/>
      <c r="Z534" s="40"/>
      <c r="AA534" s="41"/>
      <c r="AB534" s="41"/>
      <c r="AC534" s="41"/>
      <c r="AD534" s="41"/>
      <c r="AE534" s="41"/>
      <c r="AF534" s="40"/>
      <c r="AG534" s="40"/>
      <c r="AH534" s="5"/>
      <c r="AI534" s="5"/>
      <c r="AJ534" s="40"/>
      <c r="AK534" s="40"/>
      <c r="AL534" s="40"/>
      <c r="AM534" s="40"/>
      <c r="AO534" s="40"/>
      <c r="AQ534" s="40"/>
    </row>
    <row r="535" spans="2:43" ht="12.75" customHeight="1" x14ac:dyDescent="0.15">
      <c r="B535" s="40"/>
      <c r="C535" s="40"/>
      <c r="D535" s="40"/>
      <c r="E535" s="40"/>
      <c r="F535" s="40"/>
      <c r="G535" s="40"/>
      <c r="H535" s="53"/>
      <c r="R535" s="40"/>
      <c r="S535" s="40"/>
      <c r="T535" s="40"/>
      <c r="U535" s="40"/>
      <c r="V535" s="40"/>
      <c r="X535" s="40"/>
      <c r="Y535" s="40"/>
      <c r="Z535" s="40"/>
      <c r="AA535" s="41"/>
      <c r="AB535" s="41"/>
      <c r="AC535" s="41"/>
      <c r="AD535" s="41"/>
      <c r="AE535" s="41"/>
      <c r="AF535" s="40"/>
      <c r="AG535" s="40"/>
      <c r="AH535" s="5"/>
      <c r="AI535" s="5"/>
      <c r="AJ535" s="40"/>
      <c r="AK535" s="40"/>
      <c r="AL535" s="40"/>
      <c r="AM535" s="40"/>
      <c r="AO535" s="40"/>
      <c r="AQ535" s="40"/>
    </row>
    <row r="536" spans="2:43" ht="12.75" customHeight="1" x14ac:dyDescent="0.15">
      <c r="B536" s="40"/>
      <c r="C536" s="40"/>
      <c r="D536" s="40"/>
      <c r="E536" s="40"/>
      <c r="F536" s="40"/>
      <c r="G536" s="40"/>
      <c r="H536" s="53"/>
      <c r="R536" s="40"/>
      <c r="S536" s="40"/>
      <c r="T536" s="40"/>
      <c r="U536" s="40"/>
      <c r="V536" s="40"/>
      <c r="X536" s="40"/>
      <c r="Y536" s="40"/>
      <c r="Z536" s="40"/>
      <c r="AA536" s="41"/>
      <c r="AB536" s="41"/>
      <c r="AC536" s="41"/>
      <c r="AD536" s="41"/>
      <c r="AE536" s="41"/>
      <c r="AF536" s="40"/>
      <c r="AG536" s="40"/>
      <c r="AH536" s="5"/>
      <c r="AI536" s="5"/>
      <c r="AJ536" s="40"/>
      <c r="AK536" s="40"/>
      <c r="AL536" s="40"/>
      <c r="AM536" s="40"/>
      <c r="AO536" s="40"/>
      <c r="AQ536" s="40"/>
    </row>
    <row r="537" spans="2:43" ht="12.75" customHeight="1" x14ac:dyDescent="0.15">
      <c r="B537" s="40"/>
      <c r="C537" s="40"/>
      <c r="D537" s="40"/>
      <c r="E537" s="40"/>
      <c r="F537" s="40"/>
      <c r="G537" s="40"/>
      <c r="H537" s="53"/>
      <c r="R537" s="40"/>
      <c r="S537" s="40"/>
      <c r="T537" s="40"/>
      <c r="U537" s="40"/>
      <c r="V537" s="40"/>
      <c r="X537" s="40"/>
      <c r="Y537" s="40"/>
      <c r="Z537" s="40"/>
      <c r="AA537" s="41"/>
      <c r="AB537" s="41"/>
      <c r="AC537" s="41"/>
      <c r="AD537" s="41"/>
      <c r="AE537" s="41"/>
      <c r="AF537" s="40"/>
      <c r="AG537" s="40"/>
      <c r="AH537" s="5"/>
      <c r="AI537" s="5"/>
      <c r="AJ537" s="40"/>
      <c r="AK537" s="40"/>
      <c r="AL537" s="40"/>
      <c r="AM537" s="40"/>
      <c r="AO537" s="40"/>
      <c r="AQ537" s="40"/>
    </row>
    <row r="538" spans="2:43" ht="12.75" customHeight="1" x14ac:dyDescent="0.15">
      <c r="B538" s="40"/>
      <c r="C538" s="40"/>
      <c r="D538" s="40"/>
      <c r="E538" s="40"/>
      <c r="F538" s="40"/>
      <c r="G538" s="40"/>
      <c r="H538" s="53"/>
      <c r="R538" s="40"/>
      <c r="S538" s="40"/>
      <c r="T538" s="40"/>
      <c r="U538" s="40"/>
      <c r="V538" s="40"/>
      <c r="X538" s="40"/>
      <c r="Y538" s="40"/>
      <c r="Z538" s="40"/>
      <c r="AA538" s="41"/>
      <c r="AB538" s="41"/>
      <c r="AC538" s="41"/>
      <c r="AD538" s="41"/>
      <c r="AE538" s="41"/>
      <c r="AF538" s="40"/>
      <c r="AG538" s="40"/>
      <c r="AH538" s="5"/>
      <c r="AI538" s="5"/>
      <c r="AJ538" s="40"/>
      <c r="AK538" s="40"/>
      <c r="AL538" s="40"/>
      <c r="AM538" s="40"/>
      <c r="AO538" s="40"/>
      <c r="AQ538" s="40"/>
    </row>
    <row r="539" spans="2:43" ht="12.75" customHeight="1" x14ac:dyDescent="0.15">
      <c r="B539" s="40"/>
      <c r="C539" s="40"/>
      <c r="D539" s="40"/>
      <c r="E539" s="40"/>
      <c r="F539" s="40"/>
      <c r="G539" s="40"/>
      <c r="H539" s="53"/>
      <c r="R539" s="40"/>
      <c r="S539" s="40"/>
      <c r="T539" s="40"/>
      <c r="U539" s="40"/>
      <c r="V539" s="40"/>
      <c r="X539" s="40"/>
      <c r="Y539" s="40"/>
      <c r="Z539" s="40"/>
      <c r="AA539" s="41"/>
      <c r="AB539" s="41"/>
      <c r="AC539" s="41"/>
      <c r="AD539" s="41"/>
      <c r="AE539" s="41"/>
      <c r="AF539" s="40"/>
      <c r="AG539" s="40"/>
      <c r="AH539" s="5"/>
      <c r="AI539" s="5"/>
      <c r="AJ539" s="40"/>
      <c r="AK539" s="40"/>
      <c r="AL539" s="40"/>
      <c r="AM539" s="40"/>
      <c r="AO539" s="40"/>
      <c r="AQ539" s="40"/>
    </row>
    <row r="540" spans="2:43" ht="12.75" customHeight="1" x14ac:dyDescent="0.15">
      <c r="B540" s="40"/>
      <c r="C540" s="40"/>
      <c r="D540" s="40"/>
      <c r="E540" s="40"/>
      <c r="F540" s="40"/>
      <c r="G540" s="40"/>
      <c r="H540" s="53"/>
      <c r="R540" s="40"/>
      <c r="S540" s="40"/>
      <c r="T540" s="40"/>
      <c r="U540" s="40"/>
      <c r="V540" s="40"/>
      <c r="X540" s="40"/>
      <c r="Y540" s="40"/>
      <c r="Z540" s="40"/>
      <c r="AA540" s="41"/>
      <c r="AB540" s="41"/>
      <c r="AC540" s="41"/>
      <c r="AD540" s="41"/>
      <c r="AE540" s="41"/>
      <c r="AF540" s="40"/>
      <c r="AG540" s="40"/>
      <c r="AH540" s="5"/>
      <c r="AI540" s="5"/>
      <c r="AJ540" s="40"/>
      <c r="AK540" s="40"/>
      <c r="AL540" s="40"/>
      <c r="AM540" s="40"/>
      <c r="AO540" s="40"/>
      <c r="AQ540" s="40"/>
    </row>
    <row r="541" spans="2:43" ht="12.75" customHeight="1" x14ac:dyDescent="0.15">
      <c r="B541" s="40"/>
      <c r="C541" s="40"/>
      <c r="D541" s="40"/>
      <c r="E541" s="40"/>
      <c r="F541" s="40"/>
      <c r="G541" s="40"/>
      <c r="H541" s="53"/>
      <c r="R541" s="40"/>
      <c r="S541" s="40"/>
      <c r="T541" s="40"/>
      <c r="U541" s="40"/>
      <c r="V541" s="40"/>
      <c r="X541" s="40"/>
      <c r="Y541" s="40"/>
      <c r="Z541" s="40"/>
      <c r="AA541" s="41"/>
      <c r="AB541" s="41"/>
      <c r="AC541" s="41"/>
      <c r="AD541" s="41"/>
      <c r="AE541" s="41"/>
      <c r="AF541" s="40"/>
      <c r="AG541" s="40"/>
      <c r="AH541" s="5"/>
      <c r="AI541" s="5"/>
      <c r="AJ541" s="40"/>
      <c r="AK541" s="40"/>
      <c r="AL541" s="40"/>
      <c r="AM541" s="40"/>
      <c r="AO541" s="40"/>
      <c r="AQ541" s="40"/>
    </row>
    <row r="542" spans="2:43" ht="12.75" customHeight="1" x14ac:dyDescent="0.15">
      <c r="B542" s="40"/>
      <c r="C542" s="40"/>
      <c r="D542" s="40"/>
      <c r="E542" s="40"/>
      <c r="F542" s="40"/>
      <c r="G542" s="40"/>
      <c r="H542" s="53"/>
      <c r="R542" s="40"/>
      <c r="S542" s="40"/>
      <c r="T542" s="40"/>
      <c r="U542" s="40"/>
      <c r="V542" s="40"/>
      <c r="X542" s="40"/>
      <c r="Y542" s="40"/>
      <c r="Z542" s="40"/>
      <c r="AA542" s="41"/>
      <c r="AB542" s="41"/>
      <c r="AC542" s="41"/>
      <c r="AD542" s="41"/>
      <c r="AE542" s="41"/>
      <c r="AF542" s="40"/>
      <c r="AG542" s="40"/>
      <c r="AH542" s="5"/>
      <c r="AI542" s="5"/>
      <c r="AJ542" s="40"/>
      <c r="AK542" s="40"/>
      <c r="AL542" s="40"/>
      <c r="AM542" s="40"/>
      <c r="AO542" s="40"/>
      <c r="AQ542" s="40"/>
    </row>
    <row r="543" spans="2:43" ht="12.75" customHeight="1" x14ac:dyDescent="0.15">
      <c r="B543" s="40"/>
      <c r="C543" s="40"/>
      <c r="D543" s="40"/>
      <c r="E543" s="40"/>
      <c r="F543" s="40"/>
      <c r="G543" s="40"/>
      <c r="H543" s="53"/>
      <c r="R543" s="40"/>
      <c r="S543" s="40"/>
      <c r="T543" s="40"/>
      <c r="U543" s="40"/>
      <c r="V543" s="40"/>
      <c r="X543" s="40"/>
      <c r="Y543" s="40"/>
      <c r="Z543" s="40"/>
      <c r="AA543" s="41"/>
      <c r="AB543" s="41"/>
      <c r="AC543" s="41"/>
      <c r="AD543" s="41"/>
      <c r="AE543" s="41"/>
      <c r="AF543" s="40"/>
      <c r="AG543" s="40"/>
      <c r="AH543" s="5"/>
      <c r="AI543" s="5"/>
      <c r="AJ543" s="40"/>
      <c r="AK543" s="40"/>
      <c r="AL543" s="40"/>
      <c r="AM543" s="40"/>
      <c r="AO543" s="40"/>
      <c r="AQ543" s="40"/>
    </row>
    <row r="544" spans="2:43" ht="12.75" customHeight="1" x14ac:dyDescent="0.15">
      <c r="B544" s="40"/>
      <c r="C544" s="40"/>
      <c r="D544" s="40"/>
      <c r="E544" s="40"/>
      <c r="F544" s="40"/>
      <c r="G544" s="40"/>
      <c r="H544" s="53"/>
      <c r="R544" s="40"/>
      <c r="S544" s="40"/>
      <c r="T544" s="40"/>
      <c r="U544" s="40"/>
      <c r="V544" s="40"/>
      <c r="X544" s="40"/>
      <c r="Y544" s="40"/>
      <c r="Z544" s="40"/>
      <c r="AA544" s="41"/>
      <c r="AB544" s="41"/>
      <c r="AC544" s="41"/>
      <c r="AD544" s="41"/>
      <c r="AE544" s="41"/>
      <c r="AF544" s="40"/>
      <c r="AG544" s="40"/>
      <c r="AH544" s="5"/>
      <c r="AI544" s="5"/>
      <c r="AJ544" s="40"/>
      <c r="AK544" s="40"/>
      <c r="AL544" s="40"/>
      <c r="AM544" s="40"/>
      <c r="AO544" s="40"/>
      <c r="AQ544" s="40"/>
    </row>
    <row r="545" spans="2:43" ht="12.75" customHeight="1" x14ac:dyDescent="0.15">
      <c r="B545" s="40"/>
      <c r="C545" s="40"/>
      <c r="D545" s="40"/>
      <c r="E545" s="40"/>
      <c r="F545" s="40"/>
      <c r="G545" s="40"/>
      <c r="H545" s="53"/>
      <c r="R545" s="40"/>
      <c r="S545" s="40"/>
      <c r="T545" s="40"/>
      <c r="U545" s="40"/>
      <c r="V545" s="40"/>
      <c r="X545" s="40"/>
      <c r="Y545" s="40"/>
      <c r="Z545" s="40"/>
      <c r="AA545" s="41"/>
      <c r="AB545" s="41"/>
      <c r="AC545" s="41"/>
      <c r="AD545" s="41"/>
      <c r="AE545" s="41"/>
      <c r="AF545" s="40"/>
      <c r="AG545" s="40"/>
      <c r="AH545" s="5"/>
      <c r="AI545" s="5"/>
      <c r="AJ545" s="40"/>
      <c r="AK545" s="40"/>
      <c r="AL545" s="40"/>
      <c r="AM545" s="40"/>
      <c r="AO545" s="40"/>
      <c r="AQ545" s="40"/>
    </row>
    <row r="546" spans="2:43" ht="12.75" customHeight="1" x14ac:dyDescent="0.15">
      <c r="B546" s="40"/>
      <c r="C546" s="40"/>
      <c r="D546" s="40"/>
      <c r="E546" s="40"/>
      <c r="F546" s="40"/>
      <c r="G546" s="40"/>
      <c r="H546" s="53"/>
      <c r="R546" s="40"/>
      <c r="S546" s="40"/>
      <c r="T546" s="40"/>
      <c r="U546" s="40"/>
      <c r="V546" s="40"/>
      <c r="X546" s="40"/>
      <c r="Y546" s="40"/>
      <c r="Z546" s="40"/>
      <c r="AA546" s="41"/>
      <c r="AB546" s="41"/>
      <c r="AC546" s="41"/>
      <c r="AD546" s="41"/>
      <c r="AE546" s="41"/>
      <c r="AF546" s="40"/>
      <c r="AG546" s="40"/>
      <c r="AH546" s="5"/>
      <c r="AI546" s="5"/>
      <c r="AJ546" s="40"/>
      <c r="AK546" s="40"/>
      <c r="AL546" s="40"/>
      <c r="AM546" s="40"/>
      <c r="AO546" s="40"/>
      <c r="AQ546" s="40"/>
    </row>
    <row r="547" spans="2:43" ht="12.75" customHeight="1" x14ac:dyDescent="0.15">
      <c r="B547" s="40"/>
      <c r="C547" s="40"/>
      <c r="D547" s="40"/>
      <c r="E547" s="40"/>
      <c r="F547" s="40"/>
      <c r="G547" s="40"/>
      <c r="H547" s="53"/>
      <c r="R547" s="40"/>
      <c r="S547" s="40"/>
      <c r="T547" s="40"/>
      <c r="U547" s="40"/>
      <c r="V547" s="40"/>
      <c r="X547" s="40"/>
      <c r="Y547" s="40"/>
      <c r="Z547" s="40"/>
      <c r="AA547" s="41"/>
      <c r="AB547" s="41"/>
      <c r="AC547" s="41"/>
      <c r="AD547" s="41"/>
      <c r="AE547" s="41"/>
      <c r="AF547" s="40"/>
      <c r="AG547" s="40"/>
      <c r="AH547" s="5"/>
      <c r="AI547" s="5"/>
      <c r="AJ547" s="40"/>
      <c r="AK547" s="40"/>
      <c r="AL547" s="40"/>
      <c r="AM547" s="40"/>
      <c r="AO547" s="40"/>
      <c r="AQ547" s="40"/>
    </row>
    <row r="548" spans="2:43" ht="12.75" customHeight="1" x14ac:dyDescent="0.15">
      <c r="B548" s="40"/>
      <c r="C548" s="40"/>
      <c r="D548" s="40"/>
      <c r="E548" s="40"/>
      <c r="F548" s="40"/>
      <c r="G548" s="40"/>
      <c r="H548" s="53"/>
      <c r="R548" s="40"/>
      <c r="S548" s="40"/>
      <c r="T548" s="40"/>
      <c r="U548" s="40"/>
      <c r="V548" s="40"/>
      <c r="X548" s="40"/>
      <c r="Y548" s="40"/>
      <c r="Z548" s="40"/>
      <c r="AA548" s="41"/>
      <c r="AB548" s="41"/>
      <c r="AC548" s="41"/>
      <c r="AD548" s="41"/>
      <c r="AE548" s="41"/>
      <c r="AF548" s="40"/>
      <c r="AG548" s="40"/>
      <c r="AH548" s="5"/>
      <c r="AI548" s="5"/>
      <c r="AJ548" s="40"/>
      <c r="AK548" s="40"/>
      <c r="AL548" s="40"/>
      <c r="AM548" s="40"/>
      <c r="AO548" s="40"/>
      <c r="AQ548" s="40"/>
    </row>
    <row r="549" spans="2:43" ht="12.75" customHeight="1" x14ac:dyDescent="0.15">
      <c r="B549" s="40"/>
      <c r="C549" s="40"/>
      <c r="D549" s="40"/>
      <c r="E549" s="40"/>
      <c r="F549" s="40"/>
      <c r="G549" s="40"/>
      <c r="H549" s="53"/>
      <c r="R549" s="40"/>
      <c r="S549" s="40"/>
      <c r="T549" s="40"/>
      <c r="U549" s="40"/>
      <c r="V549" s="40"/>
      <c r="X549" s="40"/>
      <c r="Y549" s="40"/>
      <c r="Z549" s="40"/>
      <c r="AA549" s="41"/>
      <c r="AB549" s="41"/>
      <c r="AC549" s="41"/>
      <c r="AD549" s="41"/>
      <c r="AE549" s="41"/>
      <c r="AF549" s="40"/>
      <c r="AG549" s="40"/>
      <c r="AH549" s="5"/>
      <c r="AI549" s="5"/>
      <c r="AJ549" s="40"/>
      <c r="AK549" s="40"/>
      <c r="AL549" s="40"/>
      <c r="AM549" s="40"/>
      <c r="AO549" s="40"/>
      <c r="AQ549" s="40"/>
    </row>
    <row r="550" spans="2:43" ht="12.75" customHeight="1" x14ac:dyDescent="0.15">
      <c r="B550" s="40"/>
      <c r="C550" s="40"/>
      <c r="D550" s="40"/>
      <c r="E550" s="40"/>
      <c r="F550" s="40"/>
      <c r="G550" s="40"/>
      <c r="H550" s="53"/>
      <c r="R550" s="40"/>
      <c r="S550" s="40"/>
      <c r="T550" s="40"/>
      <c r="U550" s="40"/>
      <c r="V550" s="40"/>
      <c r="X550" s="40"/>
      <c r="Y550" s="40"/>
      <c r="Z550" s="40"/>
      <c r="AA550" s="41"/>
      <c r="AB550" s="41"/>
      <c r="AC550" s="41"/>
      <c r="AD550" s="41"/>
      <c r="AE550" s="41"/>
      <c r="AF550" s="40"/>
      <c r="AG550" s="40"/>
      <c r="AH550" s="5"/>
      <c r="AI550" s="5"/>
      <c r="AJ550" s="40"/>
      <c r="AK550" s="40"/>
      <c r="AL550" s="40"/>
      <c r="AM550" s="40"/>
      <c r="AO550" s="40"/>
      <c r="AQ550" s="40"/>
    </row>
    <row r="551" spans="2:43" ht="12.75" customHeight="1" x14ac:dyDescent="0.15">
      <c r="B551" s="40"/>
      <c r="C551" s="40"/>
      <c r="D551" s="40"/>
      <c r="E551" s="40"/>
      <c r="F551" s="40"/>
      <c r="G551" s="40"/>
      <c r="H551" s="53"/>
      <c r="R551" s="40"/>
      <c r="S551" s="40"/>
      <c r="T551" s="40"/>
      <c r="U551" s="40"/>
      <c r="V551" s="40"/>
      <c r="X551" s="40"/>
      <c r="Y551" s="40"/>
      <c r="Z551" s="40"/>
      <c r="AA551" s="41"/>
      <c r="AB551" s="41"/>
      <c r="AC551" s="41"/>
      <c r="AD551" s="41"/>
      <c r="AE551" s="41"/>
      <c r="AF551" s="40"/>
      <c r="AG551" s="40"/>
      <c r="AH551" s="5"/>
      <c r="AI551" s="5"/>
      <c r="AJ551" s="40"/>
      <c r="AK551" s="40"/>
      <c r="AL551" s="40"/>
      <c r="AM551" s="40"/>
      <c r="AO551" s="40"/>
      <c r="AQ551" s="40"/>
    </row>
    <row r="552" spans="2:43" ht="12.75" customHeight="1" x14ac:dyDescent="0.15">
      <c r="B552" s="40"/>
      <c r="C552" s="40"/>
      <c r="D552" s="40"/>
      <c r="E552" s="40"/>
      <c r="F552" s="40"/>
      <c r="G552" s="40"/>
      <c r="H552" s="53"/>
      <c r="R552" s="40"/>
      <c r="S552" s="40"/>
      <c r="T552" s="40"/>
      <c r="U552" s="40"/>
      <c r="V552" s="40"/>
      <c r="X552" s="40"/>
      <c r="Y552" s="40"/>
      <c r="Z552" s="40"/>
      <c r="AA552" s="41"/>
      <c r="AB552" s="41"/>
      <c r="AC552" s="41"/>
      <c r="AD552" s="41"/>
      <c r="AE552" s="41"/>
      <c r="AF552" s="40"/>
      <c r="AG552" s="40"/>
      <c r="AH552" s="5"/>
      <c r="AI552" s="5"/>
      <c r="AJ552" s="40"/>
      <c r="AK552" s="40"/>
      <c r="AL552" s="40"/>
      <c r="AM552" s="40"/>
      <c r="AO552" s="40"/>
      <c r="AQ552" s="40"/>
    </row>
    <row r="553" spans="2:43" ht="12.75" customHeight="1" x14ac:dyDescent="0.15">
      <c r="B553" s="40"/>
      <c r="C553" s="40"/>
      <c r="D553" s="40"/>
      <c r="E553" s="40"/>
      <c r="F553" s="40"/>
      <c r="G553" s="40"/>
      <c r="H553" s="53"/>
      <c r="R553" s="40"/>
      <c r="S553" s="40"/>
      <c r="T553" s="40"/>
      <c r="U553" s="40"/>
      <c r="V553" s="40"/>
      <c r="X553" s="40"/>
      <c r="Y553" s="40"/>
      <c r="Z553" s="40"/>
      <c r="AA553" s="41"/>
      <c r="AB553" s="41"/>
      <c r="AC553" s="41"/>
      <c r="AD553" s="41"/>
      <c r="AE553" s="41"/>
      <c r="AF553" s="40"/>
      <c r="AG553" s="40"/>
      <c r="AH553" s="5"/>
      <c r="AI553" s="5"/>
      <c r="AJ553" s="40"/>
      <c r="AK553" s="40"/>
      <c r="AL553" s="40"/>
      <c r="AM553" s="40"/>
      <c r="AO553" s="40"/>
      <c r="AQ553" s="40"/>
    </row>
    <row r="554" spans="2:43" ht="12.75" customHeight="1" x14ac:dyDescent="0.15">
      <c r="B554" s="40"/>
      <c r="C554" s="40"/>
      <c r="D554" s="40"/>
      <c r="E554" s="40"/>
      <c r="F554" s="40"/>
      <c r="G554" s="40"/>
      <c r="H554" s="53"/>
      <c r="R554" s="40"/>
      <c r="S554" s="40"/>
      <c r="T554" s="40"/>
      <c r="U554" s="40"/>
      <c r="V554" s="40"/>
      <c r="X554" s="40"/>
      <c r="Y554" s="40"/>
      <c r="Z554" s="40"/>
      <c r="AA554" s="41"/>
      <c r="AB554" s="41"/>
      <c r="AC554" s="41"/>
      <c r="AD554" s="41"/>
      <c r="AE554" s="41"/>
      <c r="AF554" s="40"/>
      <c r="AG554" s="40"/>
      <c r="AH554" s="5"/>
      <c r="AI554" s="5"/>
      <c r="AJ554" s="40"/>
      <c r="AK554" s="40"/>
      <c r="AL554" s="40"/>
      <c r="AM554" s="40"/>
      <c r="AO554" s="40"/>
      <c r="AQ554" s="40"/>
    </row>
    <row r="555" spans="2:43" ht="12.75" customHeight="1" x14ac:dyDescent="0.15">
      <c r="B555" s="40"/>
      <c r="C555" s="40"/>
      <c r="D555" s="40"/>
      <c r="E555" s="40"/>
      <c r="F555" s="40"/>
      <c r="G555" s="40"/>
      <c r="H555" s="53"/>
      <c r="R555" s="40"/>
      <c r="S555" s="40"/>
      <c r="T555" s="40"/>
      <c r="U555" s="40"/>
      <c r="V555" s="40"/>
      <c r="X555" s="40"/>
      <c r="Y555" s="40"/>
      <c r="Z555" s="40"/>
      <c r="AA555" s="41"/>
      <c r="AB555" s="41"/>
      <c r="AC555" s="41"/>
      <c r="AD555" s="41"/>
      <c r="AE555" s="41"/>
      <c r="AF555" s="40"/>
      <c r="AG555" s="40"/>
      <c r="AH555" s="5"/>
      <c r="AI555" s="5"/>
      <c r="AJ555" s="40"/>
      <c r="AK555" s="40"/>
      <c r="AL555" s="40"/>
      <c r="AM555" s="40"/>
      <c r="AO555" s="40"/>
      <c r="AQ555" s="40"/>
    </row>
    <row r="556" spans="2:43" ht="12.75" customHeight="1" x14ac:dyDescent="0.15">
      <c r="B556" s="40"/>
      <c r="C556" s="40"/>
      <c r="D556" s="40"/>
      <c r="E556" s="40"/>
      <c r="F556" s="40"/>
      <c r="G556" s="40"/>
      <c r="H556" s="53"/>
      <c r="R556" s="40"/>
      <c r="S556" s="40"/>
      <c r="T556" s="40"/>
      <c r="U556" s="40"/>
      <c r="V556" s="40"/>
      <c r="X556" s="40"/>
      <c r="Y556" s="40"/>
      <c r="Z556" s="40"/>
      <c r="AA556" s="41"/>
      <c r="AB556" s="41"/>
      <c r="AC556" s="41"/>
      <c r="AD556" s="41"/>
      <c r="AE556" s="41"/>
      <c r="AF556" s="40"/>
      <c r="AG556" s="40"/>
      <c r="AH556" s="5"/>
      <c r="AI556" s="5"/>
      <c r="AJ556" s="40"/>
      <c r="AK556" s="40"/>
      <c r="AL556" s="40"/>
      <c r="AM556" s="40"/>
      <c r="AO556" s="40"/>
      <c r="AQ556" s="40"/>
    </row>
    <row r="557" spans="2:43" ht="12.75" customHeight="1" x14ac:dyDescent="0.15">
      <c r="B557" s="40"/>
      <c r="C557" s="40"/>
      <c r="D557" s="40"/>
      <c r="E557" s="40"/>
      <c r="F557" s="40"/>
      <c r="G557" s="40"/>
      <c r="H557" s="53"/>
      <c r="R557" s="40"/>
      <c r="S557" s="40"/>
      <c r="T557" s="40"/>
      <c r="U557" s="40"/>
      <c r="V557" s="40"/>
      <c r="X557" s="40"/>
      <c r="Y557" s="40"/>
      <c r="Z557" s="40"/>
      <c r="AA557" s="41"/>
      <c r="AB557" s="41"/>
      <c r="AC557" s="41"/>
      <c r="AD557" s="41"/>
      <c r="AE557" s="41"/>
      <c r="AF557" s="40"/>
      <c r="AG557" s="40"/>
      <c r="AH557" s="5"/>
      <c r="AI557" s="5"/>
      <c r="AJ557" s="40"/>
      <c r="AK557" s="40"/>
      <c r="AL557" s="40"/>
      <c r="AM557" s="40"/>
      <c r="AO557" s="40"/>
      <c r="AQ557" s="40"/>
    </row>
    <row r="558" spans="2:43" ht="12.75" customHeight="1" x14ac:dyDescent="0.15">
      <c r="B558" s="40"/>
      <c r="C558" s="40"/>
      <c r="D558" s="40"/>
      <c r="E558" s="40"/>
      <c r="F558" s="40"/>
      <c r="G558" s="40"/>
      <c r="H558" s="53"/>
      <c r="R558" s="40"/>
      <c r="S558" s="40"/>
      <c r="T558" s="40"/>
      <c r="U558" s="40"/>
      <c r="V558" s="40"/>
      <c r="X558" s="40"/>
      <c r="Y558" s="40"/>
      <c r="Z558" s="40"/>
      <c r="AA558" s="41"/>
      <c r="AB558" s="41"/>
      <c r="AC558" s="41"/>
      <c r="AD558" s="41"/>
      <c r="AE558" s="41"/>
      <c r="AF558" s="40"/>
      <c r="AG558" s="40"/>
      <c r="AH558" s="5"/>
      <c r="AI558" s="5"/>
      <c r="AJ558" s="40"/>
      <c r="AK558" s="40"/>
      <c r="AL558" s="40"/>
      <c r="AM558" s="40"/>
      <c r="AO558" s="40"/>
      <c r="AQ558" s="40"/>
    </row>
    <row r="559" spans="2:43" ht="12.75" customHeight="1" x14ac:dyDescent="0.15">
      <c r="B559" s="40"/>
      <c r="C559" s="40"/>
      <c r="D559" s="40"/>
      <c r="E559" s="40"/>
      <c r="F559" s="40"/>
      <c r="G559" s="40"/>
      <c r="H559" s="53"/>
      <c r="R559" s="40"/>
      <c r="S559" s="40"/>
      <c r="T559" s="40"/>
      <c r="U559" s="40"/>
      <c r="V559" s="40"/>
      <c r="X559" s="40"/>
      <c r="Y559" s="40"/>
      <c r="Z559" s="40"/>
      <c r="AA559" s="41"/>
      <c r="AB559" s="41"/>
      <c r="AC559" s="41"/>
      <c r="AD559" s="41"/>
      <c r="AE559" s="41"/>
      <c r="AF559" s="40"/>
      <c r="AG559" s="40"/>
      <c r="AH559" s="5"/>
      <c r="AI559" s="5"/>
      <c r="AJ559" s="40"/>
      <c r="AK559" s="40"/>
      <c r="AL559" s="40"/>
      <c r="AM559" s="40"/>
      <c r="AO559" s="40"/>
      <c r="AQ559" s="40"/>
    </row>
    <row r="560" spans="2:43" ht="12.75" customHeight="1" x14ac:dyDescent="0.15">
      <c r="B560" s="40"/>
      <c r="C560" s="40"/>
      <c r="D560" s="40"/>
      <c r="E560" s="40"/>
      <c r="F560" s="40"/>
      <c r="G560" s="40"/>
      <c r="H560" s="53"/>
      <c r="R560" s="40"/>
      <c r="S560" s="40"/>
      <c r="T560" s="40"/>
      <c r="U560" s="40"/>
      <c r="V560" s="40"/>
      <c r="X560" s="40"/>
      <c r="Y560" s="40"/>
      <c r="Z560" s="40"/>
      <c r="AA560" s="41"/>
      <c r="AB560" s="41"/>
      <c r="AC560" s="41"/>
      <c r="AD560" s="41"/>
      <c r="AE560" s="41"/>
      <c r="AF560" s="40"/>
      <c r="AG560" s="40"/>
      <c r="AH560" s="5"/>
      <c r="AI560" s="5"/>
      <c r="AJ560" s="40"/>
      <c r="AK560" s="40"/>
      <c r="AL560" s="40"/>
      <c r="AM560" s="40"/>
      <c r="AO560" s="40"/>
      <c r="AQ560" s="40"/>
    </row>
    <row r="561" spans="2:43" ht="12.75" customHeight="1" x14ac:dyDescent="0.15">
      <c r="B561" s="40"/>
      <c r="C561" s="40"/>
      <c r="D561" s="40"/>
      <c r="E561" s="40"/>
      <c r="F561" s="40"/>
      <c r="G561" s="40"/>
      <c r="H561" s="53"/>
      <c r="R561" s="40"/>
      <c r="S561" s="40"/>
      <c r="T561" s="40"/>
      <c r="U561" s="40"/>
      <c r="V561" s="40"/>
      <c r="X561" s="40"/>
      <c r="Y561" s="40"/>
      <c r="Z561" s="40"/>
      <c r="AA561" s="41"/>
      <c r="AB561" s="41"/>
      <c r="AC561" s="41"/>
      <c r="AD561" s="41"/>
      <c r="AE561" s="41"/>
      <c r="AF561" s="40"/>
      <c r="AG561" s="40"/>
      <c r="AH561" s="5"/>
      <c r="AI561" s="5"/>
      <c r="AJ561" s="40"/>
      <c r="AK561" s="40"/>
      <c r="AL561" s="40"/>
      <c r="AM561" s="40"/>
      <c r="AO561" s="40"/>
      <c r="AQ561" s="40"/>
    </row>
    <row r="562" spans="2:43" ht="12.75" customHeight="1" x14ac:dyDescent="0.15">
      <c r="B562" s="40"/>
      <c r="C562" s="40"/>
      <c r="D562" s="40"/>
      <c r="E562" s="40"/>
      <c r="F562" s="40"/>
      <c r="G562" s="40"/>
      <c r="H562" s="53"/>
      <c r="R562" s="40"/>
      <c r="S562" s="40"/>
      <c r="T562" s="40"/>
      <c r="U562" s="40"/>
      <c r="V562" s="40"/>
      <c r="X562" s="40"/>
      <c r="Y562" s="40"/>
      <c r="Z562" s="40"/>
      <c r="AA562" s="41"/>
      <c r="AB562" s="41"/>
      <c r="AC562" s="41"/>
      <c r="AD562" s="41"/>
      <c r="AE562" s="41"/>
      <c r="AF562" s="40"/>
      <c r="AG562" s="40"/>
      <c r="AH562" s="5"/>
      <c r="AI562" s="5"/>
      <c r="AJ562" s="40"/>
      <c r="AK562" s="40"/>
      <c r="AL562" s="40"/>
      <c r="AM562" s="40"/>
      <c r="AO562" s="40"/>
      <c r="AQ562" s="40"/>
    </row>
    <row r="563" spans="2:43" ht="12.75" customHeight="1" x14ac:dyDescent="0.15">
      <c r="B563" s="40"/>
      <c r="C563" s="40"/>
      <c r="D563" s="40"/>
      <c r="E563" s="40"/>
      <c r="F563" s="40"/>
      <c r="G563" s="40"/>
      <c r="H563" s="53"/>
      <c r="R563" s="40"/>
      <c r="S563" s="40"/>
      <c r="T563" s="40"/>
      <c r="U563" s="40"/>
      <c r="V563" s="40"/>
      <c r="X563" s="40"/>
      <c r="Y563" s="40"/>
      <c r="Z563" s="40"/>
      <c r="AA563" s="41"/>
      <c r="AB563" s="41"/>
      <c r="AC563" s="41"/>
      <c r="AD563" s="41"/>
      <c r="AE563" s="41"/>
      <c r="AF563" s="40"/>
      <c r="AG563" s="40"/>
      <c r="AH563" s="5"/>
      <c r="AI563" s="5"/>
      <c r="AJ563" s="40"/>
      <c r="AK563" s="40"/>
      <c r="AL563" s="40"/>
      <c r="AM563" s="40"/>
      <c r="AO563" s="40"/>
      <c r="AQ563" s="40"/>
    </row>
    <row r="564" spans="2:43" ht="12.75" customHeight="1" x14ac:dyDescent="0.15">
      <c r="B564" s="40"/>
      <c r="C564" s="40"/>
      <c r="D564" s="40"/>
      <c r="E564" s="40"/>
      <c r="F564" s="40"/>
      <c r="G564" s="40"/>
      <c r="H564" s="53"/>
      <c r="R564" s="40"/>
      <c r="S564" s="40"/>
      <c r="T564" s="40"/>
      <c r="U564" s="40"/>
      <c r="V564" s="40"/>
      <c r="X564" s="40"/>
      <c r="Y564" s="40"/>
      <c r="Z564" s="40"/>
      <c r="AA564" s="41"/>
      <c r="AB564" s="41"/>
      <c r="AC564" s="41"/>
      <c r="AD564" s="41"/>
      <c r="AE564" s="41"/>
      <c r="AF564" s="40"/>
      <c r="AG564" s="40"/>
      <c r="AH564" s="5"/>
      <c r="AI564" s="5"/>
      <c r="AJ564" s="40"/>
      <c r="AK564" s="40"/>
      <c r="AL564" s="40"/>
      <c r="AM564" s="40"/>
      <c r="AO564" s="40"/>
      <c r="AQ564" s="40"/>
    </row>
    <row r="565" spans="2:43" ht="12.75" customHeight="1" x14ac:dyDescent="0.15">
      <c r="B565" s="40"/>
      <c r="C565" s="40"/>
      <c r="D565" s="40"/>
      <c r="E565" s="40"/>
      <c r="F565" s="40"/>
      <c r="G565" s="40"/>
      <c r="H565" s="53"/>
      <c r="R565" s="40"/>
      <c r="S565" s="40"/>
      <c r="T565" s="40"/>
      <c r="U565" s="40"/>
      <c r="V565" s="40"/>
      <c r="X565" s="40"/>
      <c r="Y565" s="40"/>
      <c r="Z565" s="40"/>
      <c r="AA565" s="41"/>
      <c r="AB565" s="41"/>
      <c r="AC565" s="41"/>
      <c r="AD565" s="41"/>
      <c r="AE565" s="41"/>
      <c r="AF565" s="40"/>
      <c r="AG565" s="40"/>
      <c r="AH565" s="5"/>
      <c r="AI565" s="5"/>
      <c r="AJ565" s="40"/>
      <c r="AK565" s="40"/>
      <c r="AL565" s="40"/>
      <c r="AM565" s="40"/>
      <c r="AO565" s="40"/>
      <c r="AQ565" s="40"/>
    </row>
    <row r="566" spans="2:43" ht="12.75" customHeight="1" x14ac:dyDescent="0.15">
      <c r="B566" s="40"/>
      <c r="C566" s="40"/>
      <c r="D566" s="40"/>
      <c r="E566" s="40"/>
      <c r="F566" s="40"/>
      <c r="G566" s="40"/>
      <c r="H566" s="53"/>
      <c r="R566" s="40"/>
      <c r="S566" s="40"/>
      <c r="T566" s="40"/>
      <c r="U566" s="40"/>
      <c r="V566" s="40"/>
      <c r="X566" s="40"/>
      <c r="Y566" s="40"/>
      <c r="Z566" s="40"/>
      <c r="AA566" s="41"/>
      <c r="AB566" s="41"/>
      <c r="AC566" s="41"/>
      <c r="AD566" s="41"/>
      <c r="AE566" s="41"/>
      <c r="AF566" s="40"/>
      <c r="AG566" s="40"/>
      <c r="AH566" s="5"/>
      <c r="AI566" s="5"/>
      <c r="AJ566" s="40"/>
      <c r="AK566" s="40"/>
      <c r="AL566" s="40"/>
      <c r="AM566" s="40"/>
      <c r="AO566" s="40"/>
      <c r="AQ566" s="40"/>
    </row>
    <row r="567" spans="2:43" ht="12.75" customHeight="1" x14ac:dyDescent="0.15">
      <c r="B567" s="40"/>
      <c r="C567" s="40"/>
      <c r="D567" s="40"/>
      <c r="E567" s="40"/>
      <c r="F567" s="40"/>
      <c r="G567" s="40"/>
      <c r="H567" s="53"/>
      <c r="R567" s="40"/>
      <c r="S567" s="40"/>
      <c r="T567" s="40"/>
      <c r="U567" s="40"/>
      <c r="V567" s="40"/>
      <c r="X567" s="40"/>
      <c r="Y567" s="40"/>
      <c r="Z567" s="40"/>
      <c r="AA567" s="41"/>
      <c r="AB567" s="41"/>
      <c r="AC567" s="41"/>
      <c r="AD567" s="41"/>
      <c r="AE567" s="41"/>
      <c r="AF567" s="40"/>
      <c r="AG567" s="40"/>
      <c r="AH567" s="5"/>
      <c r="AI567" s="5"/>
      <c r="AJ567" s="40"/>
      <c r="AK567" s="40"/>
      <c r="AL567" s="40"/>
      <c r="AM567" s="40"/>
      <c r="AO567" s="40"/>
      <c r="AQ567" s="40"/>
    </row>
    <row r="568" spans="2:43" ht="12.75" customHeight="1" x14ac:dyDescent="0.15">
      <c r="B568" s="40"/>
      <c r="C568" s="40"/>
      <c r="D568" s="40"/>
      <c r="E568" s="40"/>
      <c r="F568" s="40"/>
      <c r="G568" s="40"/>
      <c r="H568" s="53"/>
      <c r="R568" s="40"/>
      <c r="S568" s="40"/>
      <c r="T568" s="40"/>
      <c r="U568" s="40"/>
      <c r="V568" s="40"/>
      <c r="X568" s="40"/>
      <c r="Y568" s="40"/>
      <c r="Z568" s="40"/>
      <c r="AA568" s="41"/>
      <c r="AB568" s="41"/>
      <c r="AC568" s="41"/>
      <c r="AD568" s="41"/>
      <c r="AE568" s="41"/>
      <c r="AF568" s="40"/>
      <c r="AG568" s="40"/>
      <c r="AH568" s="5"/>
      <c r="AI568" s="5"/>
      <c r="AJ568" s="40"/>
      <c r="AK568" s="40"/>
      <c r="AL568" s="40"/>
      <c r="AM568" s="40"/>
      <c r="AO568" s="40"/>
      <c r="AQ568" s="40"/>
    </row>
    <row r="569" spans="2:43" ht="12.75" customHeight="1" x14ac:dyDescent="0.15">
      <c r="B569" s="40"/>
      <c r="C569" s="40"/>
      <c r="D569" s="40"/>
      <c r="E569" s="40"/>
      <c r="F569" s="40"/>
      <c r="G569" s="40"/>
      <c r="H569" s="53"/>
      <c r="R569" s="40"/>
      <c r="S569" s="40"/>
      <c r="T569" s="40"/>
      <c r="U569" s="40"/>
      <c r="V569" s="40"/>
      <c r="X569" s="40"/>
      <c r="Y569" s="40"/>
      <c r="Z569" s="40"/>
      <c r="AA569" s="41"/>
      <c r="AB569" s="41"/>
      <c r="AC569" s="41"/>
      <c r="AD569" s="41"/>
      <c r="AE569" s="41"/>
      <c r="AF569" s="40"/>
      <c r="AG569" s="40"/>
      <c r="AH569" s="5"/>
      <c r="AI569" s="5"/>
      <c r="AJ569" s="40"/>
      <c r="AK569" s="40"/>
      <c r="AL569" s="40"/>
      <c r="AM569" s="40"/>
      <c r="AO569" s="40"/>
      <c r="AQ569" s="40"/>
    </row>
    <row r="570" spans="2:43" ht="12.75" customHeight="1" x14ac:dyDescent="0.15">
      <c r="B570" s="40"/>
      <c r="C570" s="40"/>
      <c r="D570" s="40"/>
      <c r="E570" s="40"/>
      <c r="F570" s="40"/>
      <c r="G570" s="40"/>
      <c r="H570" s="53"/>
      <c r="R570" s="40"/>
      <c r="S570" s="40"/>
      <c r="T570" s="40"/>
      <c r="U570" s="40"/>
      <c r="V570" s="40"/>
      <c r="X570" s="40"/>
      <c r="Y570" s="40"/>
      <c r="Z570" s="40"/>
      <c r="AA570" s="41"/>
      <c r="AB570" s="41"/>
      <c r="AC570" s="41"/>
      <c r="AD570" s="41"/>
      <c r="AE570" s="41"/>
      <c r="AF570" s="40"/>
      <c r="AG570" s="40"/>
      <c r="AH570" s="5"/>
      <c r="AI570" s="5"/>
      <c r="AJ570" s="40"/>
      <c r="AK570" s="40"/>
      <c r="AL570" s="40"/>
      <c r="AM570" s="40"/>
      <c r="AO570" s="40"/>
      <c r="AQ570" s="40"/>
    </row>
    <row r="571" spans="2:43" ht="12.75" customHeight="1" x14ac:dyDescent="0.15">
      <c r="B571" s="40"/>
      <c r="C571" s="40"/>
      <c r="D571" s="40"/>
      <c r="E571" s="40"/>
      <c r="F571" s="40"/>
      <c r="G571" s="40"/>
      <c r="H571" s="53"/>
      <c r="R571" s="40"/>
      <c r="S571" s="40"/>
      <c r="T571" s="40"/>
      <c r="U571" s="40"/>
      <c r="V571" s="40"/>
      <c r="X571" s="40"/>
      <c r="Y571" s="40"/>
      <c r="Z571" s="40"/>
      <c r="AA571" s="41"/>
      <c r="AB571" s="41"/>
      <c r="AC571" s="41"/>
      <c r="AD571" s="41"/>
      <c r="AE571" s="41"/>
      <c r="AF571" s="40"/>
      <c r="AG571" s="40"/>
      <c r="AH571" s="5"/>
      <c r="AI571" s="5"/>
      <c r="AJ571" s="40"/>
      <c r="AK571" s="40"/>
      <c r="AL571" s="40"/>
      <c r="AM571" s="40"/>
      <c r="AO571" s="40"/>
      <c r="AQ571" s="40"/>
    </row>
    <row r="572" spans="2:43" ht="12.75" customHeight="1" x14ac:dyDescent="0.15">
      <c r="B572" s="40"/>
      <c r="C572" s="40"/>
      <c r="D572" s="40"/>
      <c r="E572" s="40"/>
      <c r="F572" s="40"/>
      <c r="G572" s="40"/>
      <c r="H572" s="53"/>
      <c r="R572" s="40"/>
      <c r="S572" s="40"/>
      <c r="T572" s="40"/>
      <c r="U572" s="40"/>
      <c r="V572" s="40"/>
      <c r="X572" s="40"/>
      <c r="Y572" s="40"/>
      <c r="Z572" s="40"/>
      <c r="AA572" s="41"/>
      <c r="AB572" s="41"/>
      <c r="AC572" s="41"/>
      <c r="AD572" s="41"/>
      <c r="AE572" s="41"/>
      <c r="AF572" s="40"/>
      <c r="AG572" s="40"/>
      <c r="AH572" s="5"/>
      <c r="AI572" s="5"/>
      <c r="AJ572" s="40"/>
      <c r="AK572" s="40"/>
      <c r="AL572" s="40"/>
      <c r="AM572" s="40"/>
      <c r="AO572" s="40"/>
      <c r="AQ572" s="40"/>
    </row>
    <row r="573" spans="2:43" ht="12.75" customHeight="1" x14ac:dyDescent="0.15">
      <c r="B573" s="40"/>
      <c r="C573" s="40"/>
      <c r="D573" s="40"/>
      <c r="E573" s="40"/>
      <c r="F573" s="40"/>
      <c r="G573" s="40"/>
      <c r="H573" s="53"/>
      <c r="R573" s="40"/>
      <c r="S573" s="40"/>
      <c r="T573" s="40"/>
      <c r="U573" s="40"/>
      <c r="V573" s="40"/>
      <c r="X573" s="40"/>
      <c r="Y573" s="40"/>
      <c r="Z573" s="40"/>
      <c r="AA573" s="41"/>
      <c r="AB573" s="41"/>
      <c r="AC573" s="41"/>
      <c r="AD573" s="41"/>
      <c r="AE573" s="41"/>
      <c r="AF573" s="40"/>
      <c r="AG573" s="40"/>
      <c r="AH573" s="5"/>
      <c r="AI573" s="5"/>
      <c r="AJ573" s="40"/>
      <c r="AK573" s="40"/>
      <c r="AL573" s="40"/>
      <c r="AM573" s="40"/>
      <c r="AO573" s="40"/>
      <c r="AQ573" s="40"/>
    </row>
    <row r="574" spans="2:43" ht="12.75" customHeight="1" x14ac:dyDescent="0.15">
      <c r="B574" s="40"/>
      <c r="C574" s="40"/>
      <c r="D574" s="40"/>
      <c r="E574" s="40"/>
      <c r="F574" s="40"/>
      <c r="G574" s="40"/>
      <c r="H574" s="53"/>
      <c r="R574" s="40"/>
      <c r="S574" s="40"/>
      <c r="T574" s="40"/>
      <c r="U574" s="40"/>
      <c r="V574" s="40"/>
      <c r="X574" s="40"/>
      <c r="Y574" s="40"/>
      <c r="Z574" s="40"/>
      <c r="AA574" s="41"/>
      <c r="AB574" s="41"/>
      <c r="AC574" s="41"/>
      <c r="AD574" s="41"/>
      <c r="AE574" s="41"/>
      <c r="AF574" s="40"/>
      <c r="AG574" s="40"/>
      <c r="AH574" s="5"/>
      <c r="AI574" s="5"/>
      <c r="AJ574" s="40"/>
      <c r="AK574" s="40"/>
      <c r="AL574" s="40"/>
      <c r="AM574" s="40"/>
      <c r="AO574" s="40"/>
      <c r="AQ574" s="40"/>
    </row>
    <row r="575" spans="2:43" ht="12.75" customHeight="1" x14ac:dyDescent="0.15">
      <c r="B575" s="40"/>
      <c r="C575" s="40"/>
      <c r="D575" s="40"/>
      <c r="E575" s="40"/>
      <c r="F575" s="40"/>
      <c r="G575" s="40"/>
      <c r="H575" s="53"/>
      <c r="R575" s="40"/>
      <c r="S575" s="40"/>
      <c r="T575" s="40"/>
      <c r="U575" s="40"/>
      <c r="V575" s="40"/>
      <c r="X575" s="40"/>
      <c r="Y575" s="40"/>
      <c r="Z575" s="40"/>
      <c r="AA575" s="41"/>
      <c r="AB575" s="41"/>
      <c r="AC575" s="41"/>
      <c r="AD575" s="41"/>
      <c r="AE575" s="41"/>
      <c r="AF575" s="40"/>
      <c r="AG575" s="40"/>
      <c r="AH575" s="5"/>
      <c r="AI575" s="5"/>
      <c r="AJ575" s="40"/>
      <c r="AK575" s="40"/>
      <c r="AL575" s="40"/>
      <c r="AM575" s="40"/>
      <c r="AO575" s="40"/>
      <c r="AQ575" s="40"/>
    </row>
    <row r="576" spans="2:43" ht="12.75" customHeight="1" x14ac:dyDescent="0.15">
      <c r="B576" s="40"/>
      <c r="C576" s="40"/>
      <c r="D576" s="40"/>
      <c r="E576" s="40"/>
      <c r="F576" s="40"/>
      <c r="G576" s="40"/>
      <c r="H576" s="53"/>
      <c r="R576" s="40"/>
      <c r="S576" s="40"/>
      <c r="T576" s="40"/>
      <c r="U576" s="40"/>
      <c r="V576" s="40"/>
      <c r="X576" s="40"/>
      <c r="Y576" s="40"/>
      <c r="Z576" s="40"/>
      <c r="AA576" s="41"/>
      <c r="AB576" s="41"/>
      <c r="AC576" s="41"/>
      <c r="AD576" s="41"/>
      <c r="AE576" s="41"/>
      <c r="AF576" s="40"/>
      <c r="AG576" s="40"/>
      <c r="AH576" s="5"/>
      <c r="AI576" s="5"/>
      <c r="AJ576" s="40"/>
      <c r="AK576" s="40"/>
      <c r="AL576" s="40"/>
      <c r="AM576" s="40"/>
      <c r="AO576" s="40"/>
      <c r="AQ576" s="40"/>
    </row>
    <row r="577" spans="2:43" ht="12.75" customHeight="1" x14ac:dyDescent="0.15">
      <c r="B577" s="40"/>
      <c r="C577" s="40"/>
      <c r="D577" s="40"/>
      <c r="E577" s="40"/>
      <c r="F577" s="40"/>
      <c r="G577" s="40"/>
      <c r="H577" s="53"/>
      <c r="R577" s="40"/>
      <c r="S577" s="40"/>
      <c r="T577" s="40"/>
      <c r="U577" s="40"/>
      <c r="V577" s="40"/>
      <c r="X577" s="40"/>
      <c r="Y577" s="40"/>
      <c r="Z577" s="40"/>
      <c r="AA577" s="41"/>
      <c r="AB577" s="41"/>
      <c r="AC577" s="41"/>
      <c r="AD577" s="41"/>
      <c r="AE577" s="41"/>
      <c r="AF577" s="40"/>
      <c r="AG577" s="40"/>
      <c r="AH577" s="5"/>
      <c r="AI577" s="5"/>
      <c r="AJ577" s="40"/>
      <c r="AK577" s="40"/>
      <c r="AL577" s="40"/>
      <c r="AM577" s="40"/>
      <c r="AO577" s="40"/>
      <c r="AQ577" s="40"/>
    </row>
    <row r="578" spans="2:43" ht="12.75" customHeight="1" x14ac:dyDescent="0.15">
      <c r="B578" s="40"/>
      <c r="C578" s="40"/>
      <c r="D578" s="40"/>
      <c r="E578" s="40"/>
      <c r="F578" s="40"/>
      <c r="G578" s="40"/>
      <c r="H578" s="53"/>
      <c r="R578" s="40"/>
      <c r="S578" s="40"/>
      <c r="T578" s="40"/>
      <c r="U578" s="40"/>
      <c r="V578" s="40"/>
      <c r="X578" s="40"/>
      <c r="Y578" s="40"/>
      <c r="Z578" s="40"/>
      <c r="AA578" s="41"/>
      <c r="AB578" s="41"/>
      <c r="AC578" s="41"/>
      <c r="AD578" s="41"/>
      <c r="AE578" s="41"/>
      <c r="AF578" s="40"/>
      <c r="AG578" s="40"/>
      <c r="AH578" s="5"/>
      <c r="AI578" s="5"/>
      <c r="AJ578" s="40"/>
      <c r="AK578" s="40"/>
      <c r="AL578" s="40"/>
      <c r="AM578" s="40"/>
      <c r="AO578" s="40"/>
      <c r="AQ578" s="40"/>
    </row>
    <row r="579" spans="2:43" ht="12.75" customHeight="1" x14ac:dyDescent="0.15">
      <c r="B579" s="40"/>
      <c r="C579" s="40"/>
      <c r="D579" s="40"/>
      <c r="E579" s="40"/>
      <c r="F579" s="40"/>
      <c r="G579" s="40"/>
      <c r="H579" s="53"/>
      <c r="R579" s="40"/>
      <c r="S579" s="40"/>
      <c r="T579" s="40"/>
      <c r="U579" s="40"/>
      <c r="V579" s="40"/>
      <c r="X579" s="40"/>
      <c r="Y579" s="40"/>
      <c r="Z579" s="40"/>
      <c r="AA579" s="41"/>
      <c r="AB579" s="41"/>
      <c r="AC579" s="41"/>
      <c r="AD579" s="41"/>
      <c r="AE579" s="41"/>
      <c r="AF579" s="40"/>
      <c r="AG579" s="40"/>
      <c r="AH579" s="5"/>
      <c r="AI579" s="5"/>
      <c r="AJ579" s="40"/>
      <c r="AK579" s="40"/>
      <c r="AL579" s="40"/>
      <c r="AM579" s="40"/>
      <c r="AO579" s="40"/>
      <c r="AQ579" s="40"/>
    </row>
    <row r="580" spans="2:43" ht="12.75" customHeight="1" x14ac:dyDescent="0.15">
      <c r="B580" s="40"/>
      <c r="C580" s="40"/>
      <c r="D580" s="40"/>
      <c r="E580" s="40"/>
      <c r="F580" s="40"/>
      <c r="G580" s="40"/>
      <c r="H580" s="53"/>
      <c r="R580" s="40"/>
      <c r="S580" s="40"/>
      <c r="T580" s="40"/>
      <c r="U580" s="40"/>
      <c r="V580" s="40"/>
      <c r="X580" s="40"/>
      <c r="Y580" s="40"/>
      <c r="Z580" s="40"/>
      <c r="AA580" s="41"/>
      <c r="AB580" s="41"/>
      <c r="AC580" s="41"/>
      <c r="AD580" s="41"/>
      <c r="AE580" s="41"/>
      <c r="AF580" s="40"/>
      <c r="AG580" s="40"/>
      <c r="AH580" s="5"/>
      <c r="AI580" s="5"/>
      <c r="AJ580" s="40"/>
      <c r="AK580" s="40"/>
      <c r="AL580" s="40"/>
      <c r="AM580" s="40"/>
      <c r="AO580" s="40"/>
      <c r="AQ580" s="40"/>
    </row>
    <row r="581" spans="2:43" ht="12.75" customHeight="1" x14ac:dyDescent="0.15">
      <c r="B581" s="40"/>
      <c r="C581" s="40"/>
      <c r="D581" s="40"/>
      <c r="E581" s="40"/>
      <c r="F581" s="40"/>
      <c r="G581" s="40"/>
      <c r="H581" s="53"/>
      <c r="R581" s="40"/>
      <c r="S581" s="40"/>
      <c r="T581" s="40"/>
      <c r="U581" s="40"/>
      <c r="V581" s="40"/>
      <c r="X581" s="40"/>
      <c r="Y581" s="40"/>
      <c r="Z581" s="40"/>
      <c r="AA581" s="41"/>
      <c r="AB581" s="41"/>
      <c r="AC581" s="41"/>
      <c r="AD581" s="41"/>
      <c r="AE581" s="41"/>
      <c r="AF581" s="40"/>
      <c r="AG581" s="40"/>
      <c r="AH581" s="5"/>
      <c r="AI581" s="5"/>
      <c r="AJ581" s="40"/>
      <c r="AK581" s="40"/>
      <c r="AL581" s="40"/>
      <c r="AM581" s="40"/>
      <c r="AO581" s="40"/>
      <c r="AQ581" s="40"/>
    </row>
    <row r="582" spans="2:43" ht="12.75" customHeight="1" x14ac:dyDescent="0.15">
      <c r="B582" s="40"/>
      <c r="C582" s="40"/>
      <c r="D582" s="40"/>
      <c r="E582" s="40"/>
      <c r="F582" s="40"/>
      <c r="G582" s="40"/>
      <c r="H582" s="53"/>
      <c r="R582" s="40"/>
      <c r="S582" s="40"/>
      <c r="T582" s="40"/>
      <c r="U582" s="40"/>
      <c r="V582" s="40"/>
      <c r="X582" s="40"/>
      <c r="Y582" s="40"/>
      <c r="Z582" s="40"/>
      <c r="AA582" s="41"/>
      <c r="AB582" s="41"/>
      <c r="AC582" s="41"/>
      <c r="AD582" s="41"/>
      <c r="AE582" s="41"/>
      <c r="AF582" s="40"/>
      <c r="AG582" s="40"/>
      <c r="AH582" s="5"/>
      <c r="AI582" s="5"/>
      <c r="AJ582" s="40"/>
      <c r="AK582" s="40"/>
      <c r="AL582" s="40"/>
      <c r="AM582" s="40"/>
      <c r="AO582" s="40"/>
      <c r="AQ582" s="40"/>
    </row>
    <row r="583" spans="2:43" ht="12.75" customHeight="1" x14ac:dyDescent="0.15">
      <c r="B583" s="40"/>
      <c r="C583" s="40"/>
      <c r="D583" s="40"/>
      <c r="E583" s="40"/>
      <c r="F583" s="40"/>
      <c r="G583" s="40"/>
      <c r="H583" s="53"/>
      <c r="R583" s="40"/>
      <c r="S583" s="40"/>
      <c r="T583" s="40"/>
      <c r="U583" s="40"/>
      <c r="V583" s="40"/>
      <c r="X583" s="40"/>
      <c r="Y583" s="40"/>
      <c r="Z583" s="40"/>
      <c r="AA583" s="41"/>
      <c r="AB583" s="41"/>
      <c r="AC583" s="41"/>
      <c r="AD583" s="41"/>
      <c r="AE583" s="41"/>
      <c r="AF583" s="40"/>
      <c r="AG583" s="40"/>
      <c r="AH583" s="5"/>
      <c r="AI583" s="5"/>
      <c r="AJ583" s="40"/>
      <c r="AK583" s="40"/>
      <c r="AL583" s="40"/>
      <c r="AM583" s="40"/>
      <c r="AO583" s="40"/>
      <c r="AQ583" s="40"/>
    </row>
    <row r="584" spans="2:43" ht="12.75" customHeight="1" x14ac:dyDescent="0.15">
      <c r="B584" s="40"/>
      <c r="C584" s="40"/>
      <c r="D584" s="40"/>
      <c r="E584" s="40"/>
      <c r="F584" s="40"/>
      <c r="G584" s="40"/>
      <c r="H584" s="53"/>
      <c r="R584" s="40"/>
      <c r="S584" s="40"/>
      <c r="T584" s="40"/>
      <c r="U584" s="40"/>
      <c r="V584" s="40"/>
      <c r="X584" s="40"/>
      <c r="Y584" s="40"/>
      <c r="Z584" s="40"/>
      <c r="AA584" s="41"/>
      <c r="AB584" s="41"/>
      <c r="AC584" s="41"/>
      <c r="AD584" s="41"/>
      <c r="AE584" s="41"/>
      <c r="AF584" s="40"/>
      <c r="AG584" s="40"/>
      <c r="AH584" s="5"/>
      <c r="AI584" s="5"/>
      <c r="AJ584" s="40"/>
      <c r="AK584" s="40"/>
      <c r="AL584" s="40"/>
      <c r="AM584" s="40"/>
      <c r="AO584" s="40"/>
      <c r="AQ584" s="40"/>
    </row>
    <row r="585" spans="2:43" ht="12.75" customHeight="1" x14ac:dyDescent="0.15">
      <c r="B585" s="40"/>
      <c r="C585" s="40"/>
      <c r="D585" s="40"/>
      <c r="E585" s="40"/>
      <c r="F585" s="40"/>
      <c r="G585" s="40"/>
      <c r="H585" s="53"/>
      <c r="R585" s="40"/>
      <c r="S585" s="40"/>
      <c r="T585" s="40"/>
      <c r="U585" s="40"/>
      <c r="V585" s="40"/>
      <c r="X585" s="40"/>
      <c r="Y585" s="40"/>
      <c r="Z585" s="40"/>
      <c r="AA585" s="41"/>
      <c r="AB585" s="41"/>
      <c r="AC585" s="41"/>
      <c r="AD585" s="41"/>
      <c r="AE585" s="41"/>
      <c r="AF585" s="40"/>
      <c r="AG585" s="40"/>
      <c r="AH585" s="5"/>
      <c r="AI585" s="5"/>
      <c r="AJ585" s="40"/>
      <c r="AK585" s="40"/>
      <c r="AL585" s="40"/>
      <c r="AM585" s="40"/>
      <c r="AO585" s="40"/>
      <c r="AQ585" s="40"/>
    </row>
    <row r="586" spans="2:43" ht="12.75" customHeight="1" x14ac:dyDescent="0.15">
      <c r="B586" s="40"/>
      <c r="C586" s="40"/>
      <c r="D586" s="40"/>
      <c r="E586" s="40"/>
      <c r="F586" s="40"/>
      <c r="G586" s="40"/>
      <c r="H586" s="53"/>
      <c r="R586" s="40"/>
      <c r="S586" s="40"/>
      <c r="T586" s="40"/>
      <c r="U586" s="40"/>
      <c r="V586" s="40"/>
      <c r="X586" s="40"/>
      <c r="Y586" s="40"/>
      <c r="Z586" s="40"/>
      <c r="AA586" s="41"/>
      <c r="AB586" s="41"/>
      <c r="AC586" s="41"/>
      <c r="AD586" s="41"/>
      <c r="AE586" s="41"/>
      <c r="AF586" s="40"/>
      <c r="AG586" s="40"/>
      <c r="AH586" s="5"/>
      <c r="AI586" s="5"/>
      <c r="AJ586" s="40"/>
      <c r="AK586" s="40"/>
      <c r="AL586" s="40"/>
      <c r="AM586" s="40"/>
      <c r="AO586" s="40"/>
      <c r="AQ586" s="40"/>
    </row>
    <row r="587" spans="2:43" ht="12.75" customHeight="1" x14ac:dyDescent="0.15">
      <c r="B587" s="40"/>
      <c r="C587" s="40"/>
      <c r="D587" s="40"/>
      <c r="E587" s="40"/>
      <c r="F587" s="40"/>
      <c r="G587" s="40"/>
      <c r="H587" s="53"/>
      <c r="R587" s="40"/>
      <c r="S587" s="40"/>
      <c r="T587" s="40"/>
      <c r="U587" s="40"/>
      <c r="V587" s="40"/>
      <c r="X587" s="40"/>
      <c r="Y587" s="40"/>
      <c r="Z587" s="40"/>
      <c r="AA587" s="41"/>
      <c r="AB587" s="41"/>
      <c r="AC587" s="41"/>
      <c r="AD587" s="41"/>
      <c r="AE587" s="41"/>
      <c r="AF587" s="40"/>
      <c r="AG587" s="40"/>
      <c r="AH587" s="5"/>
      <c r="AI587" s="5"/>
      <c r="AJ587" s="40"/>
      <c r="AK587" s="40"/>
      <c r="AL587" s="40"/>
      <c r="AM587" s="40"/>
      <c r="AO587" s="40"/>
      <c r="AQ587" s="40"/>
    </row>
    <row r="588" spans="2:43" ht="12.75" customHeight="1" x14ac:dyDescent="0.15">
      <c r="B588" s="40"/>
      <c r="C588" s="40"/>
      <c r="D588" s="40"/>
      <c r="E588" s="40"/>
      <c r="F588" s="40"/>
      <c r="G588" s="40"/>
      <c r="H588" s="53"/>
      <c r="R588" s="40"/>
      <c r="S588" s="40"/>
      <c r="T588" s="40"/>
      <c r="U588" s="40"/>
      <c r="V588" s="40"/>
      <c r="X588" s="40"/>
      <c r="Y588" s="40"/>
      <c r="Z588" s="40"/>
      <c r="AA588" s="41"/>
      <c r="AB588" s="41"/>
      <c r="AC588" s="41"/>
      <c r="AD588" s="41"/>
      <c r="AE588" s="41"/>
      <c r="AF588" s="40"/>
      <c r="AG588" s="40"/>
      <c r="AH588" s="5"/>
      <c r="AI588" s="5"/>
      <c r="AJ588" s="40"/>
      <c r="AK588" s="40"/>
      <c r="AL588" s="40"/>
      <c r="AM588" s="40"/>
      <c r="AO588" s="40"/>
      <c r="AQ588" s="40"/>
    </row>
    <row r="589" spans="2:43" ht="12.75" customHeight="1" x14ac:dyDescent="0.15">
      <c r="B589" s="40"/>
      <c r="C589" s="40"/>
      <c r="D589" s="40"/>
      <c r="E589" s="40"/>
      <c r="F589" s="40"/>
      <c r="G589" s="40"/>
      <c r="H589" s="53"/>
      <c r="R589" s="40"/>
      <c r="S589" s="40"/>
      <c r="T589" s="40"/>
      <c r="U589" s="40"/>
      <c r="V589" s="40"/>
      <c r="X589" s="40"/>
      <c r="Y589" s="40"/>
      <c r="Z589" s="40"/>
      <c r="AA589" s="41"/>
      <c r="AB589" s="41"/>
      <c r="AC589" s="41"/>
      <c r="AD589" s="41"/>
      <c r="AE589" s="41"/>
      <c r="AF589" s="40"/>
      <c r="AG589" s="40"/>
      <c r="AH589" s="5"/>
      <c r="AI589" s="5"/>
      <c r="AJ589" s="40"/>
      <c r="AK589" s="40"/>
      <c r="AL589" s="40"/>
      <c r="AM589" s="40"/>
      <c r="AO589" s="40"/>
      <c r="AQ589" s="40"/>
    </row>
    <row r="590" spans="2:43" ht="12.75" customHeight="1" x14ac:dyDescent="0.15">
      <c r="B590" s="40"/>
      <c r="C590" s="40"/>
      <c r="D590" s="40"/>
      <c r="E590" s="40"/>
      <c r="F590" s="40"/>
      <c r="G590" s="40"/>
      <c r="H590" s="53"/>
      <c r="R590" s="40"/>
      <c r="S590" s="40"/>
      <c r="T590" s="40"/>
      <c r="U590" s="40"/>
      <c r="V590" s="40"/>
      <c r="X590" s="40"/>
      <c r="Y590" s="40"/>
      <c r="Z590" s="40"/>
      <c r="AA590" s="41"/>
      <c r="AB590" s="41"/>
      <c r="AC590" s="41"/>
      <c r="AD590" s="41"/>
      <c r="AE590" s="41"/>
      <c r="AF590" s="40"/>
      <c r="AG590" s="40"/>
      <c r="AH590" s="5"/>
      <c r="AI590" s="5"/>
      <c r="AJ590" s="40"/>
      <c r="AK590" s="40"/>
      <c r="AL590" s="40"/>
      <c r="AM590" s="40"/>
      <c r="AO590" s="40"/>
      <c r="AQ590" s="40"/>
    </row>
    <row r="591" spans="2:43" ht="12.75" customHeight="1" x14ac:dyDescent="0.15">
      <c r="B591" s="40"/>
      <c r="C591" s="40"/>
      <c r="D591" s="40"/>
      <c r="E591" s="40"/>
      <c r="F591" s="40"/>
      <c r="G591" s="40"/>
      <c r="H591" s="53"/>
      <c r="R591" s="40"/>
      <c r="S591" s="40"/>
      <c r="T591" s="40"/>
      <c r="U591" s="40"/>
      <c r="V591" s="40"/>
      <c r="X591" s="40"/>
      <c r="Y591" s="40"/>
      <c r="Z591" s="40"/>
      <c r="AA591" s="41"/>
      <c r="AB591" s="41"/>
      <c r="AC591" s="41"/>
      <c r="AD591" s="41"/>
      <c r="AE591" s="41"/>
      <c r="AF591" s="40"/>
      <c r="AG591" s="40"/>
      <c r="AH591" s="5"/>
      <c r="AI591" s="5"/>
      <c r="AJ591" s="40"/>
      <c r="AK591" s="40"/>
      <c r="AL591" s="40"/>
      <c r="AM591" s="40"/>
      <c r="AO591" s="40"/>
      <c r="AQ591" s="40"/>
    </row>
    <row r="592" spans="2:43" ht="12.75" customHeight="1" x14ac:dyDescent="0.15">
      <c r="B592" s="40"/>
      <c r="C592" s="40"/>
      <c r="D592" s="40"/>
      <c r="E592" s="40"/>
      <c r="F592" s="40"/>
      <c r="G592" s="40"/>
      <c r="H592" s="53"/>
      <c r="R592" s="40"/>
      <c r="S592" s="40"/>
      <c r="T592" s="40"/>
      <c r="U592" s="40"/>
      <c r="V592" s="40"/>
      <c r="X592" s="40"/>
      <c r="Y592" s="40"/>
      <c r="Z592" s="40"/>
      <c r="AA592" s="41"/>
      <c r="AB592" s="41"/>
      <c r="AC592" s="41"/>
      <c r="AD592" s="41"/>
      <c r="AE592" s="41"/>
      <c r="AF592" s="40"/>
      <c r="AG592" s="40"/>
      <c r="AH592" s="5"/>
      <c r="AI592" s="5"/>
      <c r="AJ592" s="40"/>
      <c r="AK592" s="40"/>
      <c r="AL592" s="40"/>
      <c r="AM592" s="40"/>
      <c r="AO592" s="40"/>
      <c r="AQ592" s="40"/>
    </row>
    <row r="593" spans="2:43" ht="12.75" customHeight="1" x14ac:dyDescent="0.15">
      <c r="B593" s="40"/>
      <c r="C593" s="40"/>
      <c r="D593" s="40"/>
      <c r="E593" s="40"/>
      <c r="F593" s="40"/>
      <c r="G593" s="40"/>
      <c r="H593" s="53"/>
      <c r="R593" s="40"/>
      <c r="S593" s="40"/>
      <c r="T593" s="40"/>
      <c r="U593" s="40"/>
      <c r="V593" s="40"/>
      <c r="X593" s="40"/>
      <c r="Y593" s="40"/>
      <c r="Z593" s="40"/>
      <c r="AA593" s="41"/>
      <c r="AB593" s="41"/>
      <c r="AC593" s="41"/>
      <c r="AD593" s="41"/>
      <c r="AE593" s="41"/>
      <c r="AF593" s="40"/>
      <c r="AG593" s="40"/>
      <c r="AH593" s="5"/>
      <c r="AI593" s="5"/>
      <c r="AJ593" s="40"/>
      <c r="AK593" s="40"/>
      <c r="AL593" s="40"/>
      <c r="AM593" s="40"/>
      <c r="AO593" s="40"/>
      <c r="AQ593" s="40"/>
    </row>
    <row r="594" spans="2:43" ht="12.75" customHeight="1" x14ac:dyDescent="0.15">
      <c r="B594" s="40"/>
      <c r="C594" s="40"/>
      <c r="D594" s="40"/>
      <c r="E594" s="40"/>
      <c r="F594" s="40"/>
      <c r="G594" s="40"/>
      <c r="H594" s="53"/>
      <c r="R594" s="40"/>
      <c r="S594" s="40"/>
      <c r="T594" s="40"/>
      <c r="U594" s="40"/>
      <c r="V594" s="40"/>
      <c r="X594" s="40"/>
      <c r="Y594" s="40"/>
      <c r="Z594" s="40"/>
      <c r="AA594" s="41"/>
      <c r="AB594" s="41"/>
      <c r="AC594" s="41"/>
      <c r="AD594" s="41"/>
      <c r="AE594" s="41"/>
      <c r="AF594" s="40"/>
      <c r="AG594" s="40"/>
      <c r="AH594" s="5"/>
      <c r="AI594" s="5"/>
      <c r="AJ594" s="40"/>
      <c r="AK594" s="40"/>
      <c r="AL594" s="40"/>
      <c r="AM594" s="40"/>
      <c r="AO594" s="40"/>
      <c r="AQ594" s="40"/>
    </row>
    <row r="595" spans="2:43" ht="12.75" customHeight="1" x14ac:dyDescent="0.15">
      <c r="B595" s="40"/>
      <c r="C595" s="40"/>
      <c r="D595" s="40"/>
      <c r="E595" s="40"/>
      <c r="F595" s="40"/>
      <c r="G595" s="40"/>
      <c r="H595" s="53"/>
      <c r="R595" s="40"/>
      <c r="S595" s="40"/>
      <c r="T595" s="40"/>
      <c r="U595" s="40"/>
      <c r="V595" s="40"/>
      <c r="X595" s="40"/>
      <c r="Y595" s="40"/>
      <c r="Z595" s="40"/>
      <c r="AA595" s="41"/>
      <c r="AB595" s="41"/>
      <c r="AC595" s="41"/>
      <c r="AD595" s="41"/>
      <c r="AE595" s="41"/>
      <c r="AF595" s="40"/>
      <c r="AG595" s="40"/>
      <c r="AH595" s="5"/>
      <c r="AI595" s="5"/>
      <c r="AJ595" s="40"/>
      <c r="AK595" s="40"/>
      <c r="AL595" s="40"/>
      <c r="AM595" s="40"/>
      <c r="AO595" s="40"/>
      <c r="AQ595" s="40"/>
    </row>
    <row r="596" spans="2:43" ht="12.75" customHeight="1" x14ac:dyDescent="0.15">
      <c r="B596" s="40"/>
      <c r="C596" s="40"/>
      <c r="D596" s="40"/>
      <c r="E596" s="40"/>
      <c r="F596" s="40"/>
      <c r="G596" s="40"/>
      <c r="H596" s="53"/>
      <c r="R596" s="40"/>
      <c r="S596" s="40"/>
      <c r="T596" s="40"/>
      <c r="U596" s="40"/>
      <c r="V596" s="40"/>
      <c r="X596" s="40"/>
      <c r="Y596" s="40"/>
      <c r="Z596" s="40"/>
      <c r="AA596" s="41"/>
      <c r="AB596" s="41"/>
      <c r="AC596" s="41"/>
      <c r="AD596" s="41"/>
      <c r="AE596" s="41"/>
      <c r="AF596" s="40"/>
      <c r="AG596" s="40"/>
      <c r="AH596" s="5"/>
      <c r="AI596" s="5"/>
      <c r="AJ596" s="40"/>
      <c r="AK596" s="40"/>
      <c r="AL596" s="40"/>
      <c r="AM596" s="40"/>
      <c r="AO596" s="40"/>
      <c r="AQ596" s="40"/>
    </row>
    <row r="597" spans="2:43" ht="12.75" customHeight="1" x14ac:dyDescent="0.15">
      <c r="B597" s="40"/>
      <c r="C597" s="40"/>
      <c r="D597" s="40"/>
      <c r="E597" s="40"/>
      <c r="F597" s="40"/>
      <c r="G597" s="40"/>
      <c r="H597" s="53"/>
      <c r="R597" s="40"/>
      <c r="S597" s="40"/>
      <c r="T597" s="40"/>
      <c r="U597" s="40"/>
      <c r="V597" s="40"/>
      <c r="X597" s="40"/>
      <c r="Y597" s="40"/>
      <c r="Z597" s="40"/>
      <c r="AA597" s="41"/>
      <c r="AB597" s="41"/>
      <c r="AC597" s="41"/>
      <c r="AD597" s="41"/>
      <c r="AE597" s="41"/>
      <c r="AF597" s="40"/>
      <c r="AG597" s="40"/>
      <c r="AH597" s="5"/>
      <c r="AI597" s="5"/>
      <c r="AJ597" s="40"/>
      <c r="AK597" s="40"/>
      <c r="AL597" s="40"/>
      <c r="AM597" s="40"/>
      <c r="AO597" s="40"/>
      <c r="AQ597" s="40"/>
    </row>
    <row r="598" spans="2:43" ht="12.75" customHeight="1" x14ac:dyDescent="0.15">
      <c r="B598" s="40"/>
      <c r="C598" s="40"/>
      <c r="D598" s="40"/>
      <c r="E598" s="40"/>
      <c r="F598" s="40"/>
      <c r="G598" s="40"/>
      <c r="H598" s="53"/>
      <c r="R598" s="40"/>
      <c r="S598" s="40"/>
      <c r="T598" s="40"/>
      <c r="U598" s="40"/>
      <c r="V598" s="40"/>
      <c r="X598" s="40"/>
      <c r="Y598" s="40"/>
      <c r="Z598" s="40"/>
      <c r="AA598" s="41"/>
      <c r="AB598" s="41"/>
      <c r="AC598" s="41"/>
      <c r="AD598" s="41"/>
      <c r="AE598" s="41"/>
      <c r="AF598" s="40"/>
      <c r="AG598" s="40"/>
      <c r="AH598" s="5"/>
      <c r="AI598" s="5"/>
      <c r="AJ598" s="40"/>
      <c r="AK598" s="40"/>
      <c r="AL598" s="40"/>
      <c r="AM598" s="40"/>
      <c r="AO598" s="40"/>
      <c r="AQ598" s="40"/>
    </row>
    <row r="599" spans="2:43" ht="12.75" customHeight="1" x14ac:dyDescent="0.15">
      <c r="B599" s="40"/>
      <c r="C599" s="40"/>
      <c r="D599" s="40"/>
      <c r="E599" s="40"/>
      <c r="F599" s="40"/>
      <c r="G599" s="40"/>
      <c r="H599" s="53"/>
      <c r="R599" s="40"/>
      <c r="S599" s="40"/>
      <c r="T599" s="40"/>
      <c r="U599" s="40"/>
      <c r="V599" s="40"/>
      <c r="X599" s="40"/>
      <c r="Y599" s="40"/>
      <c r="Z599" s="40"/>
      <c r="AA599" s="41"/>
      <c r="AB599" s="41"/>
      <c r="AC599" s="41"/>
      <c r="AD599" s="41"/>
      <c r="AE599" s="41"/>
      <c r="AF599" s="40"/>
      <c r="AG599" s="40"/>
      <c r="AH599" s="5"/>
      <c r="AI599" s="5"/>
      <c r="AJ599" s="40"/>
      <c r="AK599" s="40"/>
      <c r="AL599" s="40"/>
      <c r="AM599" s="40"/>
      <c r="AO599" s="40"/>
      <c r="AQ599" s="40"/>
    </row>
    <row r="600" spans="2:43" ht="12.75" customHeight="1" x14ac:dyDescent="0.15">
      <c r="B600" s="40"/>
      <c r="C600" s="40"/>
      <c r="D600" s="40"/>
      <c r="E600" s="40"/>
      <c r="F600" s="40"/>
      <c r="G600" s="40"/>
      <c r="H600" s="53"/>
      <c r="R600" s="40"/>
      <c r="S600" s="40"/>
      <c r="T600" s="40"/>
      <c r="U600" s="40"/>
      <c r="V600" s="40"/>
      <c r="X600" s="40"/>
      <c r="Y600" s="40"/>
      <c r="Z600" s="40"/>
      <c r="AA600" s="41"/>
      <c r="AB600" s="41"/>
      <c r="AC600" s="41"/>
      <c r="AD600" s="41"/>
      <c r="AE600" s="41"/>
      <c r="AF600" s="40"/>
      <c r="AG600" s="40"/>
      <c r="AH600" s="5"/>
      <c r="AI600" s="5"/>
      <c r="AJ600" s="40"/>
      <c r="AK600" s="40"/>
      <c r="AL600" s="40"/>
      <c r="AM600" s="40"/>
      <c r="AO600" s="40"/>
      <c r="AQ600" s="40"/>
    </row>
    <row r="601" spans="2:43" ht="12.75" customHeight="1" x14ac:dyDescent="0.15">
      <c r="B601" s="40"/>
      <c r="C601" s="40"/>
      <c r="D601" s="40"/>
      <c r="E601" s="40"/>
      <c r="F601" s="40"/>
      <c r="G601" s="40"/>
      <c r="H601" s="53"/>
      <c r="R601" s="40"/>
      <c r="S601" s="40"/>
      <c r="T601" s="40"/>
      <c r="U601" s="40"/>
      <c r="V601" s="40"/>
      <c r="X601" s="40"/>
      <c r="Y601" s="40"/>
      <c r="Z601" s="40"/>
      <c r="AA601" s="41"/>
      <c r="AB601" s="41"/>
      <c r="AC601" s="41"/>
      <c r="AD601" s="41"/>
      <c r="AE601" s="41"/>
      <c r="AF601" s="40"/>
      <c r="AG601" s="40"/>
      <c r="AH601" s="5"/>
      <c r="AI601" s="5"/>
      <c r="AJ601" s="40"/>
      <c r="AK601" s="40"/>
      <c r="AL601" s="40"/>
      <c r="AM601" s="40"/>
      <c r="AO601" s="40"/>
      <c r="AQ601" s="40"/>
    </row>
    <row r="602" spans="2:43" ht="12.75" customHeight="1" x14ac:dyDescent="0.15">
      <c r="B602" s="40"/>
      <c r="C602" s="40"/>
      <c r="D602" s="40"/>
      <c r="E602" s="40"/>
      <c r="F602" s="40"/>
      <c r="G602" s="40"/>
      <c r="H602" s="53"/>
      <c r="R602" s="40"/>
      <c r="S602" s="40"/>
      <c r="T602" s="40"/>
      <c r="U602" s="40"/>
      <c r="V602" s="40"/>
      <c r="X602" s="40"/>
      <c r="Y602" s="40"/>
      <c r="Z602" s="40"/>
      <c r="AA602" s="41"/>
      <c r="AB602" s="41"/>
      <c r="AC602" s="41"/>
      <c r="AD602" s="41"/>
      <c r="AE602" s="41"/>
      <c r="AF602" s="40"/>
      <c r="AG602" s="40"/>
      <c r="AH602" s="5"/>
      <c r="AI602" s="5"/>
      <c r="AJ602" s="40"/>
      <c r="AK602" s="40"/>
      <c r="AL602" s="40"/>
      <c r="AM602" s="40"/>
      <c r="AO602" s="40"/>
      <c r="AQ602" s="40"/>
    </row>
    <row r="603" spans="2:43" ht="12.75" customHeight="1" x14ac:dyDescent="0.15">
      <c r="B603" s="40"/>
      <c r="C603" s="40"/>
      <c r="D603" s="40"/>
      <c r="E603" s="40"/>
      <c r="F603" s="40"/>
      <c r="G603" s="40"/>
      <c r="H603" s="53"/>
      <c r="R603" s="40"/>
      <c r="S603" s="40"/>
      <c r="T603" s="40"/>
      <c r="U603" s="40"/>
      <c r="V603" s="40"/>
      <c r="X603" s="40"/>
      <c r="Y603" s="40"/>
      <c r="Z603" s="40"/>
      <c r="AA603" s="41"/>
      <c r="AB603" s="41"/>
      <c r="AC603" s="41"/>
      <c r="AD603" s="41"/>
      <c r="AE603" s="41"/>
      <c r="AF603" s="40"/>
      <c r="AG603" s="40"/>
      <c r="AH603" s="5"/>
      <c r="AI603" s="5"/>
      <c r="AJ603" s="40"/>
      <c r="AK603" s="40"/>
      <c r="AL603" s="40"/>
      <c r="AM603" s="40"/>
      <c r="AO603" s="40"/>
      <c r="AQ603" s="40"/>
    </row>
    <row r="604" spans="2:43" ht="12.75" customHeight="1" x14ac:dyDescent="0.15">
      <c r="B604" s="40"/>
      <c r="C604" s="40"/>
      <c r="D604" s="40"/>
      <c r="E604" s="40"/>
      <c r="F604" s="40"/>
      <c r="G604" s="40"/>
      <c r="H604" s="53"/>
      <c r="R604" s="40"/>
      <c r="S604" s="40"/>
      <c r="T604" s="40"/>
      <c r="U604" s="40"/>
      <c r="V604" s="40"/>
      <c r="X604" s="40"/>
      <c r="Y604" s="40"/>
      <c r="Z604" s="40"/>
      <c r="AA604" s="41"/>
      <c r="AB604" s="41"/>
      <c r="AC604" s="41"/>
      <c r="AD604" s="41"/>
      <c r="AE604" s="41"/>
      <c r="AF604" s="40"/>
      <c r="AG604" s="40"/>
      <c r="AH604" s="5"/>
      <c r="AI604" s="5"/>
      <c r="AJ604" s="40"/>
      <c r="AK604" s="40"/>
      <c r="AL604" s="40"/>
      <c r="AM604" s="40"/>
      <c r="AO604" s="40"/>
      <c r="AQ604" s="40"/>
    </row>
    <row r="605" spans="2:43" ht="12.75" customHeight="1" x14ac:dyDescent="0.15">
      <c r="B605" s="40"/>
      <c r="C605" s="40"/>
      <c r="D605" s="40"/>
      <c r="E605" s="40"/>
      <c r="F605" s="40"/>
      <c r="G605" s="40"/>
      <c r="H605" s="53"/>
      <c r="R605" s="40"/>
      <c r="S605" s="40"/>
      <c r="T605" s="40"/>
      <c r="U605" s="40"/>
      <c r="V605" s="40"/>
      <c r="X605" s="40"/>
      <c r="Y605" s="40"/>
      <c r="Z605" s="40"/>
      <c r="AA605" s="41"/>
      <c r="AB605" s="41"/>
      <c r="AC605" s="41"/>
      <c r="AD605" s="41"/>
      <c r="AE605" s="41"/>
      <c r="AF605" s="40"/>
      <c r="AG605" s="40"/>
      <c r="AH605" s="5"/>
      <c r="AI605" s="5"/>
      <c r="AJ605" s="40"/>
      <c r="AK605" s="40"/>
      <c r="AL605" s="40"/>
      <c r="AM605" s="40"/>
      <c r="AO605" s="40"/>
      <c r="AQ605" s="40"/>
    </row>
    <row r="606" spans="2:43" ht="12.75" customHeight="1" x14ac:dyDescent="0.15">
      <c r="B606" s="40"/>
      <c r="C606" s="40"/>
      <c r="D606" s="40"/>
      <c r="E606" s="40"/>
      <c r="F606" s="40"/>
      <c r="G606" s="40"/>
      <c r="H606" s="53"/>
      <c r="R606" s="40"/>
      <c r="S606" s="40"/>
      <c r="T606" s="40"/>
      <c r="U606" s="40"/>
      <c r="V606" s="40"/>
      <c r="X606" s="40"/>
      <c r="Y606" s="40"/>
      <c r="Z606" s="40"/>
      <c r="AA606" s="41"/>
      <c r="AB606" s="41"/>
      <c r="AC606" s="41"/>
      <c r="AD606" s="41"/>
      <c r="AE606" s="41"/>
      <c r="AF606" s="40"/>
      <c r="AG606" s="40"/>
      <c r="AH606" s="5"/>
      <c r="AI606" s="5"/>
      <c r="AJ606" s="40"/>
      <c r="AK606" s="40"/>
      <c r="AL606" s="40"/>
      <c r="AM606" s="40"/>
      <c r="AO606" s="40"/>
      <c r="AQ606" s="40"/>
    </row>
    <row r="607" spans="2:43" ht="12.75" customHeight="1" x14ac:dyDescent="0.15">
      <c r="B607" s="40"/>
      <c r="C607" s="40"/>
      <c r="D607" s="40"/>
      <c r="E607" s="40"/>
      <c r="F607" s="40"/>
      <c r="G607" s="40"/>
      <c r="H607" s="53"/>
      <c r="R607" s="40"/>
      <c r="S607" s="40"/>
      <c r="T607" s="40"/>
      <c r="U607" s="40"/>
      <c r="V607" s="40"/>
      <c r="X607" s="40"/>
      <c r="Y607" s="40"/>
      <c r="Z607" s="40"/>
      <c r="AA607" s="41"/>
      <c r="AB607" s="41"/>
      <c r="AC607" s="41"/>
      <c r="AD607" s="41"/>
      <c r="AE607" s="41"/>
      <c r="AF607" s="40"/>
      <c r="AG607" s="40"/>
      <c r="AH607" s="5"/>
      <c r="AI607" s="5"/>
      <c r="AJ607" s="40"/>
      <c r="AK607" s="40"/>
      <c r="AL607" s="40"/>
      <c r="AM607" s="40"/>
      <c r="AO607" s="40"/>
      <c r="AQ607" s="40"/>
    </row>
    <row r="608" spans="2:43" ht="12.75" customHeight="1" x14ac:dyDescent="0.15">
      <c r="B608" s="40"/>
      <c r="C608" s="40"/>
      <c r="D608" s="40"/>
      <c r="E608" s="40"/>
      <c r="F608" s="40"/>
      <c r="G608" s="40"/>
      <c r="H608" s="53"/>
      <c r="R608" s="40"/>
      <c r="S608" s="40"/>
      <c r="T608" s="40"/>
      <c r="U608" s="40"/>
      <c r="V608" s="40"/>
      <c r="X608" s="40"/>
      <c r="Y608" s="40"/>
      <c r="Z608" s="40"/>
      <c r="AA608" s="41"/>
      <c r="AB608" s="41"/>
      <c r="AC608" s="41"/>
      <c r="AD608" s="41"/>
      <c r="AE608" s="41"/>
      <c r="AF608" s="40"/>
      <c r="AG608" s="40"/>
      <c r="AH608" s="5"/>
      <c r="AI608" s="5"/>
      <c r="AJ608" s="40"/>
      <c r="AK608" s="40"/>
      <c r="AL608" s="40"/>
      <c r="AM608" s="40"/>
      <c r="AO608" s="40"/>
      <c r="AQ608" s="40"/>
    </row>
    <row r="609" spans="2:43" ht="12.75" customHeight="1" x14ac:dyDescent="0.15">
      <c r="B609" s="40"/>
      <c r="C609" s="40"/>
      <c r="D609" s="40"/>
      <c r="E609" s="40"/>
      <c r="F609" s="40"/>
      <c r="G609" s="40"/>
      <c r="H609" s="53"/>
      <c r="R609" s="40"/>
      <c r="S609" s="40"/>
      <c r="T609" s="40"/>
      <c r="U609" s="40"/>
      <c r="V609" s="40"/>
      <c r="X609" s="40"/>
      <c r="Y609" s="40"/>
      <c r="Z609" s="40"/>
      <c r="AA609" s="41"/>
      <c r="AB609" s="41"/>
      <c r="AC609" s="41"/>
      <c r="AD609" s="41"/>
      <c r="AE609" s="41"/>
      <c r="AF609" s="40"/>
      <c r="AG609" s="40"/>
      <c r="AH609" s="5"/>
      <c r="AI609" s="5"/>
      <c r="AJ609" s="40"/>
      <c r="AK609" s="40"/>
      <c r="AL609" s="40"/>
      <c r="AM609" s="40"/>
      <c r="AO609" s="40"/>
      <c r="AQ609" s="40"/>
    </row>
    <row r="610" spans="2:43" ht="12.75" customHeight="1" x14ac:dyDescent="0.15">
      <c r="B610" s="40"/>
      <c r="C610" s="40"/>
      <c r="D610" s="40"/>
      <c r="E610" s="40"/>
      <c r="F610" s="40"/>
      <c r="G610" s="40"/>
      <c r="H610" s="53"/>
      <c r="R610" s="40"/>
      <c r="S610" s="40"/>
      <c r="T610" s="40"/>
      <c r="U610" s="40"/>
      <c r="V610" s="40"/>
      <c r="X610" s="40"/>
      <c r="Y610" s="40"/>
      <c r="Z610" s="40"/>
      <c r="AA610" s="41"/>
      <c r="AB610" s="41"/>
      <c r="AC610" s="41"/>
      <c r="AD610" s="41"/>
      <c r="AE610" s="41"/>
      <c r="AF610" s="40"/>
      <c r="AG610" s="40"/>
      <c r="AH610" s="5"/>
      <c r="AI610" s="5"/>
      <c r="AJ610" s="40"/>
      <c r="AK610" s="40"/>
      <c r="AL610" s="40"/>
      <c r="AM610" s="40"/>
      <c r="AO610" s="40"/>
      <c r="AQ610" s="40"/>
    </row>
    <row r="611" spans="2:43" ht="12.75" customHeight="1" x14ac:dyDescent="0.15">
      <c r="B611" s="40"/>
      <c r="C611" s="40"/>
      <c r="D611" s="40"/>
      <c r="E611" s="40"/>
      <c r="F611" s="40"/>
      <c r="G611" s="40"/>
      <c r="H611" s="53"/>
      <c r="R611" s="40"/>
      <c r="S611" s="40"/>
      <c r="T611" s="40"/>
      <c r="U611" s="40"/>
      <c r="V611" s="40"/>
      <c r="X611" s="40"/>
      <c r="Y611" s="40"/>
      <c r="Z611" s="40"/>
      <c r="AA611" s="41"/>
      <c r="AB611" s="41"/>
      <c r="AC611" s="41"/>
      <c r="AD611" s="41"/>
      <c r="AE611" s="41"/>
      <c r="AF611" s="40"/>
      <c r="AG611" s="40"/>
      <c r="AH611" s="5"/>
      <c r="AI611" s="5"/>
      <c r="AJ611" s="40"/>
      <c r="AK611" s="40"/>
      <c r="AL611" s="40"/>
      <c r="AM611" s="40"/>
      <c r="AO611" s="40"/>
      <c r="AQ611" s="40"/>
    </row>
    <row r="612" spans="2:43" ht="12.75" customHeight="1" x14ac:dyDescent="0.15">
      <c r="B612" s="40"/>
      <c r="C612" s="40"/>
      <c r="D612" s="40"/>
      <c r="E612" s="40"/>
      <c r="F612" s="40"/>
      <c r="G612" s="40"/>
      <c r="H612" s="53"/>
      <c r="R612" s="40"/>
      <c r="S612" s="40"/>
      <c r="T612" s="40"/>
      <c r="U612" s="40"/>
      <c r="V612" s="40"/>
      <c r="X612" s="40"/>
      <c r="Y612" s="40"/>
      <c r="Z612" s="40"/>
      <c r="AA612" s="41"/>
      <c r="AB612" s="41"/>
      <c r="AC612" s="41"/>
      <c r="AD612" s="41"/>
      <c r="AE612" s="41"/>
      <c r="AF612" s="40"/>
      <c r="AG612" s="40"/>
      <c r="AH612" s="5"/>
      <c r="AI612" s="5"/>
      <c r="AJ612" s="40"/>
      <c r="AK612" s="40"/>
      <c r="AL612" s="40"/>
      <c r="AM612" s="40"/>
      <c r="AO612" s="40"/>
      <c r="AQ612" s="40"/>
    </row>
    <row r="613" spans="2:43" ht="12.75" customHeight="1" x14ac:dyDescent="0.15">
      <c r="B613" s="40"/>
      <c r="C613" s="40"/>
      <c r="D613" s="40"/>
      <c r="E613" s="40"/>
      <c r="F613" s="40"/>
      <c r="G613" s="40"/>
      <c r="H613" s="53"/>
      <c r="R613" s="40"/>
      <c r="S613" s="40"/>
      <c r="T613" s="40"/>
      <c r="U613" s="40"/>
      <c r="V613" s="40"/>
      <c r="X613" s="40"/>
      <c r="Y613" s="40"/>
      <c r="Z613" s="40"/>
      <c r="AA613" s="41"/>
      <c r="AB613" s="41"/>
      <c r="AC613" s="41"/>
      <c r="AD613" s="41"/>
      <c r="AE613" s="41"/>
      <c r="AF613" s="40"/>
      <c r="AG613" s="40"/>
      <c r="AH613" s="5"/>
      <c r="AI613" s="5"/>
      <c r="AJ613" s="40"/>
      <c r="AK613" s="40"/>
      <c r="AL613" s="40"/>
      <c r="AM613" s="40"/>
      <c r="AO613" s="40"/>
      <c r="AQ613" s="40"/>
    </row>
    <row r="614" spans="2:43" ht="12.75" customHeight="1" x14ac:dyDescent="0.15">
      <c r="B614" s="40"/>
      <c r="C614" s="40"/>
      <c r="D614" s="40"/>
      <c r="E614" s="40"/>
      <c r="F614" s="40"/>
      <c r="G614" s="40"/>
      <c r="H614" s="53"/>
      <c r="R614" s="40"/>
      <c r="S614" s="40"/>
      <c r="T614" s="40"/>
      <c r="U614" s="40"/>
      <c r="V614" s="40"/>
      <c r="X614" s="40"/>
      <c r="Y614" s="40"/>
      <c r="Z614" s="40"/>
      <c r="AA614" s="41"/>
      <c r="AB614" s="41"/>
      <c r="AC614" s="41"/>
      <c r="AD614" s="41"/>
      <c r="AE614" s="41"/>
      <c r="AF614" s="40"/>
      <c r="AG614" s="40"/>
      <c r="AH614" s="5"/>
      <c r="AI614" s="5"/>
      <c r="AJ614" s="40"/>
      <c r="AK614" s="40"/>
      <c r="AL614" s="40"/>
      <c r="AM614" s="40"/>
      <c r="AO614" s="40"/>
      <c r="AQ614" s="40"/>
    </row>
    <row r="615" spans="2:43" ht="12.75" customHeight="1" x14ac:dyDescent="0.15">
      <c r="B615" s="40"/>
      <c r="C615" s="40"/>
      <c r="D615" s="40"/>
      <c r="E615" s="40"/>
      <c r="F615" s="40"/>
      <c r="G615" s="40"/>
      <c r="H615" s="53"/>
      <c r="R615" s="40"/>
      <c r="S615" s="40"/>
      <c r="T615" s="40"/>
      <c r="U615" s="40"/>
      <c r="V615" s="40"/>
      <c r="X615" s="40"/>
      <c r="Y615" s="40"/>
      <c r="Z615" s="40"/>
      <c r="AA615" s="41"/>
      <c r="AB615" s="41"/>
      <c r="AC615" s="41"/>
      <c r="AD615" s="41"/>
      <c r="AE615" s="41"/>
      <c r="AF615" s="40"/>
      <c r="AG615" s="40"/>
      <c r="AH615" s="5"/>
      <c r="AI615" s="5"/>
      <c r="AJ615" s="40"/>
      <c r="AK615" s="40"/>
      <c r="AL615" s="40"/>
      <c r="AM615" s="40"/>
      <c r="AO615" s="40"/>
      <c r="AQ615" s="40"/>
    </row>
    <row r="616" spans="2:43" ht="12.75" customHeight="1" x14ac:dyDescent="0.15">
      <c r="B616" s="40"/>
      <c r="C616" s="40"/>
      <c r="D616" s="40"/>
      <c r="E616" s="40"/>
      <c r="F616" s="40"/>
      <c r="G616" s="40"/>
      <c r="H616" s="53"/>
      <c r="R616" s="40"/>
      <c r="S616" s="40"/>
      <c r="T616" s="40"/>
      <c r="U616" s="40"/>
      <c r="V616" s="40"/>
      <c r="X616" s="40"/>
      <c r="Y616" s="40"/>
      <c r="Z616" s="40"/>
      <c r="AA616" s="41"/>
      <c r="AB616" s="41"/>
      <c r="AC616" s="41"/>
      <c r="AD616" s="41"/>
      <c r="AE616" s="41"/>
      <c r="AF616" s="40"/>
      <c r="AG616" s="40"/>
      <c r="AH616" s="5"/>
      <c r="AI616" s="5"/>
      <c r="AJ616" s="40"/>
      <c r="AK616" s="40"/>
      <c r="AL616" s="40"/>
      <c r="AM616" s="40"/>
      <c r="AO616" s="40"/>
      <c r="AQ616" s="40"/>
    </row>
    <row r="617" spans="2:43" ht="12.75" customHeight="1" x14ac:dyDescent="0.15">
      <c r="B617" s="40"/>
      <c r="C617" s="40"/>
      <c r="D617" s="40"/>
      <c r="E617" s="40"/>
      <c r="F617" s="40"/>
      <c r="G617" s="40"/>
      <c r="H617" s="53"/>
      <c r="R617" s="40"/>
      <c r="S617" s="40"/>
      <c r="T617" s="40"/>
      <c r="U617" s="40"/>
      <c r="V617" s="40"/>
      <c r="X617" s="40"/>
      <c r="Y617" s="40"/>
      <c r="Z617" s="40"/>
      <c r="AA617" s="41"/>
      <c r="AB617" s="41"/>
      <c r="AC617" s="41"/>
      <c r="AD617" s="41"/>
      <c r="AE617" s="41"/>
      <c r="AF617" s="40"/>
      <c r="AG617" s="40"/>
      <c r="AH617" s="5"/>
      <c r="AI617" s="5"/>
      <c r="AJ617" s="40"/>
      <c r="AK617" s="40"/>
      <c r="AL617" s="40"/>
      <c r="AM617" s="40"/>
      <c r="AO617" s="40"/>
      <c r="AQ617" s="40"/>
    </row>
    <row r="618" spans="2:43" ht="12.75" customHeight="1" x14ac:dyDescent="0.15">
      <c r="B618" s="40"/>
      <c r="C618" s="40"/>
      <c r="D618" s="40"/>
      <c r="E618" s="40"/>
      <c r="F618" s="40"/>
      <c r="G618" s="40"/>
      <c r="H618" s="53"/>
      <c r="R618" s="40"/>
      <c r="S618" s="40"/>
      <c r="T618" s="40"/>
      <c r="U618" s="40"/>
      <c r="V618" s="40"/>
      <c r="X618" s="40"/>
      <c r="Y618" s="40"/>
      <c r="Z618" s="40"/>
      <c r="AA618" s="41"/>
      <c r="AB618" s="41"/>
      <c r="AC618" s="41"/>
      <c r="AD618" s="41"/>
      <c r="AE618" s="41"/>
      <c r="AF618" s="40"/>
      <c r="AG618" s="40"/>
      <c r="AH618" s="5"/>
      <c r="AI618" s="5"/>
      <c r="AJ618" s="40"/>
      <c r="AK618" s="40"/>
      <c r="AL618" s="40"/>
      <c r="AM618" s="40"/>
      <c r="AO618" s="40"/>
      <c r="AQ618" s="40"/>
    </row>
    <row r="619" spans="2:43" ht="12.75" customHeight="1" x14ac:dyDescent="0.15">
      <c r="B619" s="40"/>
      <c r="C619" s="40"/>
      <c r="D619" s="40"/>
      <c r="E619" s="40"/>
      <c r="F619" s="40"/>
      <c r="G619" s="40"/>
      <c r="H619" s="53"/>
      <c r="R619" s="40"/>
      <c r="S619" s="40"/>
      <c r="T619" s="40"/>
      <c r="U619" s="40"/>
      <c r="V619" s="40"/>
      <c r="X619" s="40"/>
      <c r="Y619" s="40"/>
      <c r="Z619" s="40"/>
      <c r="AA619" s="41"/>
      <c r="AB619" s="41"/>
      <c r="AC619" s="41"/>
      <c r="AD619" s="41"/>
      <c r="AE619" s="41"/>
      <c r="AF619" s="40"/>
      <c r="AG619" s="40"/>
      <c r="AH619" s="5"/>
      <c r="AI619" s="5"/>
      <c r="AJ619" s="40"/>
      <c r="AK619" s="40"/>
      <c r="AL619" s="40"/>
      <c r="AM619" s="40"/>
      <c r="AO619" s="40"/>
      <c r="AQ619" s="40"/>
    </row>
    <row r="620" spans="2:43" ht="12.75" customHeight="1" x14ac:dyDescent="0.15">
      <c r="B620" s="40"/>
      <c r="C620" s="40"/>
      <c r="D620" s="40"/>
      <c r="E620" s="40"/>
      <c r="F620" s="40"/>
      <c r="G620" s="40"/>
      <c r="H620" s="53"/>
      <c r="R620" s="40"/>
      <c r="S620" s="40"/>
      <c r="T620" s="40"/>
      <c r="U620" s="40"/>
      <c r="V620" s="40"/>
      <c r="X620" s="40"/>
      <c r="Y620" s="40"/>
      <c r="Z620" s="40"/>
      <c r="AA620" s="41"/>
      <c r="AB620" s="41"/>
      <c r="AC620" s="41"/>
      <c r="AD620" s="41"/>
      <c r="AE620" s="41"/>
      <c r="AF620" s="40"/>
      <c r="AG620" s="40"/>
      <c r="AH620" s="5"/>
      <c r="AI620" s="5"/>
      <c r="AJ620" s="40"/>
      <c r="AK620" s="40"/>
      <c r="AL620" s="40"/>
      <c r="AM620" s="40"/>
      <c r="AO620" s="40"/>
      <c r="AQ620" s="40"/>
    </row>
    <row r="621" spans="2:43" ht="12.75" customHeight="1" x14ac:dyDescent="0.15">
      <c r="B621" s="40"/>
      <c r="C621" s="40"/>
      <c r="D621" s="40"/>
      <c r="E621" s="40"/>
      <c r="F621" s="40"/>
      <c r="G621" s="40"/>
      <c r="H621" s="53"/>
      <c r="R621" s="40"/>
      <c r="S621" s="40"/>
      <c r="T621" s="40"/>
      <c r="U621" s="40"/>
      <c r="V621" s="40"/>
      <c r="X621" s="40"/>
      <c r="Y621" s="40"/>
      <c r="Z621" s="40"/>
      <c r="AA621" s="41"/>
      <c r="AB621" s="41"/>
      <c r="AC621" s="41"/>
      <c r="AD621" s="41"/>
      <c r="AE621" s="41"/>
      <c r="AF621" s="40"/>
      <c r="AG621" s="40"/>
      <c r="AH621" s="5"/>
      <c r="AI621" s="5"/>
      <c r="AJ621" s="40"/>
      <c r="AK621" s="40"/>
      <c r="AL621" s="40"/>
      <c r="AM621" s="40"/>
      <c r="AO621" s="40"/>
      <c r="AQ621" s="40"/>
    </row>
    <row r="622" spans="2:43" ht="12.75" customHeight="1" x14ac:dyDescent="0.15">
      <c r="B622" s="40"/>
      <c r="C622" s="40"/>
      <c r="D622" s="40"/>
      <c r="E622" s="40"/>
      <c r="F622" s="40"/>
      <c r="G622" s="40"/>
      <c r="H622" s="53"/>
      <c r="R622" s="40"/>
      <c r="S622" s="40"/>
      <c r="T622" s="40"/>
      <c r="U622" s="40"/>
      <c r="V622" s="40"/>
      <c r="X622" s="40"/>
      <c r="Y622" s="40"/>
      <c r="Z622" s="40"/>
      <c r="AA622" s="41"/>
      <c r="AB622" s="41"/>
      <c r="AC622" s="41"/>
      <c r="AD622" s="41"/>
      <c r="AE622" s="41"/>
      <c r="AF622" s="40"/>
      <c r="AG622" s="40"/>
      <c r="AH622" s="5"/>
      <c r="AI622" s="5"/>
      <c r="AJ622" s="40"/>
      <c r="AK622" s="40"/>
      <c r="AL622" s="40"/>
      <c r="AM622" s="40"/>
      <c r="AO622" s="40"/>
      <c r="AQ622" s="40"/>
    </row>
    <row r="623" spans="2:43" ht="12.75" customHeight="1" x14ac:dyDescent="0.15">
      <c r="B623" s="40"/>
      <c r="C623" s="40"/>
      <c r="D623" s="40"/>
      <c r="E623" s="40"/>
      <c r="F623" s="40"/>
      <c r="G623" s="40"/>
      <c r="H623" s="53"/>
      <c r="R623" s="40"/>
      <c r="S623" s="40"/>
      <c r="T623" s="40"/>
      <c r="U623" s="40"/>
      <c r="V623" s="40"/>
      <c r="X623" s="40"/>
      <c r="Y623" s="40"/>
      <c r="Z623" s="40"/>
      <c r="AA623" s="41"/>
      <c r="AB623" s="41"/>
      <c r="AC623" s="41"/>
      <c r="AD623" s="41"/>
      <c r="AE623" s="41"/>
      <c r="AF623" s="40"/>
      <c r="AG623" s="40"/>
      <c r="AH623" s="5"/>
      <c r="AI623" s="5"/>
      <c r="AJ623" s="40"/>
      <c r="AK623" s="40"/>
      <c r="AL623" s="40"/>
      <c r="AM623" s="40"/>
      <c r="AO623" s="40"/>
      <c r="AQ623" s="40"/>
    </row>
    <row r="624" spans="2:43" ht="12.75" customHeight="1" x14ac:dyDescent="0.15">
      <c r="B624" s="40"/>
      <c r="C624" s="40"/>
      <c r="D624" s="40"/>
      <c r="E624" s="40"/>
      <c r="F624" s="40"/>
      <c r="G624" s="40"/>
      <c r="H624" s="53"/>
      <c r="R624" s="40"/>
      <c r="S624" s="40"/>
      <c r="T624" s="40"/>
      <c r="U624" s="40"/>
      <c r="V624" s="40"/>
      <c r="X624" s="40"/>
      <c r="Y624" s="40"/>
      <c r="Z624" s="40"/>
      <c r="AA624" s="41"/>
      <c r="AB624" s="41"/>
      <c r="AC624" s="41"/>
      <c r="AD624" s="41"/>
      <c r="AE624" s="41"/>
      <c r="AF624" s="40"/>
      <c r="AG624" s="40"/>
      <c r="AH624" s="5"/>
      <c r="AI624" s="5"/>
      <c r="AJ624" s="40"/>
      <c r="AK624" s="40"/>
      <c r="AL624" s="40"/>
      <c r="AM624" s="40"/>
      <c r="AO624" s="40"/>
      <c r="AQ624" s="40"/>
    </row>
    <row r="625" spans="2:43" ht="12.75" customHeight="1" x14ac:dyDescent="0.15">
      <c r="B625" s="40"/>
      <c r="C625" s="40"/>
      <c r="D625" s="40"/>
      <c r="E625" s="40"/>
      <c r="F625" s="40"/>
      <c r="G625" s="40"/>
      <c r="H625" s="53"/>
      <c r="R625" s="40"/>
      <c r="S625" s="40"/>
      <c r="T625" s="40"/>
      <c r="U625" s="40"/>
      <c r="V625" s="40"/>
      <c r="X625" s="40"/>
      <c r="Y625" s="40"/>
      <c r="Z625" s="40"/>
      <c r="AA625" s="41"/>
      <c r="AB625" s="41"/>
      <c r="AC625" s="41"/>
      <c r="AD625" s="41"/>
      <c r="AE625" s="41"/>
      <c r="AF625" s="40"/>
      <c r="AG625" s="40"/>
      <c r="AH625" s="5"/>
      <c r="AI625" s="5"/>
      <c r="AJ625" s="40"/>
      <c r="AK625" s="40"/>
      <c r="AL625" s="40"/>
      <c r="AM625" s="40"/>
      <c r="AO625" s="40"/>
      <c r="AQ625" s="40"/>
    </row>
    <row r="626" spans="2:43" ht="12.75" customHeight="1" x14ac:dyDescent="0.15">
      <c r="B626" s="40"/>
      <c r="C626" s="40"/>
      <c r="D626" s="40"/>
      <c r="E626" s="40"/>
      <c r="F626" s="40"/>
      <c r="G626" s="40"/>
      <c r="H626" s="53"/>
      <c r="R626" s="40"/>
      <c r="S626" s="40"/>
      <c r="T626" s="40"/>
      <c r="U626" s="40"/>
      <c r="V626" s="40"/>
      <c r="X626" s="40"/>
      <c r="Y626" s="40"/>
      <c r="Z626" s="40"/>
      <c r="AA626" s="41"/>
      <c r="AB626" s="41"/>
      <c r="AC626" s="41"/>
      <c r="AD626" s="41"/>
      <c r="AE626" s="41"/>
      <c r="AF626" s="40"/>
      <c r="AG626" s="40"/>
      <c r="AH626" s="5"/>
      <c r="AI626" s="5"/>
      <c r="AJ626" s="40"/>
      <c r="AK626" s="40"/>
      <c r="AL626" s="40"/>
      <c r="AM626" s="40"/>
      <c r="AO626" s="40"/>
      <c r="AQ626" s="40"/>
    </row>
    <row r="627" spans="2:43" ht="12.75" customHeight="1" x14ac:dyDescent="0.15">
      <c r="B627" s="40"/>
      <c r="C627" s="40"/>
      <c r="D627" s="40"/>
      <c r="E627" s="40"/>
      <c r="F627" s="40"/>
      <c r="G627" s="40"/>
      <c r="H627" s="53"/>
      <c r="R627" s="40"/>
      <c r="S627" s="40"/>
      <c r="T627" s="40"/>
      <c r="U627" s="40"/>
      <c r="V627" s="40"/>
      <c r="X627" s="40"/>
      <c r="Y627" s="40"/>
      <c r="Z627" s="40"/>
      <c r="AA627" s="41"/>
      <c r="AB627" s="41"/>
      <c r="AC627" s="41"/>
      <c r="AD627" s="41"/>
      <c r="AE627" s="41"/>
      <c r="AF627" s="40"/>
      <c r="AG627" s="40"/>
      <c r="AH627" s="5"/>
      <c r="AI627" s="5"/>
      <c r="AJ627" s="40"/>
      <c r="AK627" s="40"/>
      <c r="AL627" s="40"/>
      <c r="AM627" s="40"/>
      <c r="AO627" s="40"/>
      <c r="AQ627" s="40"/>
    </row>
    <row r="628" spans="2:43" ht="12.75" customHeight="1" x14ac:dyDescent="0.15">
      <c r="B628" s="40"/>
      <c r="C628" s="40"/>
      <c r="D628" s="40"/>
      <c r="E628" s="40"/>
      <c r="F628" s="40"/>
      <c r="G628" s="40"/>
      <c r="H628" s="53"/>
      <c r="R628" s="40"/>
      <c r="S628" s="40"/>
      <c r="T628" s="40"/>
      <c r="U628" s="40"/>
      <c r="V628" s="40"/>
      <c r="X628" s="40"/>
      <c r="Y628" s="40"/>
      <c r="Z628" s="40"/>
      <c r="AA628" s="41"/>
      <c r="AB628" s="41"/>
      <c r="AC628" s="41"/>
      <c r="AD628" s="41"/>
      <c r="AE628" s="41"/>
      <c r="AF628" s="40"/>
      <c r="AG628" s="40"/>
      <c r="AH628" s="5"/>
      <c r="AI628" s="5"/>
      <c r="AJ628" s="40"/>
      <c r="AK628" s="40"/>
      <c r="AL628" s="40"/>
      <c r="AM628" s="40"/>
      <c r="AO628" s="40"/>
      <c r="AQ628" s="40"/>
    </row>
    <row r="629" spans="2:43" ht="12.75" customHeight="1" x14ac:dyDescent="0.15">
      <c r="B629" s="40"/>
      <c r="C629" s="40"/>
      <c r="D629" s="40"/>
      <c r="E629" s="40"/>
      <c r="F629" s="40"/>
      <c r="G629" s="40"/>
      <c r="H629" s="53"/>
      <c r="R629" s="40"/>
      <c r="S629" s="40"/>
      <c r="T629" s="40"/>
      <c r="U629" s="40"/>
      <c r="V629" s="40"/>
      <c r="X629" s="40"/>
      <c r="Y629" s="40"/>
      <c r="Z629" s="40"/>
      <c r="AA629" s="41"/>
      <c r="AB629" s="41"/>
      <c r="AC629" s="41"/>
      <c r="AD629" s="41"/>
      <c r="AE629" s="41"/>
      <c r="AF629" s="40"/>
      <c r="AG629" s="40"/>
      <c r="AH629" s="5"/>
      <c r="AI629" s="5"/>
      <c r="AJ629" s="40"/>
      <c r="AK629" s="40"/>
      <c r="AL629" s="40"/>
      <c r="AM629" s="40"/>
      <c r="AO629" s="40"/>
      <c r="AQ629" s="40"/>
    </row>
    <row r="630" spans="2:43" ht="12.75" customHeight="1" x14ac:dyDescent="0.15">
      <c r="B630" s="40"/>
      <c r="C630" s="40"/>
      <c r="D630" s="40"/>
      <c r="E630" s="40"/>
      <c r="F630" s="40"/>
      <c r="G630" s="40"/>
      <c r="H630" s="53"/>
      <c r="R630" s="40"/>
      <c r="S630" s="40"/>
      <c r="T630" s="40"/>
      <c r="U630" s="40"/>
      <c r="V630" s="40"/>
      <c r="X630" s="40"/>
      <c r="Y630" s="40"/>
      <c r="Z630" s="40"/>
      <c r="AA630" s="41"/>
      <c r="AB630" s="41"/>
      <c r="AC630" s="41"/>
      <c r="AD630" s="41"/>
      <c r="AE630" s="41"/>
      <c r="AF630" s="40"/>
      <c r="AG630" s="40"/>
      <c r="AH630" s="5"/>
      <c r="AI630" s="5"/>
      <c r="AJ630" s="40"/>
      <c r="AK630" s="40"/>
      <c r="AL630" s="40"/>
      <c r="AM630" s="40"/>
      <c r="AO630" s="40"/>
      <c r="AQ630" s="40"/>
    </row>
    <row r="631" spans="2:43" ht="12.75" customHeight="1" x14ac:dyDescent="0.15">
      <c r="B631" s="40"/>
      <c r="C631" s="40"/>
      <c r="D631" s="40"/>
      <c r="E631" s="40"/>
      <c r="F631" s="40"/>
      <c r="G631" s="40"/>
      <c r="H631" s="53"/>
      <c r="R631" s="40"/>
      <c r="S631" s="40"/>
      <c r="T631" s="40"/>
      <c r="U631" s="40"/>
      <c r="V631" s="40"/>
      <c r="X631" s="40"/>
      <c r="Y631" s="40"/>
      <c r="Z631" s="40"/>
      <c r="AA631" s="41"/>
      <c r="AB631" s="41"/>
      <c r="AC631" s="41"/>
      <c r="AD631" s="41"/>
      <c r="AE631" s="41"/>
      <c r="AF631" s="40"/>
      <c r="AG631" s="40"/>
      <c r="AH631" s="5"/>
      <c r="AI631" s="5"/>
      <c r="AJ631" s="40"/>
      <c r="AK631" s="40"/>
      <c r="AL631" s="40"/>
      <c r="AM631" s="40"/>
      <c r="AO631" s="40"/>
      <c r="AQ631" s="40"/>
    </row>
    <row r="632" spans="2:43" ht="12.75" customHeight="1" x14ac:dyDescent="0.15">
      <c r="B632" s="40"/>
      <c r="C632" s="40"/>
      <c r="D632" s="40"/>
      <c r="E632" s="40"/>
      <c r="F632" s="40"/>
      <c r="G632" s="40"/>
      <c r="H632" s="53"/>
      <c r="R632" s="40"/>
      <c r="S632" s="40"/>
      <c r="T632" s="40"/>
      <c r="U632" s="40"/>
      <c r="V632" s="40"/>
      <c r="X632" s="40"/>
      <c r="Y632" s="40"/>
      <c r="Z632" s="40"/>
      <c r="AA632" s="41"/>
      <c r="AB632" s="41"/>
      <c r="AC632" s="41"/>
      <c r="AD632" s="41"/>
      <c r="AE632" s="41"/>
      <c r="AF632" s="40"/>
      <c r="AG632" s="40"/>
      <c r="AH632" s="5"/>
      <c r="AI632" s="5"/>
      <c r="AJ632" s="40"/>
      <c r="AK632" s="40"/>
      <c r="AL632" s="40"/>
      <c r="AM632" s="40"/>
      <c r="AO632" s="40"/>
      <c r="AQ632" s="40"/>
    </row>
    <row r="633" spans="2:43" ht="12.75" customHeight="1" x14ac:dyDescent="0.15">
      <c r="B633" s="40"/>
      <c r="C633" s="40"/>
      <c r="D633" s="40"/>
      <c r="E633" s="40"/>
      <c r="F633" s="40"/>
      <c r="G633" s="40"/>
      <c r="H633" s="53"/>
      <c r="R633" s="40"/>
      <c r="S633" s="40"/>
      <c r="T633" s="40"/>
      <c r="U633" s="40"/>
      <c r="V633" s="40"/>
      <c r="X633" s="40"/>
      <c r="Y633" s="40"/>
      <c r="Z633" s="40"/>
      <c r="AA633" s="41"/>
      <c r="AB633" s="41"/>
      <c r="AC633" s="41"/>
      <c r="AD633" s="41"/>
      <c r="AE633" s="41"/>
      <c r="AF633" s="40"/>
      <c r="AG633" s="40"/>
      <c r="AH633" s="5"/>
      <c r="AI633" s="5"/>
      <c r="AJ633" s="40"/>
      <c r="AK633" s="40"/>
      <c r="AL633" s="40"/>
      <c r="AM633" s="40"/>
      <c r="AO633" s="40"/>
      <c r="AQ633" s="40"/>
    </row>
    <row r="634" spans="2:43" ht="12.75" customHeight="1" x14ac:dyDescent="0.15">
      <c r="B634" s="40"/>
      <c r="C634" s="40"/>
      <c r="D634" s="40"/>
      <c r="E634" s="40"/>
      <c r="F634" s="40"/>
      <c r="G634" s="40"/>
      <c r="H634" s="53"/>
      <c r="R634" s="40"/>
      <c r="S634" s="40"/>
      <c r="T634" s="40"/>
      <c r="U634" s="40"/>
      <c r="V634" s="40"/>
      <c r="X634" s="40"/>
      <c r="Y634" s="40"/>
      <c r="Z634" s="40"/>
      <c r="AA634" s="41"/>
      <c r="AB634" s="41"/>
      <c r="AC634" s="41"/>
      <c r="AD634" s="41"/>
      <c r="AE634" s="41"/>
      <c r="AF634" s="40"/>
      <c r="AG634" s="40"/>
      <c r="AH634" s="5"/>
      <c r="AI634" s="5"/>
      <c r="AJ634" s="40"/>
      <c r="AK634" s="40"/>
      <c r="AL634" s="40"/>
      <c r="AM634" s="40"/>
      <c r="AO634" s="40"/>
      <c r="AQ634" s="40"/>
    </row>
    <row r="635" spans="2:43" ht="12.75" customHeight="1" x14ac:dyDescent="0.15">
      <c r="B635" s="40"/>
      <c r="C635" s="40"/>
      <c r="D635" s="40"/>
      <c r="E635" s="40"/>
      <c r="F635" s="40"/>
      <c r="G635" s="40"/>
      <c r="H635" s="53"/>
      <c r="R635" s="40"/>
      <c r="S635" s="40"/>
      <c r="T635" s="40"/>
      <c r="U635" s="40"/>
      <c r="V635" s="40"/>
      <c r="X635" s="40"/>
      <c r="Y635" s="40"/>
      <c r="Z635" s="40"/>
      <c r="AA635" s="41"/>
      <c r="AB635" s="41"/>
      <c r="AC635" s="41"/>
      <c r="AD635" s="41"/>
      <c r="AE635" s="41"/>
      <c r="AF635" s="40"/>
      <c r="AG635" s="40"/>
      <c r="AH635" s="5"/>
      <c r="AI635" s="5"/>
      <c r="AJ635" s="40"/>
      <c r="AK635" s="40"/>
      <c r="AL635" s="40"/>
      <c r="AM635" s="40"/>
      <c r="AO635" s="40"/>
      <c r="AQ635" s="40"/>
    </row>
    <row r="636" spans="2:43" ht="12.75" customHeight="1" x14ac:dyDescent="0.15">
      <c r="B636" s="40"/>
      <c r="C636" s="40"/>
      <c r="D636" s="40"/>
      <c r="E636" s="40"/>
      <c r="F636" s="40"/>
      <c r="G636" s="40"/>
      <c r="H636" s="53"/>
      <c r="R636" s="40"/>
      <c r="S636" s="40"/>
      <c r="T636" s="40"/>
      <c r="U636" s="40"/>
      <c r="V636" s="40"/>
      <c r="X636" s="40"/>
      <c r="Y636" s="40"/>
      <c r="Z636" s="40"/>
      <c r="AA636" s="41"/>
      <c r="AB636" s="41"/>
      <c r="AC636" s="41"/>
      <c r="AD636" s="41"/>
      <c r="AE636" s="41"/>
      <c r="AF636" s="40"/>
      <c r="AG636" s="40"/>
      <c r="AH636" s="5"/>
      <c r="AI636" s="5"/>
      <c r="AJ636" s="40"/>
      <c r="AK636" s="40"/>
      <c r="AL636" s="40"/>
      <c r="AM636" s="40"/>
      <c r="AO636" s="40"/>
      <c r="AQ636" s="40"/>
    </row>
    <row r="637" spans="2:43" ht="12.75" customHeight="1" x14ac:dyDescent="0.15">
      <c r="B637" s="40"/>
      <c r="C637" s="40"/>
      <c r="D637" s="40"/>
      <c r="E637" s="40"/>
      <c r="F637" s="40"/>
      <c r="G637" s="40"/>
      <c r="H637" s="53"/>
      <c r="R637" s="40"/>
      <c r="S637" s="40"/>
      <c r="T637" s="40"/>
      <c r="U637" s="40"/>
      <c r="V637" s="40"/>
      <c r="X637" s="40"/>
      <c r="Y637" s="40"/>
      <c r="Z637" s="40"/>
      <c r="AA637" s="41"/>
      <c r="AB637" s="41"/>
      <c r="AC637" s="41"/>
      <c r="AD637" s="41"/>
      <c r="AE637" s="41"/>
      <c r="AF637" s="40"/>
      <c r="AG637" s="40"/>
      <c r="AH637" s="5"/>
      <c r="AI637" s="5"/>
      <c r="AJ637" s="40"/>
      <c r="AK637" s="40"/>
      <c r="AL637" s="40"/>
      <c r="AM637" s="40"/>
      <c r="AO637" s="40"/>
      <c r="AQ637" s="40"/>
    </row>
    <row r="638" spans="2:43" ht="12.75" customHeight="1" x14ac:dyDescent="0.15">
      <c r="B638" s="40"/>
      <c r="C638" s="40"/>
      <c r="D638" s="40"/>
      <c r="E638" s="40"/>
      <c r="F638" s="40"/>
      <c r="G638" s="40"/>
      <c r="H638" s="53"/>
      <c r="R638" s="40"/>
      <c r="S638" s="40"/>
      <c r="T638" s="40"/>
      <c r="U638" s="40"/>
      <c r="V638" s="40"/>
      <c r="X638" s="40"/>
      <c r="Y638" s="40"/>
      <c r="Z638" s="40"/>
      <c r="AA638" s="41"/>
      <c r="AB638" s="41"/>
      <c r="AC638" s="41"/>
      <c r="AD638" s="41"/>
      <c r="AE638" s="41"/>
      <c r="AF638" s="40"/>
      <c r="AG638" s="40"/>
      <c r="AH638" s="5"/>
      <c r="AI638" s="5"/>
      <c r="AJ638" s="40"/>
      <c r="AK638" s="40"/>
      <c r="AL638" s="40"/>
      <c r="AM638" s="40"/>
      <c r="AO638" s="40"/>
      <c r="AQ638" s="40"/>
    </row>
    <row r="639" spans="2:43" ht="12.75" customHeight="1" x14ac:dyDescent="0.15">
      <c r="B639" s="40"/>
      <c r="C639" s="40"/>
      <c r="D639" s="40"/>
      <c r="E639" s="40"/>
      <c r="F639" s="40"/>
      <c r="G639" s="40"/>
      <c r="H639" s="53"/>
      <c r="R639" s="40"/>
      <c r="S639" s="40"/>
      <c r="T639" s="40"/>
      <c r="U639" s="40"/>
      <c r="V639" s="40"/>
      <c r="X639" s="40"/>
      <c r="Y639" s="40"/>
      <c r="Z639" s="40"/>
      <c r="AA639" s="41"/>
      <c r="AB639" s="41"/>
      <c r="AC639" s="41"/>
      <c r="AD639" s="41"/>
      <c r="AE639" s="41"/>
      <c r="AF639" s="40"/>
      <c r="AG639" s="40"/>
      <c r="AH639" s="5"/>
      <c r="AI639" s="5"/>
      <c r="AJ639" s="40"/>
      <c r="AK639" s="40"/>
      <c r="AL639" s="40"/>
      <c r="AM639" s="40"/>
      <c r="AO639" s="40"/>
      <c r="AQ639" s="40"/>
    </row>
    <row r="640" spans="2:43" ht="12.75" customHeight="1" x14ac:dyDescent="0.15">
      <c r="B640" s="40"/>
      <c r="C640" s="40"/>
      <c r="D640" s="40"/>
      <c r="E640" s="40"/>
      <c r="F640" s="40"/>
      <c r="G640" s="40"/>
      <c r="H640" s="53"/>
      <c r="R640" s="40"/>
      <c r="S640" s="40"/>
      <c r="T640" s="40"/>
      <c r="U640" s="40"/>
      <c r="V640" s="40"/>
      <c r="X640" s="40"/>
      <c r="Y640" s="40"/>
      <c r="Z640" s="40"/>
      <c r="AA640" s="41"/>
      <c r="AB640" s="41"/>
      <c r="AC640" s="41"/>
      <c r="AD640" s="41"/>
      <c r="AE640" s="41"/>
      <c r="AF640" s="40"/>
      <c r="AG640" s="40"/>
      <c r="AH640" s="5"/>
      <c r="AI640" s="5"/>
      <c r="AJ640" s="40"/>
      <c r="AK640" s="40"/>
      <c r="AL640" s="40"/>
      <c r="AM640" s="40"/>
      <c r="AO640" s="40"/>
      <c r="AQ640" s="40"/>
    </row>
    <row r="641" spans="2:43" ht="12.75" customHeight="1" x14ac:dyDescent="0.15">
      <c r="B641" s="40"/>
      <c r="C641" s="40"/>
      <c r="D641" s="40"/>
      <c r="E641" s="40"/>
      <c r="F641" s="40"/>
      <c r="G641" s="40"/>
      <c r="H641" s="53"/>
      <c r="R641" s="40"/>
      <c r="S641" s="40"/>
      <c r="T641" s="40"/>
      <c r="U641" s="40"/>
      <c r="V641" s="40"/>
      <c r="X641" s="40"/>
      <c r="Y641" s="40"/>
      <c r="Z641" s="40"/>
      <c r="AA641" s="41"/>
      <c r="AB641" s="41"/>
      <c r="AC641" s="41"/>
      <c r="AD641" s="41"/>
      <c r="AE641" s="41"/>
      <c r="AF641" s="40"/>
      <c r="AG641" s="40"/>
      <c r="AH641" s="5"/>
      <c r="AI641" s="5"/>
      <c r="AJ641" s="40"/>
      <c r="AK641" s="40"/>
      <c r="AL641" s="40"/>
      <c r="AM641" s="40"/>
      <c r="AO641" s="40"/>
      <c r="AQ641" s="40"/>
    </row>
    <row r="642" spans="2:43" ht="12.75" customHeight="1" x14ac:dyDescent="0.15">
      <c r="B642" s="40"/>
      <c r="C642" s="40"/>
      <c r="D642" s="40"/>
      <c r="E642" s="40"/>
      <c r="F642" s="40"/>
      <c r="G642" s="40"/>
      <c r="H642" s="53"/>
      <c r="R642" s="40"/>
      <c r="S642" s="40"/>
      <c r="T642" s="40"/>
      <c r="U642" s="40"/>
      <c r="V642" s="40"/>
      <c r="X642" s="40"/>
      <c r="Y642" s="40"/>
      <c r="Z642" s="40"/>
      <c r="AA642" s="41"/>
      <c r="AB642" s="41"/>
      <c r="AC642" s="41"/>
      <c r="AD642" s="41"/>
      <c r="AE642" s="41"/>
      <c r="AF642" s="40"/>
      <c r="AG642" s="40"/>
      <c r="AH642" s="5"/>
      <c r="AI642" s="5"/>
      <c r="AJ642" s="40"/>
      <c r="AK642" s="40"/>
      <c r="AL642" s="40"/>
      <c r="AM642" s="40"/>
      <c r="AO642" s="40"/>
      <c r="AQ642" s="40"/>
    </row>
    <row r="643" spans="2:43" ht="12.75" customHeight="1" x14ac:dyDescent="0.15">
      <c r="B643" s="40"/>
      <c r="C643" s="40"/>
      <c r="D643" s="40"/>
      <c r="E643" s="40"/>
      <c r="F643" s="40"/>
      <c r="G643" s="40"/>
      <c r="H643" s="53"/>
      <c r="R643" s="40"/>
      <c r="S643" s="40"/>
      <c r="T643" s="40"/>
      <c r="U643" s="40"/>
      <c r="V643" s="40"/>
      <c r="X643" s="40"/>
      <c r="Y643" s="40"/>
      <c r="Z643" s="40"/>
      <c r="AA643" s="41"/>
      <c r="AB643" s="41"/>
      <c r="AC643" s="41"/>
      <c r="AD643" s="41"/>
      <c r="AE643" s="41"/>
      <c r="AF643" s="40"/>
      <c r="AG643" s="40"/>
      <c r="AH643" s="5"/>
      <c r="AI643" s="5"/>
      <c r="AJ643" s="40"/>
      <c r="AK643" s="40"/>
      <c r="AL643" s="40"/>
      <c r="AM643" s="40"/>
      <c r="AO643" s="40"/>
      <c r="AQ643" s="40"/>
    </row>
    <row r="644" spans="2:43" ht="12.75" customHeight="1" x14ac:dyDescent="0.15">
      <c r="B644" s="40"/>
      <c r="C644" s="40"/>
      <c r="D644" s="40"/>
      <c r="E644" s="40"/>
      <c r="F644" s="40"/>
      <c r="G644" s="40"/>
      <c r="H644" s="53"/>
      <c r="R644" s="40"/>
      <c r="S644" s="40"/>
      <c r="T644" s="40"/>
      <c r="U644" s="40"/>
      <c r="V644" s="40"/>
      <c r="X644" s="40"/>
      <c r="Y644" s="40"/>
      <c r="Z644" s="40"/>
      <c r="AA644" s="41"/>
      <c r="AB644" s="41"/>
      <c r="AC644" s="41"/>
      <c r="AD644" s="41"/>
      <c r="AE644" s="41"/>
      <c r="AF644" s="40"/>
      <c r="AG644" s="40"/>
      <c r="AH644" s="5"/>
      <c r="AI644" s="5"/>
      <c r="AJ644" s="40"/>
      <c r="AK644" s="40"/>
      <c r="AL644" s="40"/>
      <c r="AM644" s="40"/>
      <c r="AO644" s="40"/>
      <c r="AQ644" s="40"/>
    </row>
    <row r="645" spans="2:43" ht="12.75" customHeight="1" x14ac:dyDescent="0.15">
      <c r="B645" s="40"/>
      <c r="C645" s="40"/>
      <c r="D645" s="40"/>
      <c r="E645" s="40"/>
      <c r="F645" s="40"/>
      <c r="G645" s="40"/>
      <c r="H645" s="53"/>
      <c r="R645" s="40"/>
      <c r="S645" s="40"/>
      <c r="T645" s="40"/>
      <c r="U645" s="40"/>
      <c r="V645" s="40"/>
      <c r="X645" s="40"/>
      <c r="Y645" s="40"/>
      <c r="Z645" s="40"/>
      <c r="AA645" s="41"/>
      <c r="AB645" s="41"/>
      <c r="AC645" s="41"/>
      <c r="AD645" s="41"/>
      <c r="AE645" s="41"/>
      <c r="AF645" s="40"/>
      <c r="AG645" s="40"/>
      <c r="AH645" s="5"/>
      <c r="AI645" s="5"/>
      <c r="AJ645" s="40"/>
      <c r="AK645" s="40"/>
      <c r="AL645" s="40"/>
      <c r="AM645" s="40"/>
      <c r="AO645" s="40"/>
      <c r="AQ645" s="40"/>
    </row>
    <row r="646" spans="2:43" ht="12.75" customHeight="1" x14ac:dyDescent="0.15">
      <c r="B646" s="40"/>
      <c r="C646" s="40"/>
      <c r="D646" s="40"/>
      <c r="E646" s="40"/>
      <c r="F646" s="40"/>
      <c r="G646" s="40"/>
      <c r="H646" s="53"/>
      <c r="R646" s="40"/>
      <c r="S646" s="40"/>
      <c r="T646" s="40"/>
      <c r="U646" s="40"/>
      <c r="V646" s="40"/>
      <c r="X646" s="40"/>
      <c r="Y646" s="40"/>
      <c r="Z646" s="40"/>
      <c r="AA646" s="41"/>
      <c r="AB646" s="41"/>
      <c r="AC646" s="41"/>
      <c r="AD646" s="41"/>
      <c r="AE646" s="41"/>
      <c r="AF646" s="40"/>
      <c r="AG646" s="40"/>
      <c r="AH646" s="5"/>
      <c r="AI646" s="5"/>
      <c r="AJ646" s="40"/>
      <c r="AK646" s="40"/>
      <c r="AL646" s="40"/>
      <c r="AM646" s="40"/>
      <c r="AO646" s="40"/>
      <c r="AQ646" s="40"/>
    </row>
    <row r="647" spans="2:43" ht="12.75" customHeight="1" x14ac:dyDescent="0.15">
      <c r="B647" s="40"/>
      <c r="C647" s="40"/>
      <c r="D647" s="40"/>
      <c r="E647" s="40"/>
      <c r="F647" s="40"/>
      <c r="G647" s="40"/>
      <c r="H647" s="53"/>
      <c r="R647" s="40"/>
      <c r="S647" s="40"/>
      <c r="T647" s="40"/>
      <c r="U647" s="40"/>
      <c r="V647" s="40"/>
      <c r="X647" s="40"/>
      <c r="Y647" s="40"/>
      <c r="Z647" s="40"/>
      <c r="AA647" s="41"/>
      <c r="AB647" s="41"/>
      <c r="AC647" s="41"/>
      <c r="AD647" s="41"/>
      <c r="AE647" s="41"/>
      <c r="AF647" s="40"/>
      <c r="AG647" s="40"/>
      <c r="AH647" s="5"/>
      <c r="AI647" s="5"/>
      <c r="AJ647" s="40"/>
      <c r="AK647" s="40"/>
      <c r="AL647" s="40"/>
      <c r="AM647" s="40"/>
      <c r="AO647" s="40"/>
      <c r="AQ647" s="40"/>
    </row>
    <row r="648" spans="2:43" ht="12.75" customHeight="1" x14ac:dyDescent="0.15">
      <c r="B648" s="40"/>
      <c r="C648" s="40"/>
      <c r="D648" s="40"/>
      <c r="E648" s="40"/>
      <c r="F648" s="40"/>
      <c r="G648" s="40"/>
      <c r="H648" s="53"/>
      <c r="R648" s="40"/>
      <c r="S648" s="40"/>
      <c r="T648" s="40"/>
      <c r="U648" s="40"/>
      <c r="V648" s="40"/>
      <c r="X648" s="40"/>
      <c r="Y648" s="40"/>
      <c r="Z648" s="40"/>
      <c r="AA648" s="41"/>
      <c r="AB648" s="41"/>
      <c r="AC648" s="41"/>
      <c r="AD648" s="41"/>
      <c r="AE648" s="41"/>
      <c r="AF648" s="40"/>
      <c r="AG648" s="40"/>
      <c r="AH648" s="5"/>
      <c r="AI648" s="5"/>
      <c r="AJ648" s="40"/>
      <c r="AK648" s="40"/>
      <c r="AL648" s="40"/>
      <c r="AM648" s="40"/>
      <c r="AO648" s="40"/>
      <c r="AQ648" s="40"/>
    </row>
    <row r="649" spans="2:43" ht="12.75" customHeight="1" x14ac:dyDescent="0.15">
      <c r="B649" s="40"/>
      <c r="C649" s="40"/>
      <c r="D649" s="40"/>
      <c r="E649" s="40"/>
      <c r="F649" s="40"/>
      <c r="G649" s="40"/>
      <c r="H649" s="53"/>
      <c r="R649" s="40"/>
      <c r="S649" s="40"/>
      <c r="T649" s="40"/>
      <c r="U649" s="40"/>
      <c r="V649" s="40"/>
      <c r="X649" s="40"/>
      <c r="Y649" s="40"/>
      <c r="Z649" s="40"/>
      <c r="AA649" s="41"/>
      <c r="AB649" s="41"/>
      <c r="AC649" s="41"/>
      <c r="AD649" s="41"/>
      <c r="AE649" s="41"/>
      <c r="AF649" s="40"/>
      <c r="AG649" s="40"/>
      <c r="AH649" s="5"/>
      <c r="AI649" s="5"/>
      <c r="AJ649" s="40"/>
      <c r="AK649" s="40"/>
      <c r="AL649" s="40"/>
      <c r="AM649" s="40"/>
      <c r="AO649" s="40"/>
      <c r="AQ649" s="40"/>
    </row>
    <row r="650" spans="2:43" ht="12.75" customHeight="1" x14ac:dyDescent="0.15">
      <c r="B650" s="40"/>
      <c r="C650" s="40"/>
      <c r="D650" s="40"/>
      <c r="E650" s="40"/>
      <c r="F650" s="40"/>
      <c r="G650" s="40"/>
      <c r="H650" s="53"/>
      <c r="R650" s="40"/>
      <c r="S650" s="40"/>
      <c r="T650" s="40"/>
      <c r="U650" s="40"/>
      <c r="V650" s="40"/>
      <c r="X650" s="40"/>
      <c r="Y650" s="40"/>
      <c r="Z650" s="40"/>
      <c r="AA650" s="41"/>
      <c r="AB650" s="41"/>
      <c r="AC650" s="41"/>
      <c r="AD650" s="41"/>
      <c r="AE650" s="41"/>
      <c r="AF650" s="40"/>
      <c r="AG650" s="40"/>
      <c r="AH650" s="5"/>
      <c r="AI650" s="5"/>
      <c r="AJ650" s="40"/>
      <c r="AK650" s="40"/>
      <c r="AL650" s="40"/>
      <c r="AM650" s="40"/>
      <c r="AO650" s="40"/>
      <c r="AQ650" s="40"/>
    </row>
    <row r="651" spans="2:43" ht="12.75" customHeight="1" x14ac:dyDescent="0.15">
      <c r="B651" s="40"/>
      <c r="C651" s="40"/>
      <c r="D651" s="40"/>
      <c r="E651" s="40"/>
      <c r="F651" s="40"/>
      <c r="G651" s="40"/>
      <c r="H651" s="53"/>
      <c r="R651" s="40"/>
      <c r="S651" s="40"/>
      <c r="T651" s="40"/>
      <c r="U651" s="40"/>
      <c r="V651" s="40"/>
      <c r="X651" s="40"/>
      <c r="Y651" s="40"/>
      <c r="Z651" s="40"/>
      <c r="AA651" s="41"/>
      <c r="AB651" s="41"/>
      <c r="AC651" s="41"/>
      <c r="AD651" s="41"/>
      <c r="AE651" s="41"/>
      <c r="AF651" s="40"/>
      <c r="AG651" s="40"/>
      <c r="AH651" s="5"/>
      <c r="AI651" s="5"/>
      <c r="AJ651" s="40"/>
      <c r="AK651" s="40"/>
      <c r="AL651" s="40"/>
      <c r="AM651" s="40"/>
      <c r="AO651" s="40"/>
      <c r="AQ651" s="40"/>
    </row>
    <row r="652" spans="2:43" ht="12.75" customHeight="1" x14ac:dyDescent="0.15">
      <c r="B652" s="40"/>
      <c r="C652" s="40"/>
      <c r="D652" s="40"/>
      <c r="E652" s="40"/>
      <c r="F652" s="40"/>
      <c r="G652" s="40"/>
      <c r="H652" s="53"/>
      <c r="R652" s="40"/>
      <c r="S652" s="40"/>
      <c r="T652" s="40"/>
      <c r="U652" s="40"/>
      <c r="V652" s="40"/>
      <c r="X652" s="40"/>
      <c r="Y652" s="40"/>
      <c r="Z652" s="40"/>
      <c r="AA652" s="41"/>
      <c r="AB652" s="41"/>
      <c r="AC652" s="41"/>
      <c r="AD652" s="41"/>
      <c r="AE652" s="41"/>
      <c r="AF652" s="40"/>
      <c r="AG652" s="40"/>
      <c r="AH652" s="5"/>
      <c r="AI652" s="5"/>
      <c r="AJ652" s="40"/>
      <c r="AK652" s="40"/>
      <c r="AL652" s="40"/>
      <c r="AM652" s="40"/>
      <c r="AO652" s="40"/>
      <c r="AQ652" s="40"/>
    </row>
    <row r="653" spans="2:43" ht="12.75" customHeight="1" x14ac:dyDescent="0.15">
      <c r="B653" s="40"/>
      <c r="C653" s="40"/>
      <c r="D653" s="40"/>
      <c r="E653" s="40"/>
      <c r="F653" s="40"/>
      <c r="G653" s="40"/>
      <c r="H653" s="53"/>
      <c r="R653" s="40"/>
      <c r="S653" s="40"/>
      <c r="T653" s="40"/>
      <c r="U653" s="40"/>
      <c r="V653" s="40"/>
      <c r="X653" s="40"/>
      <c r="Y653" s="40"/>
      <c r="Z653" s="40"/>
      <c r="AA653" s="41"/>
      <c r="AB653" s="41"/>
      <c r="AC653" s="41"/>
      <c r="AD653" s="41"/>
      <c r="AE653" s="41"/>
      <c r="AF653" s="40"/>
      <c r="AG653" s="40"/>
      <c r="AH653" s="5"/>
      <c r="AI653" s="5"/>
      <c r="AJ653" s="40"/>
      <c r="AK653" s="40"/>
      <c r="AL653" s="40"/>
      <c r="AM653" s="40"/>
      <c r="AO653" s="40"/>
      <c r="AQ653" s="40"/>
    </row>
    <row r="654" spans="2:43" ht="12.75" customHeight="1" x14ac:dyDescent="0.15">
      <c r="B654" s="40"/>
      <c r="C654" s="40"/>
      <c r="D654" s="40"/>
      <c r="E654" s="40"/>
      <c r="F654" s="40"/>
      <c r="G654" s="40"/>
      <c r="H654" s="53"/>
      <c r="R654" s="40"/>
      <c r="S654" s="40"/>
      <c r="T654" s="40"/>
      <c r="U654" s="40"/>
      <c r="V654" s="40"/>
      <c r="X654" s="40"/>
      <c r="Y654" s="40"/>
      <c r="Z654" s="40"/>
      <c r="AA654" s="41"/>
      <c r="AB654" s="41"/>
      <c r="AC654" s="41"/>
      <c r="AD654" s="41"/>
      <c r="AE654" s="41"/>
      <c r="AF654" s="40"/>
      <c r="AG654" s="40"/>
      <c r="AH654" s="5"/>
      <c r="AI654" s="5"/>
      <c r="AJ654" s="40"/>
      <c r="AK654" s="40"/>
      <c r="AL654" s="40"/>
      <c r="AM654" s="40"/>
      <c r="AO654" s="40"/>
      <c r="AQ654" s="40"/>
    </row>
    <row r="655" spans="2:43" ht="12.75" customHeight="1" x14ac:dyDescent="0.15">
      <c r="B655" s="40"/>
      <c r="C655" s="40"/>
      <c r="D655" s="40"/>
      <c r="E655" s="40"/>
      <c r="F655" s="40"/>
      <c r="G655" s="40"/>
      <c r="H655" s="53"/>
      <c r="R655" s="40"/>
      <c r="S655" s="40"/>
      <c r="T655" s="40"/>
      <c r="U655" s="40"/>
      <c r="V655" s="40"/>
      <c r="X655" s="40"/>
      <c r="Y655" s="40"/>
      <c r="Z655" s="40"/>
      <c r="AA655" s="41"/>
      <c r="AB655" s="41"/>
      <c r="AC655" s="41"/>
      <c r="AD655" s="41"/>
      <c r="AE655" s="41"/>
      <c r="AF655" s="40"/>
      <c r="AG655" s="40"/>
      <c r="AH655" s="5"/>
      <c r="AI655" s="5"/>
      <c r="AJ655" s="40"/>
      <c r="AK655" s="40"/>
      <c r="AL655" s="40"/>
      <c r="AM655" s="40"/>
      <c r="AO655" s="40"/>
      <c r="AQ655" s="40"/>
    </row>
    <row r="656" spans="2:43" ht="12.75" customHeight="1" x14ac:dyDescent="0.15">
      <c r="B656" s="40"/>
      <c r="C656" s="40"/>
      <c r="D656" s="40"/>
      <c r="E656" s="40"/>
      <c r="F656" s="40"/>
      <c r="G656" s="40"/>
      <c r="H656" s="53"/>
      <c r="R656" s="40"/>
      <c r="S656" s="40"/>
      <c r="T656" s="40"/>
      <c r="U656" s="40"/>
      <c r="V656" s="40"/>
      <c r="X656" s="40"/>
      <c r="Y656" s="40"/>
      <c r="Z656" s="40"/>
      <c r="AA656" s="41"/>
      <c r="AB656" s="41"/>
      <c r="AC656" s="41"/>
      <c r="AD656" s="41"/>
      <c r="AE656" s="41"/>
      <c r="AF656" s="40"/>
      <c r="AG656" s="40"/>
      <c r="AH656" s="5"/>
      <c r="AI656" s="5"/>
      <c r="AJ656" s="40"/>
      <c r="AK656" s="40"/>
      <c r="AL656" s="40"/>
      <c r="AM656" s="40"/>
      <c r="AO656" s="40"/>
      <c r="AQ656" s="40"/>
    </row>
    <row r="657" spans="2:43" ht="12.75" customHeight="1" x14ac:dyDescent="0.15">
      <c r="B657" s="40"/>
      <c r="C657" s="40"/>
      <c r="D657" s="40"/>
      <c r="E657" s="40"/>
      <c r="F657" s="40"/>
      <c r="G657" s="40"/>
      <c r="H657" s="53"/>
      <c r="R657" s="40"/>
      <c r="S657" s="40"/>
      <c r="T657" s="40"/>
      <c r="U657" s="40"/>
      <c r="V657" s="40"/>
      <c r="X657" s="40"/>
      <c r="Y657" s="40"/>
      <c r="Z657" s="40"/>
      <c r="AA657" s="41"/>
      <c r="AB657" s="41"/>
      <c r="AC657" s="41"/>
      <c r="AD657" s="41"/>
      <c r="AE657" s="41"/>
      <c r="AF657" s="40"/>
      <c r="AG657" s="40"/>
      <c r="AH657" s="5"/>
      <c r="AI657" s="5"/>
      <c r="AJ657" s="40"/>
      <c r="AK657" s="40"/>
      <c r="AL657" s="40"/>
      <c r="AM657" s="40"/>
      <c r="AO657" s="40"/>
      <c r="AQ657" s="40"/>
    </row>
    <row r="658" spans="2:43" ht="12.75" customHeight="1" x14ac:dyDescent="0.15">
      <c r="B658" s="40"/>
      <c r="C658" s="40"/>
      <c r="D658" s="40"/>
      <c r="E658" s="40"/>
      <c r="F658" s="40"/>
      <c r="G658" s="40"/>
      <c r="H658" s="53"/>
      <c r="R658" s="40"/>
      <c r="S658" s="40"/>
      <c r="T658" s="40"/>
      <c r="U658" s="40"/>
      <c r="V658" s="40"/>
      <c r="X658" s="40"/>
      <c r="Y658" s="40"/>
      <c r="Z658" s="40"/>
      <c r="AA658" s="41"/>
      <c r="AB658" s="41"/>
      <c r="AC658" s="41"/>
      <c r="AD658" s="41"/>
      <c r="AE658" s="41"/>
      <c r="AF658" s="40"/>
      <c r="AG658" s="40"/>
      <c r="AH658" s="5"/>
      <c r="AI658" s="5"/>
      <c r="AJ658" s="40"/>
      <c r="AK658" s="40"/>
      <c r="AL658" s="40"/>
      <c r="AM658" s="40"/>
      <c r="AO658" s="40"/>
      <c r="AQ658" s="40"/>
    </row>
    <row r="659" spans="2:43" ht="12.75" customHeight="1" x14ac:dyDescent="0.15">
      <c r="B659" s="40"/>
      <c r="C659" s="40"/>
      <c r="D659" s="40"/>
      <c r="E659" s="40"/>
      <c r="F659" s="40"/>
      <c r="G659" s="40"/>
      <c r="H659" s="53"/>
      <c r="R659" s="40"/>
      <c r="S659" s="40"/>
      <c r="T659" s="40"/>
      <c r="U659" s="40"/>
      <c r="V659" s="40"/>
      <c r="X659" s="40"/>
      <c r="Y659" s="40"/>
      <c r="Z659" s="40"/>
      <c r="AA659" s="41"/>
      <c r="AB659" s="41"/>
      <c r="AC659" s="41"/>
      <c r="AD659" s="41"/>
      <c r="AE659" s="41"/>
      <c r="AF659" s="40"/>
      <c r="AG659" s="40"/>
      <c r="AH659" s="5"/>
      <c r="AI659" s="5"/>
      <c r="AJ659" s="40"/>
      <c r="AK659" s="40"/>
      <c r="AL659" s="40"/>
      <c r="AM659" s="40"/>
      <c r="AO659" s="40"/>
      <c r="AQ659" s="40"/>
    </row>
    <row r="660" spans="2:43" ht="12.75" customHeight="1" x14ac:dyDescent="0.15">
      <c r="B660" s="40"/>
      <c r="C660" s="40"/>
      <c r="D660" s="40"/>
      <c r="E660" s="40"/>
      <c r="F660" s="40"/>
      <c r="G660" s="40"/>
      <c r="H660" s="53"/>
      <c r="R660" s="40"/>
      <c r="S660" s="40"/>
      <c r="T660" s="40"/>
      <c r="U660" s="40"/>
      <c r="V660" s="40"/>
      <c r="X660" s="40"/>
      <c r="Y660" s="40"/>
      <c r="Z660" s="40"/>
      <c r="AA660" s="41"/>
      <c r="AB660" s="41"/>
      <c r="AC660" s="41"/>
      <c r="AD660" s="41"/>
      <c r="AE660" s="41"/>
      <c r="AF660" s="40"/>
      <c r="AG660" s="40"/>
      <c r="AH660" s="5"/>
      <c r="AI660" s="5"/>
      <c r="AJ660" s="40"/>
      <c r="AK660" s="40"/>
      <c r="AL660" s="40"/>
      <c r="AM660" s="40"/>
      <c r="AO660" s="40"/>
      <c r="AQ660" s="40"/>
    </row>
    <row r="661" spans="2:43" ht="12.75" customHeight="1" x14ac:dyDescent="0.15">
      <c r="B661" s="40"/>
      <c r="C661" s="40"/>
      <c r="D661" s="40"/>
      <c r="E661" s="40"/>
      <c r="F661" s="40"/>
      <c r="G661" s="40"/>
      <c r="H661" s="53"/>
      <c r="R661" s="40"/>
      <c r="S661" s="40"/>
      <c r="T661" s="40"/>
      <c r="U661" s="40"/>
      <c r="V661" s="40"/>
      <c r="X661" s="40"/>
      <c r="Y661" s="40"/>
      <c r="Z661" s="40"/>
      <c r="AA661" s="41"/>
      <c r="AB661" s="41"/>
      <c r="AC661" s="41"/>
      <c r="AD661" s="41"/>
      <c r="AE661" s="41"/>
      <c r="AF661" s="40"/>
      <c r="AG661" s="40"/>
      <c r="AH661" s="5"/>
      <c r="AI661" s="5"/>
      <c r="AJ661" s="40"/>
      <c r="AK661" s="40"/>
      <c r="AL661" s="40"/>
      <c r="AM661" s="40"/>
      <c r="AO661" s="40"/>
      <c r="AQ661" s="40"/>
    </row>
    <row r="662" spans="2:43" ht="12.75" customHeight="1" x14ac:dyDescent="0.15">
      <c r="B662" s="40"/>
      <c r="C662" s="40"/>
      <c r="D662" s="40"/>
      <c r="E662" s="40"/>
      <c r="F662" s="40"/>
      <c r="G662" s="40"/>
      <c r="H662" s="53"/>
      <c r="R662" s="40"/>
      <c r="S662" s="40"/>
      <c r="T662" s="40"/>
      <c r="U662" s="40"/>
      <c r="V662" s="40"/>
      <c r="X662" s="40"/>
      <c r="Y662" s="40"/>
      <c r="Z662" s="40"/>
      <c r="AA662" s="41"/>
      <c r="AB662" s="41"/>
      <c r="AC662" s="41"/>
      <c r="AD662" s="41"/>
      <c r="AE662" s="41"/>
      <c r="AF662" s="40"/>
      <c r="AG662" s="40"/>
      <c r="AH662" s="5"/>
      <c r="AI662" s="5"/>
      <c r="AJ662" s="40"/>
      <c r="AK662" s="40"/>
      <c r="AL662" s="40"/>
      <c r="AM662" s="40"/>
      <c r="AO662" s="40"/>
      <c r="AQ662" s="40"/>
    </row>
    <row r="663" spans="2:43" ht="12.75" customHeight="1" x14ac:dyDescent="0.15">
      <c r="B663" s="40"/>
      <c r="C663" s="40"/>
      <c r="D663" s="40"/>
      <c r="E663" s="40"/>
      <c r="F663" s="40"/>
      <c r="G663" s="40"/>
      <c r="H663" s="53"/>
      <c r="R663" s="40"/>
      <c r="S663" s="40"/>
      <c r="T663" s="40"/>
      <c r="U663" s="40"/>
      <c r="V663" s="40"/>
      <c r="X663" s="40"/>
      <c r="Y663" s="40"/>
      <c r="Z663" s="40"/>
      <c r="AA663" s="41"/>
      <c r="AB663" s="41"/>
      <c r="AC663" s="41"/>
      <c r="AD663" s="41"/>
      <c r="AE663" s="41"/>
      <c r="AF663" s="40"/>
      <c r="AG663" s="40"/>
      <c r="AH663" s="5"/>
      <c r="AI663" s="5"/>
      <c r="AJ663" s="40"/>
      <c r="AK663" s="40"/>
      <c r="AL663" s="40"/>
      <c r="AM663" s="40"/>
      <c r="AO663" s="40"/>
      <c r="AQ663" s="40"/>
    </row>
    <row r="664" spans="2:43" ht="12.75" customHeight="1" x14ac:dyDescent="0.15">
      <c r="B664" s="40"/>
      <c r="C664" s="40"/>
      <c r="D664" s="40"/>
      <c r="E664" s="40"/>
      <c r="F664" s="40"/>
      <c r="G664" s="40"/>
      <c r="H664" s="53"/>
      <c r="R664" s="40"/>
      <c r="S664" s="40"/>
      <c r="T664" s="40"/>
      <c r="U664" s="40"/>
      <c r="V664" s="40"/>
      <c r="X664" s="40"/>
      <c r="Y664" s="40"/>
      <c r="Z664" s="40"/>
      <c r="AA664" s="41"/>
      <c r="AB664" s="41"/>
      <c r="AC664" s="41"/>
      <c r="AD664" s="41"/>
      <c r="AE664" s="41"/>
      <c r="AF664" s="40"/>
      <c r="AG664" s="40"/>
      <c r="AH664" s="5"/>
      <c r="AI664" s="5"/>
      <c r="AJ664" s="40"/>
      <c r="AK664" s="40"/>
      <c r="AL664" s="40"/>
      <c r="AM664" s="40"/>
      <c r="AO664" s="40"/>
      <c r="AQ664" s="40"/>
    </row>
    <row r="665" spans="2:43" ht="12.75" customHeight="1" x14ac:dyDescent="0.15">
      <c r="B665" s="40"/>
      <c r="C665" s="40"/>
      <c r="D665" s="40"/>
      <c r="E665" s="40"/>
      <c r="F665" s="40"/>
      <c r="G665" s="40"/>
      <c r="H665" s="53"/>
      <c r="R665" s="40"/>
      <c r="S665" s="40"/>
      <c r="T665" s="40"/>
      <c r="U665" s="40"/>
      <c r="V665" s="40"/>
      <c r="X665" s="40"/>
      <c r="Y665" s="40"/>
      <c r="Z665" s="40"/>
      <c r="AA665" s="41"/>
      <c r="AB665" s="41"/>
      <c r="AC665" s="41"/>
      <c r="AD665" s="41"/>
      <c r="AE665" s="41"/>
      <c r="AF665" s="40"/>
      <c r="AG665" s="40"/>
      <c r="AH665" s="5"/>
      <c r="AI665" s="5"/>
      <c r="AJ665" s="40"/>
      <c r="AK665" s="40"/>
      <c r="AL665" s="40"/>
      <c r="AM665" s="40"/>
      <c r="AO665" s="40"/>
      <c r="AQ665" s="40"/>
    </row>
    <row r="666" spans="2:43" ht="12.75" customHeight="1" x14ac:dyDescent="0.15">
      <c r="B666" s="40"/>
      <c r="C666" s="40"/>
      <c r="D666" s="40"/>
      <c r="E666" s="40"/>
      <c r="F666" s="40"/>
      <c r="G666" s="40"/>
      <c r="H666" s="53"/>
      <c r="R666" s="40"/>
      <c r="S666" s="40"/>
      <c r="T666" s="40"/>
      <c r="U666" s="40"/>
      <c r="V666" s="40"/>
      <c r="X666" s="40"/>
      <c r="Y666" s="40"/>
      <c r="Z666" s="40"/>
      <c r="AA666" s="41"/>
      <c r="AB666" s="41"/>
      <c r="AC666" s="41"/>
      <c r="AD666" s="41"/>
      <c r="AE666" s="41"/>
      <c r="AF666" s="40"/>
      <c r="AG666" s="40"/>
      <c r="AH666" s="5"/>
      <c r="AI666" s="5"/>
      <c r="AJ666" s="40"/>
      <c r="AK666" s="40"/>
      <c r="AL666" s="40"/>
      <c r="AM666" s="40"/>
      <c r="AO666" s="40"/>
      <c r="AQ666" s="40"/>
    </row>
    <row r="667" spans="2:43" ht="12.75" customHeight="1" x14ac:dyDescent="0.15">
      <c r="B667" s="40"/>
      <c r="C667" s="40"/>
      <c r="D667" s="40"/>
      <c r="E667" s="40"/>
      <c r="F667" s="40"/>
      <c r="G667" s="40"/>
      <c r="H667" s="53"/>
      <c r="R667" s="40"/>
      <c r="S667" s="40"/>
      <c r="T667" s="40"/>
      <c r="U667" s="40"/>
      <c r="V667" s="40"/>
      <c r="X667" s="40"/>
      <c r="Y667" s="40"/>
      <c r="Z667" s="40"/>
      <c r="AA667" s="41"/>
      <c r="AB667" s="41"/>
      <c r="AC667" s="41"/>
      <c r="AD667" s="41"/>
      <c r="AE667" s="41"/>
      <c r="AF667" s="40"/>
      <c r="AG667" s="40"/>
      <c r="AH667" s="5"/>
      <c r="AI667" s="5"/>
      <c r="AJ667" s="40"/>
      <c r="AK667" s="40"/>
      <c r="AL667" s="40"/>
      <c r="AM667" s="40"/>
      <c r="AO667" s="40"/>
      <c r="AQ667" s="40"/>
    </row>
    <row r="668" spans="2:43" ht="12.75" customHeight="1" x14ac:dyDescent="0.15">
      <c r="B668" s="40"/>
      <c r="C668" s="40"/>
      <c r="D668" s="40"/>
      <c r="E668" s="40"/>
      <c r="F668" s="40"/>
      <c r="G668" s="40"/>
      <c r="H668" s="53"/>
      <c r="R668" s="40"/>
      <c r="S668" s="40"/>
      <c r="T668" s="40"/>
      <c r="U668" s="40"/>
      <c r="V668" s="40"/>
      <c r="X668" s="40"/>
      <c r="Y668" s="40"/>
      <c r="Z668" s="40"/>
      <c r="AA668" s="41"/>
      <c r="AB668" s="41"/>
      <c r="AC668" s="41"/>
      <c r="AD668" s="41"/>
      <c r="AE668" s="41"/>
      <c r="AF668" s="40"/>
      <c r="AG668" s="40"/>
      <c r="AH668" s="5"/>
      <c r="AI668" s="5"/>
      <c r="AJ668" s="40"/>
      <c r="AK668" s="40"/>
      <c r="AL668" s="40"/>
      <c r="AM668" s="40"/>
      <c r="AO668" s="40"/>
      <c r="AQ668" s="40"/>
    </row>
    <row r="669" spans="2:43" ht="12.75" customHeight="1" x14ac:dyDescent="0.15">
      <c r="B669" s="40"/>
      <c r="C669" s="40"/>
      <c r="D669" s="40"/>
      <c r="E669" s="40"/>
      <c r="F669" s="40"/>
      <c r="G669" s="40"/>
      <c r="H669" s="53"/>
      <c r="R669" s="40"/>
      <c r="S669" s="40"/>
      <c r="T669" s="40"/>
      <c r="U669" s="40"/>
      <c r="V669" s="40"/>
      <c r="X669" s="40"/>
      <c r="Y669" s="40"/>
      <c r="Z669" s="40"/>
      <c r="AA669" s="41"/>
      <c r="AB669" s="41"/>
      <c r="AC669" s="41"/>
      <c r="AD669" s="41"/>
      <c r="AE669" s="41"/>
      <c r="AF669" s="40"/>
      <c r="AG669" s="40"/>
      <c r="AH669" s="5"/>
      <c r="AI669" s="5"/>
      <c r="AJ669" s="40"/>
      <c r="AK669" s="40"/>
      <c r="AL669" s="40"/>
      <c r="AM669" s="40"/>
      <c r="AO669" s="40"/>
      <c r="AQ669" s="40"/>
    </row>
    <row r="670" spans="2:43" ht="12.75" customHeight="1" x14ac:dyDescent="0.15">
      <c r="B670" s="40"/>
      <c r="C670" s="40"/>
      <c r="D670" s="40"/>
      <c r="E670" s="40"/>
      <c r="F670" s="40"/>
      <c r="G670" s="40"/>
      <c r="H670" s="53"/>
      <c r="R670" s="40"/>
      <c r="S670" s="40"/>
      <c r="T670" s="40"/>
      <c r="U670" s="40"/>
      <c r="V670" s="40"/>
      <c r="X670" s="40"/>
      <c r="Y670" s="40"/>
      <c r="Z670" s="40"/>
      <c r="AA670" s="41"/>
      <c r="AB670" s="41"/>
      <c r="AC670" s="41"/>
      <c r="AD670" s="41"/>
      <c r="AE670" s="41"/>
      <c r="AF670" s="40"/>
      <c r="AG670" s="40"/>
      <c r="AH670" s="5"/>
      <c r="AI670" s="5"/>
      <c r="AJ670" s="40"/>
      <c r="AK670" s="40"/>
      <c r="AL670" s="40"/>
      <c r="AM670" s="40"/>
      <c r="AO670" s="40"/>
      <c r="AQ670" s="40"/>
    </row>
    <row r="671" spans="2:43" ht="12.75" customHeight="1" x14ac:dyDescent="0.15">
      <c r="B671" s="40"/>
      <c r="C671" s="40"/>
      <c r="D671" s="40"/>
      <c r="E671" s="40"/>
      <c r="F671" s="40"/>
      <c r="G671" s="40"/>
      <c r="H671" s="53"/>
      <c r="R671" s="40"/>
      <c r="S671" s="40"/>
      <c r="T671" s="40"/>
      <c r="U671" s="40"/>
      <c r="V671" s="40"/>
      <c r="X671" s="40"/>
      <c r="Y671" s="40"/>
      <c r="Z671" s="40"/>
      <c r="AA671" s="41"/>
      <c r="AB671" s="41"/>
      <c r="AC671" s="41"/>
      <c r="AD671" s="41"/>
      <c r="AE671" s="41"/>
      <c r="AF671" s="40"/>
      <c r="AG671" s="40"/>
      <c r="AH671" s="5"/>
      <c r="AI671" s="5"/>
      <c r="AJ671" s="40"/>
      <c r="AK671" s="40"/>
      <c r="AL671" s="40"/>
      <c r="AM671" s="40"/>
      <c r="AO671" s="40"/>
      <c r="AQ671" s="40"/>
    </row>
    <row r="672" spans="2:43" ht="12.75" customHeight="1" x14ac:dyDescent="0.15">
      <c r="B672" s="40"/>
      <c r="C672" s="40"/>
      <c r="D672" s="40"/>
      <c r="E672" s="40"/>
      <c r="F672" s="40"/>
      <c r="G672" s="40"/>
      <c r="H672" s="53"/>
      <c r="R672" s="40"/>
      <c r="S672" s="40"/>
      <c r="T672" s="40"/>
      <c r="U672" s="40"/>
      <c r="V672" s="40"/>
      <c r="X672" s="40"/>
      <c r="Y672" s="40"/>
      <c r="Z672" s="40"/>
      <c r="AA672" s="41"/>
      <c r="AB672" s="41"/>
      <c r="AC672" s="41"/>
      <c r="AD672" s="41"/>
      <c r="AE672" s="41"/>
      <c r="AF672" s="40"/>
      <c r="AG672" s="40"/>
      <c r="AH672" s="5"/>
      <c r="AI672" s="5"/>
      <c r="AJ672" s="40"/>
      <c r="AK672" s="40"/>
      <c r="AL672" s="40"/>
      <c r="AM672" s="40"/>
      <c r="AO672" s="40"/>
      <c r="AQ672" s="40"/>
    </row>
    <row r="673" spans="2:43" ht="12.75" customHeight="1" x14ac:dyDescent="0.15">
      <c r="B673" s="40"/>
      <c r="C673" s="40"/>
      <c r="D673" s="40"/>
      <c r="E673" s="40"/>
      <c r="F673" s="40"/>
      <c r="G673" s="40"/>
      <c r="H673" s="53"/>
      <c r="R673" s="40"/>
      <c r="S673" s="40"/>
      <c r="T673" s="40"/>
      <c r="U673" s="40"/>
      <c r="V673" s="40"/>
      <c r="X673" s="40"/>
      <c r="Y673" s="40"/>
      <c r="Z673" s="40"/>
      <c r="AA673" s="41"/>
      <c r="AB673" s="41"/>
      <c r="AC673" s="41"/>
      <c r="AD673" s="41"/>
      <c r="AE673" s="41"/>
      <c r="AF673" s="40"/>
      <c r="AG673" s="40"/>
      <c r="AH673" s="5"/>
      <c r="AI673" s="5"/>
      <c r="AJ673" s="40"/>
      <c r="AK673" s="40"/>
      <c r="AL673" s="40"/>
      <c r="AM673" s="40"/>
      <c r="AO673" s="40"/>
      <c r="AQ673" s="40"/>
    </row>
    <row r="674" spans="2:43" ht="12.75" customHeight="1" x14ac:dyDescent="0.15">
      <c r="B674" s="40"/>
      <c r="C674" s="40"/>
      <c r="D674" s="40"/>
      <c r="E674" s="40"/>
      <c r="F674" s="40"/>
      <c r="G674" s="40"/>
      <c r="H674" s="53"/>
      <c r="R674" s="40"/>
      <c r="S674" s="40"/>
      <c r="T674" s="40"/>
      <c r="U674" s="40"/>
      <c r="V674" s="40"/>
      <c r="X674" s="40"/>
      <c r="Y674" s="40"/>
      <c r="Z674" s="40"/>
      <c r="AA674" s="41"/>
      <c r="AB674" s="41"/>
      <c r="AC674" s="41"/>
      <c r="AD674" s="41"/>
      <c r="AE674" s="41"/>
      <c r="AF674" s="40"/>
      <c r="AG674" s="40"/>
      <c r="AH674" s="5"/>
      <c r="AI674" s="5"/>
      <c r="AJ674" s="40"/>
      <c r="AK674" s="40"/>
      <c r="AL674" s="40"/>
      <c r="AM674" s="40"/>
      <c r="AO674" s="40"/>
      <c r="AQ674" s="40"/>
    </row>
    <row r="675" spans="2:43" ht="12.75" customHeight="1" x14ac:dyDescent="0.15">
      <c r="B675" s="40"/>
      <c r="C675" s="40"/>
      <c r="D675" s="40"/>
      <c r="E675" s="40"/>
      <c r="F675" s="40"/>
      <c r="G675" s="40"/>
      <c r="H675" s="53"/>
      <c r="R675" s="40"/>
      <c r="S675" s="40"/>
      <c r="T675" s="40"/>
      <c r="U675" s="40"/>
      <c r="V675" s="40"/>
      <c r="X675" s="40"/>
      <c r="Y675" s="40"/>
      <c r="Z675" s="40"/>
      <c r="AA675" s="41"/>
      <c r="AB675" s="41"/>
      <c r="AC675" s="41"/>
      <c r="AD675" s="41"/>
      <c r="AE675" s="41"/>
      <c r="AF675" s="40"/>
      <c r="AG675" s="40"/>
      <c r="AH675" s="5"/>
      <c r="AI675" s="5"/>
      <c r="AJ675" s="40"/>
      <c r="AK675" s="40"/>
      <c r="AL675" s="40"/>
      <c r="AM675" s="40"/>
      <c r="AO675" s="40"/>
      <c r="AQ675" s="40"/>
    </row>
    <row r="676" spans="2:43" ht="12.75" customHeight="1" x14ac:dyDescent="0.15">
      <c r="B676" s="40"/>
      <c r="C676" s="40"/>
      <c r="D676" s="40"/>
      <c r="E676" s="40"/>
      <c r="F676" s="40"/>
      <c r="G676" s="40"/>
      <c r="H676" s="53"/>
      <c r="R676" s="40"/>
      <c r="S676" s="40"/>
      <c r="T676" s="40"/>
      <c r="U676" s="40"/>
      <c r="V676" s="40"/>
      <c r="X676" s="40"/>
      <c r="Y676" s="40"/>
      <c r="Z676" s="40"/>
      <c r="AA676" s="41"/>
      <c r="AB676" s="41"/>
      <c r="AC676" s="41"/>
      <c r="AD676" s="41"/>
      <c r="AE676" s="41"/>
      <c r="AF676" s="40"/>
      <c r="AG676" s="40"/>
      <c r="AH676" s="5"/>
      <c r="AI676" s="5"/>
      <c r="AJ676" s="40"/>
      <c r="AK676" s="40"/>
      <c r="AL676" s="40"/>
      <c r="AM676" s="40"/>
      <c r="AO676" s="40"/>
      <c r="AQ676" s="40"/>
    </row>
    <row r="677" spans="2:43" ht="12.75" customHeight="1" x14ac:dyDescent="0.15">
      <c r="B677" s="40"/>
      <c r="C677" s="40"/>
      <c r="D677" s="40"/>
      <c r="E677" s="40"/>
      <c r="F677" s="40"/>
      <c r="G677" s="40"/>
      <c r="H677" s="53"/>
      <c r="R677" s="40"/>
      <c r="S677" s="40"/>
      <c r="T677" s="40"/>
      <c r="U677" s="40"/>
      <c r="V677" s="40"/>
      <c r="X677" s="40"/>
      <c r="Y677" s="40"/>
      <c r="Z677" s="40"/>
      <c r="AA677" s="41"/>
      <c r="AB677" s="41"/>
      <c r="AC677" s="41"/>
      <c r="AD677" s="41"/>
      <c r="AE677" s="41"/>
      <c r="AF677" s="40"/>
      <c r="AG677" s="40"/>
      <c r="AH677" s="5"/>
      <c r="AI677" s="5"/>
      <c r="AJ677" s="40"/>
      <c r="AK677" s="40"/>
      <c r="AL677" s="40"/>
      <c r="AM677" s="40"/>
      <c r="AO677" s="40"/>
      <c r="AQ677" s="40"/>
    </row>
    <row r="678" spans="2:43" ht="12.75" customHeight="1" x14ac:dyDescent="0.15">
      <c r="B678" s="40"/>
      <c r="C678" s="40"/>
      <c r="D678" s="40"/>
      <c r="E678" s="40"/>
      <c r="F678" s="40"/>
      <c r="G678" s="40"/>
      <c r="H678" s="53"/>
      <c r="R678" s="40"/>
      <c r="S678" s="40"/>
      <c r="T678" s="40"/>
      <c r="U678" s="40"/>
      <c r="V678" s="40"/>
      <c r="X678" s="40"/>
      <c r="Y678" s="40"/>
      <c r="Z678" s="40"/>
      <c r="AA678" s="41"/>
      <c r="AB678" s="41"/>
      <c r="AC678" s="41"/>
      <c r="AD678" s="41"/>
      <c r="AE678" s="41"/>
      <c r="AF678" s="40"/>
      <c r="AG678" s="40"/>
      <c r="AH678" s="5"/>
      <c r="AI678" s="5"/>
      <c r="AJ678" s="40"/>
      <c r="AK678" s="40"/>
      <c r="AL678" s="40"/>
      <c r="AM678" s="40"/>
      <c r="AO678" s="40"/>
      <c r="AQ678" s="40"/>
    </row>
    <row r="679" spans="2:43" ht="12.75" customHeight="1" x14ac:dyDescent="0.15">
      <c r="B679" s="40"/>
      <c r="C679" s="40"/>
      <c r="D679" s="40"/>
      <c r="E679" s="40"/>
      <c r="F679" s="40"/>
      <c r="G679" s="40"/>
      <c r="H679" s="53"/>
      <c r="R679" s="40"/>
      <c r="S679" s="40"/>
      <c r="T679" s="40"/>
      <c r="U679" s="40"/>
      <c r="V679" s="40"/>
      <c r="X679" s="40"/>
      <c r="Y679" s="40"/>
      <c r="Z679" s="40"/>
      <c r="AA679" s="41"/>
      <c r="AB679" s="41"/>
      <c r="AC679" s="41"/>
      <c r="AD679" s="41"/>
      <c r="AE679" s="41"/>
      <c r="AF679" s="40"/>
      <c r="AG679" s="40"/>
      <c r="AH679" s="5"/>
      <c r="AI679" s="5"/>
      <c r="AJ679" s="40"/>
      <c r="AK679" s="40"/>
      <c r="AL679" s="40"/>
      <c r="AM679" s="40"/>
      <c r="AO679" s="40"/>
      <c r="AQ679" s="40"/>
    </row>
    <row r="680" spans="2:43" ht="12.75" customHeight="1" x14ac:dyDescent="0.15">
      <c r="B680" s="40"/>
      <c r="C680" s="40"/>
      <c r="D680" s="40"/>
      <c r="E680" s="40"/>
      <c r="F680" s="40"/>
      <c r="G680" s="40"/>
      <c r="H680" s="53"/>
      <c r="R680" s="40"/>
      <c r="S680" s="40"/>
      <c r="T680" s="40"/>
      <c r="U680" s="40"/>
      <c r="V680" s="40"/>
      <c r="X680" s="40"/>
      <c r="Y680" s="40"/>
      <c r="Z680" s="40"/>
      <c r="AA680" s="41"/>
      <c r="AB680" s="41"/>
      <c r="AC680" s="41"/>
      <c r="AD680" s="41"/>
      <c r="AE680" s="41"/>
      <c r="AF680" s="40"/>
      <c r="AG680" s="40"/>
      <c r="AH680" s="5"/>
      <c r="AI680" s="5"/>
      <c r="AJ680" s="40"/>
      <c r="AK680" s="40"/>
      <c r="AL680" s="40"/>
      <c r="AM680" s="40"/>
      <c r="AO680" s="40"/>
      <c r="AQ680" s="40"/>
    </row>
    <row r="681" spans="2:43" ht="12.75" customHeight="1" x14ac:dyDescent="0.15">
      <c r="B681" s="40"/>
      <c r="C681" s="40"/>
      <c r="D681" s="40"/>
      <c r="E681" s="40"/>
      <c r="F681" s="40"/>
      <c r="G681" s="40"/>
      <c r="H681" s="53"/>
      <c r="R681" s="40"/>
      <c r="S681" s="40"/>
      <c r="T681" s="40"/>
      <c r="U681" s="40"/>
      <c r="V681" s="40"/>
      <c r="X681" s="40"/>
      <c r="Y681" s="40"/>
      <c r="Z681" s="40"/>
      <c r="AA681" s="41"/>
      <c r="AB681" s="41"/>
      <c r="AC681" s="41"/>
      <c r="AD681" s="41"/>
      <c r="AE681" s="41"/>
      <c r="AF681" s="40"/>
      <c r="AG681" s="40"/>
      <c r="AH681" s="5"/>
      <c r="AI681" s="5"/>
      <c r="AJ681" s="40"/>
      <c r="AK681" s="40"/>
      <c r="AL681" s="40"/>
      <c r="AM681" s="40"/>
      <c r="AO681" s="40"/>
      <c r="AQ681" s="40"/>
    </row>
    <row r="682" spans="2:43" ht="12.75" customHeight="1" x14ac:dyDescent="0.15">
      <c r="B682" s="40"/>
      <c r="C682" s="40"/>
      <c r="D682" s="40"/>
      <c r="E682" s="40"/>
      <c r="F682" s="40"/>
      <c r="G682" s="40"/>
      <c r="H682" s="53"/>
      <c r="R682" s="40"/>
      <c r="S682" s="40"/>
      <c r="T682" s="40"/>
      <c r="U682" s="40"/>
      <c r="V682" s="40"/>
      <c r="X682" s="40"/>
      <c r="Y682" s="40"/>
      <c r="Z682" s="40"/>
      <c r="AA682" s="41"/>
      <c r="AB682" s="41"/>
      <c r="AC682" s="41"/>
      <c r="AD682" s="41"/>
      <c r="AE682" s="41"/>
      <c r="AF682" s="40"/>
      <c r="AG682" s="40"/>
      <c r="AH682" s="5"/>
      <c r="AI682" s="5"/>
      <c r="AJ682" s="40"/>
      <c r="AK682" s="40"/>
      <c r="AL682" s="40"/>
      <c r="AM682" s="40"/>
      <c r="AO682" s="40"/>
      <c r="AQ682" s="40"/>
    </row>
    <row r="683" spans="2:43" ht="12.75" customHeight="1" x14ac:dyDescent="0.15">
      <c r="B683" s="40"/>
      <c r="C683" s="40"/>
      <c r="D683" s="40"/>
      <c r="E683" s="40"/>
      <c r="F683" s="40"/>
      <c r="G683" s="40"/>
      <c r="H683" s="53"/>
      <c r="R683" s="40"/>
      <c r="S683" s="40"/>
      <c r="T683" s="40"/>
      <c r="U683" s="40"/>
      <c r="V683" s="40"/>
      <c r="X683" s="40"/>
      <c r="Y683" s="40"/>
      <c r="Z683" s="40"/>
      <c r="AA683" s="41"/>
      <c r="AB683" s="41"/>
      <c r="AC683" s="41"/>
      <c r="AD683" s="41"/>
      <c r="AE683" s="41"/>
      <c r="AF683" s="40"/>
      <c r="AG683" s="40"/>
      <c r="AH683" s="5"/>
      <c r="AI683" s="5"/>
      <c r="AJ683" s="40"/>
      <c r="AK683" s="40"/>
      <c r="AL683" s="40"/>
      <c r="AM683" s="40"/>
      <c r="AO683" s="40"/>
      <c r="AQ683" s="40"/>
    </row>
    <row r="684" spans="2:43" ht="12.75" customHeight="1" x14ac:dyDescent="0.15">
      <c r="B684" s="40"/>
      <c r="C684" s="40"/>
      <c r="D684" s="40"/>
      <c r="E684" s="40"/>
      <c r="F684" s="40"/>
      <c r="G684" s="40"/>
      <c r="H684" s="53"/>
      <c r="R684" s="40"/>
      <c r="S684" s="40"/>
      <c r="T684" s="40"/>
      <c r="U684" s="40"/>
      <c r="V684" s="40"/>
      <c r="X684" s="40"/>
      <c r="Y684" s="40"/>
      <c r="Z684" s="40"/>
      <c r="AA684" s="41"/>
      <c r="AB684" s="41"/>
      <c r="AC684" s="41"/>
      <c r="AD684" s="41"/>
      <c r="AE684" s="41"/>
      <c r="AF684" s="40"/>
      <c r="AG684" s="40"/>
      <c r="AH684" s="5"/>
      <c r="AI684" s="5"/>
      <c r="AJ684" s="40"/>
      <c r="AK684" s="40"/>
      <c r="AL684" s="40"/>
      <c r="AM684" s="40"/>
      <c r="AO684" s="40"/>
      <c r="AQ684" s="40"/>
    </row>
    <row r="685" spans="2:43" ht="12.75" customHeight="1" x14ac:dyDescent="0.15">
      <c r="B685" s="40"/>
      <c r="C685" s="40"/>
      <c r="D685" s="40"/>
      <c r="E685" s="40"/>
      <c r="F685" s="40"/>
      <c r="G685" s="40"/>
      <c r="H685" s="53"/>
      <c r="R685" s="40"/>
      <c r="S685" s="40"/>
      <c r="T685" s="40"/>
      <c r="U685" s="40"/>
      <c r="V685" s="40"/>
      <c r="X685" s="40"/>
      <c r="Y685" s="40"/>
      <c r="Z685" s="40"/>
      <c r="AA685" s="41"/>
      <c r="AB685" s="41"/>
      <c r="AC685" s="41"/>
      <c r="AD685" s="41"/>
      <c r="AE685" s="41"/>
      <c r="AF685" s="40"/>
      <c r="AG685" s="40"/>
      <c r="AH685" s="5"/>
      <c r="AI685" s="5"/>
      <c r="AJ685" s="40"/>
      <c r="AK685" s="40"/>
      <c r="AL685" s="40"/>
      <c r="AM685" s="40"/>
      <c r="AO685" s="40"/>
      <c r="AQ685" s="40"/>
    </row>
    <row r="686" spans="2:43" ht="12.75" customHeight="1" x14ac:dyDescent="0.15">
      <c r="B686" s="40"/>
      <c r="C686" s="40"/>
      <c r="D686" s="40"/>
      <c r="E686" s="40"/>
      <c r="F686" s="40"/>
      <c r="G686" s="40"/>
      <c r="H686" s="53"/>
      <c r="R686" s="40"/>
      <c r="S686" s="40"/>
      <c r="T686" s="40"/>
      <c r="U686" s="40"/>
      <c r="V686" s="40"/>
      <c r="X686" s="40"/>
      <c r="Y686" s="40"/>
      <c r="Z686" s="40"/>
      <c r="AA686" s="41"/>
      <c r="AB686" s="41"/>
      <c r="AC686" s="41"/>
      <c r="AD686" s="41"/>
      <c r="AE686" s="41"/>
      <c r="AF686" s="40"/>
      <c r="AG686" s="40"/>
      <c r="AH686" s="5"/>
      <c r="AI686" s="5"/>
      <c r="AJ686" s="40"/>
      <c r="AK686" s="40"/>
      <c r="AL686" s="40"/>
      <c r="AM686" s="40"/>
      <c r="AO686" s="40"/>
      <c r="AQ686" s="40"/>
    </row>
    <row r="687" spans="2:43" ht="12.75" customHeight="1" x14ac:dyDescent="0.15">
      <c r="B687" s="40"/>
      <c r="C687" s="40"/>
      <c r="D687" s="40"/>
      <c r="E687" s="40"/>
      <c r="F687" s="40"/>
      <c r="G687" s="40"/>
      <c r="H687" s="53"/>
      <c r="R687" s="40"/>
      <c r="S687" s="40"/>
      <c r="T687" s="40"/>
      <c r="U687" s="40"/>
      <c r="V687" s="40"/>
      <c r="X687" s="40"/>
      <c r="Y687" s="40"/>
      <c r="Z687" s="40"/>
      <c r="AA687" s="41"/>
      <c r="AB687" s="41"/>
      <c r="AC687" s="41"/>
      <c r="AD687" s="41"/>
      <c r="AE687" s="41"/>
      <c r="AF687" s="40"/>
      <c r="AG687" s="40"/>
      <c r="AH687" s="5"/>
      <c r="AI687" s="5"/>
      <c r="AJ687" s="40"/>
      <c r="AK687" s="40"/>
      <c r="AL687" s="40"/>
      <c r="AM687" s="40"/>
      <c r="AO687" s="40"/>
      <c r="AQ687" s="40"/>
    </row>
    <row r="688" spans="2:43" ht="12.75" customHeight="1" x14ac:dyDescent="0.15">
      <c r="B688" s="40"/>
      <c r="C688" s="40"/>
      <c r="D688" s="40"/>
      <c r="E688" s="40"/>
      <c r="F688" s="40"/>
      <c r="G688" s="40"/>
      <c r="H688" s="53"/>
      <c r="R688" s="40"/>
      <c r="S688" s="40"/>
      <c r="T688" s="40"/>
      <c r="U688" s="40"/>
      <c r="V688" s="40"/>
      <c r="X688" s="40"/>
      <c r="Y688" s="40"/>
      <c r="Z688" s="40"/>
      <c r="AA688" s="41"/>
      <c r="AB688" s="41"/>
      <c r="AC688" s="41"/>
      <c r="AD688" s="41"/>
      <c r="AE688" s="41"/>
      <c r="AF688" s="40"/>
      <c r="AG688" s="40"/>
      <c r="AH688" s="5"/>
      <c r="AI688" s="5"/>
      <c r="AJ688" s="40"/>
      <c r="AK688" s="40"/>
      <c r="AL688" s="40"/>
      <c r="AM688" s="40"/>
      <c r="AO688" s="40"/>
      <c r="AQ688" s="40"/>
    </row>
    <row r="689" spans="2:43" ht="12.75" customHeight="1" x14ac:dyDescent="0.15">
      <c r="B689" s="40"/>
      <c r="C689" s="40"/>
      <c r="D689" s="40"/>
      <c r="E689" s="40"/>
      <c r="F689" s="40"/>
      <c r="G689" s="40"/>
      <c r="H689" s="53"/>
      <c r="R689" s="40"/>
      <c r="S689" s="40"/>
      <c r="T689" s="40"/>
      <c r="U689" s="40"/>
      <c r="V689" s="40"/>
      <c r="X689" s="40"/>
      <c r="Y689" s="40"/>
      <c r="Z689" s="40"/>
      <c r="AA689" s="41"/>
      <c r="AB689" s="41"/>
      <c r="AC689" s="41"/>
      <c r="AD689" s="41"/>
      <c r="AE689" s="41"/>
      <c r="AF689" s="40"/>
      <c r="AG689" s="40"/>
      <c r="AH689" s="5"/>
      <c r="AI689" s="5"/>
      <c r="AJ689" s="40"/>
      <c r="AK689" s="40"/>
      <c r="AL689" s="40"/>
      <c r="AM689" s="40"/>
      <c r="AO689" s="40"/>
      <c r="AQ689" s="40"/>
    </row>
    <row r="690" spans="2:43" ht="12.75" customHeight="1" x14ac:dyDescent="0.15">
      <c r="B690" s="40"/>
      <c r="C690" s="40"/>
      <c r="D690" s="40"/>
      <c r="E690" s="40"/>
      <c r="F690" s="40"/>
      <c r="G690" s="40"/>
      <c r="H690" s="53"/>
      <c r="R690" s="40"/>
      <c r="S690" s="40"/>
      <c r="T690" s="40"/>
      <c r="U690" s="40"/>
      <c r="V690" s="40"/>
      <c r="X690" s="40"/>
      <c r="Y690" s="40"/>
      <c r="Z690" s="40"/>
      <c r="AA690" s="41"/>
      <c r="AB690" s="41"/>
      <c r="AC690" s="41"/>
      <c r="AD690" s="41"/>
      <c r="AE690" s="41"/>
      <c r="AF690" s="40"/>
      <c r="AG690" s="40"/>
      <c r="AH690" s="5"/>
      <c r="AI690" s="5"/>
      <c r="AJ690" s="40"/>
      <c r="AK690" s="40"/>
      <c r="AL690" s="40"/>
      <c r="AM690" s="40"/>
      <c r="AO690" s="40"/>
      <c r="AQ690" s="40"/>
    </row>
    <row r="691" spans="2:43" ht="12.75" customHeight="1" x14ac:dyDescent="0.15">
      <c r="B691" s="40"/>
      <c r="C691" s="40"/>
      <c r="D691" s="40"/>
      <c r="E691" s="40"/>
      <c r="F691" s="40"/>
      <c r="G691" s="40"/>
      <c r="H691" s="53"/>
      <c r="R691" s="40"/>
      <c r="S691" s="40"/>
      <c r="T691" s="40"/>
      <c r="U691" s="40"/>
      <c r="V691" s="40"/>
      <c r="X691" s="40"/>
      <c r="Y691" s="40"/>
      <c r="Z691" s="40"/>
      <c r="AA691" s="41"/>
      <c r="AB691" s="41"/>
      <c r="AC691" s="41"/>
      <c r="AD691" s="41"/>
      <c r="AE691" s="41"/>
      <c r="AF691" s="40"/>
      <c r="AG691" s="40"/>
      <c r="AH691" s="5"/>
      <c r="AI691" s="5"/>
      <c r="AJ691" s="40"/>
      <c r="AK691" s="40"/>
      <c r="AL691" s="40"/>
      <c r="AM691" s="40"/>
      <c r="AO691" s="40"/>
      <c r="AQ691" s="40"/>
    </row>
    <row r="692" spans="2:43" ht="12.75" customHeight="1" x14ac:dyDescent="0.15">
      <c r="B692" s="40"/>
      <c r="C692" s="40"/>
      <c r="D692" s="40"/>
      <c r="E692" s="40"/>
      <c r="F692" s="40"/>
      <c r="G692" s="40"/>
      <c r="H692" s="53"/>
      <c r="R692" s="40"/>
      <c r="S692" s="40"/>
      <c r="T692" s="40"/>
      <c r="U692" s="40"/>
      <c r="V692" s="40"/>
      <c r="X692" s="40"/>
      <c r="Y692" s="40"/>
      <c r="Z692" s="40"/>
      <c r="AA692" s="41"/>
      <c r="AB692" s="41"/>
      <c r="AC692" s="41"/>
      <c r="AD692" s="41"/>
      <c r="AE692" s="41"/>
      <c r="AF692" s="40"/>
      <c r="AG692" s="40"/>
      <c r="AH692" s="5"/>
      <c r="AI692" s="5"/>
      <c r="AJ692" s="40"/>
      <c r="AK692" s="40"/>
      <c r="AL692" s="40"/>
      <c r="AM692" s="40"/>
      <c r="AO692" s="40"/>
      <c r="AQ692" s="40"/>
    </row>
    <row r="693" spans="2:43" ht="12.75" customHeight="1" x14ac:dyDescent="0.15">
      <c r="B693" s="40"/>
      <c r="C693" s="40"/>
      <c r="D693" s="40"/>
      <c r="E693" s="40"/>
      <c r="F693" s="40"/>
      <c r="G693" s="40"/>
      <c r="H693" s="53"/>
      <c r="R693" s="40"/>
      <c r="S693" s="40"/>
      <c r="T693" s="40"/>
      <c r="U693" s="40"/>
      <c r="V693" s="40"/>
      <c r="X693" s="40"/>
      <c r="Y693" s="40"/>
      <c r="Z693" s="40"/>
      <c r="AA693" s="41"/>
      <c r="AB693" s="41"/>
      <c r="AC693" s="41"/>
      <c r="AD693" s="41"/>
      <c r="AE693" s="41"/>
      <c r="AF693" s="40"/>
      <c r="AG693" s="40"/>
      <c r="AH693" s="5"/>
      <c r="AI693" s="5"/>
      <c r="AJ693" s="40"/>
      <c r="AK693" s="40"/>
      <c r="AL693" s="40"/>
      <c r="AM693" s="40"/>
      <c r="AO693" s="40"/>
      <c r="AQ693" s="40"/>
    </row>
    <row r="694" spans="2:43" ht="12.75" customHeight="1" x14ac:dyDescent="0.15">
      <c r="B694" s="40"/>
      <c r="C694" s="40"/>
      <c r="D694" s="40"/>
      <c r="E694" s="40"/>
      <c r="F694" s="40"/>
      <c r="G694" s="40"/>
      <c r="H694" s="53"/>
      <c r="R694" s="40"/>
      <c r="S694" s="40"/>
      <c r="T694" s="40"/>
      <c r="U694" s="40"/>
      <c r="V694" s="40"/>
      <c r="X694" s="40"/>
      <c r="Y694" s="40"/>
      <c r="Z694" s="40"/>
      <c r="AA694" s="41"/>
      <c r="AB694" s="41"/>
      <c r="AC694" s="41"/>
      <c r="AD694" s="41"/>
      <c r="AE694" s="41"/>
      <c r="AF694" s="40"/>
      <c r="AG694" s="40"/>
      <c r="AH694" s="5"/>
      <c r="AI694" s="5"/>
      <c r="AJ694" s="40"/>
      <c r="AK694" s="40"/>
      <c r="AL694" s="40"/>
      <c r="AM694" s="40"/>
      <c r="AO694" s="40"/>
      <c r="AQ694" s="40"/>
    </row>
    <row r="695" spans="2:43" ht="12.75" customHeight="1" x14ac:dyDescent="0.15">
      <c r="B695" s="40"/>
      <c r="C695" s="40"/>
      <c r="D695" s="40"/>
      <c r="E695" s="40"/>
      <c r="F695" s="40"/>
      <c r="G695" s="40"/>
      <c r="H695" s="53"/>
      <c r="R695" s="40"/>
      <c r="S695" s="40"/>
      <c r="T695" s="40"/>
      <c r="U695" s="40"/>
      <c r="V695" s="40"/>
      <c r="X695" s="40"/>
      <c r="Y695" s="40"/>
      <c r="Z695" s="40"/>
      <c r="AA695" s="41"/>
      <c r="AB695" s="41"/>
      <c r="AC695" s="41"/>
      <c r="AD695" s="41"/>
      <c r="AE695" s="41"/>
      <c r="AF695" s="40"/>
      <c r="AG695" s="40"/>
      <c r="AH695" s="5"/>
      <c r="AI695" s="5"/>
      <c r="AJ695" s="40"/>
      <c r="AK695" s="40"/>
      <c r="AL695" s="40"/>
      <c r="AM695" s="40"/>
      <c r="AO695" s="40"/>
      <c r="AQ695" s="40"/>
    </row>
    <row r="696" spans="2:43" ht="12.75" customHeight="1" x14ac:dyDescent="0.15">
      <c r="B696" s="40"/>
      <c r="C696" s="40"/>
      <c r="D696" s="40"/>
      <c r="E696" s="40"/>
      <c r="F696" s="40"/>
      <c r="G696" s="40"/>
      <c r="H696" s="53"/>
      <c r="R696" s="40"/>
      <c r="S696" s="40"/>
      <c r="T696" s="40"/>
      <c r="U696" s="40"/>
      <c r="V696" s="40"/>
      <c r="X696" s="40"/>
      <c r="Y696" s="40"/>
      <c r="Z696" s="40"/>
      <c r="AA696" s="41"/>
      <c r="AB696" s="41"/>
      <c r="AC696" s="41"/>
      <c r="AD696" s="41"/>
      <c r="AE696" s="41"/>
      <c r="AF696" s="40"/>
      <c r="AG696" s="40"/>
      <c r="AH696" s="5"/>
      <c r="AI696" s="5"/>
      <c r="AJ696" s="40"/>
      <c r="AK696" s="40"/>
      <c r="AL696" s="40"/>
      <c r="AM696" s="40"/>
      <c r="AO696" s="40"/>
      <c r="AQ696" s="40"/>
    </row>
    <row r="697" spans="2:43" ht="12.75" customHeight="1" x14ac:dyDescent="0.15">
      <c r="B697" s="40"/>
      <c r="C697" s="40"/>
      <c r="D697" s="40"/>
      <c r="E697" s="40"/>
      <c r="F697" s="40"/>
      <c r="G697" s="40"/>
      <c r="H697" s="53"/>
      <c r="R697" s="40"/>
      <c r="S697" s="40"/>
      <c r="T697" s="40"/>
      <c r="U697" s="40"/>
      <c r="V697" s="40"/>
      <c r="X697" s="40"/>
      <c r="Y697" s="40"/>
      <c r="Z697" s="40"/>
      <c r="AA697" s="41"/>
      <c r="AB697" s="41"/>
      <c r="AC697" s="41"/>
      <c r="AD697" s="41"/>
      <c r="AE697" s="41"/>
      <c r="AF697" s="40"/>
      <c r="AG697" s="40"/>
      <c r="AH697" s="5"/>
      <c r="AI697" s="5"/>
      <c r="AJ697" s="40"/>
      <c r="AK697" s="40"/>
      <c r="AL697" s="40"/>
      <c r="AM697" s="40"/>
      <c r="AO697" s="40"/>
      <c r="AQ697" s="40"/>
    </row>
    <row r="698" spans="2:43" ht="12.75" customHeight="1" x14ac:dyDescent="0.15">
      <c r="B698" s="40"/>
      <c r="C698" s="40"/>
      <c r="D698" s="40"/>
      <c r="E698" s="40"/>
      <c r="F698" s="40"/>
      <c r="G698" s="40"/>
      <c r="H698" s="53"/>
      <c r="R698" s="40"/>
      <c r="S698" s="40"/>
      <c r="T698" s="40"/>
      <c r="U698" s="40"/>
      <c r="V698" s="40"/>
      <c r="X698" s="40"/>
      <c r="Y698" s="40"/>
      <c r="Z698" s="40"/>
      <c r="AA698" s="41"/>
      <c r="AB698" s="41"/>
      <c r="AC698" s="41"/>
      <c r="AD698" s="41"/>
      <c r="AE698" s="41"/>
      <c r="AF698" s="40"/>
      <c r="AG698" s="40"/>
      <c r="AH698" s="5"/>
      <c r="AI698" s="5"/>
      <c r="AJ698" s="40"/>
      <c r="AK698" s="40"/>
      <c r="AL698" s="40"/>
      <c r="AM698" s="40"/>
      <c r="AO698" s="40"/>
      <c r="AQ698" s="40"/>
    </row>
    <row r="699" spans="2:43" ht="12.75" customHeight="1" x14ac:dyDescent="0.15">
      <c r="B699" s="40"/>
      <c r="C699" s="40"/>
      <c r="D699" s="40"/>
      <c r="E699" s="40"/>
      <c r="F699" s="40"/>
      <c r="G699" s="40"/>
      <c r="H699" s="53"/>
      <c r="R699" s="40"/>
      <c r="S699" s="40"/>
      <c r="T699" s="40"/>
      <c r="U699" s="40"/>
      <c r="V699" s="40"/>
      <c r="X699" s="40"/>
      <c r="Y699" s="40"/>
      <c r="Z699" s="40"/>
      <c r="AA699" s="41"/>
      <c r="AB699" s="41"/>
      <c r="AC699" s="41"/>
      <c r="AD699" s="41"/>
      <c r="AE699" s="41"/>
      <c r="AF699" s="40"/>
      <c r="AG699" s="40"/>
      <c r="AH699" s="5"/>
      <c r="AI699" s="5"/>
      <c r="AJ699" s="40"/>
      <c r="AK699" s="40"/>
      <c r="AL699" s="40"/>
      <c r="AM699" s="40"/>
      <c r="AO699" s="40"/>
      <c r="AQ699" s="40"/>
    </row>
    <row r="700" spans="2:43" ht="12.75" customHeight="1" x14ac:dyDescent="0.15">
      <c r="B700" s="40"/>
      <c r="C700" s="40"/>
      <c r="D700" s="40"/>
      <c r="E700" s="40"/>
      <c r="F700" s="40"/>
      <c r="G700" s="40"/>
      <c r="H700" s="53"/>
      <c r="R700" s="40"/>
      <c r="S700" s="40"/>
      <c r="T700" s="40"/>
      <c r="U700" s="40"/>
      <c r="V700" s="40"/>
      <c r="X700" s="40"/>
      <c r="Y700" s="40"/>
      <c r="Z700" s="40"/>
      <c r="AA700" s="41"/>
      <c r="AB700" s="41"/>
      <c r="AC700" s="41"/>
      <c r="AD700" s="41"/>
      <c r="AE700" s="41"/>
      <c r="AF700" s="40"/>
      <c r="AG700" s="40"/>
      <c r="AH700" s="5"/>
      <c r="AI700" s="5"/>
      <c r="AJ700" s="40"/>
      <c r="AK700" s="40"/>
      <c r="AL700" s="40"/>
      <c r="AM700" s="40"/>
      <c r="AO700" s="40"/>
      <c r="AQ700" s="40"/>
    </row>
    <row r="701" spans="2:43" ht="12.75" customHeight="1" x14ac:dyDescent="0.15">
      <c r="B701" s="40"/>
      <c r="C701" s="40"/>
      <c r="D701" s="40"/>
      <c r="E701" s="40"/>
      <c r="F701" s="40"/>
      <c r="G701" s="40"/>
      <c r="H701" s="53"/>
      <c r="R701" s="40"/>
      <c r="S701" s="40"/>
      <c r="T701" s="40"/>
      <c r="U701" s="40"/>
      <c r="V701" s="40"/>
      <c r="X701" s="40"/>
      <c r="Y701" s="40"/>
      <c r="Z701" s="40"/>
      <c r="AA701" s="41"/>
      <c r="AB701" s="41"/>
      <c r="AC701" s="41"/>
      <c r="AD701" s="41"/>
      <c r="AE701" s="41"/>
      <c r="AF701" s="40"/>
      <c r="AG701" s="40"/>
      <c r="AH701" s="5"/>
      <c r="AI701" s="5"/>
      <c r="AJ701" s="40"/>
      <c r="AK701" s="40"/>
      <c r="AL701" s="40"/>
      <c r="AM701" s="40"/>
      <c r="AO701" s="40"/>
      <c r="AQ701" s="40"/>
    </row>
    <row r="702" spans="2:43" ht="12.75" customHeight="1" x14ac:dyDescent="0.15">
      <c r="B702" s="40"/>
      <c r="C702" s="40"/>
      <c r="D702" s="40"/>
      <c r="E702" s="40"/>
      <c r="F702" s="40"/>
      <c r="G702" s="40"/>
      <c r="H702" s="53"/>
      <c r="R702" s="40"/>
      <c r="S702" s="40"/>
      <c r="T702" s="40"/>
      <c r="U702" s="40"/>
      <c r="V702" s="40"/>
      <c r="X702" s="40"/>
      <c r="Y702" s="40"/>
      <c r="Z702" s="40"/>
      <c r="AA702" s="41"/>
      <c r="AB702" s="41"/>
      <c r="AC702" s="41"/>
      <c r="AD702" s="41"/>
      <c r="AE702" s="41"/>
      <c r="AF702" s="40"/>
      <c r="AG702" s="40"/>
      <c r="AH702" s="5"/>
      <c r="AI702" s="5"/>
      <c r="AJ702" s="40"/>
      <c r="AK702" s="40"/>
      <c r="AL702" s="40"/>
      <c r="AM702" s="40"/>
      <c r="AO702" s="40"/>
      <c r="AQ702" s="40"/>
    </row>
    <row r="703" spans="2:43" ht="12.75" customHeight="1" x14ac:dyDescent="0.15">
      <c r="B703" s="40"/>
      <c r="C703" s="40"/>
      <c r="D703" s="40"/>
      <c r="E703" s="40"/>
      <c r="F703" s="40"/>
      <c r="G703" s="40"/>
      <c r="H703" s="53"/>
      <c r="R703" s="40"/>
      <c r="S703" s="40"/>
      <c r="T703" s="40"/>
      <c r="U703" s="40"/>
      <c r="V703" s="40"/>
      <c r="X703" s="40"/>
      <c r="Y703" s="40"/>
      <c r="Z703" s="40"/>
      <c r="AA703" s="41"/>
      <c r="AB703" s="41"/>
      <c r="AC703" s="41"/>
      <c r="AD703" s="41"/>
      <c r="AE703" s="41"/>
      <c r="AF703" s="40"/>
      <c r="AG703" s="40"/>
      <c r="AH703" s="5"/>
      <c r="AI703" s="5"/>
      <c r="AJ703" s="40"/>
      <c r="AK703" s="40"/>
      <c r="AL703" s="40"/>
      <c r="AM703" s="40"/>
      <c r="AO703" s="40"/>
      <c r="AQ703" s="40"/>
    </row>
    <row r="704" spans="2:43" ht="12.75" customHeight="1" x14ac:dyDescent="0.15">
      <c r="B704" s="40"/>
      <c r="C704" s="40"/>
      <c r="D704" s="40"/>
      <c r="E704" s="40"/>
      <c r="F704" s="40"/>
      <c r="G704" s="40"/>
      <c r="H704" s="53"/>
      <c r="R704" s="40"/>
      <c r="S704" s="40"/>
      <c r="T704" s="40"/>
      <c r="U704" s="40"/>
      <c r="V704" s="40"/>
      <c r="X704" s="40"/>
      <c r="Y704" s="40"/>
      <c r="Z704" s="40"/>
      <c r="AA704" s="41"/>
      <c r="AB704" s="41"/>
      <c r="AC704" s="41"/>
      <c r="AD704" s="41"/>
      <c r="AE704" s="41"/>
      <c r="AF704" s="40"/>
      <c r="AG704" s="40"/>
      <c r="AH704" s="5"/>
      <c r="AI704" s="5"/>
      <c r="AJ704" s="40"/>
      <c r="AK704" s="40"/>
      <c r="AL704" s="40"/>
      <c r="AM704" s="40"/>
      <c r="AO704" s="40"/>
      <c r="AQ704" s="40"/>
    </row>
    <row r="705" spans="2:43" ht="12.75" customHeight="1" x14ac:dyDescent="0.15">
      <c r="B705" s="40"/>
      <c r="C705" s="40"/>
      <c r="D705" s="40"/>
      <c r="E705" s="40"/>
      <c r="F705" s="40"/>
      <c r="G705" s="40"/>
      <c r="H705" s="53"/>
      <c r="R705" s="40"/>
      <c r="S705" s="40"/>
      <c r="T705" s="40"/>
      <c r="U705" s="40"/>
      <c r="V705" s="40"/>
      <c r="X705" s="40"/>
      <c r="Y705" s="40"/>
      <c r="Z705" s="40"/>
      <c r="AA705" s="41"/>
      <c r="AB705" s="41"/>
      <c r="AC705" s="41"/>
      <c r="AD705" s="41"/>
      <c r="AE705" s="41"/>
      <c r="AF705" s="40"/>
      <c r="AG705" s="40"/>
      <c r="AH705" s="5"/>
      <c r="AI705" s="5"/>
      <c r="AJ705" s="40"/>
      <c r="AK705" s="40"/>
      <c r="AL705" s="40"/>
      <c r="AM705" s="40"/>
      <c r="AO705" s="40"/>
      <c r="AQ705" s="40"/>
    </row>
    <row r="706" spans="2:43" ht="12.75" customHeight="1" x14ac:dyDescent="0.15">
      <c r="B706" s="40"/>
      <c r="C706" s="40"/>
      <c r="D706" s="40"/>
      <c r="E706" s="40"/>
      <c r="F706" s="40"/>
      <c r="G706" s="40"/>
      <c r="H706" s="53"/>
      <c r="R706" s="40"/>
      <c r="S706" s="40"/>
      <c r="T706" s="40"/>
      <c r="U706" s="40"/>
      <c r="V706" s="40"/>
      <c r="X706" s="40"/>
      <c r="Y706" s="40"/>
      <c r="Z706" s="40"/>
      <c r="AA706" s="41"/>
      <c r="AB706" s="41"/>
      <c r="AC706" s="41"/>
      <c r="AD706" s="41"/>
      <c r="AE706" s="41"/>
      <c r="AF706" s="40"/>
      <c r="AG706" s="40"/>
      <c r="AH706" s="5"/>
      <c r="AI706" s="5"/>
      <c r="AJ706" s="40"/>
      <c r="AK706" s="40"/>
      <c r="AL706" s="40"/>
      <c r="AM706" s="40"/>
      <c r="AO706" s="40"/>
      <c r="AQ706" s="40"/>
    </row>
    <row r="707" spans="2:43" ht="12.75" customHeight="1" x14ac:dyDescent="0.15">
      <c r="B707" s="40"/>
      <c r="C707" s="40"/>
      <c r="D707" s="40"/>
      <c r="E707" s="40"/>
      <c r="F707" s="40"/>
      <c r="G707" s="40"/>
      <c r="H707" s="53"/>
      <c r="R707" s="40"/>
      <c r="S707" s="40"/>
      <c r="T707" s="40"/>
      <c r="U707" s="40"/>
      <c r="V707" s="40"/>
      <c r="X707" s="40"/>
      <c r="Y707" s="40"/>
      <c r="Z707" s="40"/>
      <c r="AA707" s="41"/>
      <c r="AB707" s="41"/>
      <c r="AC707" s="41"/>
      <c r="AD707" s="41"/>
      <c r="AE707" s="41"/>
      <c r="AF707" s="40"/>
      <c r="AG707" s="40"/>
      <c r="AH707" s="5"/>
      <c r="AI707" s="5"/>
      <c r="AJ707" s="40"/>
      <c r="AK707" s="40"/>
      <c r="AL707" s="40"/>
      <c r="AM707" s="40"/>
      <c r="AO707" s="40"/>
      <c r="AQ707" s="40"/>
    </row>
    <row r="708" spans="2:43" ht="12.75" customHeight="1" x14ac:dyDescent="0.15">
      <c r="B708" s="40"/>
      <c r="C708" s="40"/>
      <c r="D708" s="40"/>
      <c r="E708" s="40"/>
      <c r="F708" s="40"/>
      <c r="G708" s="40"/>
      <c r="H708" s="53"/>
      <c r="R708" s="40"/>
      <c r="S708" s="40"/>
      <c r="T708" s="40"/>
      <c r="U708" s="40"/>
      <c r="V708" s="40"/>
      <c r="X708" s="40"/>
      <c r="Y708" s="40"/>
      <c r="Z708" s="40"/>
      <c r="AA708" s="41"/>
      <c r="AB708" s="41"/>
      <c r="AC708" s="41"/>
      <c r="AD708" s="41"/>
      <c r="AE708" s="41"/>
      <c r="AF708" s="40"/>
      <c r="AG708" s="40"/>
      <c r="AH708" s="5"/>
      <c r="AI708" s="5"/>
      <c r="AJ708" s="40"/>
      <c r="AK708" s="40"/>
      <c r="AL708" s="40"/>
      <c r="AM708" s="40"/>
      <c r="AO708" s="40"/>
      <c r="AQ708" s="40"/>
    </row>
    <row r="709" spans="2:43" ht="12.75" customHeight="1" x14ac:dyDescent="0.15">
      <c r="B709" s="40"/>
      <c r="C709" s="40"/>
      <c r="D709" s="40"/>
      <c r="E709" s="40"/>
      <c r="F709" s="40"/>
      <c r="G709" s="40"/>
      <c r="H709" s="53"/>
      <c r="R709" s="40"/>
      <c r="S709" s="40"/>
      <c r="T709" s="40"/>
      <c r="U709" s="40"/>
      <c r="V709" s="40"/>
      <c r="X709" s="40"/>
      <c r="Y709" s="40"/>
      <c r="Z709" s="40"/>
      <c r="AA709" s="41"/>
      <c r="AB709" s="41"/>
      <c r="AC709" s="41"/>
      <c r="AD709" s="41"/>
      <c r="AE709" s="41"/>
      <c r="AF709" s="40"/>
      <c r="AG709" s="40"/>
      <c r="AH709" s="5"/>
      <c r="AI709" s="5"/>
      <c r="AJ709" s="40"/>
      <c r="AK709" s="40"/>
      <c r="AL709" s="40"/>
      <c r="AM709" s="40"/>
      <c r="AO709" s="40"/>
      <c r="AQ709" s="40"/>
    </row>
    <row r="710" spans="2:43" ht="12.75" customHeight="1" x14ac:dyDescent="0.15">
      <c r="B710" s="40"/>
      <c r="C710" s="40"/>
      <c r="D710" s="40"/>
      <c r="E710" s="40"/>
      <c r="F710" s="40"/>
      <c r="G710" s="40"/>
      <c r="H710" s="53"/>
      <c r="R710" s="40"/>
      <c r="S710" s="40"/>
      <c r="T710" s="40"/>
      <c r="U710" s="40"/>
      <c r="V710" s="40"/>
      <c r="X710" s="40"/>
      <c r="Y710" s="40"/>
      <c r="Z710" s="40"/>
      <c r="AA710" s="41"/>
      <c r="AB710" s="41"/>
      <c r="AC710" s="41"/>
      <c r="AD710" s="41"/>
      <c r="AE710" s="41"/>
      <c r="AF710" s="40"/>
      <c r="AG710" s="40"/>
      <c r="AH710" s="5"/>
      <c r="AI710" s="5"/>
      <c r="AJ710" s="40"/>
      <c r="AK710" s="40"/>
      <c r="AL710" s="40"/>
      <c r="AM710" s="40"/>
      <c r="AO710" s="40"/>
      <c r="AQ710" s="40"/>
    </row>
    <row r="711" spans="2:43" ht="12.75" customHeight="1" x14ac:dyDescent="0.15">
      <c r="B711" s="40"/>
      <c r="C711" s="40"/>
      <c r="D711" s="40"/>
      <c r="E711" s="40"/>
      <c r="F711" s="40"/>
      <c r="G711" s="40"/>
      <c r="H711" s="53"/>
      <c r="R711" s="40"/>
      <c r="S711" s="40"/>
      <c r="T711" s="40"/>
      <c r="U711" s="40"/>
      <c r="V711" s="40"/>
      <c r="X711" s="40"/>
      <c r="Y711" s="40"/>
      <c r="Z711" s="40"/>
      <c r="AA711" s="41"/>
      <c r="AB711" s="41"/>
      <c r="AC711" s="41"/>
      <c r="AD711" s="41"/>
      <c r="AE711" s="41"/>
      <c r="AF711" s="40"/>
      <c r="AG711" s="40"/>
      <c r="AH711" s="5"/>
      <c r="AI711" s="5"/>
      <c r="AJ711" s="40"/>
      <c r="AK711" s="40"/>
      <c r="AL711" s="40"/>
      <c r="AM711" s="40"/>
      <c r="AO711" s="40"/>
      <c r="AQ711" s="40"/>
    </row>
    <row r="712" spans="2:43" ht="12.75" customHeight="1" x14ac:dyDescent="0.15">
      <c r="B712" s="40"/>
      <c r="C712" s="40"/>
      <c r="D712" s="40"/>
      <c r="E712" s="40"/>
      <c r="F712" s="40"/>
      <c r="G712" s="40"/>
      <c r="H712" s="53"/>
      <c r="R712" s="40"/>
      <c r="S712" s="40"/>
      <c r="T712" s="40"/>
      <c r="U712" s="40"/>
      <c r="V712" s="40"/>
      <c r="X712" s="40"/>
      <c r="Y712" s="40"/>
      <c r="Z712" s="40"/>
      <c r="AA712" s="41"/>
      <c r="AB712" s="41"/>
      <c r="AC712" s="41"/>
      <c r="AD712" s="41"/>
      <c r="AE712" s="41"/>
      <c r="AF712" s="40"/>
      <c r="AG712" s="40"/>
      <c r="AH712" s="5"/>
      <c r="AI712" s="5"/>
      <c r="AJ712" s="40"/>
      <c r="AK712" s="40"/>
      <c r="AL712" s="40"/>
      <c r="AM712" s="40"/>
      <c r="AO712" s="40"/>
      <c r="AQ712" s="40"/>
    </row>
    <row r="713" spans="2:43" ht="12.75" customHeight="1" x14ac:dyDescent="0.15">
      <c r="B713" s="40"/>
      <c r="C713" s="40"/>
      <c r="D713" s="40"/>
      <c r="E713" s="40"/>
      <c r="F713" s="40"/>
      <c r="G713" s="40"/>
      <c r="H713" s="53"/>
      <c r="R713" s="40"/>
      <c r="S713" s="40"/>
      <c r="T713" s="40"/>
      <c r="U713" s="40"/>
      <c r="V713" s="40"/>
      <c r="X713" s="40"/>
      <c r="Y713" s="40"/>
      <c r="Z713" s="40"/>
      <c r="AA713" s="41"/>
      <c r="AB713" s="41"/>
      <c r="AC713" s="41"/>
      <c r="AD713" s="41"/>
      <c r="AE713" s="41"/>
      <c r="AF713" s="40"/>
      <c r="AG713" s="40"/>
      <c r="AH713" s="5"/>
      <c r="AI713" s="5"/>
      <c r="AJ713" s="40"/>
      <c r="AK713" s="40"/>
      <c r="AL713" s="40"/>
      <c r="AM713" s="40"/>
      <c r="AO713" s="40"/>
      <c r="AQ713" s="40"/>
    </row>
    <row r="714" spans="2:43" ht="12.75" customHeight="1" x14ac:dyDescent="0.15">
      <c r="B714" s="40"/>
      <c r="C714" s="40"/>
      <c r="D714" s="40"/>
      <c r="E714" s="40"/>
      <c r="F714" s="40"/>
      <c r="G714" s="40"/>
      <c r="H714" s="53"/>
      <c r="R714" s="40"/>
      <c r="S714" s="40"/>
      <c r="T714" s="40"/>
      <c r="U714" s="40"/>
      <c r="V714" s="40"/>
      <c r="X714" s="40"/>
      <c r="Y714" s="40"/>
      <c r="Z714" s="40"/>
      <c r="AA714" s="41"/>
      <c r="AB714" s="41"/>
      <c r="AC714" s="41"/>
      <c r="AD714" s="41"/>
      <c r="AE714" s="41"/>
      <c r="AF714" s="40"/>
      <c r="AG714" s="40"/>
      <c r="AH714" s="5"/>
      <c r="AI714" s="5"/>
      <c r="AJ714" s="40"/>
      <c r="AK714" s="40"/>
      <c r="AL714" s="40"/>
      <c r="AM714" s="40"/>
      <c r="AO714" s="40"/>
      <c r="AQ714" s="40"/>
    </row>
    <row r="715" spans="2:43" ht="12.75" customHeight="1" x14ac:dyDescent="0.15">
      <c r="B715" s="40"/>
      <c r="C715" s="40"/>
      <c r="D715" s="40"/>
      <c r="E715" s="40"/>
      <c r="F715" s="40"/>
      <c r="G715" s="40"/>
      <c r="H715" s="53"/>
      <c r="R715" s="40"/>
      <c r="S715" s="40"/>
      <c r="T715" s="40"/>
      <c r="U715" s="40"/>
      <c r="V715" s="40"/>
      <c r="X715" s="40"/>
      <c r="Y715" s="40"/>
      <c r="Z715" s="40"/>
      <c r="AA715" s="41"/>
      <c r="AB715" s="41"/>
      <c r="AC715" s="41"/>
      <c r="AD715" s="41"/>
      <c r="AE715" s="41"/>
      <c r="AF715" s="40"/>
      <c r="AG715" s="40"/>
      <c r="AH715" s="5"/>
      <c r="AI715" s="5"/>
      <c r="AJ715" s="40"/>
      <c r="AK715" s="40"/>
      <c r="AL715" s="40"/>
      <c r="AM715" s="40"/>
      <c r="AO715" s="40"/>
      <c r="AQ715" s="40"/>
    </row>
    <row r="716" spans="2:43" ht="12.75" customHeight="1" x14ac:dyDescent="0.15">
      <c r="B716" s="40"/>
      <c r="C716" s="40"/>
      <c r="D716" s="40"/>
      <c r="E716" s="40"/>
      <c r="F716" s="40"/>
      <c r="G716" s="40"/>
      <c r="H716" s="53"/>
      <c r="R716" s="40"/>
      <c r="S716" s="40"/>
      <c r="T716" s="40"/>
      <c r="U716" s="40"/>
      <c r="V716" s="40"/>
      <c r="X716" s="40"/>
      <c r="Y716" s="40"/>
      <c r="Z716" s="40"/>
      <c r="AA716" s="41"/>
      <c r="AB716" s="41"/>
      <c r="AC716" s="41"/>
      <c r="AD716" s="41"/>
      <c r="AE716" s="41"/>
      <c r="AF716" s="40"/>
      <c r="AG716" s="40"/>
      <c r="AH716" s="5"/>
      <c r="AI716" s="5"/>
      <c r="AJ716" s="40"/>
      <c r="AK716" s="40"/>
      <c r="AL716" s="40"/>
      <c r="AM716" s="40"/>
      <c r="AO716" s="40"/>
      <c r="AQ716" s="40"/>
    </row>
    <row r="717" spans="2:43" ht="12.75" customHeight="1" x14ac:dyDescent="0.15">
      <c r="B717" s="40"/>
      <c r="C717" s="40"/>
      <c r="D717" s="40"/>
      <c r="E717" s="40"/>
      <c r="F717" s="40"/>
      <c r="G717" s="40"/>
      <c r="H717" s="53"/>
      <c r="R717" s="40"/>
      <c r="S717" s="40"/>
      <c r="T717" s="40"/>
      <c r="U717" s="40"/>
      <c r="V717" s="40"/>
      <c r="X717" s="40"/>
      <c r="Y717" s="40"/>
      <c r="Z717" s="40"/>
      <c r="AA717" s="41"/>
      <c r="AB717" s="41"/>
      <c r="AC717" s="41"/>
      <c r="AD717" s="41"/>
      <c r="AE717" s="41"/>
      <c r="AF717" s="40"/>
      <c r="AG717" s="40"/>
      <c r="AH717" s="5"/>
      <c r="AI717" s="5"/>
      <c r="AJ717" s="40"/>
      <c r="AK717" s="40"/>
      <c r="AL717" s="40"/>
      <c r="AM717" s="40"/>
      <c r="AO717" s="40"/>
      <c r="AQ717" s="40"/>
    </row>
    <row r="718" spans="2:43" ht="12.75" customHeight="1" x14ac:dyDescent="0.15">
      <c r="B718" s="40"/>
      <c r="C718" s="40"/>
      <c r="D718" s="40"/>
      <c r="E718" s="40"/>
      <c r="F718" s="40"/>
      <c r="G718" s="40"/>
      <c r="H718" s="53"/>
      <c r="R718" s="40"/>
      <c r="S718" s="40"/>
      <c r="T718" s="40"/>
      <c r="U718" s="40"/>
      <c r="V718" s="40"/>
      <c r="X718" s="40"/>
      <c r="Y718" s="40"/>
      <c r="Z718" s="40"/>
      <c r="AA718" s="41"/>
      <c r="AB718" s="41"/>
      <c r="AC718" s="41"/>
      <c r="AD718" s="41"/>
      <c r="AE718" s="41"/>
      <c r="AF718" s="40"/>
      <c r="AG718" s="40"/>
      <c r="AH718" s="5"/>
      <c r="AI718" s="5"/>
      <c r="AJ718" s="40"/>
      <c r="AK718" s="40"/>
      <c r="AL718" s="40"/>
      <c r="AM718" s="40"/>
      <c r="AO718" s="40"/>
      <c r="AQ718" s="40"/>
    </row>
    <row r="719" spans="2:43" ht="12.75" customHeight="1" x14ac:dyDescent="0.15">
      <c r="B719" s="40"/>
      <c r="C719" s="40"/>
      <c r="D719" s="40"/>
      <c r="E719" s="40"/>
      <c r="F719" s="40"/>
      <c r="G719" s="40"/>
      <c r="H719" s="53"/>
      <c r="R719" s="40"/>
      <c r="S719" s="40"/>
      <c r="T719" s="40"/>
      <c r="U719" s="40"/>
      <c r="V719" s="40"/>
      <c r="X719" s="40"/>
      <c r="Y719" s="40"/>
      <c r="Z719" s="40"/>
      <c r="AA719" s="41"/>
      <c r="AB719" s="41"/>
      <c r="AC719" s="41"/>
      <c r="AD719" s="41"/>
      <c r="AE719" s="41"/>
      <c r="AF719" s="40"/>
      <c r="AG719" s="40"/>
      <c r="AH719" s="5"/>
      <c r="AI719" s="5"/>
      <c r="AJ719" s="40"/>
      <c r="AK719" s="40"/>
      <c r="AL719" s="40"/>
      <c r="AM719" s="40"/>
      <c r="AO719" s="40"/>
      <c r="AQ719" s="40"/>
    </row>
    <row r="720" spans="2:43" ht="12.75" customHeight="1" x14ac:dyDescent="0.15">
      <c r="B720" s="40"/>
      <c r="C720" s="40"/>
      <c r="D720" s="40"/>
      <c r="E720" s="40"/>
      <c r="F720" s="40"/>
      <c r="G720" s="40"/>
      <c r="H720" s="53"/>
      <c r="R720" s="40"/>
      <c r="S720" s="40"/>
      <c r="T720" s="40"/>
      <c r="U720" s="40"/>
      <c r="V720" s="40"/>
      <c r="X720" s="40"/>
      <c r="Y720" s="40"/>
      <c r="Z720" s="40"/>
      <c r="AA720" s="41"/>
      <c r="AB720" s="41"/>
      <c r="AC720" s="41"/>
      <c r="AD720" s="41"/>
      <c r="AE720" s="41"/>
      <c r="AF720" s="40"/>
      <c r="AG720" s="40"/>
      <c r="AH720" s="5"/>
      <c r="AI720" s="5"/>
      <c r="AJ720" s="40"/>
      <c r="AK720" s="40"/>
      <c r="AL720" s="40"/>
      <c r="AM720" s="40"/>
      <c r="AO720" s="40"/>
      <c r="AQ720" s="40"/>
    </row>
    <row r="721" spans="2:43" ht="12.75" customHeight="1" x14ac:dyDescent="0.15">
      <c r="B721" s="40"/>
      <c r="C721" s="40"/>
      <c r="D721" s="40"/>
      <c r="E721" s="40"/>
      <c r="F721" s="40"/>
      <c r="G721" s="40"/>
      <c r="H721" s="53"/>
      <c r="R721" s="40"/>
      <c r="S721" s="40"/>
      <c r="T721" s="40"/>
      <c r="U721" s="40"/>
      <c r="V721" s="40"/>
      <c r="X721" s="40"/>
      <c r="Y721" s="40"/>
      <c r="Z721" s="40"/>
      <c r="AA721" s="41"/>
      <c r="AB721" s="41"/>
      <c r="AC721" s="41"/>
      <c r="AD721" s="41"/>
      <c r="AE721" s="41"/>
      <c r="AF721" s="40"/>
      <c r="AG721" s="40"/>
      <c r="AH721" s="5"/>
      <c r="AI721" s="5"/>
      <c r="AJ721" s="40"/>
      <c r="AK721" s="40"/>
      <c r="AL721" s="40"/>
      <c r="AM721" s="40"/>
      <c r="AO721" s="40"/>
      <c r="AQ721" s="40"/>
    </row>
    <row r="722" spans="2:43" ht="12.75" customHeight="1" x14ac:dyDescent="0.15">
      <c r="B722" s="40"/>
      <c r="C722" s="40"/>
      <c r="D722" s="40"/>
      <c r="E722" s="40"/>
      <c r="F722" s="40"/>
      <c r="G722" s="40"/>
      <c r="H722" s="53"/>
      <c r="R722" s="40"/>
      <c r="S722" s="40"/>
      <c r="T722" s="40"/>
      <c r="U722" s="40"/>
      <c r="V722" s="40"/>
      <c r="X722" s="40"/>
      <c r="Y722" s="40"/>
      <c r="Z722" s="40"/>
      <c r="AA722" s="41"/>
      <c r="AB722" s="41"/>
      <c r="AC722" s="41"/>
      <c r="AD722" s="41"/>
      <c r="AE722" s="41"/>
      <c r="AF722" s="40"/>
      <c r="AG722" s="40"/>
      <c r="AH722" s="5"/>
      <c r="AI722" s="5"/>
      <c r="AJ722" s="40"/>
      <c r="AK722" s="40"/>
      <c r="AL722" s="40"/>
      <c r="AM722" s="40"/>
      <c r="AO722" s="40"/>
      <c r="AQ722" s="40"/>
    </row>
    <row r="723" spans="2:43" ht="12.75" customHeight="1" x14ac:dyDescent="0.15">
      <c r="B723" s="40"/>
      <c r="C723" s="40"/>
      <c r="D723" s="40"/>
      <c r="E723" s="40"/>
      <c r="F723" s="40"/>
      <c r="G723" s="40"/>
      <c r="H723" s="53"/>
      <c r="R723" s="40"/>
      <c r="S723" s="40"/>
      <c r="T723" s="40"/>
      <c r="U723" s="40"/>
      <c r="V723" s="40"/>
      <c r="X723" s="40"/>
      <c r="Y723" s="40"/>
      <c r="Z723" s="40"/>
      <c r="AA723" s="41"/>
      <c r="AB723" s="41"/>
      <c r="AC723" s="41"/>
      <c r="AD723" s="41"/>
      <c r="AE723" s="41"/>
      <c r="AF723" s="40"/>
      <c r="AG723" s="40"/>
      <c r="AH723" s="5"/>
      <c r="AI723" s="5"/>
      <c r="AJ723" s="40"/>
      <c r="AK723" s="40"/>
      <c r="AL723" s="40"/>
      <c r="AM723" s="40"/>
      <c r="AO723" s="40"/>
      <c r="AQ723" s="40"/>
    </row>
    <row r="724" spans="2:43" ht="12.75" customHeight="1" x14ac:dyDescent="0.15">
      <c r="B724" s="40"/>
      <c r="C724" s="40"/>
      <c r="D724" s="40"/>
      <c r="E724" s="40"/>
      <c r="F724" s="40"/>
      <c r="G724" s="40"/>
      <c r="H724" s="53"/>
      <c r="R724" s="40"/>
      <c r="S724" s="40"/>
      <c r="T724" s="40"/>
      <c r="U724" s="40"/>
      <c r="V724" s="40"/>
      <c r="X724" s="40"/>
      <c r="Y724" s="40"/>
      <c r="Z724" s="40"/>
      <c r="AA724" s="41"/>
      <c r="AB724" s="41"/>
      <c r="AC724" s="41"/>
      <c r="AD724" s="41"/>
      <c r="AE724" s="41"/>
      <c r="AF724" s="40"/>
      <c r="AG724" s="40"/>
      <c r="AH724" s="5"/>
      <c r="AI724" s="5"/>
      <c r="AJ724" s="40"/>
      <c r="AK724" s="40"/>
      <c r="AL724" s="40"/>
      <c r="AM724" s="40"/>
      <c r="AO724" s="40"/>
      <c r="AQ724" s="40"/>
    </row>
    <row r="725" spans="2:43" ht="12.75" customHeight="1" x14ac:dyDescent="0.15">
      <c r="B725" s="40"/>
      <c r="C725" s="40"/>
      <c r="D725" s="40"/>
      <c r="E725" s="40"/>
      <c r="F725" s="40"/>
      <c r="G725" s="40"/>
      <c r="H725" s="53"/>
      <c r="R725" s="40"/>
      <c r="S725" s="40"/>
      <c r="T725" s="40"/>
      <c r="U725" s="40"/>
      <c r="V725" s="40"/>
      <c r="X725" s="40"/>
      <c r="Y725" s="40"/>
      <c r="Z725" s="40"/>
      <c r="AA725" s="41"/>
      <c r="AB725" s="41"/>
      <c r="AC725" s="41"/>
      <c r="AD725" s="41"/>
      <c r="AE725" s="41"/>
      <c r="AF725" s="40"/>
      <c r="AG725" s="40"/>
      <c r="AH725" s="5"/>
      <c r="AI725" s="5"/>
      <c r="AJ725" s="40"/>
      <c r="AK725" s="40"/>
      <c r="AL725" s="40"/>
      <c r="AM725" s="40"/>
      <c r="AO725" s="40"/>
      <c r="AQ725" s="40"/>
    </row>
    <row r="726" spans="2:43" ht="12.75" customHeight="1" x14ac:dyDescent="0.15">
      <c r="B726" s="40"/>
      <c r="C726" s="40"/>
      <c r="D726" s="40"/>
      <c r="E726" s="40"/>
      <c r="F726" s="40"/>
      <c r="G726" s="40"/>
      <c r="H726" s="53"/>
      <c r="R726" s="40"/>
      <c r="S726" s="40"/>
      <c r="T726" s="40"/>
      <c r="U726" s="40"/>
      <c r="V726" s="40"/>
      <c r="X726" s="40"/>
      <c r="Y726" s="40"/>
      <c r="Z726" s="40"/>
      <c r="AA726" s="41"/>
      <c r="AB726" s="41"/>
      <c r="AC726" s="41"/>
      <c r="AD726" s="41"/>
      <c r="AE726" s="41"/>
      <c r="AF726" s="40"/>
      <c r="AG726" s="40"/>
      <c r="AH726" s="5"/>
      <c r="AI726" s="5"/>
      <c r="AJ726" s="40"/>
      <c r="AK726" s="40"/>
      <c r="AL726" s="40"/>
      <c r="AM726" s="40"/>
      <c r="AO726" s="40"/>
      <c r="AQ726" s="40"/>
    </row>
    <row r="727" spans="2:43" ht="12.75" customHeight="1" x14ac:dyDescent="0.15">
      <c r="B727" s="40"/>
      <c r="C727" s="40"/>
      <c r="D727" s="40"/>
      <c r="E727" s="40"/>
      <c r="F727" s="40"/>
      <c r="G727" s="40"/>
      <c r="H727" s="53"/>
      <c r="R727" s="40"/>
      <c r="S727" s="40"/>
      <c r="T727" s="40"/>
      <c r="U727" s="40"/>
      <c r="V727" s="40"/>
      <c r="X727" s="40"/>
      <c r="Y727" s="40"/>
      <c r="Z727" s="40"/>
      <c r="AA727" s="41"/>
      <c r="AB727" s="41"/>
      <c r="AC727" s="41"/>
      <c r="AD727" s="41"/>
      <c r="AE727" s="41"/>
      <c r="AF727" s="40"/>
      <c r="AG727" s="40"/>
      <c r="AH727" s="5"/>
      <c r="AI727" s="5"/>
      <c r="AJ727" s="40"/>
      <c r="AK727" s="40"/>
      <c r="AL727" s="40"/>
      <c r="AM727" s="40"/>
      <c r="AO727" s="40"/>
      <c r="AQ727" s="40"/>
    </row>
    <row r="728" spans="2:43" ht="12.75" customHeight="1" x14ac:dyDescent="0.15">
      <c r="B728" s="40"/>
      <c r="C728" s="40"/>
      <c r="D728" s="40"/>
      <c r="E728" s="40"/>
      <c r="F728" s="40"/>
      <c r="G728" s="40"/>
      <c r="H728" s="53"/>
      <c r="R728" s="40"/>
      <c r="S728" s="40"/>
      <c r="T728" s="40"/>
      <c r="U728" s="40"/>
      <c r="V728" s="40"/>
      <c r="X728" s="40"/>
      <c r="Y728" s="40"/>
      <c r="Z728" s="40"/>
      <c r="AA728" s="41"/>
      <c r="AB728" s="41"/>
      <c r="AC728" s="41"/>
      <c r="AD728" s="41"/>
      <c r="AE728" s="41"/>
      <c r="AF728" s="40"/>
      <c r="AG728" s="40"/>
      <c r="AH728" s="5"/>
      <c r="AI728" s="5"/>
      <c r="AJ728" s="40"/>
      <c r="AK728" s="40"/>
      <c r="AL728" s="40"/>
      <c r="AM728" s="40"/>
      <c r="AO728" s="40"/>
      <c r="AQ728" s="40"/>
    </row>
    <row r="729" spans="2:43" ht="12.75" customHeight="1" x14ac:dyDescent="0.15">
      <c r="B729" s="40"/>
      <c r="C729" s="40"/>
      <c r="D729" s="40"/>
      <c r="E729" s="40"/>
      <c r="F729" s="40"/>
      <c r="G729" s="40"/>
      <c r="H729" s="53"/>
      <c r="R729" s="40"/>
      <c r="S729" s="40"/>
      <c r="T729" s="40"/>
      <c r="U729" s="40"/>
      <c r="V729" s="40"/>
      <c r="X729" s="40"/>
      <c r="Y729" s="40"/>
      <c r="Z729" s="40"/>
      <c r="AA729" s="41"/>
      <c r="AB729" s="41"/>
      <c r="AC729" s="41"/>
      <c r="AD729" s="41"/>
      <c r="AE729" s="41"/>
      <c r="AF729" s="40"/>
      <c r="AG729" s="40"/>
      <c r="AH729" s="5"/>
      <c r="AI729" s="5"/>
      <c r="AJ729" s="40"/>
      <c r="AK729" s="40"/>
      <c r="AL729" s="40"/>
      <c r="AM729" s="40"/>
      <c r="AO729" s="40"/>
      <c r="AQ729" s="40"/>
    </row>
    <row r="730" spans="2:43" ht="12.75" customHeight="1" x14ac:dyDescent="0.15">
      <c r="B730" s="40"/>
      <c r="C730" s="40"/>
      <c r="D730" s="40"/>
      <c r="E730" s="40"/>
      <c r="F730" s="40"/>
      <c r="G730" s="40"/>
      <c r="H730" s="53"/>
      <c r="R730" s="40"/>
      <c r="S730" s="40"/>
      <c r="T730" s="40"/>
      <c r="U730" s="40"/>
      <c r="V730" s="40"/>
      <c r="X730" s="40"/>
      <c r="Y730" s="40"/>
      <c r="Z730" s="40"/>
      <c r="AA730" s="41"/>
      <c r="AB730" s="41"/>
      <c r="AC730" s="41"/>
      <c r="AD730" s="41"/>
      <c r="AE730" s="41"/>
      <c r="AF730" s="40"/>
      <c r="AG730" s="40"/>
      <c r="AH730" s="5"/>
      <c r="AI730" s="5"/>
      <c r="AJ730" s="40"/>
      <c r="AK730" s="40"/>
      <c r="AL730" s="40"/>
      <c r="AM730" s="40"/>
      <c r="AO730" s="40"/>
      <c r="AQ730" s="40"/>
    </row>
    <row r="731" spans="2:43" ht="12.75" customHeight="1" x14ac:dyDescent="0.15">
      <c r="B731" s="40"/>
      <c r="C731" s="40"/>
      <c r="D731" s="40"/>
      <c r="E731" s="40"/>
      <c r="F731" s="40"/>
      <c r="G731" s="40"/>
      <c r="H731" s="53"/>
      <c r="R731" s="40"/>
      <c r="S731" s="40"/>
      <c r="T731" s="40"/>
      <c r="U731" s="40"/>
      <c r="V731" s="40"/>
      <c r="X731" s="40"/>
      <c r="Y731" s="40"/>
      <c r="Z731" s="40"/>
      <c r="AA731" s="41"/>
      <c r="AB731" s="41"/>
      <c r="AC731" s="41"/>
      <c r="AD731" s="41"/>
      <c r="AE731" s="41"/>
      <c r="AF731" s="40"/>
      <c r="AG731" s="40"/>
      <c r="AH731" s="5"/>
      <c r="AI731" s="5"/>
      <c r="AJ731" s="40"/>
      <c r="AK731" s="40"/>
      <c r="AL731" s="40"/>
      <c r="AM731" s="40"/>
      <c r="AO731" s="40"/>
      <c r="AQ731" s="40"/>
    </row>
    <row r="732" spans="2:43" ht="12.75" customHeight="1" x14ac:dyDescent="0.15">
      <c r="B732" s="40"/>
      <c r="C732" s="40"/>
      <c r="D732" s="40"/>
      <c r="E732" s="40"/>
      <c r="F732" s="40"/>
      <c r="G732" s="40"/>
      <c r="H732" s="53"/>
      <c r="R732" s="40"/>
      <c r="S732" s="40"/>
      <c r="T732" s="40"/>
      <c r="U732" s="40"/>
      <c r="V732" s="40"/>
      <c r="X732" s="40"/>
      <c r="Y732" s="40"/>
      <c r="Z732" s="40"/>
      <c r="AA732" s="41"/>
      <c r="AB732" s="41"/>
      <c r="AC732" s="41"/>
      <c r="AD732" s="41"/>
      <c r="AE732" s="41"/>
      <c r="AF732" s="40"/>
      <c r="AG732" s="40"/>
      <c r="AH732" s="5"/>
      <c r="AI732" s="5"/>
      <c r="AJ732" s="40"/>
      <c r="AK732" s="40"/>
      <c r="AL732" s="40"/>
      <c r="AM732" s="40"/>
      <c r="AO732" s="40"/>
      <c r="AQ732" s="40"/>
    </row>
    <row r="733" spans="2:43" ht="12.75" customHeight="1" x14ac:dyDescent="0.15">
      <c r="B733" s="40"/>
      <c r="C733" s="40"/>
      <c r="D733" s="40"/>
      <c r="E733" s="40"/>
      <c r="F733" s="40"/>
      <c r="G733" s="40"/>
      <c r="H733" s="53"/>
      <c r="R733" s="40"/>
      <c r="S733" s="40"/>
      <c r="T733" s="40"/>
      <c r="U733" s="40"/>
      <c r="V733" s="40"/>
      <c r="X733" s="40"/>
      <c r="Y733" s="40"/>
      <c r="Z733" s="40"/>
      <c r="AA733" s="41"/>
      <c r="AB733" s="41"/>
      <c r="AC733" s="41"/>
      <c r="AD733" s="41"/>
      <c r="AE733" s="41"/>
      <c r="AF733" s="40"/>
      <c r="AG733" s="40"/>
      <c r="AH733" s="5"/>
      <c r="AI733" s="5"/>
      <c r="AJ733" s="40"/>
      <c r="AK733" s="40"/>
      <c r="AL733" s="40"/>
      <c r="AM733" s="40"/>
      <c r="AO733" s="40"/>
      <c r="AQ733" s="40"/>
    </row>
    <row r="734" spans="2:43" ht="12.75" customHeight="1" x14ac:dyDescent="0.15">
      <c r="B734" s="40"/>
      <c r="C734" s="40"/>
      <c r="D734" s="40"/>
      <c r="E734" s="40"/>
      <c r="F734" s="40"/>
      <c r="G734" s="40"/>
      <c r="H734" s="53"/>
      <c r="R734" s="40"/>
      <c r="S734" s="40"/>
      <c r="T734" s="40"/>
      <c r="U734" s="40"/>
      <c r="V734" s="40"/>
      <c r="X734" s="40"/>
      <c r="Y734" s="40"/>
      <c r="Z734" s="40"/>
      <c r="AA734" s="41"/>
      <c r="AB734" s="41"/>
      <c r="AC734" s="41"/>
      <c r="AD734" s="41"/>
      <c r="AE734" s="41"/>
      <c r="AF734" s="40"/>
      <c r="AG734" s="40"/>
      <c r="AH734" s="5"/>
      <c r="AI734" s="5"/>
      <c r="AJ734" s="40"/>
      <c r="AK734" s="40"/>
      <c r="AL734" s="40"/>
      <c r="AM734" s="40"/>
      <c r="AO734" s="40"/>
      <c r="AQ734" s="40"/>
    </row>
    <row r="735" spans="2:43" ht="12.75" customHeight="1" x14ac:dyDescent="0.15">
      <c r="B735" s="40"/>
      <c r="C735" s="40"/>
      <c r="D735" s="40"/>
      <c r="E735" s="40"/>
      <c r="F735" s="40"/>
      <c r="G735" s="40"/>
      <c r="H735" s="53"/>
      <c r="R735" s="40"/>
      <c r="S735" s="40"/>
      <c r="T735" s="40"/>
      <c r="U735" s="40"/>
      <c r="V735" s="40"/>
      <c r="X735" s="40"/>
      <c r="Y735" s="40"/>
      <c r="Z735" s="40"/>
      <c r="AA735" s="41"/>
      <c r="AB735" s="41"/>
      <c r="AC735" s="41"/>
      <c r="AD735" s="41"/>
      <c r="AE735" s="41"/>
      <c r="AF735" s="40"/>
      <c r="AG735" s="40"/>
      <c r="AH735" s="5"/>
      <c r="AI735" s="5"/>
      <c r="AJ735" s="40"/>
      <c r="AK735" s="40"/>
      <c r="AL735" s="40"/>
      <c r="AM735" s="40"/>
      <c r="AO735" s="40"/>
      <c r="AQ735" s="40"/>
    </row>
    <row r="736" spans="2:43" ht="12.75" customHeight="1" x14ac:dyDescent="0.15">
      <c r="B736" s="40"/>
      <c r="C736" s="40"/>
      <c r="D736" s="40"/>
      <c r="E736" s="40"/>
      <c r="F736" s="40"/>
      <c r="G736" s="40"/>
      <c r="H736" s="53"/>
      <c r="R736" s="40"/>
      <c r="S736" s="40"/>
      <c r="T736" s="40"/>
      <c r="U736" s="40"/>
      <c r="V736" s="40"/>
      <c r="X736" s="40"/>
      <c r="Y736" s="40"/>
      <c r="Z736" s="40"/>
      <c r="AA736" s="41"/>
      <c r="AB736" s="41"/>
      <c r="AC736" s="41"/>
      <c r="AD736" s="41"/>
      <c r="AE736" s="41"/>
      <c r="AF736" s="40"/>
      <c r="AG736" s="40"/>
      <c r="AH736" s="5"/>
      <c r="AI736" s="5"/>
      <c r="AJ736" s="40"/>
      <c r="AK736" s="40"/>
      <c r="AL736" s="40"/>
      <c r="AM736" s="40"/>
      <c r="AO736" s="40"/>
      <c r="AQ736" s="40"/>
    </row>
    <row r="737" spans="2:43" ht="12.75" customHeight="1" x14ac:dyDescent="0.15">
      <c r="B737" s="40"/>
      <c r="C737" s="40"/>
      <c r="D737" s="40"/>
      <c r="E737" s="40"/>
      <c r="F737" s="40"/>
      <c r="G737" s="40"/>
      <c r="H737" s="53"/>
      <c r="R737" s="40"/>
      <c r="S737" s="40"/>
      <c r="T737" s="40"/>
      <c r="U737" s="40"/>
      <c r="V737" s="40"/>
      <c r="X737" s="40"/>
      <c r="Y737" s="40"/>
      <c r="Z737" s="40"/>
      <c r="AA737" s="41"/>
      <c r="AB737" s="41"/>
      <c r="AC737" s="41"/>
      <c r="AD737" s="41"/>
      <c r="AE737" s="41"/>
      <c r="AF737" s="40"/>
      <c r="AG737" s="40"/>
      <c r="AH737" s="5"/>
      <c r="AI737" s="5"/>
      <c r="AJ737" s="40"/>
      <c r="AK737" s="40"/>
      <c r="AL737" s="40"/>
      <c r="AM737" s="40"/>
      <c r="AO737" s="40"/>
      <c r="AQ737" s="40"/>
    </row>
    <row r="738" spans="2:43" ht="12.75" customHeight="1" x14ac:dyDescent="0.15">
      <c r="B738" s="40"/>
      <c r="C738" s="40"/>
      <c r="D738" s="40"/>
      <c r="E738" s="40"/>
      <c r="F738" s="40"/>
      <c r="G738" s="40"/>
      <c r="H738" s="53"/>
      <c r="R738" s="40"/>
      <c r="S738" s="40"/>
      <c r="T738" s="40"/>
      <c r="U738" s="40"/>
      <c r="V738" s="40"/>
      <c r="X738" s="40"/>
      <c r="Y738" s="40"/>
      <c r="Z738" s="40"/>
      <c r="AA738" s="41"/>
      <c r="AB738" s="41"/>
      <c r="AC738" s="41"/>
      <c r="AD738" s="41"/>
      <c r="AE738" s="41"/>
      <c r="AF738" s="40"/>
      <c r="AG738" s="40"/>
      <c r="AH738" s="5"/>
      <c r="AI738" s="5"/>
      <c r="AJ738" s="40"/>
      <c r="AK738" s="40"/>
      <c r="AL738" s="40"/>
      <c r="AM738" s="40"/>
      <c r="AO738" s="40"/>
      <c r="AQ738" s="40"/>
    </row>
    <row r="739" spans="2:43" ht="12.75" customHeight="1" x14ac:dyDescent="0.15">
      <c r="B739" s="40"/>
      <c r="C739" s="40"/>
      <c r="D739" s="40"/>
      <c r="E739" s="40"/>
      <c r="F739" s="40"/>
      <c r="G739" s="40"/>
      <c r="H739" s="53"/>
      <c r="R739" s="40"/>
      <c r="S739" s="40"/>
      <c r="T739" s="40"/>
      <c r="U739" s="40"/>
      <c r="V739" s="40"/>
      <c r="X739" s="40"/>
      <c r="Y739" s="40"/>
      <c r="Z739" s="40"/>
      <c r="AA739" s="41"/>
      <c r="AB739" s="41"/>
      <c r="AC739" s="41"/>
      <c r="AD739" s="41"/>
      <c r="AE739" s="41"/>
      <c r="AF739" s="40"/>
      <c r="AG739" s="40"/>
      <c r="AH739" s="5"/>
      <c r="AI739" s="5"/>
      <c r="AJ739" s="40"/>
      <c r="AK739" s="40"/>
      <c r="AL739" s="40"/>
      <c r="AM739" s="40"/>
      <c r="AO739" s="40"/>
      <c r="AQ739" s="40"/>
    </row>
    <row r="740" spans="2:43" ht="12.75" customHeight="1" x14ac:dyDescent="0.15">
      <c r="B740" s="40"/>
      <c r="C740" s="40"/>
      <c r="D740" s="40"/>
      <c r="E740" s="40"/>
      <c r="F740" s="40"/>
      <c r="G740" s="40"/>
      <c r="H740" s="53"/>
      <c r="R740" s="40"/>
      <c r="S740" s="40"/>
      <c r="T740" s="40"/>
      <c r="U740" s="40"/>
      <c r="V740" s="40"/>
      <c r="X740" s="40"/>
      <c r="Y740" s="40"/>
      <c r="Z740" s="40"/>
      <c r="AA740" s="41"/>
      <c r="AB740" s="41"/>
      <c r="AC740" s="41"/>
      <c r="AD740" s="41"/>
      <c r="AE740" s="41"/>
      <c r="AF740" s="40"/>
      <c r="AG740" s="40"/>
      <c r="AH740" s="5"/>
      <c r="AI740" s="5"/>
      <c r="AJ740" s="40"/>
      <c r="AK740" s="40"/>
      <c r="AL740" s="40"/>
      <c r="AM740" s="40"/>
      <c r="AO740" s="40"/>
      <c r="AQ740" s="40"/>
    </row>
    <row r="741" spans="2:43" ht="12.75" customHeight="1" x14ac:dyDescent="0.15">
      <c r="B741" s="40"/>
      <c r="C741" s="40"/>
      <c r="D741" s="40"/>
      <c r="E741" s="40"/>
      <c r="F741" s="40"/>
      <c r="G741" s="40"/>
      <c r="H741" s="53"/>
      <c r="R741" s="40"/>
      <c r="S741" s="40"/>
      <c r="T741" s="40"/>
      <c r="U741" s="40"/>
      <c r="V741" s="40"/>
      <c r="X741" s="40"/>
      <c r="Y741" s="40"/>
      <c r="Z741" s="40"/>
      <c r="AA741" s="41"/>
      <c r="AB741" s="41"/>
      <c r="AC741" s="41"/>
      <c r="AD741" s="41"/>
      <c r="AE741" s="41"/>
      <c r="AF741" s="40"/>
      <c r="AG741" s="40"/>
      <c r="AH741" s="5"/>
      <c r="AI741" s="5"/>
      <c r="AJ741" s="40"/>
      <c r="AK741" s="40"/>
      <c r="AL741" s="40"/>
      <c r="AM741" s="40"/>
      <c r="AO741" s="40"/>
      <c r="AQ741" s="40"/>
    </row>
    <row r="742" spans="2:43" ht="12.75" customHeight="1" x14ac:dyDescent="0.15">
      <c r="B742" s="40"/>
      <c r="C742" s="40"/>
      <c r="D742" s="40"/>
      <c r="E742" s="40"/>
      <c r="F742" s="40"/>
      <c r="G742" s="40"/>
      <c r="H742" s="53"/>
      <c r="R742" s="40"/>
      <c r="S742" s="40"/>
      <c r="T742" s="40"/>
      <c r="U742" s="40"/>
      <c r="V742" s="40"/>
      <c r="X742" s="40"/>
      <c r="Y742" s="40"/>
      <c r="Z742" s="40"/>
      <c r="AA742" s="41"/>
      <c r="AB742" s="41"/>
      <c r="AC742" s="41"/>
      <c r="AD742" s="41"/>
      <c r="AE742" s="41"/>
      <c r="AF742" s="40"/>
      <c r="AG742" s="40"/>
      <c r="AH742" s="5"/>
      <c r="AI742" s="5"/>
      <c r="AJ742" s="40"/>
      <c r="AK742" s="40"/>
      <c r="AL742" s="40"/>
      <c r="AM742" s="40"/>
      <c r="AO742" s="40"/>
      <c r="AQ742" s="40"/>
    </row>
    <row r="743" spans="2:43" ht="12.75" customHeight="1" x14ac:dyDescent="0.15">
      <c r="B743" s="40"/>
      <c r="C743" s="40"/>
      <c r="D743" s="40"/>
      <c r="E743" s="40"/>
      <c r="F743" s="40"/>
      <c r="G743" s="40"/>
      <c r="H743" s="53"/>
      <c r="R743" s="40"/>
      <c r="S743" s="40"/>
      <c r="T743" s="40"/>
      <c r="U743" s="40"/>
      <c r="V743" s="40"/>
      <c r="X743" s="40"/>
      <c r="Y743" s="40"/>
      <c r="Z743" s="40"/>
      <c r="AA743" s="41"/>
      <c r="AB743" s="41"/>
      <c r="AC743" s="41"/>
      <c r="AD743" s="41"/>
      <c r="AE743" s="41"/>
      <c r="AF743" s="40"/>
      <c r="AG743" s="40"/>
      <c r="AH743" s="5"/>
      <c r="AI743" s="5"/>
      <c r="AJ743" s="40"/>
      <c r="AK743" s="40"/>
      <c r="AL743" s="40"/>
      <c r="AM743" s="40"/>
      <c r="AO743" s="40"/>
      <c r="AQ743" s="40"/>
    </row>
    <row r="744" spans="2:43" ht="12.75" customHeight="1" x14ac:dyDescent="0.15">
      <c r="B744" s="40"/>
      <c r="C744" s="40"/>
      <c r="D744" s="40"/>
      <c r="E744" s="40"/>
      <c r="F744" s="40"/>
      <c r="G744" s="40"/>
      <c r="H744" s="53"/>
      <c r="R744" s="40"/>
      <c r="S744" s="40"/>
      <c r="T744" s="40"/>
      <c r="U744" s="40"/>
      <c r="V744" s="40"/>
      <c r="X744" s="40"/>
      <c r="Y744" s="40"/>
      <c r="Z744" s="40"/>
      <c r="AA744" s="41"/>
      <c r="AB744" s="41"/>
      <c r="AC744" s="41"/>
      <c r="AD744" s="41"/>
      <c r="AE744" s="41"/>
      <c r="AF744" s="40"/>
      <c r="AG744" s="40"/>
      <c r="AH744" s="5"/>
      <c r="AI744" s="5"/>
      <c r="AJ744" s="40"/>
      <c r="AK744" s="40"/>
      <c r="AL744" s="40"/>
      <c r="AM744" s="40"/>
      <c r="AO744" s="40"/>
      <c r="AQ744" s="40"/>
    </row>
    <row r="745" spans="2:43" ht="12.75" customHeight="1" x14ac:dyDescent="0.15">
      <c r="B745" s="40"/>
      <c r="C745" s="40"/>
      <c r="D745" s="40"/>
      <c r="E745" s="40"/>
      <c r="F745" s="40"/>
      <c r="G745" s="40"/>
      <c r="H745" s="53"/>
      <c r="R745" s="40"/>
      <c r="S745" s="40"/>
      <c r="T745" s="40"/>
      <c r="U745" s="40"/>
      <c r="V745" s="40"/>
      <c r="X745" s="40"/>
      <c r="Y745" s="40"/>
      <c r="Z745" s="40"/>
      <c r="AA745" s="41"/>
      <c r="AB745" s="41"/>
      <c r="AC745" s="41"/>
      <c r="AD745" s="41"/>
      <c r="AE745" s="41"/>
      <c r="AF745" s="40"/>
      <c r="AG745" s="40"/>
      <c r="AH745" s="5"/>
      <c r="AI745" s="5"/>
      <c r="AJ745" s="40"/>
      <c r="AK745" s="40"/>
      <c r="AL745" s="40"/>
      <c r="AM745" s="40"/>
      <c r="AO745" s="40"/>
      <c r="AQ745" s="40"/>
    </row>
    <row r="746" spans="2:43" ht="12.75" customHeight="1" x14ac:dyDescent="0.15">
      <c r="B746" s="40"/>
      <c r="C746" s="40"/>
      <c r="D746" s="40"/>
      <c r="E746" s="40"/>
      <c r="F746" s="40"/>
      <c r="G746" s="40"/>
      <c r="H746" s="53"/>
      <c r="R746" s="40"/>
      <c r="S746" s="40"/>
      <c r="T746" s="40"/>
      <c r="U746" s="40"/>
      <c r="V746" s="40"/>
      <c r="X746" s="40"/>
      <c r="Y746" s="40"/>
      <c r="Z746" s="40"/>
      <c r="AA746" s="41"/>
      <c r="AB746" s="41"/>
      <c r="AC746" s="41"/>
      <c r="AD746" s="41"/>
      <c r="AE746" s="41"/>
      <c r="AF746" s="40"/>
      <c r="AG746" s="40"/>
      <c r="AH746" s="5"/>
      <c r="AI746" s="5"/>
      <c r="AJ746" s="40"/>
      <c r="AK746" s="40"/>
      <c r="AL746" s="40"/>
      <c r="AM746" s="40"/>
      <c r="AO746" s="40"/>
      <c r="AQ746" s="40"/>
    </row>
    <row r="747" spans="2:43" ht="12.75" customHeight="1" x14ac:dyDescent="0.15">
      <c r="B747" s="40"/>
      <c r="C747" s="40"/>
      <c r="D747" s="40"/>
      <c r="E747" s="40"/>
      <c r="F747" s="40"/>
      <c r="G747" s="40"/>
      <c r="H747" s="53"/>
      <c r="R747" s="40"/>
      <c r="S747" s="40"/>
      <c r="T747" s="40"/>
      <c r="U747" s="40"/>
      <c r="V747" s="40"/>
      <c r="X747" s="40"/>
      <c r="Y747" s="40"/>
      <c r="Z747" s="40"/>
      <c r="AA747" s="41"/>
      <c r="AB747" s="41"/>
      <c r="AC747" s="41"/>
      <c r="AD747" s="41"/>
      <c r="AE747" s="41"/>
      <c r="AF747" s="40"/>
      <c r="AG747" s="40"/>
      <c r="AH747" s="5"/>
      <c r="AI747" s="5"/>
      <c r="AJ747" s="40"/>
      <c r="AK747" s="40"/>
      <c r="AL747" s="40"/>
      <c r="AM747" s="40"/>
      <c r="AO747" s="40"/>
      <c r="AQ747" s="40"/>
    </row>
    <row r="748" spans="2:43" ht="12.75" customHeight="1" x14ac:dyDescent="0.15">
      <c r="B748" s="40"/>
      <c r="C748" s="40"/>
      <c r="D748" s="40"/>
      <c r="E748" s="40"/>
      <c r="F748" s="40"/>
      <c r="G748" s="40"/>
      <c r="H748" s="53"/>
      <c r="R748" s="40"/>
      <c r="S748" s="40"/>
      <c r="T748" s="40"/>
      <c r="U748" s="40"/>
      <c r="V748" s="40"/>
      <c r="X748" s="40"/>
      <c r="Y748" s="40"/>
      <c r="Z748" s="40"/>
      <c r="AA748" s="41"/>
      <c r="AB748" s="41"/>
      <c r="AC748" s="41"/>
      <c r="AD748" s="41"/>
      <c r="AE748" s="41"/>
      <c r="AF748" s="40"/>
      <c r="AG748" s="40"/>
      <c r="AH748" s="5"/>
      <c r="AI748" s="5"/>
      <c r="AJ748" s="40"/>
      <c r="AK748" s="40"/>
      <c r="AL748" s="40"/>
      <c r="AM748" s="40"/>
      <c r="AO748" s="40"/>
      <c r="AQ748" s="40"/>
    </row>
    <row r="749" spans="2:43" ht="12.75" customHeight="1" x14ac:dyDescent="0.15">
      <c r="B749" s="40"/>
      <c r="C749" s="40"/>
      <c r="D749" s="40"/>
      <c r="E749" s="40"/>
      <c r="F749" s="40"/>
      <c r="G749" s="40"/>
      <c r="H749" s="53"/>
      <c r="R749" s="40"/>
      <c r="S749" s="40"/>
      <c r="T749" s="40"/>
      <c r="U749" s="40"/>
      <c r="V749" s="40"/>
      <c r="X749" s="40"/>
      <c r="Y749" s="40"/>
      <c r="Z749" s="40"/>
      <c r="AA749" s="41"/>
      <c r="AB749" s="41"/>
      <c r="AC749" s="41"/>
      <c r="AD749" s="41"/>
      <c r="AE749" s="41"/>
      <c r="AF749" s="40"/>
      <c r="AG749" s="40"/>
      <c r="AH749" s="5"/>
      <c r="AI749" s="5"/>
      <c r="AJ749" s="40"/>
      <c r="AK749" s="40"/>
      <c r="AL749" s="40"/>
      <c r="AM749" s="40"/>
      <c r="AO749" s="40"/>
      <c r="AQ749" s="40"/>
    </row>
    <row r="750" spans="2:43" ht="12.75" customHeight="1" x14ac:dyDescent="0.15">
      <c r="B750" s="40"/>
      <c r="C750" s="40"/>
      <c r="D750" s="40"/>
      <c r="E750" s="40"/>
      <c r="F750" s="40"/>
      <c r="G750" s="40"/>
      <c r="H750" s="53"/>
      <c r="R750" s="40"/>
      <c r="S750" s="40"/>
      <c r="T750" s="40"/>
      <c r="U750" s="40"/>
      <c r="V750" s="40"/>
      <c r="X750" s="40"/>
      <c r="Y750" s="40"/>
      <c r="Z750" s="40"/>
      <c r="AA750" s="41"/>
      <c r="AB750" s="41"/>
      <c r="AC750" s="41"/>
      <c r="AD750" s="41"/>
      <c r="AE750" s="41"/>
      <c r="AF750" s="40"/>
      <c r="AG750" s="40"/>
      <c r="AH750" s="5"/>
      <c r="AI750" s="5"/>
      <c r="AJ750" s="40"/>
      <c r="AK750" s="40"/>
      <c r="AL750" s="40"/>
      <c r="AM750" s="40"/>
      <c r="AO750" s="40"/>
      <c r="AQ750" s="40"/>
    </row>
    <row r="751" spans="2:43" ht="12.75" customHeight="1" x14ac:dyDescent="0.15">
      <c r="B751" s="40"/>
      <c r="C751" s="40"/>
      <c r="D751" s="40"/>
      <c r="E751" s="40"/>
      <c r="F751" s="40"/>
      <c r="G751" s="40"/>
      <c r="H751" s="53"/>
      <c r="R751" s="40"/>
      <c r="S751" s="40"/>
      <c r="T751" s="40"/>
      <c r="U751" s="40"/>
      <c r="V751" s="40"/>
      <c r="X751" s="40"/>
      <c r="Y751" s="40"/>
      <c r="Z751" s="40"/>
      <c r="AA751" s="41"/>
      <c r="AB751" s="41"/>
      <c r="AC751" s="41"/>
      <c r="AD751" s="41"/>
      <c r="AE751" s="41"/>
      <c r="AF751" s="40"/>
      <c r="AG751" s="40"/>
      <c r="AH751" s="5"/>
      <c r="AI751" s="5"/>
      <c r="AJ751" s="40"/>
      <c r="AK751" s="40"/>
      <c r="AL751" s="40"/>
      <c r="AM751" s="40"/>
      <c r="AO751" s="40"/>
      <c r="AQ751" s="40"/>
    </row>
    <row r="752" spans="2:43" ht="12.75" customHeight="1" x14ac:dyDescent="0.15">
      <c r="B752" s="40"/>
      <c r="C752" s="40"/>
      <c r="D752" s="40"/>
      <c r="E752" s="40"/>
      <c r="F752" s="40"/>
      <c r="G752" s="40"/>
      <c r="H752" s="53"/>
      <c r="R752" s="40"/>
      <c r="S752" s="40"/>
      <c r="T752" s="40"/>
      <c r="U752" s="40"/>
      <c r="V752" s="40"/>
      <c r="X752" s="40"/>
      <c r="Y752" s="40"/>
      <c r="Z752" s="40"/>
      <c r="AA752" s="41"/>
      <c r="AB752" s="41"/>
      <c r="AC752" s="41"/>
      <c r="AD752" s="41"/>
      <c r="AE752" s="41"/>
      <c r="AF752" s="40"/>
      <c r="AG752" s="40"/>
      <c r="AH752" s="5"/>
      <c r="AI752" s="5"/>
      <c r="AJ752" s="40"/>
      <c r="AK752" s="40"/>
      <c r="AL752" s="40"/>
      <c r="AM752" s="40"/>
      <c r="AO752" s="40"/>
      <c r="AQ752" s="40"/>
    </row>
    <row r="753" spans="2:43" ht="12.75" customHeight="1" x14ac:dyDescent="0.15">
      <c r="B753" s="40"/>
      <c r="C753" s="40"/>
      <c r="D753" s="40"/>
      <c r="E753" s="40"/>
      <c r="F753" s="40"/>
      <c r="G753" s="40"/>
      <c r="H753" s="53"/>
      <c r="R753" s="40"/>
      <c r="S753" s="40"/>
      <c r="T753" s="40"/>
      <c r="U753" s="40"/>
      <c r="V753" s="40"/>
      <c r="X753" s="40"/>
      <c r="Y753" s="40"/>
      <c r="Z753" s="40"/>
      <c r="AA753" s="41"/>
      <c r="AB753" s="41"/>
      <c r="AC753" s="41"/>
      <c r="AD753" s="41"/>
      <c r="AE753" s="41"/>
      <c r="AF753" s="40"/>
      <c r="AG753" s="40"/>
      <c r="AH753" s="5"/>
      <c r="AI753" s="5"/>
      <c r="AJ753" s="40"/>
      <c r="AK753" s="40"/>
      <c r="AL753" s="40"/>
      <c r="AM753" s="40"/>
      <c r="AO753" s="40"/>
      <c r="AQ753" s="40"/>
    </row>
    <row r="754" spans="2:43" ht="12.75" customHeight="1" x14ac:dyDescent="0.15">
      <c r="B754" s="40"/>
      <c r="C754" s="40"/>
      <c r="D754" s="40"/>
      <c r="E754" s="40"/>
      <c r="F754" s="40"/>
      <c r="G754" s="40"/>
      <c r="H754" s="53"/>
      <c r="R754" s="40"/>
      <c r="S754" s="40"/>
      <c r="T754" s="40"/>
      <c r="U754" s="40"/>
      <c r="V754" s="40"/>
      <c r="X754" s="40"/>
      <c r="Y754" s="40"/>
      <c r="Z754" s="40"/>
      <c r="AA754" s="41"/>
      <c r="AB754" s="41"/>
      <c r="AC754" s="41"/>
      <c r="AD754" s="41"/>
      <c r="AE754" s="41"/>
      <c r="AF754" s="40"/>
      <c r="AG754" s="40"/>
      <c r="AH754" s="5"/>
      <c r="AI754" s="5"/>
      <c r="AJ754" s="40"/>
      <c r="AK754" s="40"/>
      <c r="AL754" s="40"/>
      <c r="AM754" s="40"/>
      <c r="AO754" s="40"/>
      <c r="AQ754" s="40"/>
    </row>
    <row r="755" spans="2:43" ht="12.75" customHeight="1" x14ac:dyDescent="0.15">
      <c r="B755" s="40"/>
      <c r="C755" s="40"/>
      <c r="D755" s="40"/>
      <c r="E755" s="40"/>
      <c r="F755" s="40"/>
      <c r="G755" s="40"/>
      <c r="H755" s="53"/>
      <c r="R755" s="40"/>
      <c r="S755" s="40"/>
      <c r="T755" s="40"/>
      <c r="U755" s="40"/>
      <c r="V755" s="40"/>
      <c r="X755" s="40"/>
      <c r="Y755" s="40"/>
      <c r="Z755" s="40"/>
      <c r="AA755" s="41"/>
      <c r="AB755" s="41"/>
      <c r="AC755" s="41"/>
      <c r="AD755" s="41"/>
      <c r="AE755" s="41"/>
      <c r="AF755" s="40"/>
      <c r="AG755" s="40"/>
      <c r="AH755" s="5"/>
      <c r="AI755" s="5"/>
      <c r="AJ755" s="40"/>
      <c r="AK755" s="40"/>
      <c r="AL755" s="40"/>
      <c r="AM755" s="40"/>
      <c r="AO755" s="40"/>
      <c r="AQ755" s="40"/>
    </row>
    <row r="756" spans="2:43" ht="12.75" customHeight="1" x14ac:dyDescent="0.15">
      <c r="B756" s="40"/>
      <c r="C756" s="40"/>
      <c r="D756" s="40"/>
      <c r="E756" s="40"/>
      <c r="F756" s="40"/>
      <c r="G756" s="40"/>
      <c r="H756" s="53"/>
      <c r="R756" s="40"/>
      <c r="S756" s="40"/>
      <c r="T756" s="40"/>
      <c r="U756" s="40"/>
      <c r="V756" s="40"/>
      <c r="X756" s="40"/>
      <c r="Y756" s="40"/>
      <c r="Z756" s="40"/>
      <c r="AA756" s="41"/>
      <c r="AB756" s="41"/>
      <c r="AC756" s="41"/>
      <c r="AD756" s="41"/>
      <c r="AE756" s="41"/>
      <c r="AF756" s="40"/>
      <c r="AG756" s="40"/>
      <c r="AH756" s="5"/>
      <c r="AI756" s="5"/>
      <c r="AJ756" s="40"/>
      <c r="AK756" s="40"/>
      <c r="AL756" s="40"/>
      <c r="AM756" s="40"/>
      <c r="AO756" s="40"/>
      <c r="AQ756" s="40"/>
    </row>
    <row r="757" spans="2:43" ht="12.75" customHeight="1" x14ac:dyDescent="0.15">
      <c r="B757" s="40"/>
      <c r="C757" s="40"/>
      <c r="D757" s="40"/>
      <c r="E757" s="40"/>
      <c r="F757" s="40"/>
      <c r="G757" s="40"/>
      <c r="H757" s="53"/>
      <c r="R757" s="40"/>
      <c r="S757" s="40"/>
      <c r="T757" s="40"/>
      <c r="U757" s="40"/>
      <c r="V757" s="40"/>
      <c r="X757" s="40"/>
      <c r="Y757" s="40"/>
      <c r="Z757" s="40"/>
      <c r="AA757" s="41"/>
      <c r="AB757" s="41"/>
      <c r="AC757" s="41"/>
      <c r="AD757" s="41"/>
      <c r="AE757" s="41"/>
      <c r="AF757" s="40"/>
      <c r="AG757" s="40"/>
      <c r="AH757" s="5"/>
      <c r="AI757" s="5"/>
      <c r="AJ757" s="40"/>
      <c r="AK757" s="40"/>
      <c r="AL757" s="40"/>
      <c r="AM757" s="40"/>
      <c r="AO757" s="40"/>
      <c r="AQ757" s="40"/>
    </row>
    <row r="758" spans="2:43" ht="12.75" customHeight="1" x14ac:dyDescent="0.15">
      <c r="B758" s="40"/>
      <c r="C758" s="40"/>
      <c r="D758" s="40"/>
      <c r="E758" s="40"/>
      <c r="F758" s="40"/>
      <c r="G758" s="40"/>
      <c r="H758" s="53"/>
      <c r="R758" s="40"/>
      <c r="S758" s="40"/>
      <c r="T758" s="40"/>
      <c r="U758" s="40"/>
      <c r="V758" s="40"/>
      <c r="X758" s="40"/>
      <c r="Y758" s="40"/>
      <c r="Z758" s="40"/>
      <c r="AA758" s="41"/>
      <c r="AB758" s="41"/>
      <c r="AC758" s="41"/>
      <c r="AD758" s="41"/>
      <c r="AE758" s="41"/>
      <c r="AF758" s="40"/>
      <c r="AG758" s="40"/>
      <c r="AH758" s="5"/>
      <c r="AI758" s="5"/>
      <c r="AJ758" s="40"/>
      <c r="AK758" s="40"/>
      <c r="AL758" s="40"/>
      <c r="AM758" s="40"/>
      <c r="AO758" s="40"/>
      <c r="AQ758" s="40"/>
    </row>
    <row r="759" spans="2:43" ht="12.75" customHeight="1" x14ac:dyDescent="0.15">
      <c r="B759" s="40"/>
      <c r="C759" s="40"/>
      <c r="D759" s="40"/>
      <c r="E759" s="40"/>
      <c r="F759" s="40"/>
      <c r="G759" s="40"/>
      <c r="H759" s="53"/>
      <c r="R759" s="40"/>
      <c r="S759" s="40"/>
      <c r="T759" s="40"/>
      <c r="U759" s="40"/>
      <c r="V759" s="40"/>
      <c r="X759" s="40"/>
      <c r="Y759" s="40"/>
      <c r="Z759" s="40"/>
      <c r="AA759" s="41"/>
      <c r="AB759" s="41"/>
      <c r="AC759" s="41"/>
      <c r="AD759" s="41"/>
      <c r="AE759" s="41"/>
      <c r="AF759" s="40"/>
      <c r="AG759" s="40"/>
      <c r="AH759" s="5"/>
      <c r="AI759" s="5"/>
      <c r="AJ759" s="40"/>
      <c r="AK759" s="40"/>
      <c r="AL759" s="40"/>
      <c r="AM759" s="40"/>
      <c r="AO759" s="40"/>
      <c r="AQ759" s="40"/>
    </row>
    <row r="760" spans="2:43" ht="12.75" customHeight="1" x14ac:dyDescent="0.15">
      <c r="B760" s="40"/>
      <c r="C760" s="40"/>
      <c r="D760" s="40"/>
      <c r="E760" s="40"/>
      <c r="F760" s="40"/>
      <c r="G760" s="40"/>
      <c r="H760" s="53"/>
      <c r="R760" s="40"/>
      <c r="S760" s="40"/>
      <c r="T760" s="40"/>
      <c r="U760" s="40"/>
      <c r="V760" s="40"/>
      <c r="X760" s="40"/>
      <c r="Y760" s="40"/>
      <c r="Z760" s="40"/>
      <c r="AA760" s="41"/>
      <c r="AB760" s="41"/>
      <c r="AC760" s="41"/>
      <c r="AD760" s="41"/>
      <c r="AE760" s="41"/>
      <c r="AF760" s="40"/>
      <c r="AG760" s="40"/>
      <c r="AH760" s="5"/>
      <c r="AI760" s="5"/>
      <c r="AJ760" s="40"/>
      <c r="AK760" s="40"/>
      <c r="AL760" s="40"/>
      <c r="AM760" s="40"/>
      <c r="AO760" s="40"/>
      <c r="AQ760" s="40"/>
    </row>
    <row r="761" spans="2:43" ht="12.75" customHeight="1" x14ac:dyDescent="0.15">
      <c r="B761" s="40"/>
      <c r="C761" s="40"/>
      <c r="D761" s="40"/>
      <c r="E761" s="40"/>
      <c r="F761" s="40"/>
      <c r="G761" s="40"/>
      <c r="H761" s="53"/>
      <c r="R761" s="40"/>
      <c r="S761" s="40"/>
      <c r="T761" s="40"/>
      <c r="U761" s="40"/>
      <c r="V761" s="40"/>
      <c r="X761" s="40"/>
      <c r="Y761" s="40"/>
      <c r="Z761" s="40"/>
      <c r="AA761" s="41"/>
      <c r="AB761" s="41"/>
      <c r="AC761" s="41"/>
      <c r="AD761" s="41"/>
      <c r="AE761" s="41"/>
      <c r="AF761" s="40"/>
      <c r="AG761" s="40"/>
      <c r="AH761" s="5"/>
      <c r="AI761" s="5"/>
      <c r="AJ761" s="40"/>
      <c r="AK761" s="40"/>
      <c r="AL761" s="40"/>
      <c r="AM761" s="40"/>
      <c r="AO761" s="40"/>
      <c r="AQ761" s="40"/>
    </row>
    <row r="762" spans="2:43" ht="12.75" customHeight="1" x14ac:dyDescent="0.15">
      <c r="B762" s="40"/>
      <c r="C762" s="40"/>
      <c r="D762" s="40"/>
      <c r="E762" s="40"/>
      <c r="F762" s="40"/>
      <c r="G762" s="40"/>
      <c r="H762" s="53"/>
      <c r="R762" s="40"/>
      <c r="S762" s="40"/>
      <c r="T762" s="40"/>
      <c r="U762" s="40"/>
      <c r="V762" s="40"/>
      <c r="X762" s="40"/>
      <c r="Y762" s="40"/>
      <c r="Z762" s="40"/>
      <c r="AA762" s="41"/>
      <c r="AB762" s="41"/>
      <c r="AC762" s="41"/>
      <c r="AD762" s="41"/>
      <c r="AE762" s="41"/>
      <c r="AF762" s="40"/>
      <c r="AG762" s="40"/>
      <c r="AH762" s="5"/>
      <c r="AI762" s="5"/>
      <c r="AJ762" s="40"/>
      <c r="AK762" s="40"/>
      <c r="AL762" s="40"/>
      <c r="AM762" s="40"/>
      <c r="AO762" s="40"/>
      <c r="AQ762" s="40"/>
    </row>
    <row r="763" spans="2:43" ht="12.75" customHeight="1" x14ac:dyDescent="0.15">
      <c r="B763" s="40"/>
      <c r="C763" s="40"/>
      <c r="D763" s="40"/>
      <c r="E763" s="40"/>
      <c r="F763" s="40"/>
      <c r="G763" s="40"/>
      <c r="H763" s="53"/>
      <c r="R763" s="40"/>
      <c r="S763" s="40"/>
      <c r="T763" s="40"/>
      <c r="U763" s="40"/>
      <c r="V763" s="40"/>
      <c r="X763" s="40"/>
      <c r="Y763" s="40"/>
      <c r="Z763" s="40"/>
      <c r="AA763" s="41"/>
      <c r="AB763" s="41"/>
      <c r="AC763" s="41"/>
      <c r="AD763" s="41"/>
      <c r="AE763" s="41"/>
      <c r="AF763" s="40"/>
      <c r="AG763" s="40"/>
      <c r="AH763" s="5"/>
      <c r="AI763" s="5"/>
      <c r="AJ763" s="40"/>
      <c r="AK763" s="40"/>
      <c r="AL763" s="40"/>
      <c r="AM763" s="40"/>
      <c r="AO763" s="40"/>
      <c r="AQ763" s="40"/>
    </row>
    <row r="764" spans="2:43" ht="12.75" customHeight="1" x14ac:dyDescent="0.15">
      <c r="B764" s="40"/>
      <c r="C764" s="40"/>
      <c r="D764" s="40"/>
      <c r="E764" s="40"/>
      <c r="F764" s="40"/>
      <c r="G764" s="40"/>
      <c r="H764" s="53"/>
      <c r="R764" s="40"/>
      <c r="S764" s="40"/>
      <c r="T764" s="40"/>
      <c r="U764" s="40"/>
      <c r="V764" s="40"/>
      <c r="X764" s="40"/>
      <c r="Y764" s="40"/>
      <c r="Z764" s="40"/>
      <c r="AA764" s="41"/>
      <c r="AB764" s="41"/>
      <c r="AC764" s="41"/>
      <c r="AD764" s="41"/>
      <c r="AE764" s="41"/>
      <c r="AF764" s="40"/>
      <c r="AG764" s="40"/>
      <c r="AH764" s="5"/>
      <c r="AI764" s="5"/>
      <c r="AJ764" s="40"/>
      <c r="AK764" s="40"/>
      <c r="AL764" s="40"/>
      <c r="AM764" s="40"/>
      <c r="AO764" s="40"/>
      <c r="AQ764" s="40"/>
    </row>
    <row r="765" spans="2:43" ht="12.75" customHeight="1" x14ac:dyDescent="0.15">
      <c r="B765" s="40"/>
      <c r="C765" s="40"/>
      <c r="D765" s="40"/>
      <c r="E765" s="40"/>
      <c r="F765" s="40"/>
      <c r="G765" s="40"/>
      <c r="H765" s="53"/>
      <c r="R765" s="40"/>
      <c r="S765" s="40"/>
      <c r="T765" s="40"/>
      <c r="U765" s="40"/>
      <c r="V765" s="40"/>
      <c r="X765" s="40"/>
      <c r="Y765" s="40"/>
      <c r="Z765" s="40"/>
      <c r="AA765" s="41"/>
      <c r="AB765" s="41"/>
      <c r="AC765" s="41"/>
      <c r="AD765" s="41"/>
      <c r="AE765" s="41"/>
      <c r="AF765" s="40"/>
      <c r="AG765" s="40"/>
      <c r="AH765" s="5"/>
      <c r="AI765" s="5"/>
      <c r="AJ765" s="40"/>
      <c r="AK765" s="40"/>
      <c r="AL765" s="40"/>
      <c r="AM765" s="40"/>
      <c r="AO765" s="40"/>
      <c r="AQ765" s="40"/>
    </row>
    <row r="766" spans="2:43" ht="12.75" customHeight="1" x14ac:dyDescent="0.15">
      <c r="B766" s="40"/>
      <c r="C766" s="40"/>
      <c r="D766" s="40"/>
      <c r="E766" s="40"/>
      <c r="F766" s="40"/>
      <c r="G766" s="40"/>
      <c r="H766" s="53"/>
      <c r="R766" s="40"/>
      <c r="S766" s="40"/>
      <c r="T766" s="40"/>
      <c r="U766" s="40"/>
      <c r="V766" s="40"/>
      <c r="X766" s="40"/>
      <c r="Y766" s="40"/>
      <c r="Z766" s="40"/>
      <c r="AA766" s="41"/>
      <c r="AB766" s="41"/>
      <c r="AC766" s="41"/>
      <c r="AD766" s="41"/>
      <c r="AE766" s="41"/>
      <c r="AF766" s="40"/>
      <c r="AG766" s="40"/>
      <c r="AH766" s="5"/>
      <c r="AI766" s="5"/>
      <c r="AJ766" s="40"/>
      <c r="AK766" s="40"/>
      <c r="AL766" s="40"/>
      <c r="AM766" s="40"/>
      <c r="AO766" s="40"/>
      <c r="AQ766" s="40"/>
    </row>
    <row r="767" spans="2:43" ht="12.75" customHeight="1" x14ac:dyDescent="0.15">
      <c r="B767" s="40"/>
      <c r="C767" s="40"/>
      <c r="D767" s="40"/>
      <c r="E767" s="40"/>
      <c r="F767" s="40"/>
      <c r="G767" s="40"/>
      <c r="H767" s="53"/>
      <c r="R767" s="40"/>
      <c r="S767" s="40"/>
      <c r="T767" s="40"/>
      <c r="U767" s="40"/>
      <c r="V767" s="40"/>
      <c r="X767" s="40"/>
      <c r="Y767" s="40"/>
      <c r="Z767" s="40"/>
      <c r="AA767" s="41"/>
      <c r="AB767" s="41"/>
      <c r="AC767" s="41"/>
      <c r="AD767" s="41"/>
      <c r="AE767" s="41"/>
      <c r="AF767" s="40"/>
      <c r="AG767" s="40"/>
      <c r="AH767" s="5"/>
      <c r="AI767" s="5"/>
      <c r="AJ767" s="40"/>
      <c r="AK767" s="40"/>
      <c r="AL767" s="40"/>
      <c r="AM767" s="40"/>
      <c r="AO767" s="40"/>
      <c r="AQ767" s="40"/>
    </row>
    <row r="768" spans="2:43" ht="12.75" customHeight="1" x14ac:dyDescent="0.15">
      <c r="B768" s="40"/>
      <c r="C768" s="40"/>
      <c r="D768" s="40"/>
      <c r="E768" s="40"/>
      <c r="F768" s="40"/>
      <c r="G768" s="40"/>
      <c r="H768" s="53"/>
      <c r="R768" s="40"/>
      <c r="S768" s="40"/>
      <c r="T768" s="40"/>
      <c r="U768" s="40"/>
      <c r="V768" s="40"/>
      <c r="X768" s="40"/>
      <c r="Y768" s="40"/>
      <c r="Z768" s="40"/>
      <c r="AA768" s="41"/>
      <c r="AB768" s="41"/>
      <c r="AC768" s="41"/>
      <c r="AD768" s="41"/>
      <c r="AE768" s="41"/>
      <c r="AF768" s="40"/>
      <c r="AG768" s="40"/>
      <c r="AH768" s="5"/>
      <c r="AI768" s="5"/>
      <c r="AJ768" s="40"/>
      <c r="AK768" s="40"/>
      <c r="AL768" s="40"/>
      <c r="AM768" s="40"/>
      <c r="AO768" s="40"/>
      <c r="AQ768" s="40"/>
    </row>
    <row r="769" spans="2:43" ht="12.75" customHeight="1" x14ac:dyDescent="0.15">
      <c r="B769" s="40"/>
      <c r="C769" s="40"/>
      <c r="D769" s="40"/>
      <c r="E769" s="40"/>
      <c r="F769" s="40"/>
      <c r="G769" s="40"/>
      <c r="H769" s="53"/>
      <c r="R769" s="40"/>
      <c r="S769" s="40"/>
      <c r="T769" s="40"/>
      <c r="U769" s="40"/>
      <c r="V769" s="40"/>
      <c r="X769" s="40"/>
      <c r="Y769" s="40"/>
      <c r="Z769" s="40"/>
      <c r="AA769" s="41"/>
      <c r="AB769" s="41"/>
      <c r="AC769" s="41"/>
      <c r="AD769" s="41"/>
      <c r="AE769" s="41"/>
      <c r="AF769" s="40"/>
      <c r="AG769" s="40"/>
      <c r="AH769" s="5"/>
      <c r="AI769" s="5"/>
      <c r="AJ769" s="40"/>
      <c r="AK769" s="40"/>
      <c r="AL769" s="40"/>
      <c r="AM769" s="40"/>
      <c r="AO769" s="40"/>
      <c r="AQ769" s="40"/>
    </row>
    <row r="770" spans="2:43" ht="12.75" customHeight="1" x14ac:dyDescent="0.15">
      <c r="B770" s="40"/>
      <c r="C770" s="40"/>
      <c r="D770" s="40"/>
      <c r="E770" s="40"/>
      <c r="F770" s="40"/>
      <c r="G770" s="40"/>
      <c r="H770" s="53"/>
      <c r="R770" s="40"/>
      <c r="S770" s="40"/>
      <c r="T770" s="40"/>
      <c r="U770" s="40"/>
      <c r="V770" s="40"/>
      <c r="X770" s="40"/>
      <c r="Y770" s="40"/>
      <c r="Z770" s="40"/>
      <c r="AA770" s="41"/>
      <c r="AB770" s="41"/>
      <c r="AC770" s="41"/>
      <c r="AD770" s="41"/>
      <c r="AE770" s="41"/>
      <c r="AF770" s="40"/>
      <c r="AG770" s="40"/>
      <c r="AH770" s="5"/>
      <c r="AI770" s="5"/>
      <c r="AJ770" s="40"/>
      <c r="AK770" s="40"/>
      <c r="AL770" s="40"/>
      <c r="AM770" s="40"/>
      <c r="AO770" s="40"/>
      <c r="AQ770" s="40"/>
    </row>
    <row r="771" spans="2:43" ht="12.75" customHeight="1" x14ac:dyDescent="0.15">
      <c r="B771" s="40"/>
      <c r="C771" s="40"/>
      <c r="D771" s="40"/>
      <c r="E771" s="40"/>
      <c r="F771" s="40"/>
      <c r="G771" s="40"/>
      <c r="H771" s="53"/>
      <c r="R771" s="40"/>
      <c r="S771" s="40"/>
      <c r="T771" s="40"/>
      <c r="U771" s="40"/>
      <c r="V771" s="40"/>
      <c r="X771" s="40"/>
      <c r="Y771" s="40"/>
      <c r="Z771" s="40"/>
      <c r="AA771" s="41"/>
      <c r="AB771" s="41"/>
      <c r="AC771" s="41"/>
      <c r="AD771" s="41"/>
      <c r="AE771" s="41"/>
      <c r="AF771" s="40"/>
      <c r="AG771" s="40"/>
      <c r="AH771" s="5"/>
      <c r="AI771" s="5"/>
      <c r="AJ771" s="40"/>
      <c r="AK771" s="40"/>
      <c r="AL771" s="40"/>
      <c r="AM771" s="40"/>
      <c r="AO771" s="40"/>
      <c r="AQ771" s="40"/>
    </row>
    <row r="772" spans="2:43" ht="12.75" customHeight="1" x14ac:dyDescent="0.15">
      <c r="B772" s="40"/>
      <c r="C772" s="40"/>
      <c r="D772" s="40"/>
      <c r="E772" s="40"/>
      <c r="F772" s="40"/>
      <c r="G772" s="40"/>
      <c r="H772" s="53"/>
      <c r="R772" s="40"/>
      <c r="S772" s="40"/>
      <c r="T772" s="40"/>
      <c r="U772" s="40"/>
      <c r="V772" s="40"/>
      <c r="X772" s="40"/>
      <c r="Y772" s="40"/>
      <c r="Z772" s="40"/>
      <c r="AA772" s="41"/>
      <c r="AB772" s="41"/>
      <c r="AC772" s="41"/>
      <c r="AD772" s="41"/>
      <c r="AE772" s="41"/>
      <c r="AF772" s="40"/>
      <c r="AG772" s="40"/>
      <c r="AH772" s="5"/>
      <c r="AI772" s="5"/>
      <c r="AJ772" s="40"/>
      <c r="AK772" s="40"/>
      <c r="AL772" s="40"/>
      <c r="AM772" s="40"/>
      <c r="AO772" s="40"/>
      <c r="AQ772" s="40"/>
    </row>
    <row r="773" spans="2:43" ht="12.75" customHeight="1" x14ac:dyDescent="0.15">
      <c r="B773" s="40"/>
      <c r="C773" s="40"/>
      <c r="D773" s="40"/>
      <c r="E773" s="40"/>
      <c r="F773" s="40"/>
      <c r="G773" s="40"/>
      <c r="H773" s="53"/>
      <c r="R773" s="40"/>
      <c r="S773" s="40"/>
      <c r="T773" s="40"/>
      <c r="U773" s="40"/>
      <c r="V773" s="40"/>
      <c r="X773" s="40"/>
      <c r="Y773" s="40"/>
      <c r="Z773" s="40"/>
      <c r="AA773" s="41"/>
      <c r="AB773" s="41"/>
      <c r="AC773" s="41"/>
      <c r="AD773" s="41"/>
      <c r="AE773" s="41"/>
      <c r="AF773" s="40"/>
      <c r="AG773" s="40"/>
      <c r="AH773" s="5"/>
      <c r="AI773" s="5"/>
      <c r="AJ773" s="40"/>
      <c r="AK773" s="40"/>
      <c r="AL773" s="40"/>
      <c r="AM773" s="40"/>
      <c r="AO773" s="40"/>
      <c r="AQ773" s="40"/>
    </row>
    <row r="774" spans="2:43" ht="12.75" customHeight="1" x14ac:dyDescent="0.15">
      <c r="B774" s="40"/>
      <c r="C774" s="40"/>
      <c r="D774" s="40"/>
      <c r="E774" s="40"/>
      <c r="F774" s="40"/>
      <c r="G774" s="40"/>
      <c r="H774" s="53"/>
      <c r="R774" s="40"/>
      <c r="S774" s="40"/>
      <c r="T774" s="40"/>
      <c r="U774" s="40"/>
      <c r="V774" s="40"/>
      <c r="X774" s="40"/>
      <c r="Y774" s="40"/>
      <c r="Z774" s="40"/>
      <c r="AA774" s="41"/>
      <c r="AB774" s="41"/>
      <c r="AC774" s="41"/>
      <c r="AD774" s="41"/>
      <c r="AE774" s="41"/>
      <c r="AF774" s="40"/>
      <c r="AG774" s="40"/>
      <c r="AH774" s="5"/>
      <c r="AI774" s="5"/>
      <c r="AJ774" s="40"/>
      <c r="AK774" s="40"/>
      <c r="AL774" s="40"/>
      <c r="AM774" s="40"/>
      <c r="AO774" s="40"/>
      <c r="AQ774" s="40"/>
    </row>
    <row r="775" spans="2:43" ht="12.75" customHeight="1" x14ac:dyDescent="0.15">
      <c r="B775" s="40"/>
      <c r="C775" s="40"/>
      <c r="D775" s="40"/>
      <c r="E775" s="40"/>
      <c r="F775" s="40"/>
      <c r="G775" s="40"/>
      <c r="H775" s="53"/>
      <c r="R775" s="40"/>
      <c r="S775" s="40"/>
      <c r="T775" s="40"/>
      <c r="U775" s="40"/>
      <c r="V775" s="40"/>
      <c r="X775" s="40"/>
      <c r="Y775" s="40"/>
      <c r="Z775" s="40"/>
      <c r="AA775" s="41"/>
      <c r="AB775" s="41"/>
      <c r="AC775" s="41"/>
      <c r="AD775" s="41"/>
      <c r="AE775" s="41"/>
      <c r="AF775" s="40"/>
      <c r="AG775" s="40"/>
      <c r="AH775" s="5"/>
      <c r="AI775" s="5"/>
      <c r="AJ775" s="40"/>
      <c r="AK775" s="40"/>
      <c r="AL775" s="40"/>
      <c r="AM775" s="40"/>
      <c r="AO775" s="40"/>
      <c r="AQ775" s="40"/>
    </row>
    <row r="776" spans="2:43" ht="12.75" customHeight="1" x14ac:dyDescent="0.15">
      <c r="B776" s="40"/>
      <c r="C776" s="40"/>
      <c r="D776" s="40"/>
      <c r="E776" s="40"/>
      <c r="F776" s="40"/>
      <c r="G776" s="40"/>
      <c r="H776" s="53"/>
      <c r="R776" s="40"/>
      <c r="S776" s="40"/>
      <c r="T776" s="40"/>
      <c r="U776" s="40"/>
      <c r="V776" s="40"/>
      <c r="X776" s="40"/>
      <c r="Y776" s="40"/>
      <c r="Z776" s="40"/>
      <c r="AA776" s="41"/>
      <c r="AB776" s="41"/>
      <c r="AC776" s="41"/>
      <c r="AD776" s="41"/>
      <c r="AE776" s="41"/>
      <c r="AF776" s="40"/>
      <c r="AG776" s="40"/>
      <c r="AH776" s="5"/>
      <c r="AI776" s="5"/>
      <c r="AJ776" s="40"/>
      <c r="AK776" s="40"/>
      <c r="AL776" s="40"/>
      <c r="AM776" s="40"/>
      <c r="AO776" s="40"/>
      <c r="AQ776" s="40"/>
    </row>
    <row r="777" spans="2:43" ht="12.75" customHeight="1" x14ac:dyDescent="0.15">
      <c r="B777" s="40"/>
      <c r="C777" s="40"/>
      <c r="D777" s="40"/>
      <c r="E777" s="40"/>
      <c r="F777" s="40"/>
      <c r="G777" s="40"/>
      <c r="H777" s="53"/>
      <c r="R777" s="40"/>
      <c r="S777" s="40"/>
      <c r="T777" s="40"/>
      <c r="U777" s="40"/>
      <c r="V777" s="40"/>
      <c r="X777" s="40"/>
      <c r="Y777" s="40"/>
      <c r="Z777" s="40"/>
      <c r="AA777" s="41"/>
      <c r="AB777" s="41"/>
      <c r="AC777" s="41"/>
      <c r="AD777" s="41"/>
      <c r="AE777" s="41"/>
      <c r="AF777" s="40"/>
      <c r="AG777" s="40"/>
      <c r="AH777" s="5"/>
      <c r="AI777" s="5"/>
      <c r="AJ777" s="40"/>
      <c r="AK777" s="40"/>
      <c r="AL777" s="40"/>
      <c r="AM777" s="40"/>
      <c r="AO777" s="40"/>
      <c r="AQ777" s="40"/>
    </row>
    <row r="778" spans="2:43" ht="12.75" customHeight="1" x14ac:dyDescent="0.15">
      <c r="B778" s="40"/>
      <c r="C778" s="40"/>
      <c r="D778" s="40"/>
      <c r="E778" s="40"/>
      <c r="F778" s="40"/>
      <c r="G778" s="40"/>
      <c r="H778" s="53"/>
      <c r="R778" s="40"/>
      <c r="S778" s="40"/>
      <c r="T778" s="40"/>
      <c r="U778" s="40"/>
      <c r="V778" s="40"/>
      <c r="X778" s="40"/>
      <c r="Y778" s="40"/>
      <c r="Z778" s="40"/>
      <c r="AA778" s="41"/>
      <c r="AB778" s="41"/>
      <c r="AC778" s="41"/>
      <c r="AD778" s="41"/>
      <c r="AE778" s="41"/>
      <c r="AF778" s="40"/>
      <c r="AG778" s="40"/>
      <c r="AH778" s="5"/>
      <c r="AI778" s="5"/>
      <c r="AJ778" s="40"/>
      <c r="AK778" s="40"/>
      <c r="AL778" s="40"/>
      <c r="AM778" s="40"/>
      <c r="AO778" s="40"/>
      <c r="AQ778" s="40"/>
    </row>
    <row r="779" spans="2:43" ht="12.75" customHeight="1" x14ac:dyDescent="0.15">
      <c r="B779" s="40"/>
      <c r="C779" s="40"/>
      <c r="D779" s="40"/>
      <c r="E779" s="40"/>
      <c r="F779" s="40"/>
      <c r="G779" s="40"/>
      <c r="H779" s="53"/>
      <c r="R779" s="40"/>
      <c r="S779" s="40"/>
      <c r="T779" s="40"/>
      <c r="U779" s="40"/>
      <c r="V779" s="40"/>
      <c r="X779" s="40"/>
      <c r="Y779" s="40"/>
      <c r="Z779" s="40"/>
      <c r="AA779" s="41"/>
      <c r="AB779" s="41"/>
      <c r="AC779" s="41"/>
      <c r="AD779" s="41"/>
      <c r="AE779" s="41"/>
      <c r="AF779" s="40"/>
      <c r="AG779" s="40"/>
      <c r="AH779" s="5"/>
      <c r="AI779" s="5"/>
      <c r="AJ779" s="40"/>
      <c r="AK779" s="40"/>
      <c r="AL779" s="40"/>
      <c r="AM779" s="40"/>
      <c r="AO779" s="40"/>
      <c r="AQ779" s="40"/>
    </row>
    <row r="780" spans="2:43" ht="12.75" customHeight="1" x14ac:dyDescent="0.15">
      <c r="B780" s="40"/>
      <c r="C780" s="40"/>
      <c r="D780" s="40"/>
      <c r="E780" s="40"/>
      <c r="F780" s="40"/>
      <c r="G780" s="40"/>
      <c r="H780" s="53"/>
      <c r="R780" s="40"/>
      <c r="S780" s="40"/>
      <c r="T780" s="40"/>
      <c r="U780" s="40"/>
      <c r="V780" s="40"/>
      <c r="X780" s="40"/>
      <c r="Y780" s="40"/>
      <c r="Z780" s="40"/>
      <c r="AA780" s="41"/>
      <c r="AB780" s="41"/>
      <c r="AC780" s="41"/>
      <c r="AD780" s="41"/>
      <c r="AE780" s="41"/>
      <c r="AF780" s="40"/>
      <c r="AG780" s="40"/>
      <c r="AH780" s="5"/>
      <c r="AI780" s="5"/>
      <c r="AJ780" s="40"/>
      <c r="AK780" s="40"/>
      <c r="AL780" s="40"/>
      <c r="AM780" s="40"/>
      <c r="AO780" s="40"/>
      <c r="AQ780" s="40"/>
    </row>
    <row r="781" spans="2:43" ht="12.75" customHeight="1" x14ac:dyDescent="0.15">
      <c r="B781" s="40"/>
      <c r="C781" s="40"/>
      <c r="D781" s="40"/>
      <c r="E781" s="40"/>
      <c r="F781" s="40"/>
      <c r="G781" s="40"/>
      <c r="H781" s="53"/>
      <c r="R781" s="40"/>
      <c r="S781" s="40"/>
      <c r="T781" s="40"/>
      <c r="U781" s="40"/>
      <c r="V781" s="40"/>
      <c r="X781" s="40"/>
      <c r="Y781" s="40"/>
      <c r="Z781" s="40"/>
      <c r="AA781" s="41"/>
      <c r="AB781" s="41"/>
      <c r="AC781" s="41"/>
      <c r="AD781" s="41"/>
      <c r="AE781" s="41"/>
      <c r="AF781" s="40"/>
      <c r="AG781" s="40"/>
      <c r="AH781" s="5"/>
      <c r="AI781" s="5"/>
      <c r="AJ781" s="40"/>
      <c r="AK781" s="40"/>
      <c r="AL781" s="40"/>
      <c r="AM781" s="40"/>
      <c r="AO781" s="40"/>
      <c r="AQ781" s="40"/>
    </row>
    <row r="782" spans="2:43" ht="12.75" customHeight="1" x14ac:dyDescent="0.15">
      <c r="B782" s="40"/>
      <c r="C782" s="40"/>
      <c r="D782" s="40"/>
      <c r="E782" s="40"/>
      <c r="F782" s="40"/>
      <c r="G782" s="40"/>
      <c r="H782" s="53"/>
      <c r="R782" s="40"/>
      <c r="S782" s="40"/>
      <c r="T782" s="40"/>
      <c r="U782" s="40"/>
      <c r="V782" s="40"/>
      <c r="X782" s="40"/>
      <c r="Y782" s="40"/>
      <c r="Z782" s="40"/>
      <c r="AA782" s="41"/>
      <c r="AB782" s="41"/>
      <c r="AC782" s="41"/>
      <c r="AD782" s="41"/>
      <c r="AE782" s="41"/>
      <c r="AF782" s="40"/>
      <c r="AG782" s="40"/>
      <c r="AH782" s="5"/>
      <c r="AI782" s="5"/>
      <c r="AJ782" s="40"/>
      <c r="AK782" s="40"/>
      <c r="AL782" s="40"/>
      <c r="AM782" s="40"/>
      <c r="AO782" s="40"/>
      <c r="AQ782" s="40"/>
    </row>
    <row r="783" spans="2:43" ht="12.75" customHeight="1" x14ac:dyDescent="0.15">
      <c r="B783" s="40"/>
      <c r="C783" s="40"/>
      <c r="D783" s="40"/>
      <c r="E783" s="40"/>
      <c r="F783" s="40"/>
      <c r="G783" s="40"/>
      <c r="H783" s="53"/>
      <c r="R783" s="40"/>
      <c r="S783" s="40"/>
      <c r="T783" s="40"/>
      <c r="U783" s="40"/>
      <c r="V783" s="40"/>
      <c r="X783" s="40"/>
      <c r="Y783" s="40"/>
      <c r="Z783" s="40"/>
      <c r="AA783" s="41"/>
      <c r="AB783" s="41"/>
      <c r="AC783" s="41"/>
      <c r="AD783" s="41"/>
      <c r="AE783" s="41"/>
      <c r="AF783" s="40"/>
      <c r="AG783" s="40"/>
      <c r="AH783" s="5"/>
      <c r="AI783" s="5"/>
      <c r="AJ783" s="40"/>
      <c r="AK783" s="40"/>
      <c r="AL783" s="40"/>
      <c r="AM783" s="40"/>
      <c r="AO783" s="40"/>
      <c r="AQ783" s="40"/>
    </row>
    <row r="784" spans="2:43" ht="12.75" customHeight="1" x14ac:dyDescent="0.15">
      <c r="B784" s="40"/>
      <c r="C784" s="40"/>
      <c r="D784" s="40"/>
      <c r="E784" s="40"/>
      <c r="F784" s="40"/>
      <c r="G784" s="40"/>
      <c r="H784" s="53"/>
      <c r="R784" s="40"/>
      <c r="S784" s="40"/>
      <c r="T784" s="40"/>
      <c r="U784" s="40"/>
      <c r="V784" s="40"/>
      <c r="X784" s="40"/>
      <c r="Y784" s="40"/>
      <c r="Z784" s="40"/>
      <c r="AA784" s="41"/>
      <c r="AB784" s="41"/>
      <c r="AC784" s="41"/>
      <c r="AD784" s="41"/>
      <c r="AE784" s="41"/>
      <c r="AF784" s="40"/>
      <c r="AG784" s="40"/>
      <c r="AH784" s="5"/>
      <c r="AI784" s="5"/>
      <c r="AJ784" s="40"/>
      <c r="AK784" s="40"/>
      <c r="AL784" s="40"/>
      <c r="AM784" s="40"/>
      <c r="AO784" s="40"/>
      <c r="AQ784" s="40"/>
    </row>
    <row r="785" spans="2:43" ht="12.75" customHeight="1" x14ac:dyDescent="0.15">
      <c r="B785" s="40"/>
      <c r="C785" s="40"/>
      <c r="D785" s="40"/>
      <c r="E785" s="40"/>
      <c r="F785" s="40"/>
      <c r="G785" s="40"/>
      <c r="H785" s="53"/>
      <c r="R785" s="40"/>
      <c r="S785" s="40"/>
      <c r="T785" s="40"/>
      <c r="U785" s="40"/>
      <c r="V785" s="40"/>
      <c r="X785" s="40"/>
      <c r="Y785" s="40"/>
      <c r="Z785" s="40"/>
      <c r="AA785" s="41"/>
      <c r="AB785" s="41"/>
      <c r="AC785" s="41"/>
      <c r="AD785" s="41"/>
      <c r="AE785" s="41"/>
      <c r="AF785" s="40"/>
      <c r="AG785" s="40"/>
      <c r="AH785" s="5"/>
      <c r="AI785" s="5"/>
      <c r="AJ785" s="40"/>
      <c r="AK785" s="40"/>
      <c r="AL785" s="40"/>
      <c r="AM785" s="40"/>
      <c r="AO785" s="40"/>
      <c r="AQ785" s="40"/>
    </row>
    <row r="786" spans="2:43" ht="12.75" customHeight="1" x14ac:dyDescent="0.15">
      <c r="B786" s="40"/>
      <c r="C786" s="40"/>
      <c r="D786" s="40"/>
      <c r="E786" s="40"/>
      <c r="F786" s="40"/>
      <c r="G786" s="40"/>
      <c r="H786" s="53"/>
      <c r="R786" s="40"/>
      <c r="S786" s="40"/>
      <c r="T786" s="40"/>
      <c r="U786" s="40"/>
      <c r="V786" s="40"/>
      <c r="X786" s="40"/>
      <c r="Y786" s="40"/>
      <c r="Z786" s="40"/>
      <c r="AA786" s="41"/>
      <c r="AB786" s="41"/>
      <c r="AC786" s="41"/>
      <c r="AD786" s="41"/>
      <c r="AE786" s="41"/>
      <c r="AF786" s="40"/>
      <c r="AG786" s="40"/>
      <c r="AH786" s="5"/>
      <c r="AI786" s="5"/>
      <c r="AJ786" s="40"/>
      <c r="AK786" s="40"/>
      <c r="AL786" s="40"/>
      <c r="AM786" s="40"/>
      <c r="AO786" s="40"/>
      <c r="AQ786" s="40"/>
    </row>
    <row r="787" spans="2:43" ht="12.75" customHeight="1" x14ac:dyDescent="0.15">
      <c r="B787" s="40"/>
      <c r="C787" s="40"/>
      <c r="D787" s="40"/>
      <c r="E787" s="40"/>
      <c r="F787" s="40"/>
      <c r="G787" s="40"/>
      <c r="H787" s="53"/>
      <c r="R787" s="40"/>
      <c r="S787" s="40"/>
      <c r="T787" s="40"/>
      <c r="U787" s="40"/>
      <c r="V787" s="40"/>
      <c r="X787" s="40"/>
      <c r="Y787" s="40"/>
      <c r="Z787" s="40"/>
      <c r="AA787" s="41"/>
      <c r="AB787" s="41"/>
      <c r="AC787" s="41"/>
      <c r="AD787" s="41"/>
      <c r="AE787" s="41"/>
      <c r="AF787" s="40"/>
      <c r="AG787" s="40"/>
      <c r="AH787" s="5"/>
      <c r="AI787" s="5"/>
      <c r="AJ787" s="40"/>
      <c r="AK787" s="40"/>
      <c r="AL787" s="40"/>
      <c r="AM787" s="40"/>
      <c r="AO787" s="40"/>
      <c r="AQ787" s="40"/>
    </row>
    <row r="788" spans="2:43" ht="12.75" customHeight="1" x14ac:dyDescent="0.15">
      <c r="B788" s="40"/>
      <c r="C788" s="40"/>
      <c r="D788" s="40"/>
      <c r="E788" s="40"/>
      <c r="F788" s="40"/>
      <c r="G788" s="40"/>
      <c r="H788" s="53"/>
      <c r="R788" s="40"/>
      <c r="S788" s="40"/>
      <c r="T788" s="40"/>
      <c r="U788" s="40"/>
      <c r="V788" s="40"/>
      <c r="X788" s="40"/>
      <c r="Y788" s="40"/>
      <c r="Z788" s="40"/>
      <c r="AA788" s="41"/>
      <c r="AB788" s="41"/>
      <c r="AC788" s="41"/>
      <c r="AD788" s="41"/>
      <c r="AE788" s="41"/>
      <c r="AF788" s="40"/>
      <c r="AG788" s="40"/>
      <c r="AH788" s="5"/>
      <c r="AI788" s="5"/>
      <c r="AJ788" s="40"/>
      <c r="AK788" s="40"/>
      <c r="AL788" s="40"/>
      <c r="AM788" s="40"/>
      <c r="AO788" s="40"/>
      <c r="AQ788" s="40"/>
    </row>
    <row r="789" spans="2:43" ht="12.75" customHeight="1" x14ac:dyDescent="0.15">
      <c r="B789" s="40"/>
      <c r="C789" s="40"/>
      <c r="D789" s="40"/>
      <c r="E789" s="40"/>
      <c r="F789" s="40"/>
      <c r="G789" s="40"/>
      <c r="H789" s="53"/>
      <c r="R789" s="40"/>
      <c r="S789" s="40"/>
      <c r="T789" s="40"/>
      <c r="U789" s="40"/>
      <c r="V789" s="40"/>
      <c r="X789" s="40"/>
      <c r="Y789" s="40"/>
      <c r="Z789" s="40"/>
      <c r="AA789" s="41"/>
      <c r="AB789" s="41"/>
      <c r="AC789" s="41"/>
      <c r="AD789" s="41"/>
      <c r="AE789" s="41"/>
      <c r="AF789" s="40"/>
      <c r="AG789" s="40"/>
      <c r="AH789" s="5"/>
      <c r="AI789" s="5"/>
      <c r="AJ789" s="40"/>
      <c r="AK789" s="40"/>
      <c r="AL789" s="40"/>
      <c r="AM789" s="40"/>
      <c r="AO789" s="40"/>
      <c r="AQ789" s="40"/>
    </row>
    <row r="790" spans="2:43" ht="12.75" customHeight="1" x14ac:dyDescent="0.15">
      <c r="B790" s="40"/>
      <c r="C790" s="40"/>
      <c r="D790" s="40"/>
      <c r="E790" s="40"/>
      <c r="F790" s="40"/>
      <c r="G790" s="40"/>
      <c r="H790" s="53"/>
      <c r="R790" s="40"/>
      <c r="S790" s="40"/>
      <c r="T790" s="40"/>
      <c r="U790" s="40"/>
      <c r="V790" s="40"/>
      <c r="X790" s="40"/>
      <c r="Y790" s="40"/>
      <c r="Z790" s="40"/>
      <c r="AA790" s="41"/>
      <c r="AB790" s="41"/>
      <c r="AC790" s="41"/>
      <c r="AD790" s="41"/>
      <c r="AE790" s="41"/>
      <c r="AF790" s="40"/>
      <c r="AG790" s="40"/>
      <c r="AH790" s="5"/>
      <c r="AI790" s="5"/>
      <c r="AJ790" s="40"/>
      <c r="AK790" s="40"/>
      <c r="AL790" s="40"/>
      <c r="AM790" s="40"/>
      <c r="AO790" s="40"/>
      <c r="AQ790" s="40"/>
    </row>
    <row r="791" spans="2:43" ht="12.75" customHeight="1" x14ac:dyDescent="0.15">
      <c r="B791" s="40"/>
      <c r="C791" s="40"/>
      <c r="D791" s="40"/>
      <c r="E791" s="40"/>
      <c r="F791" s="40"/>
      <c r="G791" s="40"/>
      <c r="H791" s="53"/>
      <c r="R791" s="40"/>
      <c r="S791" s="40"/>
      <c r="T791" s="40"/>
      <c r="U791" s="40"/>
      <c r="V791" s="40"/>
      <c r="X791" s="40"/>
      <c r="Y791" s="40"/>
      <c r="Z791" s="40"/>
      <c r="AA791" s="41"/>
      <c r="AB791" s="41"/>
      <c r="AC791" s="41"/>
      <c r="AD791" s="41"/>
      <c r="AE791" s="41"/>
      <c r="AF791" s="40"/>
      <c r="AG791" s="40"/>
      <c r="AH791" s="5"/>
      <c r="AI791" s="5"/>
      <c r="AJ791" s="40"/>
      <c r="AK791" s="40"/>
      <c r="AL791" s="40"/>
      <c r="AM791" s="40"/>
      <c r="AO791" s="40"/>
      <c r="AQ791" s="40"/>
    </row>
    <row r="792" spans="2:43" ht="12.75" customHeight="1" x14ac:dyDescent="0.15">
      <c r="B792" s="40"/>
      <c r="C792" s="40"/>
      <c r="D792" s="40"/>
      <c r="E792" s="40"/>
      <c r="F792" s="40"/>
      <c r="G792" s="40"/>
      <c r="H792" s="53"/>
      <c r="R792" s="40"/>
      <c r="S792" s="40"/>
      <c r="T792" s="40"/>
      <c r="U792" s="40"/>
      <c r="V792" s="40"/>
      <c r="X792" s="40"/>
      <c r="Y792" s="40"/>
      <c r="Z792" s="40"/>
      <c r="AA792" s="41"/>
      <c r="AB792" s="41"/>
      <c r="AC792" s="41"/>
      <c r="AD792" s="41"/>
      <c r="AE792" s="41"/>
      <c r="AF792" s="40"/>
      <c r="AG792" s="40"/>
      <c r="AH792" s="5"/>
      <c r="AI792" s="5"/>
      <c r="AJ792" s="40"/>
      <c r="AK792" s="40"/>
      <c r="AL792" s="40"/>
      <c r="AM792" s="40"/>
      <c r="AO792" s="40"/>
      <c r="AQ792" s="40"/>
    </row>
    <row r="793" spans="2:43" ht="12.75" customHeight="1" x14ac:dyDescent="0.15">
      <c r="B793" s="40"/>
      <c r="C793" s="40"/>
      <c r="D793" s="40"/>
      <c r="E793" s="40"/>
      <c r="F793" s="40"/>
      <c r="G793" s="40"/>
      <c r="H793" s="53"/>
      <c r="R793" s="40"/>
      <c r="S793" s="40"/>
      <c r="T793" s="40"/>
      <c r="U793" s="40"/>
      <c r="V793" s="40"/>
      <c r="X793" s="40"/>
      <c r="Y793" s="40"/>
      <c r="Z793" s="40"/>
      <c r="AA793" s="41"/>
      <c r="AB793" s="41"/>
      <c r="AC793" s="41"/>
      <c r="AD793" s="41"/>
      <c r="AE793" s="41"/>
      <c r="AF793" s="40"/>
      <c r="AG793" s="40"/>
      <c r="AH793" s="5"/>
      <c r="AI793" s="5"/>
      <c r="AJ793" s="40"/>
      <c r="AK793" s="40"/>
      <c r="AL793" s="40"/>
      <c r="AM793" s="40"/>
      <c r="AO793" s="40"/>
      <c r="AQ793" s="40"/>
    </row>
    <row r="794" spans="2:43" ht="12.75" customHeight="1" x14ac:dyDescent="0.15">
      <c r="B794" s="40"/>
      <c r="C794" s="40"/>
      <c r="D794" s="40"/>
      <c r="E794" s="40"/>
      <c r="F794" s="40"/>
      <c r="G794" s="40"/>
      <c r="H794" s="53"/>
      <c r="R794" s="40"/>
      <c r="S794" s="40"/>
      <c r="T794" s="40"/>
      <c r="U794" s="40"/>
      <c r="V794" s="40"/>
      <c r="X794" s="40"/>
      <c r="Y794" s="40"/>
      <c r="Z794" s="40"/>
      <c r="AA794" s="41"/>
      <c r="AB794" s="41"/>
      <c r="AC794" s="41"/>
      <c r="AD794" s="41"/>
      <c r="AE794" s="41"/>
      <c r="AF794" s="40"/>
      <c r="AG794" s="40"/>
      <c r="AH794" s="5"/>
      <c r="AI794" s="5"/>
      <c r="AJ794" s="40"/>
      <c r="AK794" s="40"/>
      <c r="AL794" s="40"/>
      <c r="AM794" s="40"/>
      <c r="AO794" s="40"/>
      <c r="AQ794" s="40"/>
    </row>
    <row r="795" spans="2:43" ht="12.75" customHeight="1" x14ac:dyDescent="0.15">
      <c r="B795" s="40"/>
      <c r="C795" s="40"/>
      <c r="D795" s="40"/>
      <c r="E795" s="40"/>
      <c r="F795" s="40"/>
      <c r="G795" s="40"/>
      <c r="H795" s="53"/>
      <c r="R795" s="40"/>
      <c r="S795" s="40"/>
      <c r="T795" s="40"/>
      <c r="U795" s="40"/>
      <c r="V795" s="40"/>
      <c r="X795" s="40"/>
      <c r="Y795" s="40"/>
      <c r="Z795" s="40"/>
      <c r="AA795" s="41"/>
      <c r="AB795" s="41"/>
      <c r="AC795" s="41"/>
      <c r="AD795" s="41"/>
      <c r="AE795" s="41"/>
      <c r="AF795" s="40"/>
      <c r="AG795" s="40"/>
      <c r="AH795" s="5"/>
      <c r="AI795" s="5"/>
      <c r="AJ795" s="40"/>
      <c r="AK795" s="40"/>
      <c r="AL795" s="40"/>
      <c r="AM795" s="40"/>
      <c r="AO795" s="40"/>
      <c r="AQ795" s="40"/>
    </row>
    <row r="796" spans="2:43" ht="12.75" customHeight="1" x14ac:dyDescent="0.15">
      <c r="B796" s="40"/>
      <c r="C796" s="40"/>
      <c r="D796" s="40"/>
      <c r="E796" s="40"/>
      <c r="F796" s="40"/>
      <c r="G796" s="40"/>
      <c r="H796" s="53"/>
      <c r="R796" s="40"/>
      <c r="S796" s="40"/>
      <c r="T796" s="40"/>
      <c r="U796" s="40"/>
      <c r="V796" s="40"/>
      <c r="X796" s="40"/>
      <c r="Y796" s="40"/>
      <c r="Z796" s="40"/>
      <c r="AA796" s="41"/>
      <c r="AB796" s="41"/>
      <c r="AC796" s="41"/>
      <c r="AD796" s="41"/>
      <c r="AE796" s="41"/>
      <c r="AF796" s="40"/>
      <c r="AG796" s="40"/>
      <c r="AH796" s="5"/>
      <c r="AI796" s="5"/>
      <c r="AJ796" s="40"/>
      <c r="AK796" s="40"/>
      <c r="AL796" s="40"/>
      <c r="AM796" s="40"/>
      <c r="AO796" s="40"/>
      <c r="AQ796" s="40"/>
    </row>
    <row r="797" spans="2:43" ht="12.75" customHeight="1" x14ac:dyDescent="0.15">
      <c r="B797" s="40"/>
      <c r="C797" s="40"/>
      <c r="D797" s="40"/>
      <c r="E797" s="40"/>
      <c r="F797" s="40"/>
      <c r="G797" s="40"/>
      <c r="H797" s="53"/>
      <c r="R797" s="40"/>
      <c r="S797" s="40"/>
      <c r="T797" s="40"/>
      <c r="U797" s="40"/>
      <c r="V797" s="40"/>
      <c r="X797" s="40"/>
      <c r="Y797" s="40"/>
      <c r="Z797" s="40"/>
      <c r="AA797" s="41"/>
      <c r="AB797" s="41"/>
      <c r="AC797" s="41"/>
      <c r="AD797" s="41"/>
      <c r="AE797" s="41"/>
      <c r="AF797" s="40"/>
      <c r="AG797" s="40"/>
      <c r="AH797" s="5"/>
      <c r="AI797" s="5"/>
      <c r="AJ797" s="40"/>
      <c r="AK797" s="40"/>
      <c r="AL797" s="40"/>
      <c r="AM797" s="40"/>
      <c r="AO797" s="40"/>
      <c r="AQ797" s="40"/>
    </row>
    <row r="798" spans="2:43" ht="12.75" customHeight="1" x14ac:dyDescent="0.15">
      <c r="B798" s="40"/>
      <c r="C798" s="40"/>
      <c r="D798" s="40"/>
      <c r="E798" s="40"/>
      <c r="F798" s="40"/>
      <c r="G798" s="40"/>
      <c r="H798" s="53"/>
      <c r="R798" s="40"/>
      <c r="S798" s="40"/>
      <c r="T798" s="40"/>
      <c r="U798" s="40"/>
      <c r="V798" s="40"/>
      <c r="X798" s="40"/>
      <c r="Y798" s="40"/>
      <c r="Z798" s="40"/>
      <c r="AA798" s="41"/>
      <c r="AB798" s="41"/>
      <c r="AC798" s="41"/>
      <c r="AD798" s="41"/>
      <c r="AE798" s="41"/>
      <c r="AF798" s="40"/>
      <c r="AG798" s="40"/>
      <c r="AH798" s="5"/>
      <c r="AI798" s="5"/>
      <c r="AJ798" s="40"/>
      <c r="AK798" s="40"/>
      <c r="AL798" s="40"/>
      <c r="AM798" s="40"/>
      <c r="AO798" s="40"/>
      <c r="AQ798" s="40"/>
    </row>
    <row r="799" spans="2:43" ht="12.75" customHeight="1" x14ac:dyDescent="0.15">
      <c r="B799" s="40"/>
      <c r="C799" s="40"/>
      <c r="D799" s="40"/>
      <c r="E799" s="40"/>
      <c r="F799" s="40"/>
      <c r="G799" s="40"/>
      <c r="H799" s="53"/>
      <c r="R799" s="40"/>
      <c r="S799" s="40"/>
      <c r="T799" s="40"/>
      <c r="U799" s="40"/>
      <c r="V799" s="40"/>
      <c r="X799" s="40"/>
      <c r="Y799" s="40"/>
      <c r="Z799" s="40"/>
      <c r="AA799" s="41"/>
      <c r="AB799" s="41"/>
      <c r="AC799" s="41"/>
      <c r="AD799" s="41"/>
      <c r="AE799" s="41"/>
      <c r="AF799" s="40"/>
      <c r="AG799" s="40"/>
      <c r="AH799" s="5"/>
      <c r="AI799" s="5"/>
      <c r="AJ799" s="40"/>
      <c r="AK799" s="40"/>
      <c r="AL799" s="40"/>
      <c r="AM799" s="40"/>
      <c r="AO799" s="40"/>
      <c r="AQ799" s="40"/>
    </row>
    <row r="800" spans="2:43" ht="12.75" customHeight="1" x14ac:dyDescent="0.15">
      <c r="B800" s="40"/>
      <c r="C800" s="40"/>
      <c r="D800" s="40"/>
      <c r="E800" s="40"/>
      <c r="F800" s="40"/>
      <c r="G800" s="40"/>
      <c r="H800" s="53"/>
      <c r="R800" s="40"/>
      <c r="S800" s="40"/>
      <c r="T800" s="40"/>
      <c r="U800" s="40"/>
      <c r="V800" s="40"/>
      <c r="X800" s="40"/>
      <c r="Y800" s="40"/>
      <c r="Z800" s="40"/>
      <c r="AA800" s="41"/>
      <c r="AB800" s="41"/>
      <c r="AC800" s="41"/>
      <c r="AD800" s="41"/>
      <c r="AE800" s="41"/>
      <c r="AF800" s="40"/>
      <c r="AG800" s="40"/>
      <c r="AH800" s="5"/>
      <c r="AI800" s="5"/>
      <c r="AJ800" s="40"/>
      <c r="AK800" s="40"/>
      <c r="AL800" s="40"/>
      <c r="AM800" s="40"/>
      <c r="AO800" s="40"/>
      <c r="AQ800" s="40"/>
    </row>
    <row r="801" spans="2:43" ht="12.75" customHeight="1" x14ac:dyDescent="0.15">
      <c r="B801" s="40"/>
      <c r="C801" s="40"/>
      <c r="D801" s="40"/>
      <c r="E801" s="40"/>
      <c r="F801" s="40"/>
      <c r="G801" s="40"/>
      <c r="H801" s="53"/>
      <c r="R801" s="40"/>
      <c r="S801" s="40"/>
      <c r="T801" s="40"/>
      <c r="U801" s="40"/>
      <c r="V801" s="40"/>
      <c r="X801" s="40"/>
      <c r="Y801" s="40"/>
      <c r="Z801" s="40"/>
      <c r="AA801" s="41"/>
      <c r="AB801" s="41"/>
      <c r="AC801" s="41"/>
      <c r="AD801" s="41"/>
      <c r="AE801" s="41"/>
      <c r="AF801" s="40"/>
      <c r="AG801" s="40"/>
      <c r="AH801" s="5"/>
      <c r="AI801" s="5"/>
      <c r="AJ801" s="40"/>
      <c r="AK801" s="40"/>
      <c r="AL801" s="40"/>
      <c r="AM801" s="40"/>
      <c r="AO801" s="40"/>
      <c r="AQ801" s="40"/>
    </row>
    <row r="802" spans="2:43" ht="12.75" customHeight="1" x14ac:dyDescent="0.15">
      <c r="B802" s="40"/>
      <c r="C802" s="40"/>
      <c r="D802" s="40"/>
      <c r="E802" s="40"/>
      <c r="F802" s="40"/>
      <c r="G802" s="40"/>
      <c r="H802" s="53"/>
      <c r="R802" s="40"/>
      <c r="S802" s="40"/>
      <c r="T802" s="40"/>
      <c r="U802" s="40"/>
      <c r="V802" s="40"/>
      <c r="X802" s="40"/>
      <c r="Y802" s="40"/>
      <c r="Z802" s="40"/>
      <c r="AA802" s="41"/>
      <c r="AB802" s="41"/>
      <c r="AC802" s="41"/>
      <c r="AD802" s="41"/>
      <c r="AE802" s="41"/>
      <c r="AF802" s="40"/>
      <c r="AG802" s="40"/>
      <c r="AH802" s="5"/>
      <c r="AI802" s="5"/>
      <c r="AJ802" s="40"/>
      <c r="AK802" s="40"/>
      <c r="AL802" s="40"/>
      <c r="AM802" s="40"/>
      <c r="AO802" s="40"/>
      <c r="AQ802" s="40"/>
    </row>
    <row r="803" spans="2:43" ht="12.75" customHeight="1" x14ac:dyDescent="0.15">
      <c r="B803" s="40"/>
      <c r="C803" s="40"/>
      <c r="D803" s="40"/>
      <c r="E803" s="40"/>
      <c r="F803" s="40"/>
      <c r="G803" s="40"/>
      <c r="H803" s="53"/>
      <c r="R803" s="40"/>
      <c r="S803" s="40"/>
      <c r="T803" s="40"/>
      <c r="U803" s="40"/>
      <c r="V803" s="40"/>
      <c r="X803" s="40"/>
      <c r="Y803" s="40"/>
      <c r="Z803" s="40"/>
      <c r="AA803" s="41"/>
      <c r="AB803" s="41"/>
      <c r="AC803" s="41"/>
      <c r="AD803" s="41"/>
      <c r="AE803" s="41"/>
      <c r="AF803" s="40"/>
      <c r="AG803" s="40"/>
      <c r="AH803" s="5"/>
      <c r="AI803" s="5"/>
      <c r="AJ803" s="40"/>
      <c r="AK803" s="40"/>
      <c r="AL803" s="40"/>
      <c r="AM803" s="40"/>
      <c r="AO803" s="40"/>
      <c r="AQ803" s="40"/>
    </row>
    <row r="804" spans="2:43" ht="12.75" customHeight="1" x14ac:dyDescent="0.15">
      <c r="B804" s="40"/>
      <c r="C804" s="40"/>
      <c r="D804" s="40"/>
      <c r="E804" s="40"/>
      <c r="F804" s="40"/>
      <c r="G804" s="40"/>
      <c r="H804" s="53"/>
      <c r="R804" s="40"/>
      <c r="S804" s="40"/>
      <c r="T804" s="40"/>
      <c r="U804" s="40"/>
      <c r="V804" s="40"/>
      <c r="X804" s="40"/>
      <c r="Y804" s="40"/>
      <c r="Z804" s="40"/>
      <c r="AA804" s="41"/>
      <c r="AB804" s="41"/>
      <c r="AC804" s="41"/>
      <c r="AD804" s="41"/>
      <c r="AE804" s="41"/>
      <c r="AF804" s="40"/>
      <c r="AG804" s="40"/>
      <c r="AH804" s="5"/>
      <c r="AI804" s="5"/>
      <c r="AJ804" s="40"/>
      <c r="AK804" s="40"/>
      <c r="AL804" s="40"/>
      <c r="AM804" s="40"/>
      <c r="AO804" s="40"/>
      <c r="AQ804" s="40"/>
    </row>
    <row r="805" spans="2:43" ht="12.75" customHeight="1" x14ac:dyDescent="0.15">
      <c r="B805" s="40"/>
      <c r="C805" s="40"/>
      <c r="D805" s="40"/>
      <c r="E805" s="40"/>
      <c r="F805" s="40"/>
      <c r="G805" s="40"/>
      <c r="H805" s="53"/>
      <c r="R805" s="40"/>
      <c r="S805" s="40"/>
      <c r="T805" s="40"/>
      <c r="U805" s="40"/>
      <c r="V805" s="40"/>
      <c r="X805" s="40"/>
      <c r="Y805" s="40"/>
      <c r="Z805" s="40"/>
      <c r="AA805" s="41"/>
      <c r="AB805" s="41"/>
      <c r="AC805" s="41"/>
      <c r="AD805" s="41"/>
      <c r="AE805" s="41"/>
      <c r="AF805" s="40"/>
      <c r="AG805" s="40"/>
      <c r="AH805" s="5"/>
      <c r="AI805" s="5"/>
      <c r="AJ805" s="40"/>
      <c r="AK805" s="40"/>
      <c r="AL805" s="40"/>
      <c r="AM805" s="40"/>
      <c r="AO805" s="40"/>
      <c r="AQ805" s="40"/>
    </row>
    <row r="806" spans="2:43" ht="12.75" customHeight="1" x14ac:dyDescent="0.15">
      <c r="B806" s="40"/>
      <c r="C806" s="40"/>
      <c r="D806" s="40"/>
      <c r="E806" s="40"/>
      <c r="F806" s="40"/>
      <c r="G806" s="40"/>
      <c r="H806" s="53"/>
      <c r="R806" s="40"/>
      <c r="S806" s="40"/>
      <c r="T806" s="40"/>
      <c r="U806" s="40"/>
      <c r="V806" s="40"/>
      <c r="X806" s="40"/>
      <c r="Y806" s="40"/>
      <c r="Z806" s="40"/>
      <c r="AA806" s="41"/>
      <c r="AB806" s="41"/>
      <c r="AC806" s="41"/>
      <c r="AD806" s="41"/>
      <c r="AE806" s="41"/>
      <c r="AF806" s="40"/>
      <c r="AG806" s="40"/>
      <c r="AH806" s="5"/>
      <c r="AI806" s="5"/>
      <c r="AJ806" s="40"/>
      <c r="AK806" s="40"/>
      <c r="AL806" s="40"/>
      <c r="AM806" s="40"/>
      <c r="AO806" s="40"/>
      <c r="AQ806" s="40"/>
    </row>
    <row r="807" spans="2:43" ht="12.75" customHeight="1" x14ac:dyDescent="0.15">
      <c r="B807" s="40"/>
      <c r="C807" s="40"/>
      <c r="D807" s="40"/>
      <c r="E807" s="40"/>
      <c r="F807" s="40"/>
      <c r="G807" s="40"/>
      <c r="H807" s="53"/>
      <c r="R807" s="40"/>
      <c r="S807" s="40"/>
      <c r="T807" s="40"/>
      <c r="U807" s="40"/>
      <c r="V807" s="40"/>
      <c r="X807" s="40"/>
      <c r="Y807" s="40"/>
      <c r="Z807" s="40"/>
      <c r="AA807" s="41"/>
      <c r="AB807" s="41"/>
      <c r="AC807" s="41"/>
      <c r="AD807" s="41"/>
      <c r="AE807" s="41"/>
      <c r="AF807" s="40"/>
      <c r="AG807" s="40"/>
      <c r="AH807" s="5"/>
      <c r="AI807" s="5"/>
      <c r="AJ807" s="40"/>
      <c r="AK807" s="40"/>
      <c r="AL807" s="40"/>
      <c r="AM807" s="40"/>
      <c r="AO807" s="40"/>
      <c r="AQ807" s="40"/>
    </row>
    <row r="808" spans="2:43" ht="12.75" customHeight="1" x14ac:dyDescent="0.15">
      <c r="B808" s="40"/>
      <c r="C808" s="40"/>
      <c r="D808" s="40"/>
      <c r="E808" s="40"/>
      <c r="F808" s="40"/>
      <c r="G808" s="40"/>
      <c r="H808" s="53"/>
      <c r="R808" s="40"/>
      <c r="S808" s="40"/>
      <c r="T808" s="40"/>
      <c r="U808" s="40"/>
      <c r="V808" s="40"/>
      <c r="X808" s="40"/>
      <c r="Y808" s="40"/>
      <c r="Z808" s="40"/>
      <c r="AA808" s="41"/>
      <c r="AB808" s="41"/>
      <c r="AC808" s="41"/>
      <c r="AD808" s="41"/>
      <c r="AE808" s="41"/>
      <c r="AF808" s="40"/>
      <c r="AG808" s="40"/>
      <c r="AH808" s="5"/>
      <c r="AI808" s="5"/>
      <c r="AJ808" s="40"/>
      <c r="AK808" s="40"/>
      <c r="AL808" s="40"/>
      <c r="AM808" s="40"/>
      <c r="AO808" s="40"/>
      <c r="AQ808" s="40"/>
    </row>
    <row r="809" spans="2:43" ht="12.75" customHeight="1" x14ac:dyDescent="0.15">
      <c r="B809" s="40"/>
      <c r="C809" s="40"/>
      <c r="D809" s="40"/>
      <c r="E809" s="40"/>
      <c r="F809" s="40"/>
      <c r="G809" s="40"/>
      <c r="H809" s="53"/>
      <c r="R809" s="40"/>
      <c r="S809" s="40"/>
      <c r="T809" s="40"/>
      <c r="U809" s="40"/>
      <c r="V809" s="40"/>
      <c r="X809" s="40"/>
      <c r="Y809" s="40"/>
      <c r="Z809" s="40"/>
      <c r="AA809" s="41"/>
      <c r="AB809" s="41"/>
      <c r="AC809" s="41"/>
      <c r="AD809" s="41"/>
      <c r="AE809" s="41"/>
      <c r="AF809" s="40"/>
      <c r="AG809" s="40"/>
      <c r="AH809" s="5"/>
      <c r="AI809" s="5"/>
      <c r="AJ809" s="40"/>
      <c r="AK809" s="40"/>
      <c r="AL809" s="40"/>
      <c r="AM809" s="40"/>
      <c r="AO809" s="40"/>
      <c r="AQ809" s="40"/>
    </row>
    <row r="810" spans="2:43" ht="12.75" customHeight="1" x14ac:dyDescent="0.15">
      <c r="B810" s="40"/>
      <c r="C810" s="40"/>
      <c r="D810" s="40"/>
      <c r="E810" s="40"/>
      <c r="F810" s="40"/>
      <c r="G810" s="40"/>
      <c r="H810" s="53"/>
      <c r="R810" s="40"/>
      <c r="S810" s="40"/>
      <c r="T810" s="40"/>
      <c r="U810" s="40"/>
      <c r="V810" s="40"/>
      <c r="X810" s="40"/>
      <c r="Y810" s="40"/>
      <c r="Z810" s="40"/>
      <c r="AA810" s="41"/>
      <c r="AB810" s="41"/>
      <c r="AC810" s="41"/>
      <c r="AD810" s="41"/>
      <c r="AE810" s="41"/>
      <c r="AF810" s="40"/>
      <c r="AG810" s="40"/>
      <c r="AH810" s="5"/>
      <c r="AI810" s="5"/>
      <c r="AJ810" s="40"/>
      <c r="AK810" s="40"/>
      <c r="AL810" s="40"/>
      <c r="AM810" s="40"/>
      <c r="AO810" s="40"/>
      <c r="AQ810" s="40"/>
    </row>
    <row r="811" spans="2:43" ht="12.75" customHeight="1" x14ac:dyDescent="0.15">
      <c r="B811" s="40"/>
      <c r="C811" s="40"/>
      <c r="D811" s="40"/>
      <c r="E811" s="40"/>
      <c r="F811" s="40"/>
      <c r="G811" s="40"/>
      <c r="H811" s="53"/>
      <c r="R811" s="40"/>
      <c r="S811" s="40"/>
      <c r="T811" s="40"/>
      <c r="U811" s="40"/>
      <c r="V811" s="40"/>
      <c r="X811" s="40"/>
      <c r="Y811" s="40"/>
      <c r="Z811" s="40"/>
      <c r="AA811" s="41"/>
      <c r="AB811" s="41"/>
      <c r="AC811" s="41"/>
      <c r="AD811" s="41"/>
      <c r="AE811" s="41"/>
      <c r="AF811" s="40"/>
      <c r="AG811" s="40"/>
      <c r="AH811" s="5"/>
      <c r="AI811" s="5"/>
      <c r="AJ811" s="40"/>
      <c r="AK811" s="40"/>
      <c r="AL811" s="40"/>
      <c r="AM811" s="40"/>
      <c r="AO811" s="40"/>
      <c r="AQ811" s="40"/>
    </row>
    <row r="812" spans="2:43" ht="12.75" customHeight="1" x14ac:dyDescent="0.15">
      <c r="B812" s="40"/>
      <c r="C812" s="40"/>
      <c r="D812" s="40"/>
      <c r="E812" s="40"/>
      <c r="F812" s="40"/>
      <c r="G812" s="40"/>
      <c r="H812" s="53"/>
      <c r="R812" s="40"/>
      <c r="S812" s="40"/>
      <c r="T812" s="40"/>
      <c r="U812" s="40"/>
      <c r="V812" s="40"/>
      <c r="X812" s="40"/>
      <c r="Y812" s="40"/>
      <c r="Z812" s="40"/>
      <c r="AA812" s="41"/>
      <c r="AB812" s="41"/>
      <c r="AC812" s="41"/>
      <c r="AD812" s="41"/>
      <c r="AE812" s="41"/>
      <c r="AF812" s="40"/>
      <c r="AG812" s="40"/>
      <c r="AH812" s="5"/>
      <c r="AI812" s="5"/>
      <c r="AJ812" s="40"/>
      <c r="AK812" s="40"/>
      <c r="AL812" s="40"/>
      <c r="AM812" s="40"/>
      <c r="AO812" s="40"/>
      <c r="AQ812" s="40"/>
    </row>
    <row r="813" spans="2:43" ht="12.75" customHeight="1" x14ac:dyDescent="0.15">
      <c r="B813" s="40"/>
      <c r="C813" s="40"/>
      <c r="D813" s="40"/>
      <c r="E813" s="40"/>
      <c r="F813" s="40"/>
      <c r="G813" s="40"/>
      <c r="H813" s="53"/>
      <c r="R813" s="40"/>
      <c r="S813" s="40"/>
      <c r="T813" s="40"/>
      <c r="U813" s="40"/>
      <c r="V813" s="40"/>
      <c r="X813" s="40"/>
      <c r="Y813" s="40"/>
      <c r="Z813" s="40"/>
      <c r="AA813" s="41"/>
      <c r="AB813" s="41"/>
      <c r="AC813" s="41"/>
      <c r="AD813" s="41"/>
      <c r="AE813" s="41"/>
      <c r="AF813" s="40"/>
      <c r="AG813" s="40"/>
      <c r="AH813" s="5"/>
      <c r="AI813" s="5"/>
      <c r="AJ813" s="40"/>
      <c r="AK813" s="40"/>
      <c r="AL813" s="40"/>
      <c r="AM813" s="40"/>
      <c r="AO813" s="40"/>
      <c r="AQ813" s="40"/>
    </row>
    <row r="814" spans="2:43" ht="12.75" customHeight="1" x14ac:dyDescent="0.15">
      <c r="B814" s="40"/>
      <c r="C814" s="40"/>
      <c r="D814" s="40"/>
      <c r="E814" s="40"/>
      <c r="F814" s="40"/>
      <c r="G814" s="40"/>
      <c r="H814" s="53"/>
      <c r="R814" s="40"/>
      <c r="S814" s="40"/>
      <c r="T814" s="40"/>
      <c r="U814" s="40"/>
      <c r="V814" s="40"/>
      <c r="X814" s="40"/>
      <c r="Y814" s="40"/>
      <c r="Z814" s="40"/>
      <c r="AA814" s="41"/>
      <c r="AB814" s="41"/>
      <c r="AC814" s="41"/>
      <c r="AD814" s="41"/>
      <c r="AE814" s="41"/>
      <c r="AF814" s="40"/>
      <c r="AG814" s="40"/>
      <c r="AH814" s="5"/>
      <c r="AI814" s="5"/>
      <c r="AJ814" s="40"/>
      <c r="AK814" s="40"/>
      <c r="AL814" s="40"/>
      <c r="AM814" s="40"/>
      <c r="AO814" s="40"/>
      <c r="AQ814" s="40"/>
    </row>
    <row r="815" spans="2:43" ht="12.75" customHeight="1" x14ac:dyDescent="0.15">
      <c r="B815" s="40"/>
      <c r="C815" s="40"/>
      <c r="D815" s="40"/>
      <c r="E815" s="40"/>
      <c r="F815" s="40"/>
      <c r="G815" s="40"/>
      <c r="H815" s="53"/>
      <c r="R815" s="40"/>
      <c r="S815" s="40"/>
      <c r="T815" s="40"/>
      <c r="U815" s="40"/>
      <c r="V815" s="40"/>
      <c r="X815" s="40"/>
      <c r="Y815" s="40"/>
      <c r="Z815" s="40"/>
      <c r="AA815" s="41"/>
      <c r="AB815" s="41"/>
      <c r="AC815" s="41"/>
      <c r="AD815" s="41"/>
      <c r="AE815" s="41"/>
      <c r="AF815" s="40"/>
      <c r="AG815" s="40"/>
      <c r="AH815" s="5"/>
      <c r="AI815" s="5"/>
      <c r="AJ815" s="40"/>
      <c r="AK815" s="40"/>
      <c r="AL815" s="40"/>
      <c r="AM815" s="40"/>
      <c r="AO815" s="40"/>
      <c r="AQ815" s="40"/>
    </row>
    <row r="816" spans="2:43" ht="12.75" customHeight="1" x14ac:dyDescent="0.15">
      <c r="B816" s="40"/>
      <c r="C816" s="40"/>
      <c r="D816" s="40"/>
      <c r="E816" s="40"/>
      <c r="F816" s="40"/>
      <c r="G816" s="40"/>
      <c r="H816" s="53"/>
      <c r="R816" s="40"/>
      <c r="S816" s="40"/>
      <c r="T816" s="40"/>
      <c r="U816" s="40"/>
      <c r="V816" s="40"/>
      <c r="X816" s="40"/>
      <c r="Y816" s="40"/>
      <c r="Z816" s="40"/>
      <c r="AA816" s="41"/>
      <c r="AB816" s="41"/>
      <c r="AC816" s="41"/>
      <c r="AD816" s="41"/>
      <c r="AE816" s="41"/>
      <c r="AF816" s="40"/>
      <c r="AG816" s="40"/>
      <c r="AH816" s="5"/>
      <c r="AI816" s="5"/>
      <c r="AJ816" s="40"/>
      <c r="AK816" s="40"/>
      <c r="AL816" s="40"/>
      <c r="AM816" s="40"/>
      <c r="AO816" s="40"/>
      <c r="AQ816" s="40"/>
    </row>
    <row r="817" spans="2:43" ht="12.75" customHeight="1" x14ac:dyDescent="0.15">
      <c r="B817" s="40"/>
      <c r="C817" s="40"/>
      <c r="D817" s="40"/>
      <c r="E817" s="40"/>
      <c r="F817" s="40"/>
      <c r="G817" s="40"/>
      <c r="H817" s="53"/>
      <c r="R817" s="40"/>
      <c r="S817" s="40"/>
      <c r="T817" s="40"/>
      <c r="U817" s="40"/>
      <c r="V817" s="40"/>
      <c r="X817" s="40"/>
      <c r="Y817" s="40"/>
      <c r="Z817" s="40"/>
      <c r="AA817" s="41"/>
      <c r="AB817" s="41"/>
      <c r="AC817" s="41"/>
      <c r="AD817" s="41"/>
      <c r="AE817" s="41"/>
      <c r="AF817" s="40"/>
      <c r="AG817" s="40"/>
      <c r="AH817" s="5"/>
      <c r="AI817" s="5"/>
      <c r="AJ817" s="40"/>
      <c r="AK817" s="40"/>
      <c r="AL817" s="40"/>
      <c r="AM817" s="40"/>
      <c r="AO817" s="40"/>
      <c r="AQ817" s="40"/>
    </row>
    <row r="818" spans="2:43" ht="12.75" customHeight="1" x14ac:dyDescent="0.15">
      <c r="B818" s="40"/>
      <c r="C818" s="40"/>
      <c r="D818" s="40"/>
      <c r="E818" s="40"/>
      <c r="F818" s="40"/>
      <c r="G818" s="40"/>
      <c r="H818" s="53"/>
      <c r="R818" s="40"/>
      <c r="S818" s="40"/>
      <c r="T818" s="40"/>
      <c r="U818" s="40"/>
      <c r="V818" s="40"/>
      <c r="X818" s="40"/>
      <c r="Y818" s="40"/>
      <c r="Z818" s="40"/>
      <c r="AA818" s="41"/>
      <c r="AB818" s="41"/>
      <c r="AC818" s="41"/>
      <c r="AD818" s="41"/>
      <c r="AE818" s="41"/>
      <c r="AF818" s="40"/>
      <c r="AG818" s="40"/>
      <c r="AH818" s="5"/>
      <c r="AI818" s="5"/>
      <c r="AJ818" s="40"/>
      <c r="AK818" s="40"/>
      <c r="AL818" s="40"/>
      <c r="AM818" s="40"/>
      <c r="AO818" s="40"/>
      <c r="AQ818" s="40"/>
    </row>
    <row r="819" spans="2:43" ht="12.75" customHeight="1" x14ac:dyDescent="0.15">
      <c r="B819" s="40"/>
      <c r="C819" s="40"/>
      <c r="D819" s="40"/>
      <c r="E819" s="40"/>
      <c r="F819" s="40"/>
      <c r="G819" s="40"/>
      <c r="H819" s="53"/>
      <c r="R819" s="40"/>
      <c r="S819" s="40"/>
      <c r="T819" s="40"/>
      <c r="U819" s="40"/>
      <c r="V819" s="40"/>
      <c r="X819" s="40"/>
      <c r="Y819" s="40"/>
      <c r="Z819" s="40"/>
      <c r="AA819" s="41"/>
      <c r="AB819" s="41"/>
      <c r="AC819" s="41"/>
      <c r="AD819" s="41"/>
      <c r="AE819" s="41"/>
      <c r="AF819" s="40"/>
      <c r="AG819" s="40"/>
      <c r="AH819" s="5"/>
      <c r="AI819" s="5"/>
      <c r="AJ819" s="40"/>
      <c r="AK819" s="40"/>
      <c r="AL819" s="40"/>
      <c r="AM819" s="40"/>
      <c r="AO819" s="40"/>
      <c r="AQ819" s="40"/>
    </row>
    <row r="820" spans="2:43" ht="12.75" customHeight="1" x14ac:dyDescent="0.15">
      <c r="B820" s="40"/>
      <c r="C820" s="40"/>
      <c r="D820" s="40"/>
      <c r="E820" s="40"/>
      <c r="F820" s="40"/>
      <c r="G820" s="40"/>
      <c r="H820" s="53"/>
      <c r="R820" s="40"/>
      <c r="S820" s="40"/>
      <c r="T820" s="40"/>
      <c r="U820" s="40"/>
      <c r="V820" s="40"/>
      <c r="X820" s="40"/>
      <c r="Y820" s="40"/>
      <c r="Z820" s="40"/>
      <c r="AA820" s="41"/>
      <c r="AB820" s="41"/>
      <c r="AC820" s="41"/>
      <c r="AD820" s="41"/>
      <c r="AE820" s="41"/>
      <c r="AF820" s="40"/>
      <c r="AG820" s="40"/>
      <c r="AH820" s="5"/>
      <c r="AI820" s="5"/>
      <c r="AJ820" s="40"/>
      <c r="AK820" s="40"/>
      <c r="AL820" s="40"/>
      <c r="AM820" s="40"/>
      <c r="AO820" s="40"/>
      <c r="AQ820" s="40"/>
    </row>
    <row r="821" spans="2:43" ht="12.75" customHeight="1" x14ac:dyDescent="0.15">
      <c r="B821" s="40"/>
      <c r="C821" s="40"/>
      <c r="D821" s="40"/>
      <c r="E821" s="40"/>
      <c r="F821" s="40"/>
      <c r="G821" s="40"/>
      <c r="H821" s="53"/>
      <c r="R821" s="40"/>
      <c r="S821" s="40"/>
      <c r="T821" s="40"/>
      <c r="U821" s="40"/>
      <c r="V821" s="40"/>
      <c r="X821" s="40"/>
      <c r="Y821" s="40"/>
      <c r="Z821" s="40"/>
      <c r="AA821" s="41"/>
      <c r="AB821" s="41"/>
      <c r="AC821" s="41"/>
      <c r="AD821" s="41"/>
      <c r="AE821" s="41"/>
      <c r="AF821" s="40"/>
      <c r="AG821" s="40"/>
      <c r="AH821" s="5"/>
      <c r="AI821" s="5"/>
      <c r="AJ821" s="40"/>
      <c r="AK821" s="40"/>
      <c r="AL821" s="40"/>
      <c r="AM821" s="40"/>
      <c r="AO821" s="40"/>
      <c r="AQ821" s="40"/>
    </row>
    <row r="822" spans="2:43" ht="12.75" customHeight="1" x14ac:dyDescent="0.15">
      <c r="B822" s="40"/>
      <c r="C822" s="40"/>
      <c r="D822" s="40"/>
      <c r="E822" s="40"/>
      <c r="F822" s="40"/>
      <c r="G822" s="40"/>
      <c r="H822" s="53"/>
      <c r="R822" s="40"/>
      <c r="S822" s="40"/>
      <c r="T822" s="40"/>
      <c r="U822" s="40"/>
      <c r="V822" s="40"/>
      <c r="X822" s="40"/>
      <c r="Y822" s="40"/>
      <c r="Z822" s="40"/>
      <c r="AA822" s="41"/>
      <c r="AB822" s="41"/>
      <c r="AC822" s="41"/>
      <c r="AD822" s="41"/>
      <c r="AE822" s="41"/>
      <c r="AF822" s="40"/>
      <c r="AG822" s="40"/>
      <c r="AH822" s="5"/>
      <c r="AI822" s="5"/>
      <c r="AJ822" s="40"/>
      <c r="AK822" s="40"/>
      <c r="AL822" s="40"/>
      <c r="AM822" s="40"/>
      <c r="AO822" s="40"/>
      <c r="AQ822" s="40"/>
    </row>
    <row r="823" spans="2:43" ht="12.75" customHeight="1" x14ac:dyDescent="0.15">
      <c r="B823" s="40"/>
      <c r="C823" s="40"/>
      <c r="D823" s="40"/>
      <c r="E823" s="40"/>
      <c r="F823" s="40"/>
      <c r="G823" s="40"/>
      <c r="H823" s="53"/>
      <c r="R823" s="40"/>
      <c r="S823" s="40"/>
      <c r="T823" s="40"/>
      <c r="U823" s="40"/>
      <c r="V823" s="40"/>
      <c r="X823" s="40"/>
      <c r="Y823" s="40"/>
      <c r="Z823" s="40"/>
      <c r="AA823" s="41"/>
      <c r="AB823" s="41"/>
      <c r="AC823" s="41"/>
      <c r="AD823" s="41"/>
      <c r="AE823" s="41"/>
      <c r="AF823" s="40"/>
      <c r="AG823" s="40"/>
      <c r="AH823" s="5"/>
      <c r="AI823" s="5"/>
      <c r="AJ823" s="40"/>
      <c r="AK823" s="40"/>
      <c r="AL823" s="40"/>
      <c r="AM823" s="40"/>
      <c r="AO823" s="40"/>
      <c r="AQ823" s="40"/>
    </row>
    <row r="824" spans="2:43" ht="12.75" customHeight="1" x14ac:dyDescent="0.15">
      <c r="B824" s="40"/>
      <c r="C824" s="40"/>
      <c r="D824" s="40"/>
      <c r="E824" s="40"/>
      <c r="F824" s="40"/>
      <c r="G824" s="40"/>
      <c r="H824" s="53"/>
      <c r="R824" s="40"/>
      <c r="S824" s="40"/>
      <c r="T824" s="40"/>
      <c r="U824" s="40"/>
      <c r="V824" s="40"/>
      <c r="X824" s="40"/>
      <c r="Y824" s="40"/>
      <c r="Z824" s="40"/>
      <c r="AA824" s="41"/>
      <c r="AB824" s="41"/>
      <c r="AC824" s="41"/>
      <c r="AD824" s="41"/>
      <c r="AE824" s="41"/>
      <c r="AF824" s="40"/>
      <c r="AG824" s="40"/>
      <c r="AH824" s="5"/>
      <c r="AI824" s="5"/>
      <c r="AJ824" s="40"/>
      <c r="AK824" s="40"/>
      <c r="AL824" s="40"/>
      <c r="AM824" s="40"/>
      <c r="AO824" s="40"/>
      <c r="AQ824" s="40"/>
    </row>
    <row r="825" spans="2:43" ht="12.75" customHeight="1" x14ac:dyDescent="0.15">
      <c r="B825" s="40"/>
      <c r="C825" s="40"/>
      <c r="D825" s="40"/>
      <c r="E825" s="40"/>
      <c r="F825" s="40"/>
      <c r="G825" s="40"/>
      <c r="H825" s="53"/>
      <c r="R825" s="40"/>
      <c r="S825" s="40"/>
      <c r="T825" s="40"/>
      <c r="U825" s="40"/>
      <c r="V825" s="40"/>
      <c r="X825" s="40"/>
      <c r="Y825" s="40"/>
      <c r="Z825" s="40"/>
      <c r="AA825" s="41"/>
      <c r="AB825" s="41"/>
      <c r="AC825" s="41"/>
      <c r="AD825" s="41"/>
      <c r="AE825" s="41"/>
      <c r="AF825" s="40"/>
      <c r="AG825" s="40"/>
      <c r="AH825" s="5"/>
      <c r="AI825" s="5"/>
      <c r="AJ825" s="40"/>
      <c r="AK825" s="40"/>
      <c r="AL825" s="40"/>
      <c r="AM825" s="40"/>
      <c r="AO825" s="40"/>
      <c r="AQ825" s="40"/>
    </row>
    <row r="826" spans="2:43" ht="12.75" customHeight="1" x14ac:dyDescent="0.15">
      <c r="B826" s="40"/>
      <c r="C826" s="40"/>
      <c r="D826" s="40"/>
      <c r="E826" s="40"/>
      <c r="F826" s="40"/>
      <c r="G826" s="40"/>
      <c r="H826" s="53"/>
      <c r="R826" s="40"/>
      <c r="S826" s="40"/>
      <c r="T826" s="40"/>
      <c r="U826" s="40"/>
      <c r="V826" s="40"/>
      <c r="X826" s="40"/>
      <c r="Y826" s="40"/>
      <c r="Z826" s="40"/>
      <c r="AA826" s="41"/>
      <c r="AB826" s="41"/>
      <c r="AC826" s="41"/>
      <c r="AD826" s="41"/>
      <c r="AE826" s="41"/>
      <c r="AF826" s="40"/>
      <c r="AG826" s="40"/>
      <c r="AH826" s="5"/>
      <c r="AI826" s="5"/>
      <c r="AJ826" s="40"/>
      <c r="AK826" s="40"/>
      <c r="AL826" s="40"/>
      <c r="AM826" s="40"/>
      <c r="AO826" s="40"/>
      <c r="AQ826" s="40"/>
    </row>
    <row r="827" spans="2:43" ht="12.75" customHeight="1" x14ac:dyDescent="0.15">
      <c r="B827" s="40"/>
      <c r="C827" s="40"/>
      <c r="D827" s="40"/>
      <c r="E827" s="40"/>
      <c r="F827" s="40"/>
      <c r="G827" s="40"/>
      <c r="H827" s="53"/>
      <c r="R827" s="40"/>
      <c r="S827" s="40"/>
      <c r="T827" s="40"/>
      <c r="U827" s="40"/>
      <c r="V827" s="40"/>
      <c r="X827" s="40"/>
      <c r="Y827" s="40"/>
      <c r="Z827" s="40"/>
      <c r="AA827" s="41"/>
      <c r="AB827" s="41"/>
      <c r="AC827" s="41"/>
      <c r="AD827" s="41"/>
      <c r="AE827" s="41"/>
      <c r="AF827" s="40"/>
      <c r="AG827" s="40"/>
      <c r="AH827" s="5"/>
      <c r="AI827" s="5"/>
      <c r="AJ827" s="40"/>
      <c r="AK827" s="40"/>
      <c r="AL827" s="40"/>
      <c r="AM827" s="40"/>
      <c r="AO827" s="40"/>
      <c r="AQ827" s="40"/>
    </row>
    <row r="828" spans="2:43" ht="12.75" customHeight="1" x14ac:dyDescent="0.15">
      <c r="B828" s="40"/>
      <c r="C828" s="40"/>
      <c r="D828" s="40"/>
      <c r="E828" s="40"/>
      <c r="F828" s="40"/>
      <c r="G828" s="40"/>
      <c r="H828" s="53"/>
      <c r="R828" s="40"/>
      <c r="S828" s="40"/>
      <c r="T828" s="40"/>
      <c r="U828" s="40"/>
      <c r="V828" s="40"/>
      <c r="X828" s="40"/>
      <c r="Y828" s="40"/>
      <c r="Z828" s="40"/>
      <c r="AA828" s="41"/>
      <c r="AB828" s="41"/>
      <c r="AC828" s="41"/>
      <c r="AD828" s="41"/>
      <c r="AE828" s="41"/>
      <c r="AF828" s="40"/>
      <c r="AG828" s="40"/>
      <c r="AH828" s="5"/>
      <c r="AI828" s="5"/>
      <c r="AJ828" s="40"/>
      <c r="AK828" s="40"/>
      <c r="AL828" s="40"/>
      <c r="AM828" s="40"/>
      <c r="AO828" s="40"/>
      <c r="AQ828" s="40"/>
    </row>
    <row r="829" spans="2:43" ht="12.75" customHeight="1" x14ac:dyDescent="0.15">
      <c r="B829" s="40"/>
      <c r="C829" s="40"/>
      <c r="D829" s="40"/>
      <c r="E829" s="40"/>
      <c r="F829" s="40"/>
      <c r="G829" s="40"/>
      <c r="H829" s="53"/>
      <c r="R829" s="40"/>
      <c r="S829" s="40"/>
      <c r="T829" s="40"/>
      <c r="U829" s="40"/>
      <c r="V829" s="40"/>
      <c r="X829" s="40"/>
      <c r="Y829" s="40"/>
      <c r="Z829" s="40"/>
      <c r="AA829" s="41"/>
      <c r="AB829" s="41"/>
      <c r="AC829" s="41"/>
      <c r="AD829" s="41"/>
      <c r="AE829" s="41"/>
      <c r="AF829" s="40"/>
      <c r="AG829" s="40"/>
      <c r="AH829" s="5"/>
      <c r="AI829" s="5"/>
      <c r="AJ829" s="40"/>
      <c r="AK829" s="40"/>
      <c r="AL829" s="40"/>
      <c r="AM829" s="40"/>
      <c r="AO829" s="40"/>
      <c r="AQ829" s="40"/>
    </row>
    <row r="830" spans="2:43" ht="12.75" customHeight="1" x14ac:dyDescent="0.15">
      <c r="B830" s="40"/>
      <c r="C830" s="40"/>
      <c r="D830" s="40"/>
      <c r="E830" s="40"/>
      <c r="F830" s="40"/>
      <c r="G830" s="40"/>
      <c r="H830" s="53"/>
      <c r="R830" s="40"/>
      <c r="S830" s="40"/>
      <c r="T830" s="40"/>
      <c r="U830" s="40"/>
      <c r="V830" s="40"/>
      <c r="X830" s="40"/>
      <c r="Y830" s="40"/>
      <c r="Z830" s="40"/>
      <c r="AA830" s="41"/>
      <c r="AB830" s="41"/>
      <c r="AC830" s="41"/>
      <c r="AD830" s="41"/>
      <c r="AE830" s="41"/>
      <c r="AF830" s="40"/>
      <c r="AG830" s="40"/>
      <c r="AH830" s="5"/>
      <c r="AI830" s="5"/>
      <c r="AJ830" s="40"/>
      <c r="AK830" s="40"/>
      <c r="AL830" s="40"/>
      <c r="AM830" s="40"/>
      <c r="AO830" s="40"/>
      <c r="AQ830" s="40"/>
    </row>
    <row r="831" spans="2:43" ht="12.75" customHeight="1" x14ac:dyDescent="0.15">
      <c r="B831" s="40"/>
      <c r="C831" s="40"/>
      <c r="D831" s="40"/>
      <c r="E831" s="40"/>
      <c r="F831" s="40"/>
      <c r="G831" s="40"/>
      <c r="H831" s="53"/>
      <c r="R831" s="40"/>
      <c r="S831" s="40"/>
      <c r="T831" s="40"/>
      <c r="U831" s="40"/>
      <c r="V831" s="40"/>
      <c r="X831" s="40"/>
      <c r="Y831" s="40"/>
      <c r="Z831" s="40"/>
      <c r="AA831" s="41"/>
      <c r="AB831" s="41"/>
      <c r="AC831" s="41"/>
      <c r="AD831" s="41"/>
      <c r="AE831" s="41"/>
      <c r="AF831" s="40"/>
      <c r="AG831" s="40"/>
      <c r="AH831" s="5"/>
      <c r="AI831" s="5"/>
      <c r="AJ831" s="40"/>
      <c r="AK831" s="40"/>
      <c r="AL831" s="40"/>
      <c r="AM831" s="40"/>
      <c r="AO831" s="40"/>
      <c r="AQ831" s="40"/>
    </row>
    <row r="832" spans="2:43" ht="12.75" customHeight="1" x14ac:dyDescent="0.15">
      <c r="B832" s="40"/>
      <c r="C832" s="40"/>
      <c r="D832" s="40"/>
      <c r="E832" s="40"/>
      <c r="F832" s="40"/>
      <c r="G832" s="40"/>
      <c r="H832" s="53"/>
      <c r="R832" s="40"/>
      <c r="S832" s="40"/>
      <c r="T832" s="40"/>
      <c r="U832" s="40"/>
      <c r="V832" s="40"/>
      <c r="X832" s="40"/>
      <c r="Y832" s="40"/>
      <c r="Z832" s="40"/>
      <c r="AA832" s="41"/>
      <c r="AB832" s="41"/>
      <c r="AC832" s="41"/>
      <c r="AD832" s="41"/>
      <c r="AE832" s="41"/>
      <c r="AF832" s="40"/>
      <c r="AG832" s="40"/>
      <c r="AH832" s="5"/>
      <c r="AI832" s="5"/>
      <c r="AJ832" s="40"/>
      <c r="AK832" s="40"/>
      <c r="AL832" s="40"/>
      <c r="AM832" s="40"/>
      <c r="AO832" s="40"/>
      <c r="AQ832" s="40"/>
    </row>
    <row r="833" spans="2:43" ht="12.75" customHeight="1" x14ac:dyDescent="0.15">
      <c r="B833" s="40"/>
      <c r="C833" s="40"/>
      <c r="D833" s="40"/>
      <c r="E833" s="40"/>
      <c r="F833" s="40"/>
      <c r="G833" s="40"/>
      <c r="H833" s="53"/>
      <c r="R833" s="40"/>
      <c r="S833" s="40"/>
      <c r="T833" s="40"/>
      <c r="U833" s="40"/>
      <c r="V833" s="40"/>
      <c r="X833" s="40"/>
      <c r="Y833" s="40"/>
      <c r="Z833" s="40"/>
      <c r="AA833" s="41"/>
      <c r="AB833" s="41"/>
      <c r="AC833" s="41"/>
      <c r="AD833" s="41"/>
      <c r="AE833" s="41"/>
      <c r="AF833" s="40"/>
      <c r="AG833" s="40"/>
      <c r="AH833" s="5"/>
      <c r="AI833" s="5"/>
      <c r="AJ833" s="40"/>
      <c r="AK833" s="40"/>
      <c r="AL833" s="40"/>
      <c r="AM833" s="40"/>
      <c r="AO833" s="40"/>
      <c r="AQ833" s="40"/>
    </row>
    <row r="834" spans="2:43" ht="12.75" customHeight="1" x14ac:dyDescent="0.15">
      <c r="B834" s="40"/>
      <c r="C834" s="40"/>
      <c r="D834" s="40"/>
      <c r="E834" s="40"/>
      <c r="F834" s="40"/>
      <c r="G834" s="40"/>
      <c r="H834" s="53"/>
      <c r="R834" s="40"/>
      <c r="S834" s="40"/>
      <c r="T834" s="40"/>
      <c r="U834" s="40"/>
      <c r="V834" s="40"/>
      <c r="X834" s="40"/>
      <c r="Y834" s="40"/>
      <c r="Z834" s="40"/>
      <c r="AA834" s="41"/>
      <c r="AB834" s="41"/>
      <c r="AC834" s="41"/>
      <c r="AD834" s="41"/>
      <c r="AE834" s="41"/>
      <c r="AF834" s="40"/>
      <c r="AG834" s="40"/>
      <c r="AH834" s="5"/>
      <c r="AI834" s="5"/>
      <c r="AJ834" s="40"/>
      <c r="AK834" s="40"/>
      <c r="AL834" s="40"/>
      <c r="AM834" s="40"/>
      <c r="AO834" s="40"/>
      <c r="AQ834" s="40"/>
    </row>
    <row r="835" spans="2:43" ht="12.75" customHeight="1" x14ac:dyDescent="0.15">
      <c r="B835" s="40"/>
      <c r="C835" s="40"/>
      <c r="D835" s="40"/>
      <c r="E835" s="40"/>
      <c r="F835" s="40"/>
      <c r="G835" s="40"/>
      <c r="H835" s="53"/>
      <c r="R835" s="40"/>
      <c r="S835" s="40"/>
      <c r="T835" s="40"/>
      <c r="U835" s="40"/>
      <c r="V835" s="40"/>
      <c r="X835" s="40"/>
      <c r="Y835" s="40"/>
      <c r="Z835" s="40"/>
      <c r="AA835" s="41"/>
      <c r="AB835" s="41"/>
      <c r="AC835" s="41"/>
      <c r="AD835" s="41"/>
      <c r="AE835" s="41"/>
      <c r="AF835" s="40"/>
      <c r="AG835" s="40"/>
      <c r="AH835" s="5"/>
      <c r="AI835" s="5"/>
      <c r="AJ835" s="40"/>
      <c r="AK835" s="40"/>
      <c r="AL835" s="40"/>
      <c r="AM835" s="40"/>
      <c r="AO835" s="40"/>
      <c r="AQ835" s="40"/>
    </row>
    <row r="836" spans="2:43" ht="12.75" customHeight="1" x14ac:dyDescent="0.15">
      <c r="B836" s="40"/>
      <c r="C836" s="40"/>
      <c r="D836" s="40"/>
      <c r="E836" s="40"/>
      <c r="F836" s="40"/>
      <c r="G836" s="40"/>
      <c r="H836" s="53"/>
      <c r="R836" s="40"/>
      <c r="S836" s="40"/>
      <c r="T836" s="40"/>
      <c r="U836" s="40"/>
      <c r="V836" s="40"/>
      <c r="X836" s="40"/>
      <c r="Y836" s="40"/>
      <c r="Z836" s="40"/>
      <c r="AA836" s="41"/>
      <c r="AB836" s="41"/>
      <c r="AC836" s="41"/>
      <c r="AD836" s="41"/>
      <c r="AE836" s="41"/>
      <c r="AF836" s="40"/>
      <c r="AG836" s="40"/>
      <c r="AH836" s="5"/>
      <c r="AI836" s="5"/>
      <c r="AJ836" s="40"/>
      <c r="AK836" s="40"/>
      <c r="AL836" s="40"/>
      <c r="AM836" s="40"/>
      <c r="AO836" s="40"/>
      <c r="AQ836" s="40"/>
    </row>
    <row r="837" spans="2:43" ht="12.75" customHeight="1" x14ac:dyDescent="0.15">
      <c r="B837" s="40"/>
      <c r="C837" s="40"/>
      <c r="D837" s="40"/>
      <c r="E837" s="40"/>
      <c r="F837" s="40"/>
      <c r="G837" s="40"/>
      <c r="H837" s="53"/>
      <c r="R837" s="40"/>
      <c r="S837" s="40"/>
      <c r="T837" s="40"/>
      <c r="U837" s="40"/>
      <c r="V837" s="40"/>
      <c r="X837" s="40"/>
      <c r="Y837" s="40"/>
      <c r="Z837" s="40"/>
      <c r="AA837" s="41"/>
      <c r="AB837" s="41"/>
      <c r="AC837" s="41"/>
      <c r="AD837" s="41"/>
      <c r="AE837" s="41"/>
      <c r="AF837" s="40"/>
      <c r="AG837" s="40"/>
      <c r="AH837" s="5"/>
      <c r="AI837" s="5"/>
      <c r="AJ837" s="40"/>
      <c r="AK837" s="40"/>
      <c r="AL837" s="40"/>
      <c r="AM837" s="40"/>
      <c r="AO837" s="40"/>
      <c r="AQ837" s="40"/>
    </row>
    <row r="838" spans="2:43" ht="12.75" customHeight="1" x14ac:dyDescent="0.15">
      <c r="B838" s="40"/>
      <c r="C838" s="40"/>
      <c r="D838" s="40"/>
      <c r="E838" s="40"/>
      <c r="F838" s="40"/>
      <c r="G838" s="40"/>
      <c r="H838" s="53"/>
      <c r="R838" s="40"/>
      <c r="S838" s="40"/>
      <c r="T838" s="40"/>
      <c r="U838" s="40"/>
      <c r="V838" s="40"/>
      <c r="X838" s="40"/>
      <c r="Y838" s="40"/>
      <c r="Z838" s="40"/>
      <c r="AA838" s="41"/>
      <c r="AB838" s="41"/>
      <c r="AC838" s="41"/>
      <c r="AD838" s="41"/>
      <c r="AE838" s="41"/>
      <c r="AF838" s="40"/>
      <c r="AG838" s="40"/>
      <c r="AH838" s="5"/>
      <c r="AI838" s="5"/>
      <c r="AJ838" s="40"/>
      <c r="AK838" s="40"/>
      <c r="AL838" s="40"/>
      <c r="AM838" s="40"/>
      <c r="AO838" s="40"/>
      <c r="AQ838" s="40"/>
    </row>
    <row r="839" spans="2:43" ht="12.75" customHeight="1" x14ac:dyDescent="0.15">
      <c r="B839" s="40"/>
      <c r="C839" s="40"/>
      <c r="D839" s="40"/>
      <c r="E839" s="40"/>
      <c r="F839" s="40"/>
      <c r="G839" s="40"/>
      <c r="H839" s="53"/>
      <c r="R839" s="40"/>
      <c r="S839" s="40"/>
      <c r="T839" s="40"/>
      <c r="U839" s="40"/>
      <c r="V839" s="40"/>
      <c r="X839" s="40"/>
      <c r="Y839" s="40"/>
      <c r="Z839" s="40"/>
      <c r="AA839" s="41"/>
      <c r="AB839" s="41"/>
      <c r="AC839" s="41"/>
      <c r="AD839" s="41"/>
      <c r="AE839" s="41"/>
      <c r="AF839" s="40"/>
      <c r="AG839" s="40"/>
      <c r="AH839" s="5"/>
      <c r="AI839" s="5"/>
      <c r="AJ839" s="40"/>
      <c r="AK839" s="40"/>
      <c r="AL839" s="40"/>
      <c r="AM839" s="40"/>
      <c r="AO839" s="40"/>
      <c r="AQ839" s="40"/>
    </row>
    <row r="840" spans="2:43" ht="12.75" customHeight="1" x14ac:dyDescent="0.15">
      <c r="B840" s="40"/>
      <c r="C840" s="40"/>
      <c r="D840" s="40"/>
      <c r="E840" s="40"/>
      <c r="F840" s="40"/>
      <c r="G840" s="40"/>
      <c r="H840" s="53"/>
      <c r="R840" s="40"/>
      <c r="S840" s="40"/>
      <c r="T840" s="40"/>
      <c r="U840" s="40"/>
      <c r="V840" s="40"/>
      <c r="X840" s="40"/>
      <c r="Y840" s="40"/>
      <c r="Z840" s="40"/>
      <c r="AA840" s="41"/>
      <c r="AB840" s="41"/>
      <c r="AC840" s="41"/>
      <c r="AD840" s="41"/>
      <c r="AE840" s="41"/>
      <c r="AF840" s="40"/>
      <c r="AG840" s="40"/>
      <c r="AH840" s="5"/>
      <c r="AI840" s="5"/>
      <c r="AJ840" s="40"/>
      <c r="AK840" s="40"/>
      <c r="AL840" s="40"/>
      <c r="AM840" s="40"/>
      <c r="AO840" s="40"/>
      <c r="AQ840" s="40"/>
    </row>
    <row r="841" spans="2:43" ht="12.75" customHeight="1" x14ac:dyDescent="0.15">
      <c r="B841" s="40"/>
      <c r="C841" s="40"/>
      <c r="D841" s="40"/>
      <c r="E841" s="40"/>
      <c r="F841" s="40"/>
      <c r="G841" s="40"/>
      <c r="H841" s="53"/>
      <c r="R841" s="40"/>
      <c r="S841" s="40"/>
      <c r="T841" s="40"/>
      <c r="U841" s="40"/>
      <c r="V841" s="40"/>
      <c r="X841" s="40"/>
      <c r="Y841" s="40"/>
      <c r="Z841" s="40"/>
      <c r="AA841" s="41"/>
      <c r="AB841" s="41"/>
      <c r="AC841" s="41"/>
      <c r="AD841" s="41"/>
      <c r="AE841" s="41"/>
      <c r="AF841" s="40"/>
      <c r="AG841" s="40"/>
      <c r="AH841" s="5"/>
      <c r="AI841" s="5"/>
      <c r="AJ841" s="40"/>
      <c r="AK841" s="40"/>
      <c r="AL841" s="40"/>
      <c r="AM841" s="40"/>
      <c r="AO841" s="40"/>
      <c r="AQ841" s="40"/>
    </row>
    <row r="842" spans="2:43" ht="12.75" customHeight="1" x14ac:dyDescent="0.15">
      <c r="B842" s="40"/>
      <c r="C842" s="40"/>
      <c r="D842" s="40"/>
      <c r="E842" s="40"/>
      <c r="F842" s="40"/>
      <c r="G842" s="40"/>
      <c r="H842" s="53"/>
      <c r="R842" s="40"/>
      <c r="S842" s="40"/>
      <c r="T842" s="40"/>
      <c r="U842" s="40"/>
      <c r="V842" s="40"/>
      <c r="X842" s="40"/>
      <c r="Y842" s="40"/>
      <c r="Z842" s="40"/>
      <c r="AA842" s="41"/>
      <c r="AB842" s="41"/>
      <c r="AC842" s="41"/>
      <c r="AD842" s="41"/>
      <c r="AE842" s="41"/>
      <c r="AF842" s="40"/>
      <c r="AG842" s="40"/>
      <c r="AH842" s="5"/>
      <c r="AI842" s="5"/>
      <c r="AJ842" s="40"/>
      <c r="AK842" s="40"/>
      <c r="AL842" s="40"/>
      <c r="AM842" s="40"/>
      <c r="AO842" s="40"/>
      <c r="AQ842" s="40"/>
    </row>
    <row r="843" spans="2:43" ht="12.75" customHeight="1" x14ac:dyDescent="0.15">
      <c r="B843" s="40"/>
      <c r="C843" s="40"/>
      <c r="D843" s="40"/>
      <c r="E843" s="40"/>
      <c r="F843" s="40"/>
      <c r="G843" s="40"/>
      <c r="H843" s="53"/>
      <c r="R843" s="40"/>
      <c r="S843" s="40"/>
      <c r="T843" s="40"/>
      <c r="U843" s="40"/>
      <c r="V843" s="40"/>
      <c r="X843" s="40"/>
      <c r="Y843" s="40"/>
      <c r="Z843" s="40"/>
      <c r="AA843" s="41"/>
      <c r="AB843" s="41"/>
      <c r="AC843" s="41"/>
      <c r="AD843" s="41"/>
      <c r="AE843" s="41"/>
      <c r="AF843" s="40"/>
      <c r="AG843" s="40"/>
      <c r="AH843" s="5"/>
      <c r="AI843" s="5"/>
      <c r="AJ843" s="40"/>
      <c r="AK843" s="40"/>
      <c r="AL843" s="40"/>
      <c r="AM843" s="40"/>
      <c r="AO843" s="40"/>
      <c r="AQ843" s="40"/>
    </row>
    <row r="844" spans="2:43" ht="12.75" customHeight="1" x14ac:dyDescent="0.15">
      <c r="B844" s="40"/>
      <c r="C844" s="40"/>
      <c r="D844" s="40"/>
      <c r="E844" s="40"/>
      <c r="F844" s="40"/>
      <c r="G844" s="40"/>
      <c r="H844" s="53"/>
      <c r="R844" s="40"/>
      <c r="S844" s="40"/>
      <c r="T844" s="40"/>
      <c r="U844" s="40"/>
      <c r="V844" s="40"/>
      <c r="X844" s="40"/>
      <c r="Y844" s="40"/>
      <c r="Z844" s="40"/>
      <c r="AA844" s="41"/>
      <c r="AB844" s="41"/>
      <c r="AC844" s="41"/>
      <c r="AD844" s="41"/>
      <c r="AE844" s="41"/>
      <c r="AF844" s="40"/>
      <c r="AG844" s="40"/>
      <c r="AH844" s="5"/>
      <c r="AI844" s="5"/>
      <c r="AJ844" s="40"/>
      <c r="AK844" s="40"/>
      <c r="AL844" s="40"/>
      <c r="AM844" s="40"/>
      <c r="AO844" s="40"/>
      <c r="AQ844" s="40"/>
    </row>
    <row r="845" spans="2:43" ht="12.75" customHeight="1" x14ac:dyDescent="0.15">
      <c r="B845" s="40"/>
      <c r="C845" s="40"/>
      <c r="D845" s="40"/>
      <c r="E845" s="40"/>
      <c r="F845" s="40"/>
      <c r="G845" s="40"/>
      <c r="H845" s="53"/>
      <c r="R845" s="40"/>
      <c r="S845" s="40"/>
      <c r="T845" s="40"/>
      <c r="U845" s="40"/>
      <c r="V845" s="40"/>
      <c r="X845" s="40"/>
      <c r="Y845" s="40"/>
      <c r="Z845" s="40"/>
      <c r="AA845" s="41"/>
      <c r="AB845" s="41"/>
      <c r="AC845" s="41"/>
      <c r="AD845" s="41"/>
      <c r="AE845" s="41"/>
      <c r="AF845" s="40"/>
      <c r="AG845" s="40"/>
      <c r="AH845" s="5"/>
      <c r="AI845" s="5"/>
      <c r="AJ845" s="40"/>
      <c r="AK845" s="40"/>
      <c r="AL845" s="40"/>
      <c r="AM845" s="40"/>
      <c r="AO845" s="40"/>
      <c r="AQ845" s="40"/>
    </row>
    <row r="846" spans="2:43" ht="12.75" customHeight="1" x14ac:dyDescent="0.15">
      <c r="B846" s="40"/>
      <c r="C846" s="40"/>
      <c r="D846" s="40"/>
      <c r="E846" s="40"/>
      <c r="F846" s="40"/>
      <c r="G846" s="40"/>
      <c r="H846" s="53"/>
      <c r="R846" s="40"/>
      <c r="S846" s="40"/>
      <c r="T846" s="40"/>
      <c r="U846" s="40"/>
      <c r="V846" s="40"/>
      <c r="X846" s="40"/>
      <c r="Y846" s="40"/>
      <c r="Z846" s="40"/>
      <c r="AA846" s="41"/>
      <c r="AB846" s="41"/>
      <c r="AC846" s="41"/>
      <c r="AD846" s="41"/>
      <c r="AE846" s="41"/>
      <c r="AF846" s="40"/>
      <c r="AG846" s="40"/>
      <c r="AH846" s="5"/>
      <c r="AI846" s="5"/>
      <c r="AJ846" s="40"/>
      <c r="AK846" s="40"/>
      <c r="AL846" s="40"/>
      <c r="AM846" s="40"/>
      <c r="AO846" s="40"/>
      <c r="AQ846" s="40"/>
    </row>
    <row r="847" spans="2:43" ht="12.75" customHeight="1" x14ac:dyDescent="0.15">
      <c r="B847" s="40"/>
      <c r="C847" s="40"/>
      <c r="D847" s="40"/>
      <c r="E847" s="40"/>
      <c r="F847" s="40"/>
      <c r="G847" s="40"/>
      <c r="H847" s="53"/>
      <c r="R847" s="40"/>
      <c r="S847" s="40"/>
      <c r="T847" s="40"/>
      <c r="U847" s="40"/>
      <c r="V847" s="40"/>
      <c r="X847" s="40"/>
      <c r="Y847" s="40"/>
      <c r="Z847" s="40"/>
      <c r="AA847" s="41"/>
      <c r="AB847" s="41"/>
      <c r="AC847" s="41"/>
      <c r="AD847" s="41"/>
      <c r="AE847" s="41"/>
      <c r="AF847" s="40"/>
      <c r="AG847" s="40"/>
      <c r="AH847" s="5"/>
      <c r="AI847" s="5"/>
      <c r="AJ847" s="40"/>
      <c r="AK847" s="40"/>
      <c r="AL847" s="40"/>
      <c r="AM847" s="40"/>
      <c r="AO847" s="40"/>
      <c r="AQ847" s="40"/>
    </row>
    <row r="848" spans="2:43" ht="12.75" customHeight="1" x14ac:dyDescent="0.15">
      <c r="B848" s="40"/>
      <c r="C848" s="40"/>
      <c r="D848" s="40"/>
      <c r="E848" s="40"/>
      <c r="F848" s="40"/>
      <c r="G848" s="40"/>
      <c r="H848" s="53"/>
      <c r="R848" s="40"/>
      <c r="S848" s="40"/>
      <c r="T848" s="40"/>
      <c r="U848" s="40"/>
      <c r="V848" s="40"/>
      <c r="X848" s="40"/>
      <c r="Y848" s="40"/>
      <c r="Z848" s="40"/>
      <c r="AA848" s="41"/>
      <c r="AB848" s="41"/>
      <c r="AC848" s="41"/>
      <c r="AD848" s="41"/>
      <c r="AE848" s="41"/>
      <c r="AF848" s="40"/>
      <c r="AG848" s="40"/>
      <c r="AH848" s="5"/>
      <c r="AI848" s="5"/>
      <c r="AJ848" s="40"/>
      <c r="AK848" s="40"/>
      <c r="AL848" s="40"/>
      <c r="AM848" s="40"/>
      <c r="AO848" s="40"/>
      <c r="AQ848" s="40"/>
    </row>
    <row r="849" spans="2:43" ht="12.75" customHeight="1" x14ac:dyDescent="0.15">
      <c r="B849" s="40"/>
      <c r="C849" s="40"/>
      <c r="D849" s="40"/>
      <c r="E849" s="40"/>
      <c r="F849" s="40"/>
      <c r="G849" s="40"/>
      <c r="H849" s="53"/>
      <c r="R849" s="40"/>
      <c r="S849" s="40"/>
      <c r="T849" s="40"/>
      <c r="U849" s="40"/>
      <c r="V849" s="40"/>
      <c r="X849" s="40"/>
      <c r="Y849" s="40"/>
      <c r="Z849" s="40"/>
      <c r="AA849" s="41"/>
      <c r="AB849" s="41"/>
      <c r="AC849" s="41"/>
      <c r="AD849" s="41"/>
      <c r="AE849" s="41"/>
      <c r="AF849" s="40"/>
      <c r="AG849" s="40"/>
      <c r="AH849" s="5"/>
      <c r="AI849" s="5"/>
      <c r="AJ849" s="40"/>
      <c r="AK849" s="40"/>
      <c r="AL849" s="40"/>
      <c r="AM849" s="40"/>
      <c r="AO849" s="40"/>
      <c r="AQ849" s="40"/>
    </row>
    <row r="850" spans="2:43" ht="12.75" customHeight="1" x14ac:dyDescent="0.15">
      <c r="B850" s="40"/>
      <c r="C850" s="40"/>
      <c r="D850" s="40"/>
      <c r="E850" s="40"/>
      <c r="F850" s="40"/>
      <c r="G850" s="40"/>
      <c r="H850" s="53"/>
      <c r="R850" s="40"/>
      <c r="S850" s="40"/>
      <c r="T850" s="40"/>
      <c r="U850" s="40"/>
      <c r="V850" s="40"/>
      <c r="X850" s="40"/>
      <c r="Y850" s="40"/>
      <c r="Z850" s="40"/>
      <c r="AA850" s="41"/>
      <c r="AB850" s="41"/>
      <c r="AC850" s="41"/>
      <c r="AD850" s="41"/>
      <c r="AE850" s="41"/>
      <c r="AF850" s="40"/>
      <c r="AG850" s="40"/>
      <c r="AH850" s="5"/>
      <c r="AI850" s="5"/>
      <c r="AJ850" s="40"/>
      <c r="AK850" s="40"/>
      <c r="AL850" s="40"/>
      <c r="AM850" s="40"/>
      <c r="AO850" s="40"/>
      <c r="AQ850" s="40"/>
    </row>
    <row r="851" spans="2:43" ht="12.75" customHeight="1" x14ac:dyDescent="0.15">
      <c r="B851" s="40"/>
      <c r="C851" s="40"/>
      <c r="D851" s="40"/>
      <c r="E851" s="40"/>
      <c r="F851" s="40"/>
      <c r="G851" s="40"/>
      <c r="H851" s="53"/>
      <c r="R851" s="40"/>
      <c r="S851" s="40"/>
      <c r="T851" s="40"/>
      <c r="U851" s="40"/>
      <c r="V851" s="40"/>
      <c r="X851" s="40"/>
      <c r="Y851" s="40"/>
      <c r="Z851" s="40"/>
      <c r="AA851" s="41"/>
      <c r="AB851" s="41"/>
      <c r="AC851" s="41"/>
      <c r="AD851" s="41"/>
      <c r="AE851" s="41"/>
      <c r="AF851" s="40"/>
      <c r="AG851" s="40"/>
      <c r="AH851" s="5"/>
      <c r="AI851" s="5"/>
      <c r="AJ851" s="40"/>
      <c r="AK851" s="40"/>
      <c r="AL851" s="40"/>
      <c r="AM851" s="40"/>
      <c r="AO851" s="40"/>
      <c r="AQ851" s="40"/>
    </row>
    <row r="852" spans="2:43" ht="12.75" customHeight="1" x14ac:dyDescent="0.15">
      <c r="B852" s="40"/>
      <c r="C852" s="40"/>
      <c r="D852" s="40"/>
      <c r="E852" s="40"/>
      <c r="F852" s="40"/>
      <c r="G852" s="40"/>
      <c r="H852" s="53"/>
      <c r="R852" s="40"/>
      <c r="S852" s="40"/>
      <c r="T852" s="40"/>
      <c r="U852" s="40"/>
      <c r="V852" s="40"/>
      <c r="X852" s="40"/>
      <c r="Y852" s="40"/>
      <c r="Z852" s="40"/>
      <c r="AA852" s="41"/>
      <c r="AB852" s="41"/>
      <c r="AC852" s="41"/>
      <c r="AD852" s="41"/>
      <c r="AE852" s="41"/>
      <c r="AF852" s="40"/>
      <c r="AG852" s="40"/>
      <c r="AH852" s="5"/>
      <c r="AI852" s="5"/>
      <c r="AJ852" s="40"/>
      <c r="AK852" s="40"/>
      <c r="AL852" s="40"/>
      <c r="AM852" s="40"/>
      <c r="AO852" s="40"/>
      <c r="AQ852" s="40"/>
    </row>
    <row r="853" spans="2:43" ht="12.75" customHeight="1" x14ac:dyDescent="0.15">
      <c r="B853" s="40"/>
      <c r="C853" s="40"/>
      <c r="D853" s="40"/>
      <c r="E853" s="40"/>
      <c r="F853" s="40"/>
      <c r="G853" s="40"/>
      <c r="H853" s="53"/>
      <c r="R853" s="40"/>
      <c r="S853" s="40"/>
      <c r="T853" s="40"/>
      <c r="U853" s="40"/>
      <c r="V853" s="40"/>
      <c r="X853" s="40"/>
      <c r="Y853" s="40"/>
      <c r="Z853" s="40"/>
      <c r="AA853" s="41"/>
      <c r="AB853" s="41"/>
      <c r="AC853" s="41"/>
      <c r="AD853" s="41"/>
      <c r="AE853" s="41"/>
      <c r="AF853" s="40"/>
      <c r="AG853" s="40"/>
      <c r="AH853" s="5"/>
      <c r="AI853" s="5"/>
      <c r="AJ853" s="40"/>
      <c r="AK853" s="40"/>
      <c r="AL853" s="40"/>
      <c r="AM853" s="40"/>
      <c r="AO853" s="40"/>
      <c r="AQ853" s="40"/>
    </row>
    <row r="854" spans="2:43" ht="12.75" customHeight="1" x14ac:dyDescent="0.15">
      <c r="B854" s="40"/>
      <c r="C854" s="40"/>
      <c r="D854" s="40"/>
      <c r="E854" s="40"/>
      <c r="F854" s="40"/>
      <c r="G854" s="40"/>
      <c r="H854" s="53"/>
      <c r="R854" s="40"/>
      <c r="S854" s="40"/>
      <c r="T854" s="40"/>
      <c r="U854" s="40"/>
      <c r="V854" s="40"/>
      <c r="X854" s="40"/>
      <c r="Y854" s="40"/>
      <c r="Z854" s="40"/>
      <c r="AA854" s="41"/>
      <c r="AB854" s="41"/>
      <c r="AC854" s="41"/>
      <c r="AD854" s="41"/>
      <c r="AE854" s="41"/>
      <c r="AF854" s="40"/>
      <c r="AG854" s="40"/>
      <c r="AH854" s="5"/>
      <c r="AI854" s="5"/>
      <c r="AJ854" s="40"/>
      <c r="AK854" s="40"/>
      <c r="AL854" s="40"/>
      <c r="AM854" s="40"/>
      <c r="AO854" s="40"/>
      <c r="AQ854" s="40"/>
    </row>
    <row r="855" spans="2:43" ht="12.75" customHeight="1" x14ac:dyDescent="0.15">
      <c r="B855" s="40"/>
      <c r="C855" s="40"/>
      <c r="D855" s="40"/>
      <c r="E855" s="40"/>
      <c r="F855" s="40"/>
      <c r="G855" s="40"/>
      <c r="H855" s="53"/>
      <c r="R855" s="40"/>
      <c r="S855" s="40"/>
      <c r="T855" s="40"/>
      <c r="U855" s="40"/>
      <c r="V855" s="40"/>
      <c r="X855" s="40"/>
      <c r="Y855" s="40"/>
      <c r="Z855" s="40"/>
      <c r="AA855" s="41"/>
      <c r="AB855" s="41"/>
      <c r="AC855" s="41"/>
      <c r="AD855" s="41"/>
      <c r="AE855" s="41"/>
      <c r="AF855" s="40"/>
      <c r="AG855" s="40"/>
      <c r="AH855" s="5"/>
      <c r="AI855" s="5"/>
      <c r="AJ855" s="40"/>
      <c r="AK855" s="40"/>
      <c r="AL855" s="40"/>
      <c r="AM855" s="40"/>
      <c r="AO855" s="40"/>
      <c r="AQ855" s="40"/>
    </row>
    <row r="856" spans="2:43" ht="12.75" customHeight="1" x14ac:dyDescent="0.15">
      <c r="B856" s="40"/>
      <c r="C856" s="40"/>
      <c r="D856" s="40"/>
      <c r="E856" s="40"/>
      <c r="F856" s="40"/>
      <c r="G856" s="40"/>
      <c r="H856" s="53"/>
      <c r="R856" s="40"/>
      <c r="S856" s="40"/>
      <c r="T856" s="40"/>
      <c r="U856" s="40"/>
      <c r="V856" s="40"/>
      <c r="X856" s="40"/>
      <c r="Y856" s="40"/>
      <c r="Z856" s="40"/>
      <c r="AA856" s="41"/>
      <c r="AB856" s="41"/>
      <c r="AC856" s="41"/>
      <c r="AD856" s="41"/>
      <c r="AE856" s="41"/>
      <c r="AF856" s="40"/>
      <c r="AG856" s="40"/>
      <c r="AH856" s="5"/>
      <c r="AI856" s="5"/>
      <c r="AJ856" s="40"/>
      <c r="AK856" s="40"/>
      <c r="AL856" s="40"/>
      <c r="AM856" s="40"/>
      <c r="AO856" s="40"/>
      <c r="AQ856" s="40"/>
    </row>
    <row r="857" spans="2:43" ht="12.75" customHeight="1" x14ac:dyDescent="0.15">
      <c r="B857" s="40"/>
      <c r="C857" s="40"/>
      <c r="D857" s="40"/>
      <c r="E857" s="40"/>
      <c r="F857" s="40"/>
      <c r="G857" s="40"/>
      <c r="H857" s="53"/>
      <c r="R857" s="40"/>
      <c r="S857" s="40"/>
      <c r="T857" s="40"/>
      <c r="U857" s="40"/>
      <c r="V857" s="40"/>
      <c r="X857" s="40"/>
      <c r="Y857" s="40"/>
      <c r="Z857" s="40"/>
      <c r="AA857" s="41"/>
      <c r="AB857" s="41"/>
      <c r="AC857" s="41"/>
      <c r="AD857" s="41"/>
      <c r="AE857" s="41"/>
      <c r="AF857" s="40"/>
      <c r="AG857" s="40"/>
      <c r="AH857" s="5"/>
      <c r="AI857" s="5"/>
      <c r="AJ857" s="40"/>
      <c r="AK857" s="40"/>
      <c r="AL857" s="40"/>
      <c r="AM857" s="40"/>
      <c r="AO857" s="40"/>
      <c r="AQ857" s="40"/>
    </row>
    <row r="858" spans="2:43" ht="12.75" customHeight="1" x14ac:dyDescent="0.15">
      <c r="B858" s="40"/>
      <c r="C858" s="40"/>
      <c r="D858" s="40"/>
      <c r="E858" s="40"/>
      <c r="F858" s="40"/>
      <c r="G858" s="40"/>
      <c r="H858" s="53"/>
      <c r="R858" s="40"/>
      <c r="S858" s="40"/>
      <c r="T858" s="40"/>
      <c r="U858" s="40"/>
      <c r="V858" s="40"/>
      <c r="X858" s="40"/>
      <c r="Y858" s="40"/>
      <c r="Z858" s="40"/>
      <c r="AA858" s="41"/>
      <c r="AB858" s="41"/>
      <c r="AC858" s="41"/>
      <c r="AD858" s="41"/>
      <c r="AE858" s="41"/>
      <c r="AF858" s="40"/>
      <c r="AG858" s="40"/>
      <c r="AH858" s="5"/>
      <c r="AI858" s="5"/>
      <c r="AJ858" s="40"/>
      <c r="AK858" s="40"/>
      <c r="AL858" s="40"/>
      <c r="AM858" s="40"/>
      <c r="AO858" s="40"/>
      <c r="AQ858" s="40"/>
    </row>
    <row r="859" spans="2:43" ht="12.75" customHeight="1" x14ac:dyDescent="0.15">
      <c r="B859" s="40"/>
      <c r="C859" s="40"/>
      <c r="D859" s="40"/>
      <c r="E859" s="40"/>
      <c r="F859" s="40"/>
      <c r="G859" s="40"/>
      <c r="H859" s="53"/>
      <c r="R859" s="40"/>
      <c r="S859" s="40"/>
      <c r="T859" s="40"/>
      <c r="U859" s="40"/>
      <c r="V859" s="40"/>
      <c r="X859" s="40"/>
      <c r="Y859" s="40"/>
      <c r="Z859" s="40"/>
      <c r="AA859" s="41"/>
      <c r="AB859" s="41"/>
      <c r="AC859" s="41"/>
      <c r="AD859" s="41"/>
      <c r="AE859" s="41"/>
      <c r="AF859" s="40"/>
      <c r="AG859" s="40"/>
      <c r="AH859" s="5"/>
      <c r="AI859" s="5"/>
      <c r="AJ859" s="40"/>
      <c r="AK859" s="40"/>
      <c r="AL859" s="40"/>
      <c r="AM859" s="40"/>
      <c r="AO859" s="40"/>
      <c r="AQ859" s="40"/>
    </row>
    <row r="860" spans="2:43" ht="12.75" customHeight="1" x14ac:dyDescent="0.15">
      <c r="B860" s="40"/>
      <c r="C860" s="40"/>
      <c r="D860" s="40"/>
      <c r="E860" s="40"/>
      <c r="F860" s="40"/>
      <c r="G860" s="40"/>
      <c r="H860" s="53"/>
      <c r="R860" s="40"/>
      <c r="S860" s="40"/>
      <c r="T860" s="40"/>
      <c r="U860" s="40"/>
      <c r="V860" s="40"/>
      <c r="X860" s="40"/>
      <c r="Y860" s="40"/>
      <c r="Z860" s="40"/>
      <c r="AA860" s="41"/>
      <c r="AB860" s="41"/>
      <c r="AC860" s="41"/>
      <c r="AD860" s="41"/>
      <c r="AE860" s="41"/>
      <c r="AF860" s="40"/>
      <c r="AG860" s="40"/>
      <c r="AH860" s="5"/>
      <c r="AI860" s="5"/>
      <c r="AJ860" s="40"/>
      <c r="AK860" s="40"/>
      <c r="AL860" s="40"/>
      <c r="AM860" s="40"/>
      <c r="AO860" s="40"/>
      <c r="AQ860" s="40"/>
    </row>
    <row r="861" spans="2:43" ht="12.75" customHeight="1" x14ac:dyDescent="0.15">
      <c r="B861" s="40"/>
      <c r="C861" s="40"/>
      <c r="D861" s="40"/>
      <c r="E861" s="40"/>
      <c r="F861" s="40"/>
      <c r="G861" s="40"/>
      <c r="H861" s="53"/>
      <c r="R861" s="40"/>
      <c r="S861" s="40"/>
      <c r="T861" s="40"/>
      <c r="U861" s="40"/>
      <c r="V861" s="40"/>
      <c r="X861" s="40"/>
      <c r="Y861" s="40"/>
      <c r="Z861" s="40"/>
      <c r="AA861" s="41"/>
      <c r="AB861" s="41"/>
      <c r="AC861" s="41"/>
      <c r="AD861" s="41"/>
      <c r="AE861" s="41"/>
      <c r="AF861" s="40"/>
      <c r="AG861" s="40"/>
      <c r="AH861" s="5"/>
      <c r="AI861" s="5"/>
      <c r="AJ861" s="40"/>
      <c r="AK861" s="40"/>
      <c r="AL861" s="40"/>
      <c r="AM861" s="40"/>
      <c r="AO861" s="40"/>
      <c r="AQ861" s="40"/>
    </row>
    <row r="862" spans="2:43" ht="12.75" customHeight="1" x14ac:dyDescent="0.15">
      <c r="B862" s="40"/>
      <c r="C862" s="40"/>
      <c r="D862" s="40"/>
      <c r="E862" s="40"/>
      <c r="F862" s="40"/>
      <c r="G862" s="40"/>
      <c r="H862" s="53"/>
      <c r="R862" s="40"/>
      <c r="S862" s="40"/>
      <c r="T862" s="40"/>
      <c r="U862" s="40"/>
      <c r="V862" s="40"/>
      <c r="X862" s="40"/>
      <c r="Y862" s="40"/>
      <c r="Z862" s="40"/>
      <c r="AA862" s="41"/>
      <c r="AB862" s="41"/>
      <c r="AC862" s="41"/>
      <c r="AD862" s="41"/>
      <c r="AE862" s="41"/>
      <c r="AF862" s="40"/>
      <c r="AG862" s="40"/>
      <c r="AH862" s="5"/>
      <c r="AI862" s="5"/>
      <c r="AJ862" s="40"/>
      <c r="AK862" s="40"/>
      <c r="AL862" s="40"/>
      <c r="AM862" s="40"/>
      <c r="AO862" s="40"/>
      <c r="AQ862" s="40"/>
    </row>
    <row r="863" spans="2:43" ht="12.75" customHeight="1" x14ac:dyDescent="0.15">
      <c r="B863" s="40"/>
      <c r="C863" s="40"/>
      <c r="D863" s="40"/>
      <c r="E863" s="40"/>
      <c r="F863" s="40"/>
      <c r="G863" s="40"/>
      <c r="H863" s="53"/>
      <c r="R863" s="40"/>
      <c r="S863" s="40"/>
      <c r="T863" s="40"/>
      <c r="U863" s="40"/>
      <c r="V863" s="40"/>
      <c r="X863" s="40"/>
      <c r="Y863" s="40"/>
      <c r="Z863" s="40"/>
      <c r="AA863" s="41"/>
      <c r="AB863" s="41"/>
      <c r="AC863" s="41"/>
      <c r="AD863" s="41"/>
      <c r="AE863" s="41"/>
      <c r="AF863" s="40"/>
      <c r="AG863" s="40"/>
      <c r="AH863" s="5"/>
      <c r="AI863" s="5"/>
      <c r="AJ863" s="40"/>
      <c r="AK863" s="40"/>
      <c r="AL863" s="40"/>
      <c r="AM863" s="40"/>
      <c r="AO863" s="40"/>
      <c r="AQ863" s="40"/>
    </row>
    <row r="864" spans="2:43" ht="12.75" customHeight="1" x14ac:dyDescent="0.15">
      <c r="B864" s="40"/>
      <c r="C864" s="40"/>
      <c r="D864" s="40"/>
      <c r="E864" s="40"/>
      <c r="F864" s="40"/>
      <c r="G864" s="40"/>
      <c r="H864" s="53"/>
      <c r="R864" s="40"/>
      <c r="S864" s="40"/>
      <c r="T864" s="40"/>
      <c r="U864" s="40"/>
      <c r="V864" s="40"/>
      <c r="X864" s="40"/>
      <c r="Y864" s="40"/>
      <c r="Z864" s="40"/>
      <c r="AA864" s="41"/>
      <c r="AB864" s="41"/>
      <c r="AC864" s="41"/>
      <c r="AD864" s="41"/>
      <c r="AE864" s="41"/>
      <c r="AF864" s="40"/>
      <c r="AG864" s="40"/>
      <c r="AH864" s="5"/>
      <c r="AI864" s="5"/>
      <c r="AJ864" s="40"/>
      <c r="AK864" s="40"/>
      <c r="AL864" s="40"/>
      <c r="AM864" s="40"/>
      <c r="AO864" s="40"/>
      <c r="AQ864" s="40"/>
    </row>
    <row r="865" spans="2:43" ht="12.75" customHeight="1" x14ac:dyDescent="0.15">
      <c r="B865" s="40"/>
      <c r="C865" s="40"/>
      <c r="D865" s="40"/>
      <c r="E865" s="40"/>
      <c r="F865" s="40"/>
      <c r="G865" s="40"/>
      <c r="H865" s="53"/>
      <c r="R865" s="40"/>
      <c r="S865" s="40"/>
      <c r="T865" s="40"/>
      <c r="U865" s="40"/>
      <c r="V865" s="40"/>
      <c r="X865" s="40"/>
      <c r="Y865" s="40"/>
      <c r="Z865" s="40"/>
      <c r="AA865" s="41"/>
      <c r="AB865" s="41"/>
      <c r="AC865" s="41"/>
      <c r="AD865" s="41"/>
      <c r="AE865" s="41"/>
      <c r="AF865" s="40"/>
      <c r="AG865" s="40"/>
      <c r="AH865" s="5"/>
      <c r="AI865" s="5"/>
      <c r="AJ865" s="40"/>
      <c r="AK865" s="40"/>
      <c r="AL865" s="40"/>
      <c r="AM865" s="40"/>
      <c r="AO865" s="40"/>
      <c r="AQ865" s="40"/>
    </row>
    <row r="866" spans="2:43" ht="12.75" customHeight="1" x14ac:dyDescent="0.15">
      <c r="B866" s="40"/>
      <c r="C866" s="40"/>
      <c r="D866" s="40"/>
      <c r="E866" s="40"/>
      <c r="F866" s="40"/>
      <c r="G866" s="40"/>
      <c r="H866" s="53"/>
      <c r="R866" s="40"/>
      <c r="S866" s="40"/>
      <c r="T866" s="40"/>
      <c r="U866" s="40"/>
      <c r="V866" s="40"/>
      <c r="X866" s="40"/>
      <c r="Y866" s="40"/>
      <c r="Z866" s="40"/>
      <c r="AA866" s="41"/>
      <c r="AB866" s="41"/>
      <c r="AC866" s="41"/>
      <c r="AD866" s="41"/>
      <c r="AE866" s="41"/>
      <c r="AF866" s="40"/>
      <c r="AG866" s="40"/>
      <c r="AH866" s="5"/>
      <c r="AI866" s="5"/>
      <c r="AJ866" s="40"/>
      <c r="AK866" s="40"/>
      <c r="AL866" s="40"/>
      <c r="AM866" s="40"/>
      <c r="AO866" s="40"/>
      <c r="AQ866" s="40"/>
    </row>
    <row r="867" spans="2:43" ht="12.75" customHeight="1" x14ac:dyDescent="0.15">
      <c r="B867" s="40"/>
      <c r="C867" s="40"/>
      <c r="D867" s="40"/>
      <c r="E867" s="40"/>
      <c r="F867" s="40"/>
      <c r="G867" s="40"/>
      <c r="H867" s="53"/>
      <c r="R867" s="40"/>
      <c r="S867" s="40"/>
      <c r="T867" s="40"/>
      <c r="U867" s="40"/>
      <c r="V867" s="40"/>
      <c r="X867" s="40"/>
      <c r="Y867" s="40"/>
      <c r="Z867" s="40"/>
      <c r="AA867" s="41"/>
      <c r="AB867" s="41"/>
      <c r="AC867" s="41"/>
      <c r="AD867" s="41"/>
      <c r="AE867" s="41"/>
      <c r="AF867" s="40"/>
      <c r="AG867" s="40"/>
      <c r="AH867" s="5"/>
      <c r="AI867" s="5"/>
      <c r="AJ867" s="40"/>
      <c r="AK867" s="40"/>
      <c r="AL867" s="40"/>
      <c r="AM867" s="40"/>
      <c r="AO867" s="40"/>
      <c r="AQ867" s="40"/>
    </row>
    <row r="868" spans="2:43" ht="12.75" customHeight="1" x14ac:dyDescent="0.15">
      <c r="B868" s="40"/>
      <c r="C868" s="40"/>
      <c r="D868" s="40"/>
      <c r="E868" s="40"/>
      <c r="F868" s="40"/>
      <c r="G868" s="40"/>
      <c r="H868" s="53"/>
      <c r="R868" s="40"/>
      <c r="S868" s="40"/>
      <c r="T868" s="40"/>
      <c r="U868" s="40"/>
      <c r="V868" s="40"/>
      <c r="X868" s="40"/>
      <c r="Y868" s="40"/>
      <c r="Z868" s="40"/>
      <c r="AA868" s="41"/>
      <c r="AB868" s="41"/>
      <c r="AC868" s="41"/>
      <c r="AD868" s="41"/>
      <c r="AE868" s="41"/>
      <c r="AF868" s="40"/>
      <c r="AG868" s="40"/>
      <c r="AH868" s="5"/>
      <c r="AI868" s="5"/>
      <c r="AJ868" s="40"/>
      <c r="AK868" s="40"/>
      <c r="AL868" s="40"/>
      <c r="AM868" s="40"/>
      <c r="AO868" s="40"/>
      <c r="AQ868" s="40"/>
    </row>
    <row r="869" spans="2:43" ht="12.75" customHeight="1" x14ac:dyDescent="0.15">
      <c r="B869" s="40"/>
      <c r="C869" s="40"/>
      <c r="D869" s="40"/>
      <c r="E869" s="40"/>
      <c r="F869" s="40"/>
      <c r="G869" s="40"/>
      <c r="H869" s="53"/>
      <c r="R869" s="40"/>
      <c r="S869" s="40"/>
      <c r="T869" s="40"/>
      <c r="U869" s="40"/>
      <c r="V869" s="40"/>
      <c r="X869" s="40"/>
      <c r="Y869" s="40"/>
      <c r="Z869" s="40"/>
      <c r="AA869" s="41"/>
      <c r="AB869" s="41"/>
      <c r="AC869" s="41"/>
      <c r="AD869" s="41"/>
      <c r="AE869" s="41"/>
      <c r="AF869" s="40"/>
      <c r="AG869" s="40"/>
      <c r="AH869" s="5"/>
      <c r="AI869" s="5"/>
      <c r="AJ869" s="40"/>
      <c r="AK869" s="40"/>
      <c r="AL869" s="40"/>
      <c r="AM869" s="40"/>
      <c r="AO869" s="40"/>
      <c r="AQ869" s="40"/>
    </row>
    <row r="870" spans="2:43" ht="12.75" customHeight="1" x14ac:dyDescent="0.15">
      <c r="B870" s="40"/>
      <c r="C870" s="40"/>
      <c r="D870" s="40"/>
      <c r="E870" s="40"/>
      <c r="F870" s="40"/>
      <c r="G870" s="40"/>
      <c r="H870" s="53"/>
      <c r="R870" s="40"/>
      <c r="S870" s="40"/>
      <c r="T870" s="40"/>
      <c r="U870" s="40"/>
      <c r="V870" s="40"/>
      <c r="X870" s="40"/>
      <c r="Y870" s="40"/>
      <c r="Z870" s="40"/>
      <c r="AA870" s="41"/>
      <c r="AB870" s="41"/>
      <c r="AC870" s="41"/>
      <c r="AD870" s="41"/>
      <c r="AE870" s="41"/>
      <c r="AF870" s="40"/>
      <c r="AG870" s="40"/>
      <c r="AH870" s="5"/>
      <c r="AI870" s="5"/>
      <c r="AJ870" s="40"/>
      <c r="AK870" s="40"/>
      <c r="AL870" s="40"/>
      <c r="AM870" s="40"/>
      <c r="AO870" s="40"/>
      <c r="AQ870" s="40"/>
    </row>
    <row r="871" spans="2:43" ht="12.75" customHeight="1" x14ac:dyDescent="0.15">
      <c r="B871" s="40"/>
      <c r="C871" s="40"/>
      <c r="D871" s="40"/>
      <c r="E871" s="40"/>
      <c r="F871" s="40"/>
      <c r="G871" s="40"/>
      <c r="H871" s="53"/>
      <c r="R871" s="40"/>
      <c r="S871" s="40"/>
      <c r="T871" s="40"/>
      <c r="U871" s="40"/>
      <c r="V871" s="40"/>
      <c r="X871" s="40"/>
      <c r="Y871" s="40"/>
      <c r="Z871" s="40"/>
      <c r="AA871" s="41"/>
      <c r="AB871" s="41"/>
      <c r="AC871" s="41"/>
      <c r="AD871" s="41"/>
      <c r="AE871" s="41"/>
      <c r="AF871" s="40"/>
      <c r="AG871" s="40"/>
      <c r="AH871" s="5"/>
      <c r="AI871" s="5"/>
      <c r="AJ871" s="40"/>
      <c r="AK871" s="40"/>
      <c r="AL871" s="40"/>
      <c r="AM871" s="40"/>
      <c r="AO871" s="40"/>
      <c r="AQ871" s="40"/>
    </row>
    <row r="872" spans="2:43" ht="12.75" customHeight="1" x14ac:dyDescent="0.15">
      <c r="B872" s="40"/>
      <c r="C872" s="40"/>
      <c r="D872" s="40"/>
      <c r="E872" s="40"/>
      <c r="F872" s="40"/>
      <c r="G872" s="40"/>
      <c r="H872" s="53"/>
      <c r="R872" s="40"/>
      <c r="S872" s="40"/>
      <c r="T872" s="40"/>
      <c r="U872" s="40"/>
      <c r="V872" s="40"/>
      <c r="X872" s="40"/>
      <c r="Y872" s="40"/>
      <c r="Z872" s="40"/>
      <c r="AA872" s="41"/>
      <c r="AB872" s="41"/>
      <c r="AC872" s="41"/>
      <c r="AD872" s="41"/>
      <c r="AE872" s="41"/>
      <c r="AF872" s="40"/>
      <c r="AG872" s="40"/>
      <c r="AH872" s="5"/>
      <c r="AI872" s="5"/>
      <c r="AJ872" s="40"/>
      <c r="AK872" s="40"/>
      <c r="AL872" s="40"/>
      <c r="AM872" s="40"/>
      <c r="AO872" s="40"/>
      <c r="AQ872" s="40"/>
    </row>
    <row r="873" spans="2:43" ht="12.75" customHeight="1" x14ac:dyDescent="0.15">
      <c r="B873" s="40"/>
      <c r="C873" s="40"/>
      <c r="D873" s="40"/>
      <c r="E873" s="40"/>
      <c r="F873" s="40"/>
      <c r="G873" s="40"/>
      <c r="H873" s="53"/>
      <c r="R873" s="40"/>
      <c r="S873" s="40"/>
      <c r="T873" s="40"/>
      <c r="U873" s="40"/>
      <c r="V873" s="40"/>
      <c r="X873" s="40"/>
      <c r="Y873" s="40"/>
      <c r="Z873" s="40"/>
      <c r="AA873" s="41"/>
      <c r="AB873" s="41"/>
      <c r="AC873" s="41"/>
      <c r="AD873" s="41"/>
      <c r="AE873" s="41"/>
      <c r="AF873" s="40"/>
      <c r="AG873" s="40"/>
      <c r="AH873" s="5"/>
      <c r="AI873" s="5"/>
      <c r="AJ873" s="40"/>
      <c r="AK873" s="40"/>
      <c r="AL873" s="40"/>
      <c r="AM873" s="40"/>
      <c r="AO873" s="40"/>
      <c r="AQ873" s="40"/>
    </row>
    <row r="874" spans="2:43" ht="12.75" customHeight="1" x14ac:dyDescent="0.15">
      <c r="B874" s="40"/>
      <c r="C874" s="40"/>
      <c r="D874" s="40"/>
      <c r="E874" s="40"/>
      <c r="F874" s="40"/>
      <c r="G874" s="40"/>
      <c r="H874" s="53"/>
      <c r="R874" s="40"/>
      <c r="S874" s="40"/>
      <c r="T874" s="40"/>
      <c r="U874" s="40"/>
      <c r="V874" s="40"/>
      <c r="X874" s="40"/>
      <c r="Y874" s="40"/>
      <c r="Z874" s="40"/>
      <c r="AA874" s="41"/>
      <c r="AB874" s="41"/>
      <c r="AC874" s="41"/>
      <c r="AD874" s="41"/>
      <c r="AE874" s="41"/>
      <c r="AF874" s="40"/>
      <c r="AG874" s="40"/>
      <c r="AH874" s="5"/>
      <c r="AI874" s="5"/>
      <c r="AJ874" s="40"/>
      <c r="AK874" s="40"/>
      <c r="AL874" s="40"/>
      <c r="AM874" s="40"/>
      <c r="AO874" s="40"/>
      <c r="AQ874" s="40"/>
    </row>
    <row r="875" spans="2:43" ht="12.75" customHeight="1" x14ac:dyDescent="0.15">
      <c r="B875" s="40"/>
      <c r="C875" s="40"/>
      <c r="D875" s="40"/>
      <c r="E875" s="40"/>
      <c r="F875" s="40"/>
      <c r="G875" s="40"/>
      <c r="H875" s="53"/>
      <c r="R875" s="40"/>
      <c r="S875" s="40"/>
      <c r="T875" s="40"/>
      <c r="U875" s="40"/>
      <c r="V875" s="40"/>
      <c r="X875" s="40"/>
      <c r="Y875" s="40"/>
      <c r="Z875" s="40"/>
      <c r="AA875" s="41"/>
      <c r="AB875" s="41"/>
      <c r="AC875" s="41"/>
      <c r="AD875" s="41"/>
      <c r="AE875" s="41"/>
      <c r="AF875" s="40"/>
      <c r="AG875" s="40"/>
      <c r="AH875" s="5"/>
      <c r="AI875" s="5"/>
      <c r="AJ875" s="40"/>
      <c r="AK875" s="40"/>
      <c r="AL875" s="40"/>
      <c r="AM875" s="40"/>
      <c r="AO875" s="40"/>
      <c r="AQ875" s="40"/>
    </row>
    <row r="876" spans="2:43" ht="12.75" customHeight="1" x14ac:dyDescent="0.15">
      <c r="B876" s="40"/>
      <c r="C876" s="40"/>
      <c r="D876" s="40"/>
      <c r="E876" s="40"/>
      <c r="F876" s="40"/>
      <c r="G876" s="40"/>
      <c r="H876" s="53"/>
      <c r="R876" s="40"/>
      <c r="S876" s="40"/>
      <c r="T876" s="40"/>
      <c r="U876" s="40"/>
      <c r="V876" s="40"/>
      <c r="X876" s="40"/>
      <c r="Y876" s="40"/>
      <c r="Z876" s="40"/>
      <c r="AA876" s="41"/>
      <c r="AB876" s="41"/>
      <c r="AC876" s="41"/>
      <c r="AD876" s="41"/>
      <c r="AE876" s="41"/>
      <c r="AF876" s="40"/>
      <c r="AG876" s="40"/>
      <c r="AH876" s="5"/>
      <c r="AI876" s="5"/>
      <c r="AJ876" s="40"/>
      <c r="AK876" s="40"/>
      <c r="AL876" s="40"/>
      <c r="AM876" s="40"/>
      <c r="AO876" s="40"/>
      <c r="AQ876" s="40"/>
    </row>
    <row r="877" spans="2:43" ht="12.75" customHeight="1" x14ac:dyDescent="0.15">
      <c r="B877" s="40"/>
      <c r="C877" s="40"/>
      <c r="D877" s="40"/>
      <c r="E877" s="40"/>
      <c r="F877" s="40"/>
      <c r="G877" s="40"/>
      <c r="H877" s="53"/>
      <c r="R877" s="40"/>
      <c r="S877" s="40"/>
      <c r="T877" s="40"/>
      <c r="U877" s="40"/>
      <c r="V877" s="40"/>
      <c r="X877" s="40"/>
      <c r="Y877" s="40"/>
      <c r="Z877" s="40"/>
      <c r="AA877" s="41"/>
      <c r="AB877" s="41"/>
      <c r="AC877" s="41"/>
      <c r="AD877" s="41"/>
      <c r="AE877" s="41"/>
      <c r="AF877" s="40"/>
      <c r="AG877" s="40"/>
      <c r="AH877" s="5"/>
      <c r="AI877" s="5"/>
      <c r="AJ877" s="40"/>
      <c r="AK877" s="40"/>
      <c r="AL877" s="40"/>
      <c r="AM877" s="40"/>
      <c r="AO877" s="40"/>
      <c r="AQ877" s="40"/>
    </row>
    <row r="878" spans="2:43" ht="12.75" customHeight="1" x14ac:dyDescent="0.15">
      <c r="B878" s="40"/>
      <c r="C878" s="40"/>
      <c r="D878" s="40"/>
      <c r="E878" s="40"/>
      <c r="F878" s="40"/>
      <c r="G878" s="40"/>
      <c r="H878" s="53"/>
      <c r="R878" s="40"/>
      <c r="S878" s="40"/>
      <c r="T878" s="40"/>
      <c r="U878" s="40"/>
      <c r="V878" s="40"/>
      <c r="X878" s="40"/>
      <c r="Y878" s="40"/>
      <c r="Z878" s="40"/>
      <c r="AA878" s="41"/>
      <c r="AB878" s="41"/>
      <c r="AC878" s="41"/>
      <c r="AD878" s="41"/>
      <c r="AE878" s="41"/>
      <c r="AF878" s="40"/>
      <c r="AG878" s="40"/>
      <c r="AH878" s="5"/>
      <c r="AI878" s="5"/>
      <c r="AJ878" s="40"/>
      <c r="AK878" s="40"/>
      <c r="AL878" s="40"/>
      <c r="AM878" s="40"/>
      <c r="AO878" s="40"/>
      <c r="AQ878" s="40"/>
    </row>
    <row r="879" spans="2:43" ht="12.75" customHeight="1" x14ac:dyDescent="0.15">
      <c r="B879" s="40"/>
      <c r="C879" s="40"/>
      <c r="D879" s="40"/>
      <c r="E879" s="40"/>
      <c r="F879" s="40"/>
      <c r="G879" s="40"/>
      <c r="H879" s="53"/>
      <c r="R879" s="40"/>
      <c r="S879" s="40"/>
      <c r="T879" s="40"/>
      <c r="U879" s="40"/>
      <c r="V879" s="40"/>
      <c r="X879" s="40"/>
      <c r="Y879" s="40"/>
      <c r="Z879" s="40"/>
      <c r="AA879" s="41"/>
      <c r="AB879" s="41"/>
      <c r="AC879" s="41"/>
      <c r="AD879" s="41"/>
      <c r="AE879" s="41"/>
      <c r="AF879" s="40"/>
      <c r="AG879" s="40"/>
      <c r="AH879" s="5"/>
      <c r="AI879" s="5"/>
      <c r="AJ879" s="40"/>
      <c r="AK879" s="40"/>
      <c r="AL879" s="40"/>
      <c r="AM879" s="40"/>
      <c r="AO879" s="40"/>
      <c r="AQ879" s="40"/>
    </row>
    <row r="880" spans="2:43" ht="12.75" customHeight="1" x14ac:dyDescent="0.15">
      <c r="B880" s="40"/>
      <c r="C880" s="40"/>
      <c r="D880" s="40"/>
      <c r="E880" s="40"/>
      <c r="F880" s="40"/>
      <c r="G880" s="40"/>
      <c r="H880" s="53"/>
      <c r="R880" s="40"/>
      <c r="S880" s="40"/>
      <c r="T880" s="40"/>
      <c r="U880" s="40"/>
      <c r="V880" s="40"/>
      <c r="X880" s="40"/>
      <c r="Y880" s="40"/>
      <c r="Z880" s="40"/>
      <c r="AA880" s="41"/>
      <c r="AB880" s="41"/>
      <c r="AC880" s="41"/>
      <c r="AD880" s="41"/>
      <c r="AE880" s="41"/>
      <c r="AF880" s="40"/>
      <c r="AG880" s="40"/>
      <c r="AH880" s="5"/>
      <c r="AI880" s="5"/>
      <c r="AJ880" s="40"/>
      <c r="AK880" s="40"/>
      <c r="AL880" s="40"/>
      <c r="AM880" s="40"/>
      <c r="AO880" s="40"/>
      <c r="AQ880" s="40"/>
    </row>
    <row r="881" spans="2:43" ht="12.75" customHeight="1" x14ac:dyDescent="0.15">
      <c r="B881" s="40"/>
      <c r="C881" s="40"/>
      <c r="D881" s="40"/>
      <c r="E881" s="40"/>
      <c r="F881" s="40"/>
      <c r="G881" s="40"/>
      <c r="H881" s="53"/>
      <c r="R881" s="40"/>
      <c r="S881" s="40"/>
      <c r="T881" s="40"/>
      <c r="U881" s="40"/>
      <c r="V881" s="40"/>
      <c r="X881" s="40"/>
      <c r="Y881" s="40"/>
      <c r="Z881" s="40"/>
      <c r="AA881" s="41"/>
      <c r="AB881" s="41"/>
      <c r="AC881" s="41"/>
      <c r="AD881" s="41"/>
      <c r="AE881" s="41"/>
      <c r="AF881" s="40"/>
      <c r="AG881" s="40"/>
      <c r="AH881" s="5"/>
      <c r="AI881" s="5"/>
      <c r="AJ881" s="40"/>
      <c r="AK881" s="40"/>
      <c r="AL881" s="40"/>
      <c r="AM881" s="40"/>
      <c r="AO881" s="40"/>
      <c r="AQ881" s="40"/>
    </row>
    <row r="882" spans="2:43" ht="12.75" customHeight="1" x14ac:dyDescent="0.15">
      <c r="B882" s="40"/>
      <c r="C882" s="40"/>
      <c r="D882" s="40"/>
      <c r="E882" s="40"/>
      <c r="F882" s="40"/>
      <c r="G882" s="40"/>
      <c r="H882" s="53"/>
      <c r="R882" s="40"/>
      <c r="S882" s="40"/>
      <c r="T882" s="40"/>
      <c r="U882" s="40"/>
      <c r="V882" s="40"/>
      <c r="X882" s="40"/>
      <c r="Y882" s="40"/>
      <c r="Z882" s="40"/>
      <c r="AA882" s="41"/>
      <c r="AB882" s="41"/>
      <c r="AC882" s="41"/>
      <c r="AD882" s="41"/>
      <c r="AE882" s="41"/>
      <c r="AF882" s="40"/>
      <c r="AG882" s="40"/>
      <c r="AH882" s="5"/>
      <c r="AI882" s="5"/>
      <c r="AJ882" s="40"/>
      <c r="AK882" s="40"/>
      <c r="AL882" s="40"/>
      <c r="AM882" s="40"/>
      <c r="AO882" s="40"/>
      <c r="AQ882" s="40"/>
    </row>
    <row r="883" spans="2:43" ht="12.75" customHeight="1" x14ac:dyDescent="0.15">
      <c r="B883" s="40"/>
      <c r="C883" s="40"/>
      <c r="D883" s="40"/>
      <c r="E883" s="40"/>
      <c r="F883" s="40"/>
      <c r="G883" s="40"/>
      <c r="H883" s="53"/>
      <c r="R883" s="40"/>
      <c r="S883" s="40"/>
      <c r="T883" s="40"/>
      <c r="U883" s="40"/>
      <c r="V883" s="40"/>
      <c r="X883" s="40"/>
      <c r="Y883" s="40"/>
      <c r="Z883" s="40"/>
      <c r="AA883" s="41"/>
      <c r="AB883" s="41"/>
      <c r="AC883" s="41"/>
      <c r="AD883" s="41"/>
      <c r="AE883" s="41"/>
      <c r="AF883" s="40"/>
      <c r="AG883" s="40"/>
      <c r="AH883" s="5"/>
      <c r="AI883" s="5"/>
      <c r="AJ883" s="40"/>
      <c r="AK883" s="40"/>
      <c r="AL883" s="40"/>
      <c r="AM883" s="40"/>
      <c r="AO883" s="40"/>
      <c r="AQ883" s="40"/>
    </row>
    <row r="884" spans="2:43" ht="12.75" customHeight="1" x14ac:dyDescent="0.15">
      <c r="B884" s="40"/>
      <c r="C884" s="40"/>
      <c r="D884" s="40"/>
      <c r="E884" s="40"/>
      <c r="F884" s="40"/>
      <c r="G884" s="40"/>
      <c r="H884" s="53"/>
      <c r="R884" s="40"/>
      <c r="S884" s="40"/>
      <c r="T884" s="40"/>
      <c r="U884" s="40"/>
      <c r="V884" s="40"/>
      <c r="X884" s="40"/>
      <c r="Y884" s="40"/>
      <c r="Z884" s="40"/>
      <c r="AA884" s="41"/>
      <c r="AB884" s="41"/>
      <c r="AC884" s="41"/>
      <c r="AD884" s="41"/>
      <c r="AE884" s="41"/>
      <c r="AF884" s="40"/>
      <c r="AG884" s="40"/>
      <c r="AH884" s="5"/>
      <c r="AI884" s="5"/>
      <c r="AJ884" s="40"/>
      <c r="AK884" s="40"/>
      <c r="AL884" s="40"/>
      <c r="AM884" s="40"/>
      <c r="AO884" s="40"/>
      <c r="AQ884" s="40"/>
    </row>
    <row r="885" spans="2:43" ht="12.75" customHeight="1" x14ac:dyDescent="0.15">
      <c r="B885" s="40"/>
      <c r="C885" s="40"/>
      <c r="D885" s="40"/>
      <c r="E885" s="40"/>
      <c r="F885" s="40"/>
      <c r="G885" s="40"/>
      <c r="H885" s="53"/>
      <c r="R885" s="40"/>
      <c r="S885" s="40"/>
      <c r="T885" s="40"/>
      <c r="U885" s="40"/>
      <c r="V885" s="40"/>
      <c r="X885" s="40"/>
      <c r="Y885" s="40"/>
      <c r="Z885" s="40"/>
      <c r="AA885" s="41"/>
      <c r="AB885" s="41"/>
      <c r="AC885" s="41"/>
      <c r="AD885" s="41"/>
      <c r="AE885" s="41"/>
      <c r="AF885" s="40"/>
      <c r="AG885" s="40"/>
      <c r="AH885" s="5"/>
      <c r="AI885" s="5"/>
      <c r="AJ885" s="40"/>
      <c r="AK885" s="40"/>
      <c r="AL885" s="40"/>
      <c r="AM885" s="40"/>
      <c r="AO885" s="40"/>
      <c r="AQ885" s="40"/>
    </row>
    <row r="886" spans="2:43" ht="12.75" customHeight="1" x14ac:dyDescent="0.15">
      <c r="B886" s="40"/>
      <c r="C886" s="40"/>
      <c r="D886" s="40"/>
      <c r="E886" s="40"/>
      <c r="F886" s="40"/>
      <c r="G886" s="40"/>
      <c r="H886" s="53"/>
      <c r="R886" s="40"/>
      <c r="S886" s="40"/>
      <c r="T886" s="40"/>
      <c r="U886" s="40"/>
      <c r="V886" s="40"/>
      <c r="X886" s="40"/>
      <c r="Y886" s="40"/>
      <c r="Z886" s="40"/>
      <c r="AA886" s="41"/>
      <c r="AB886" s="41"/>
      <c r="AC886" s="41"/>
      <c r="AD886" s="41"/>
      <c r="AE886" s="41"/>
      <c r="AF886" s="40"/>
      <c r="AG886" s="40"/>
      <c r="AH886" s="5"/>
      <c r="AI886" s="5"/>
      <c r="AJ886" s="40"/>
      <c r="AK886" s="40"/>
      <c r="AL886" s="40"/>
      <c r="AM886" s="40"/>
      <c r="AO886" s="40"/>
      <c r="AQ886" s="40"/>
    </row>
    <row r="887" spans="2:43" ht="12.75" customHeight="1" x14ac:dyDescent="0.15">
      <c r="B887" s="40"/>
      <c r="C887" s="40"/>
      <c r="D887" s="40"/>
      <c r="E887" s="40"/>
      <c r="F887" s="40"/>
      <c r="G887" s="40"/>
      <c r="H887" s="53"/>
      <c r="R887" s="40"/>
      <c r="S887" s="40"/>
      <c r="T887" s="40"/>
      <c r="U887" s="40"/>
      <c r="V887" s="40"/>
      <c r="X887" s="40"/>
      <c r="Y887" s="40"/>
      <c r="Z887" s="40"/>
      <c r="AA887" s="41"/>
      <c r="AB887" s="41"/>
      <c r="AC887" s="41"/>
      <c r="AD887" s="41"/>
      <c r="AE887" s="41"/>
      <c r="AF887" s="40"/>
      <c r="AG887" s="40"/>
      <c r="AH887" s="5"/>
      <c r="AI887" s="5"/>
      <c r="AJ887" s="40"/>
      <c r="AK887" s="40"/>
      <c r="AL887" s="40"/>
      <c r="AM887" s="40"/>
      <c r="AO887" s="40"/>
      <c r="AQ887" s="40"/>
    </row>
    <row r="888" spans="2:43" ht="12.75" customHeight="1" x14ac:dyDescent="0.15">
      <c r="B888" s="40"/>
      <c r="C888" s="40"/>
      <c r="D888" s="40"/>
      <c r="E888" s="40"/>
      <c r="F888" s="40"/>
      <c r="G888" s="40"/>
      <c r="H888" s="53"/>
      <c r="R888" s="40"/>
      <c r="S888" s="40"/>
      <c r="T888" s="40"/>
      <c r="U888" s="40"/>
      <c r="V888" s="40"/>
      <c r="X888" s="40"/>
      <c r="Y888" s="40"/>
      <c r="Z888" s="40"/>
      <c r="AA888" s="41"/>
      <c r="AB888" s="41"/>
      <c r="AC888" s="41"/>
      <c r="AD888" s="41"/>
      <c r="AE888" s="41"/>
      <c r="AF888" s="40"/>
      <c r="AG888" s="40"/>
      <c r="AH888" s="5"/>
      <c r="AI888" s="5"/>
      <c r="AJ888" s="40"/>
      <c r="AK888" s="40"/>
      <c r="AL888" s="40"/>
      <c r="AM888" s="40"/>
      <c r="AO888" s="40"/>
      <c r="AQ888" s="40"/>
    </row>
    <row r="889" spans="2:43" ht="12.75" customHeight="1" x14ac:dyDescent="0.15">
      <c r="B889" s="40"/>
      <c r="C889" s="40"/>
      <c r="D889" s="40"/>
      <c r="E889" s="40"/>
      <c r="F889" s="40"/>
      <c r="G889" s="40"/>
      <c r="H889" s="53"/>
      <c r="R889" s="40"/>
      <c r="S889" s="40"/>
      <c r="T889" s="40"/>
      <c r="U889" s="40"/>
      <c r="V889" s="40"/>
      <c r="X889" s="40"/>
      <c r="Y889" s="40"/>
      <c r="Z889" s="40"/>
      <c r="AA889" s="41"/>
      <c r="AB889" s="41"/>
      <c r="AC889" s="41"/>
      <c r="AD889" s="41"/>
      <c r="AE889" s="41"/>
      <c r="AF889" s="40"/>
      <c r="AG889" s="40"/>
      <c r="AH889" s="5"/>
      <c r="AI889" s="5"/>
      <c r="AJ889" s="40"/>
      <c r="AK889" s="40"/>
      <c r="AL889" s="40"/>
      <c r="AM889" s="40"/>
      <c r="AO889" s="40"/>
      <c r="AQ889" s="40"/>
    </row>
    <row r="890" spans="2:43" ht="12.75" customHeight="1" x14ac:dyDescent="0.15">
      <c r="B890" s="40"/>
      <c r="C890" s="40"/>
      <c r="D890" s="40"/>
      <c r="E890" s="40"/>
      <c r="F890" s="40"/>
      <c r="G890" s="40"/>
      <c r="H890" s="53"/>
      <c r="R890" s="40"/>
      <c r="S890" s="40"/>
      <c r="T890" s="40"/>
      <c r="U890" s="40"/>
      <c r="V890" s="40"/>
      <c r="X890" s="40"/>
      <c r="Y890" s="40"/>
      <c r="Z890" s="40"/>
      <c r="AA890" s="41"/>
      <c r="AB890" s="41"/>
      <c r="AC890" s="41"/>
      <c r="AD890" s="41"/>
      <c r="AE890" s="41"/>
      <c r="AF890" s="40"/>
      <c r="AG890" s="40"/>
      <c r="AH890" s="5"/>
      <c r="AI890" s="5"/>
      <c r="AJ890" s="40"/>
      <c r="AK890" s="40"/>
      <c r="AL890" s="40"/>
      <c r="AM890" s="40"/>
      <c r="AO890" s="40"/>
      <c r="AQ890" s="40"/>
    </row>
    <row r="891" spans="2:43" ht="12.75" customHeight="1" x14ac:dyDescent="0.15">
      <c r="B891" s="40"/>
      <c r="C891" s="40"/>
      <c r="D891" s="40"/>
      <c r="E891" s="40"/>
      <c r="F891" s="40"/>
      <c r="G891" s="40"/>
      <c r="H891" s="53"/>
      <c r="R891" s="40"/>
      <c r="S891" s="40"/>
      <c r="T891" s="40"/>
      <c r="U891" s="40"/>
      <c r="V891" s="40"/>
      <c r="X891" s="40"/>
      <c r="Y891" s="40"/>
      <c r="Z891" s="40"/>
      <c r="AA891" s="41"/>
      <c r="AB891" s="41"/>
      <c r="AC891" s="41"/>
      <c r="AD891" s="41"/>
      <c r="AE891" s="41"/>
      <c r="AF891" s="40"/>
      <c r="AG891" s="40"/>
      <c r="AH891" s="5"/>
      <c r="AI891" s="5"/>
      <c r="AJ891" s="40"/>
      <c r="AK891" s="40"/>
      <c r="AL891" s="40"/>
      <c r="AM891" s="40"/>
      <c r="AO891" s="40"/>
      <c r="AQ891" s="40"/>
    </row>
    <row r="892" spans="2:43" ht="12.75" customHeight="1" x14ac:dyDescent="0.15">
      <c r="B892" s="40"/>
      <c r="C892" s="40"/>
      <c r="D892" s="40"/>
      <c r="E892" s="40"/>
      <c r="F892" s="40"/>
      <c r="G892" s="40"/>
      <c r="H892" s="53"/>
      <c r="R892" s="40"/>
      <c r="S892" s="40"/>
      <c r="T892" s="40"/>
      <c r="U892" s="40"/>
      <c r="V892" s="40"/>
      <c r="X892" s="40"/>
      <c r="Y892" s="40"/>
      <c r="Z892" s="40"/>
      <c r="AA892" s="41"/>
      <c r="AB892" s="41"/>
      <c r="AC892" s="41"/>
      <c r="AD892" s="41"/>
      <c r="AE892" s="41"/>
      <c r="AF892" s="40"/>
      <c r="AG892" s="40"/>
      <c r="AH892" s="5"/>
      <c r="AI892" s="5"/>
      <c r="AJ892" s="40"/>
      <c r="AK892" s="40"/>
      <c r="AL892" s="40"/>
      <c r="AM892" s="40"/>
      <c r="AO892" s="40"/>
      <c r="AQ892" s="40"/>
    </row>
    <row r="893" spans="2:43" ht="12.75" customHeight="1" x14ac:dyDescent="0.15">
      <c r="B893" s="40"/>
      <c r="C893" s="40"/>
      <c r="D893" s="40"/>
      <c r="E893" s="40"/>
      <c r="F893" s="40"/>
      <c r="G893" s="40"/>
      <c r="H893" s="53"/>
      <c r="R893" s="40"/>
      <c r="S893" s="40"/>
      <c r="T893" s="40"/>
      <c r="U893" s="40"/>
      <c r="V893" s="40"/>
      <c r="X893" s="40"/>
      <c r="Y893" s="40"/>
      <c r="Z893" s="40"/>
      <c r="AA893" s="41"/>
      <c r="AB893" s="41"/>
      <c r="AC893" s="41"/>
      <c r="AD893" s="41"/>
      <c r="AE893" s="41"/>
      <c r="AF893" s="40"/>
      <c r="AG893" s="40"/>
      <c r="AH893" s="5"/>
      <c r="AI893" s="5"/>
      <c r="AJ893" s="40"/>
      <c r="AK893" s="40"/>
      <c r="AL893" s="40"/>
      <c r="AM893" s="40"/>
      <c r="AO893" s="40"/>
      <c r="AQ893" s="40"/>
    </row>
    <row r="894" spans="2:43" ht="12.75" customHeight="1" x14ac:dyDescent="0.15">
      <c r="B894" s="40"/>
      <c r="C894" s="40"/>
      <c r="D894" s="40"/>
      <c r="E894" s="40"/>
      <c r="F894" s="40"/>
      <c r="G894" s="40"/>
      <c r="H894" s="53"/>
      <c r="R894" s="40"/>
      <c r="S894" s="40"/>
      <c r="T894" s="40"/>
      <c r="U894" s="40"/>
      <c r="V894" s="40"/>
      <c r="X894" s="40"/>
      <c r="Y894" s="40"/>
      <c r="Z894" s="40"/>
      <c r="AA894" s="41"/>
      <c r="AB894" s="41"/>
      <c r="AC894" s="41"/>
      <c r="AD894" s="41"/>
      <c r="AE894" s="41"/>
      <c r="AF894" s="40"/>
      <c r="AG894" s="40"/>
      <c r="AH894" s="5"/>
      <c r="AI894" s="5"/>
      <c r="AJ894" s="40"/>
      <c r="AK894" s="40"/>
      <c r="AL894" s="40"/>
      <c r="AM894" s="40"/>
      <c r="AO894" s="40"/>
      <c r="AQ894" s="40"/>
    </row>
    <row r="895" spans="2:43" ht="12.75" customHeight="1" x14ac:dyDescent="0.15">
      <c r="B895" s="40"/>
      <c r="C895" s="40"/>
      <c r="D895" s="40"/>
      <c r="E895" s="40"/>
      <c r="F895" s="40"/>
      <c r="G895" s="40"/>
      <c r="H895" s="53"/>
      <c r="R895" s="40"/>
      <c r="S895" s="40"/>
      <c r="T895" s="40"/>
      <c r="U895" s="40"/>
      <c r="V895" s="40"/>
      <c r="X895" s="40"/>
      <c r="Y895" s="40"/>
      <c r="Z895" s="40"/>
      <c r="AA895" s="41"/>
      <c r="AB895" s="41"/>
      <c r="AC895" s="41"/>
      <c r="AD895" s="41"/>
      <c r="AE895" s="41"/>
      <c r="AF895" s="40"/>
      <c r="AG895" s="40"/>
      <c r="AH895" s="5"/>
      <c r="AI895" s="5"/>
      <c r="AJ895" s="40"/>
      <c r="AK895" s="40"/>
      <c r="AL895" s="40"/>
      <c r="AM895" s="40"/>
      <c r="AO895" s="40"/>
      <c r="AQ895" s="40"/>
    </row>
    <row r="896" spans="2:43" ht="12.75" customHeight="1" x14ac:dyDescent="0.15">
      <c r="B896" s="40"/>
      <c r="C896" s="40"/>
      <c r="D896" s="40"/>
      <c r="E896" s="40"/>
      <c r="F896" s="40"/>
      <c r="G896" s="40"/>
      <c r="H896" s="53"/>
      <c r="R896" s="40"/>
      <c r="S896" s="40"/>
      <c r="T896" s="40"/>
      <c r="U896" s="40"/>
      <c r="V896" s="40"/>
      <c r="X896" s="40"/>
      <c r="Y896" s="40"/>
      <c r="Z896" s="40"/>
      <c r="AA896" s="41"/>
      <c r="AB896" s="41"/>
      <c r="AC896" s="41"/>
      <c r="AD896" s="41"/>
      <c r="AE896" s="41"/>
      <c r="AF896" s="40"/>
      <c r="AG896" s="40"/>
      <c r="AH896" s="5"/>
      <c r="AI896" s="5"/>
      <c r="AJ896" s="40"/>
      <c r="AK896" s="40"/>
      <c r="AL896" s="40"/>
      <c r="AM896" s="40"/>
      <c r="AO896" s="40"/>
      <c r="AQ896" s="40"/>
    </row>
    <row r="897" spans="2:43" ht="12.75" customHeight="1" x14ac:dyDescent="0.15">
      <c r="B897" s="40"/>
      <c r="C897" s="40"/>
      <c r="D897" s="40"/>
      <c r="E897" s="40"/>
      <c r="F897" s="40"/>
      <c r="G897" s="40"/>
      <c r="H897" s="53"/>
      <c r="R897" s="40"/>
      <c r="S897" s="40"/>
      <c r="T897" s="40"/>
      <c r="U897" s="40"/>
      <c r="V897" s="40"/>
      <c r="X897" s="40"/>
      <c r="Y897" s="40"/>
      <c r="Z897" s="40"/>
      <c r="AA897" s="41"/>
      <c r="AB897" s="41"/>
      <c r="AC897" s="41"/>
      <c r="AD897" s="41"/>
      <c r="AE897" s="41"/>
      <c r="AF897" s="40"/>
      <c r="AG897" s="40"/>
      <c r="AH897" s="5"/>
      <c r="AI897" s="5"/>
      <c r="AJ897" s="40"/>
      <c r="AK897" s="40"/>
      <c r="AL897" s="40"/>
      <c r="AM897" s="40"/>
      <c r="AO897" s="40"/>
      <c r="AQ897" s="40"/>
    </row>
    <row r="898" spans="2:43" ht="12.75" customHeight="1" x14ac:dyDescent="0.15">
      <c r="B898" s="40"/>
      <c r="C898" s="40"/>
      <c r="D898" s="40"/>
      <c r="E898" s="40"/>
      <c r="F898" s="40"/>
      <c r="G898" s="40"/>
      <c r="H898" s="53"/>
      <c r="R898" s="40"/>
      <c r="S898" s="40"/>
      <c r="T898" s="40"/>
      <c r="U898" s="40"/>
      <c r="V898" s="40"/>
      <c r="X898" s="40"/>
      <c r="Y898" s="40"/>
      <c r="Z898" s="40"/>
      <c r="AA898" s="41"/>
      <c r="AB898" s="41"/>
      <c r="AC898" s="41"/>
      <c r="AD898" s="41"/>
      <c r="AE898" s="41"/>
      <c r="AF898" s="40"/>
      <c r="AG898" s="40"/>
      <c r="AH898" s="5"/>
      <c r="AI898" s="5"/>
      <c r="AJ898" s="40"/>
      <c r="AK898" s="40"/>
      <c r="AL898" s="40"/>
      <c r="AM898" s="40"/>
      <c r="AO898" s="40"/>
      <c r="AQ898" s="40"/>
    </row>
    <row r="899" spans="2:43" ht="12.75" customHeight="1" x14ac:dyDescent="0.15">
      <c r="B899" s="40"/>
      <c r="C899" s="40"/>
      <c r="D899" s="40"/>
      <c r="E899" s="40"/>
      <c r="F899" s="40"/>
      <c r="G899" s="40"/>
      <c r="H899" s="53"/>
      <c r="R899" s="40"/>
      <c r="S899" s="40"/>
      <c r="T899" s="40"/>
      <c r="U899" s="40"/>
      <c r="V899" s="40"/>
      <c r="X899" s="40"/>
      <c r="Y899" s="40"/>
      <c r="Z899" s="40"/>
      <c r="AA899" s="41"/>
      <c r="AB899" s="41"/>
      <c r="AC899" s="41"/>
      <c r="AD899" s="41"/>
      <c r="AE899" s="41"/>
      <c r="AF899" s="40"/>
      <c r="AG899" s="40"/>
      <c r="AH899" s="5"/>
      <c r="AI899" s="5"/>
      <c r="AJ899" s="40"/>
      <c r="AK899" s="40"/>
      <c r="AL899" s="40"/>
      <c r="AM899" s="40"/>
      <c r="AO899" s="40"/>
      <c r="AQ899" s="40"/>
    </row>
    <row r="900" spans="2:43" ht="12.75" customHeight="1" x14ac:dyDescent="0.15">
      <c r="B900" s="40"/>
      <c r="C900" s="40"/>
      <c r="D900" s="40"/>
      <c r="E900" s="40"/>
      <c r="F900" s="40"/>
      <c r="G900" s="40"/>
      <c r="H900" s="53"/>
      <c r="R900" s="40"/>
      <c r="S900" s="40"/>
      <c r="T900" s="40"/>
      <c r="U900" s="40"/>
      <c r="V900" s="40"/>
      <c r="X900" s="40"/>
      <c r="Y900" s="40"/>
      <c r="Z900" s="40"/>
      <c r="AA900" s="41"/>
      <c r="AB900" s="41"/>
      <c r="AC900" s="41"/>
      <c r="AD900" s="41"/>
      <c r="AE900" s="41"/>
      <c r="AF900" s="40"/>
      <c r="AG900" s="40"/>
      <c r="AH900" s="5"/>
      <c r="AI900" s="5"/>
      <c r="AJ900" s="40"/>
      <c r="AK900" s="40"/>
      <c r="AL900" s="40"/>
      <c r="AM900" s="40"/>
      <c r="AO900" s="40"/>
      <c r="AQ900" s="40"/>
    </row>
    <row r="901" spans="2:43" ht="12.75" customHeight="1" x14ac:dyDescent="0.15">
      <c r="B901" s="40"/>
      <c r="C901" s="40"/>
      <c r="D901" s="40"/>
      <c r="E901" s="40"/>
      <c r="F901" s="40"/>
      <c r="G901" s="40"/>
      <c r="H901" s="53"/>
      <c r="R901" s="40"/>
      <c r="S901" s="40"/>
      <c r="T901" s="40"/>
      <c r="U901" s="40"/>
      <c r="V901" s="40"/>
      <c r="X901" s="40"/>
      <c r="Y901" s="40"/>
      <c r="Z901" s="40"/>
      <c r="AA901" s="41"/>
      <c r="AB901" s="41"/>
      <c r="AC901" s="41"/>
      <c r="AD901" s="41"/>
      <c r="AE901" s="41"/>
      <c r="AF901" s="40"/>
      <c r="AG901" s="40"/>
      <c r="AH901" s="5"/>
      <c r="AI901" s="5"/>
      <c r="AJ901" s="40"/>
      <c r="AK901" s="40"/>
      <c r="AL901" s="40"/>
      <c r="AM901" s="40"/>
      <c r="AO901" s="40"/>
      <c r="AQ901" s="40"/>
    </row>
    <row r="902" spans="2:43" ht="12.75" customHeight="1" x14ac:dyDescent="0.15">
      <c r="B902" s="40"/>
      <c r="C902" s="40"/>
      <c r="D902" s="40"/>
      <c r="E902" s="40"/>
      <c r="F902" s="40"/>
      <c r="G902" s="40"/>
      <c r="H902" s="53"/>
      <c r="R902" s="40"/>
      <c r="S902" s="40"/>
      <c r="T902" s="40"/>
      <c r="U902" s="40"/>
      <c r="V902" s="40"/>
      <c r="X902" s="40"/>
      <c r="Y902" s="40"/>
      <c r="Z902" s="40"/>
      <c r="AA902" s="41"/>
      <c r="AB902" s="41"/>
      <c r="AC902" s="41"/>
      <c r="AD902" s="41"/>
      <c r="AE902" s="41"/>
      <c r="AF902" s="40"/>
      <c r="AG902" s="40"/>
      <c r="AH902" s="5"/>
      <c r="AI902" s="5"/>
      <c r="AJ902" s="40"/>
      <c r="AK902" s="40"/>
      <c r="AL902" s="40"/>
      <c r="AM902" s="40"/>
      <c r="AO902" s="40"/>
      <c r="AQ902" s="40"/>
    </row>
    <row r="903" spans="2:43" ht="12.75" customHeight="1" x14ac:dyDescent="0.15">
      <c r="B903" s="40"/>
      <c r="C903" s="40"/>
      <c r="D903" s="40"/>
      <c r="E903" s="40"/>
      <c r="F903" s="40"/>
      <c r="G903" s="40"/>
      <c r="H903" s="53"/>
      <c r="R903" s="40"/>
      <c r="S903" s="40"/>
      <c r="T903" s="40"/>
      <c r="U903" s="40"/>
      <c r="V903" s="40"/>
      <c r="X903" s="40"/>
      <c r="Y903" s="40"/>
      <c r="Z903" s="40"/>
      <c r="AA903" s="41"/>
      <c r="AB903" s="41"/>
      <c r="AC903" s="41"/>
      <c r="AD903" s="41"/>
      <c r="AE903" s="41"/>
      <c r="AF903" s="40"/>
      <c r="AG903" s="40"/>
      <c r="AH903" s="5"/>
      <c r="AI903" s="5"/>
      <c r="AJ903" s="40"/>
      <c r="AK903" s="40"/>
      <c r="AL903" s="40"/>
      <c r="AM903" s="40"/>
      <c r="AO903" s="40"/>
      <c r="AQ903" s="40"/>
    </row>
    <row r="904" spans="2:43" ht="12.75" customHeight="1" x14ac:dyDescent="0.15">
      <c r="B904" s="40"/>
      <c r="C904" s="40"/>
      <c r="D904" s="40"/>
      <c r="E904" s="40"/>
      <c r="F904" s="40"/>
      <c r="G904" s="40"/>
      <c r="H904" s="53"/>
      <c r="R904" s="40"/>
      <c r="S904" s="40"/>
      <c r="T904" s="40"/>
      <c r="U904" s="40"/>
      <c r="V904" s="40"/>
      <c r="X904" s="40"/>
      <c r="Y904" s="40"/>
      <c r="Z904" s="40"/>
      <c r="AA904" s="41"/>
      <c r="AB904" s="41"/>
      <c r="AC904" s="41"/>
      <c r="AD904" s="41"/>
      <c r="AE904" s="41"/>
      <c r="AF904" s="40"/>
      <c r="AG904" s="40"/>
      <c r="AH904" s="5"/>
      <c r="AI904" s="5"/>
      <c r="AJ904" s="40"/>
      <c r="AK904" s="40"/>
      <c r="AL904" s="40"/>
      <c r="AM904" s="40"/>
      <c r="AO904" s="40"/>
      <c r="AQ904" s="40"/>
    </row>
    <row r="905" spans="2:43" ht="12.75" customHeight="1" x14ac:dyDescent="0.15">
      <c r="B905" s="40"/>
      <c r="C905" s="40"/>
      <c r="D905" s="40"/>
      <c r="E905" s="40"/>
      <c r="F905" s="40"/>
      <c r="G905" s="40"/>
      <c r="H905" s="53"/>
      <c r="R905" s="40"/>
      <c r="S905" s="40"/>
      <c r="T905" s="40"/>
      <c r="U905" s="40"/>
      <c r="V905" s="40"/>
      <c r="X905" s="40"/>
      <c r="Y905" s="40"/>
      <c r="Z905" s="40"/>
      <c r="AA905" s="41"/>
      <c r="AB905" s="41"/>
      <c r="AC905" s="41"/>
      <c r="AD905" s="41"/>
      <c r="AE905" s="41"/>
      <c r="AF905" s="40"/>
      <c r="AG905" s="40"/>
      <c r="AH905" s="5"/>
      <c r="AI905" s="5"/>
      <c r="AJ905" s="40"/>
      <c r="AK905" s="40"/>
      <c r="AL905" s="40"/>
      <c r="AM905" s="40"/>
      <c r="AO905" s="40"/>
      <c r="AQ905" s="40"/>
    </row>
    <row r="906" spans="2:43" ht="12.75" customHeight="1" x14ac:dyDescent="0.15">
      <c r="B906" s="40"/>
      <c r="C906" s="40"/>
      <c r="D906" s="40"/>
      <c r="E906" s="40"/>
      <c r="F906" s="40"/>
      <c r="G906" s="40"/>
      <c r="H906" s="53"/>
      <c r="R906" s="40"/>
      <c r="S906" s="40"/>
      <c r="T906" s="40"/>
      <c r="U906" s="40"/>
      <c r="V906" s="40"/>
      <c r="X906" s="40"/>
      <c r="Y906" s="40"/>
      <c r="Z906" s="40"/>
      <c r="AA906" s="41"/>
      <c r="AB906" s="41"/>
      <c r="AC906" s="41"/>
      <c r="AD906" s="41"/>
      <c r="AE906" s="41"/>
      <c r="AF906" s="40"/>
      <c r="AG906" s="40"/>
      <c r="AH906" s="5"/>
      <c r="AI906" s="5"/>
      <c r="AJ906" s="40"/>
      <c r="AK906" s="40"/>
      <c r="AL906" s="40"/>
      <c r="AM906" s="40"/>
      <c r="AO906" s="40"/>
      <c r="AQ906" s="40"/>
    </row>
    <row r="907" spans="2:43" ht="12.75" customHeight="1" x14ac:dyDescent="0.15">
      <c r="B907" s="40"/>
      <c r="C907" s="40"/>
      <c r="D907" s="40"/>
      <c r="E907" s="40"/>
      <c r="F907" s="40"/>
      <c r="G907" s="40"/>
      <c r="H907" s="53"/>
      <c r="R907" s="40"/>
      <c r="S907" s="40"/>
      <c r="T907" s="40"/>
      <c r="U907" s="40"/>
      <c r="V907" s="40"/>
      <c r="X907" s="40"/>
      <c r="Y907" s="40"/>
      <c r="Z907" s="40"/>
      <c r="AA907" s="41"/>
      <c r="AB907" s="41"/>
      <c r="AC907" s="41"/>
      <c r="AD907" s="41"/>
      <c r="AE907" s="41"/>
      <c r="AF907" s="40"/>
      <c r="AG907" s="40"/>
      <c r="AH907" s="5"/>
      <c r="AI907" s="5"/>
      <c r="AJ907" s="40"/>
      <c r="AK907" s="40"/>
      <c r="AL907" s="40"/>
      <c r="AM907" s="40"/>
      <c r="AO907" s="40"/>
      <c r="AQ907" s="40"/>
    </row>
    <row r="908" spans="2:43" ht="12.75" customHeight="1" x14ac:dyDescent="0.15">
      <c r="B908" s="40"/>
      <c r="C908" s="40"/>
      <c r="D908" s="40"/>
      <c r="E908" s="40"/>
      <c r="F908" s="40"/>
      <c r="G908" s="40"/>
      <c r="H908" s="53"/>
      <c r="R908" s="40"/>
      <c r="S908" s="40"/>
      <c r="T908" s="40"/>
      <c r="U908" s="40"/>
      <c r="V908" s="40"/>
      <c r="X908" s="40"/>
      <c r="Y908" s="40"/>
      <c r="Z908" s="40"/>
      <c r="AA908" s="41"/>
      <c r="AB908" s="41"/>
      <c r="AC908" s="41"/>
      <c r="AD908" s="41"/>
      <c r="AE908" s="41"/>
      <c r="AF908" s="40"/>
      <c r="AG908" s="40"/>
      <c r="AH908" s="5"/>
      <c r="AI908" s="5"/>
      <c r="AJ908" s="40"/>
      <c r="AK908" s="40"/>
      <c r="AL908" s="40"/>
      <c r="AM908" s="40"/>
      <c r="AO908" s="40"/>
      <c r="AQ908" s="40"/>
    </row>
    <row r="909" spans="2:43" ht="12.75" customHeight="1" x14ac:dyDescent="0.15">
      <c r="B909" s="40"/>
      <c r="C909" s="40"/>
      <c r="D909" s="40"/>
      <c r="E909" s="40"/>
      <c r="F909" s="40"/>
      <c r="G909" s="40"/>
      <c r="H909" s="53"/>
      <c r="R909" s="40"/>
      <c r="S909" s="40"/>
      <c r="T909" s="40"/>
      <c r="U909" s="40"/>
      <c r="V909" s="40"/>
      <c r="X909" s="40"/>
      <c r="Y909" s="40"/>
      <c r="Z909" s="40"/>
      <c r="AA909" s="41"/>
      <c r="AB909" s="41"/>
      <c r="AC909" s="41"/>
      <c r="AD909" s="41"/>
      <c r="AE909" s="41"/>
      <c r="AF909" s="40"/>
      <c r="AG909" s="40"/>
      <c r="AH909" s="5"/>
      <c r="AI909" s="5"/>
      <c r="AJ909" s="40"/>
      <c r="AK909" s="40"/>
      <c r="AL909" s="40"/>
      <c r="AM909" s="40"/>
      <c r="AO909" s="40"/>
      <c r="AQ909" s="40"/>
    </row>
    <row r="910" spans="2:43" ht="12.75" customHeight="1" x14ac:dyDescent="0.15">
      <c r="B910" s="40"/>
      <c r="C910" s="40"/>
      <c r="D910" s="40"/>
      <c r="E910" s="40"/>
      <c r="F910" s="40"/>
      <c r="G910" s="40"/>
      <c r="H910" s="53"/>
      <c r="R910" s="40"/>
      <c r="S910" s="40"/>
      <c r="T910" s="40"/>
      <c r="U910" s="40"/>
      <c r="V910" s="40"/>
      <c r="X910" s="40"/>
      <c r="Y910" s="40"/>
      <c r="Z910" s="40"/>
      <c r="AA910" s="41"/>
      <c r="AB910" s="41"/>
      <c r="AC910" s="41"/>
      <c r="AD910" s="41"/>
      <c r="AE910" s="41"/>
      <c r="AF910" s="40"/>
      <c r="AG910" s="40"/>
      <c r="AH910" s="5"/>
      <c r="AI910" s="5"/>
      <c r="AJ910" s="40"/>
      <c r="AK910" s="40"/>
      <c r="AL910" s="40"/>
      <c r="AM910" s="40"/>
      <c r="AO910" s="40"/>
      <c r="AQ910" s="40"/>
    </row>
    <row r="911" spans="2:43" ht="12.75" customHeight="1" x14ac:dyDescent="0.15">
      <c r="B911" s="40"/>
      <c r="C911" s="40"/>
      <c r="D911" s="40"/>
      <c r="E911" s="40"/>
      <c r="F911" s="40"/>
      <c r="G911" s="40"/>
      <c r="H911" s="53"/>
      <c r="R911" s="40"/>
      <c r="S911" s="40"/>
      <c r="T911" s="40"/>
      <c r="U911" s="40"/>
      <c r="V911" s="40"/>
      <c r="X911" s="40"/>
      <c r="Y911" s="40"/>
      <c r="Z911" s="40"/>
      <c r="AA911" s="41"/>
      <c r="AB911" s="41"/>
      <c r="AC911" s="41"/>
      <c r="AD911" s="41"/>
      <c r="AE911" s="41"/>
      <c r="AF911" s="40"/>
      <c r="AG911" s="40"/>
      <c r="AH911" s="5"/>
      <c r="AI911" s="5"/>
      <c r="AJ911" s="40"/>
      <c r="AK911" s="40"/>
      <c r="AL911" s="40"/>
      <c r="AM911" s="40"/>
      <c r="AO911" s="40"/>
      <c r="AQ911" s="40"/>
    </row>
    <row r="912" spans="2:43" ht="12.75" customHeight="1" x14ac:dyDescent="0.15">
      <c r="B912" s="40"/>
      <c r="C912" s="40"/>
      <c r="D912" s="40"/>
      <c r="E912" s="40"/>
      <c r="F912" s="40"/>
      <c r="G912" s="40"/>
      <c r="H912" s="53"/>
      <c r="R912" s="40"/>
      <c r="S912" s="40"/>
      <c r="T912" s="40"/>
      <c r="U912" s="40"/>
      <c r="V912" s="40"/>
      <c r="X912" s="40"/>
      <c r="Y912" s="40"/>
      <c r="Z912" s="40"/>
      <c r="AA912" s="41"/>
      <c r="AB912" s="41"/>
      <c r="AC912" s="41"/>
      <c r="AD912" s="41"/>
      <c r="AE912" s="41"/>
      <c r="AF912" s="40"/>
      <c r="AG912" s="40"/>
      <c r="AH912" s="5"/>
      <c r="AI912" s="5"/>
      <c r="AJ912" s="40"/>
      <c r="AK912" s="40"/>
      <c r="AL912" s="40"/>
      <c r="AM912" s="40"/>
      <c r="AO912" s="40"/>
      <c r="AQ912" s="40"/>
    </row>
    <row r="913" spans="2:43" ht="12.75" customHeight="1" x14ac:dyDescent="0.15">
      <c r="B913" s="40"/>
      <c r="C913" s="40"/>
      <c r="D913" s="40"/>
      <c r="E913" s="40"/>
      <c r="F913" s="40"/>
      <c r="G913" s="40"/>
      <c r="H913" s="53"/>
      <c r="R913" s="40"/>
      <c r="S913" s="40"/>
      <c r="T913" s="40"/>
      <c r="U913" s="40"/>
      <c r="V913" s="40"/>
      <c r="X913" s="40"/>
      <c r="Y913" s="40"/>
      <c r="Z913" s="40"/>
      <c r="AA913" s="41"/>
      <c r="AB913" s="41"/>
      <c r="AC913" s="41"/>
      <c r="AD913" s="41"/>
      <c r="AE913" s="41"/>
      <c r="AF913" s="40"/>
      <c r="AG913" s="40"/>
      <c r="AH913" s="5"/>
      <c r="AI913" s="5"/>
      <c r="AJ913" s="40"/>
      <c r="AK913" s="40"/>
      <c r="AL913" s="40"/>
      <c r="AM913" s="40"/>
      <c r="AO913" s="40"/>
      <c r="AQ913" s="40"/>
    </row>
    <row r="914" spans="2:43" ht="12.75" customHeight="1" x14ac:dyDescent="0.15">
      <c r="B914" s="40"/>
      <c r="C914" s="40"/>
      <c r="D914" s="40"/>
      <c r="E914" s="40"/>
      <c r="F914" s="40"/>
      <c r="G914" s="40"/>
      <c r="H914" s="53"/>
      <c r="R914" s="40"/>
      <c r="S914" s="40"/>
      <c r="T914" s="40"/>
      <c r="U914" s="40"/>
      <c r="V914" s="40"/>
      <c r="X914" s="40"/>
      <c r="Y914" s="40"/>
      <c r="Z914" s="40"/>
      <c r="AA914" s="41"/>
      <c r="AB914" s="41"/>
      <c r="AC914" s="41"/>
      <c r="AD914" s="41"/>
      <c r="AE914" s="41"/>
      <c r="AF914" s="40"/>
      <c r="AG914" s="40"/>
      <c r="AH914" s="5"/>
      <c r="AI914" s="5"/>
      <c r="AJ914" s="40"/>
      <c r="AK914" s="40"/>
      <c r="AL914" s="40"/>
      <c r="AM914" s="40"/>
      <c r="AO914" s="40"/>
      <c r="AQ914" s="40"/>
    </row>
    <row r="915" spans="2:43" ht="12.75" customHeight="1" x14ac:dyDescent="0.15">
      <c r="B915" s="40"/>
      <c r="C915" s="40"/>
      <c r="D915" s="40"/>
      <c r="E915" s="40"/>
      <c r="F915" s="40"/>
      <c r="G915" s="40"/>
      <c r="H915" s="53"/>
      <c r="R915" s="40"/>
      <c r="S915" s="40"/>
      <c r="T915" s="40"/>
      <c r="U915" s="40"/>
      <c r="V915" s="40"/>
      <c r="X915" s="40"/>
      <c r="Y915" s="40"/>
      <c r="Z915" s="40"/>
      <c r="AA915" s="41"/>
      <c r="AB915" s="41"/>
      <c r="AC915" s="41"/>
      <c r="AD915" s="41"/>
      <c r="AE915" s="41"/>
      <c r="AF915" s="40"/>
      <c r="AG915" s="40"/>
      <c r="AH915" s="5"/>
      <c r="AI915" s="5"/>
      <c r="AJ915" s="40"/>
      <c r="AK915" s="40"/>
      <c r="AL915" s="40"/>
      <c r="AM915" s="40"/>
      <c r="AO915" s="40"/>
      <c r="AQ915" s="40"/>
    </row>
    <row r="916" spans="2:43" ht="12.75" customHeight="1" x14ac:dyDescent="0.15">
      <c r="B916" s="40"/>
      <c r="C916" s="40"/>
      <c r="D916" s="40"/>
      <c r="E916" s="40"/>
      <c r="F916" s="40"/>
      <c r="G916" s="40"/>
      <c r="H916" s="53"/>
      <c r="R916" s="40"/>
      <c r="S916" s="40"/>
      <c r="T916" s="40"/>
      <c r="U916" s="40"/>
      <c r="V916" s="40"/>
      <c r="X916" s="40"/>
      <c r="Y916" s="40"/>
      <c r="Z916" s="40"/>
      <c r="AA916" s="41"/>
      <c r="AB916" s="41"/>
      <c r="AC916" s="41"/>
      <c r="AD916" s="41"/>
      <c r="AE916" s="41"/>
      <c r="AF916" s="40"/>
      <c r="AG916" s="40"/>
      <c r="AH916" s="5"/>
      <c r="AI916" s="5"/>
      <c r="AJ916" s="40"/>
      <c r="AK916" s="40"/>
      <c r="AL916" s="40"/>
      <c r="AM916" s="40"/>
      <c r="AO916" s="40"/>
      <c r="AQ916" s="40"/>
    </row>
    <row r="917" spans="2:43" ht="12.75" customHeight="1" x14ac:dyDescent="0.15">
      <c r="B917" s="40"/>
      <c r="C917" s="40"/>
      <c r="D917" s="40"/>
      <c r="E917" s="40"/>
      <c r="F917" s="40"/>
      <c r="G917" s="40"/>
      <c r="H917" s="53"/>
      <c r="R917" s="40"/>
      <c r="S917" s="40"/>
      <c r="T917" s="40"/>
      <c r="U917" s="40"/>
      <c r="V917" s="40"/>
      <c r="X917" s="40"/>
      <c r="Y917" s="40"/>
      <c r="Z917" s="40"/>
      <c r="AA917" s="41"/>
      <c r="AB917" s="41"/>
      <c r="AC917" s="41"/>
      <c r="AD917" s="41"/>
      <c r="AE917" s="41"/>
      <c r="AF917" s="40"/>
      <c r="AG917" s="40"/>
      <c r="AH917" s="5"/>
      <c r="AI917" s="5"/>
      <c r="AJ917" s="40"/>
      <c r="AK917" s="40"/>
      <c r="AL917" s="40"/>
      <c r="AM917" s="40"/>
      <c r="AO917" s="40"/>
      <c r="AQ917" s="40"/>
    </row>
    <row r="918" spans="2:43" ht="12.75" customHeight="1" x14ac:dyDescent="0.15">
      <c r="B918" s="40"/>
      <c r="C918" s="40"/>
      <c r="D918" s="40"/>
      <c r="E918" s="40"/>
      <c r="F918" s="40"/>
      <c r="G918" s="40"/>
      <c r="H918" s="53"/>
      <c r="R918" s="40"/>
      <c r="S918" s="40"/>
      <c r="T918" s="40"/>
      <c r="U918" s="40"/>
      <c r="V918" s="40"/>
      <c r="X918" s="40"/>
      <c r="Y918" s="40"/>
      <c r="Z918" s="40"/>
      <c r="AA918" s="41"/>
      <c r="AB918" s="41"/>
      <c r="AC918" s="41"/>
      <c r="AD918" s="41"/>
      <c r="AE918" s="41"/>
      <c r="AF918" s="40"/>
      <c r="AG918" s="40"/>
      <c r="AH918" s="5"/>
      <c r="AI918" s="5"/>
      <c r="AJ918" s="40"/>
      <c r="AK918" s="40"/>
      <c r="AL918" s="40"/>
      <c r="AM918" s="40"/>
      <c r="AO918" s="40"/>
      <c r="AQ918" s="40"/>
    </row>
    <row r="919" spans="2:43" ht="12.75" customHeight="1" x14ac:dyDescent="0.15">
      <c r="B919" s="40"/>
      <c r="C919" s="40"/>
      <c r="D919" s="40"/>
      <c r="E919" s="40"/>
      <c r="F919" s="40"/>
      <c r="G919" s="40"/>
      <c r="H919" s="53"/>
      <c r="R919" s="40"/>
      <c r="S919" s="40"/>
      <c r="T919" s="40"/>
      <c r="U919" s="40"/>
      <c r="V919" s="40"/>
      <c r="X919" s="40"/>
      <c r="Y919" s="40"/>
      <c r="Z919" s="40"/>
      <c r="AA919" s="41"/>
      <c r="AB919" s="41"/>
      <c r="AC919" s="41"/>
      <c r="AD919" s="41"/>
      <c r="AE919" s="41"/>
      <c r="AF919" s="40"/>
      <c r="AG919" s="40"/>
      <c r="AH919" s="5"/>
      <c r="AI919" s="5"/>
      <c r="AJ919" s="40"/>
      <c r="AK919" s="40"/>
      <c r="AL919" s="40"/>
      <c r="AM919" s="40"/>
      <c r="AO919" s="40"/>
      <c r="AQ919" s="40"/>
    </row>
    <row r="920" spans="2:43" ht="12.75" customHeight="1" x14ac:dyDescent="0.15">
      <c r="B920" s="40"/>
      <c r="C920" s="40"/>
      <c r="D920" s="40"/>
      <c r="E920" s="40"/>
      <c r="F920" s="40"/>
      <c r="G920" s="40"/>
      <c r="H920" s="53"/>
      <c r="R920" s="40"/>
      <c r="S920" s="40"/>
      <c r="T920" s="40"/>
      <c r="U920" s="40"/>
      <c r="V920" s="40"/>
      <c r="X920" s="40"/>
      <c r="Y920" s="40"/>
      <c r="Z920" s="40"/>
      <c r="AA920" s="41"/>
      <c r="AB920" s="41"/>
      <c r="AC920" s="41"/>
      <c r="AD920" s="41"/>
      <c r="AE920" s="41"/>
      <c r="AF920" s="40"/>
      <c r="AG920" s="40"/>
      <c r="AH920" s="5"/>
      <c r="AI920" s="5"/>
      <c r="AJ920" s="40"/>
      <c r="AK920" s="40"/>
      <c r="AL920" s="40"/>
      <c r="AM920" s="40"/>
      <c r="AO920" s="40"/>
      <c r="AQ920" s="40"/>
    </row>
    <row r="921" spans="2:43" ht="12.75" customHeight="1" x14ac:dyDescent="0.15">
      <c r="B921" s="40"/>
      <c r="C921" s="40"/>
      <c r="D921" s="40"/>
      <c r="E921" s="40"/>
      <c r="F921" s="40"/>
      <c r="G921" s="40"/>
      <c r="H921" s="53"/>
      <c r="R921" s="40"/>
      <c r="S921" s="40"/>
      <c r="T921" s="40"/>
      <c r="U921" s="40"/>
      <c r="V921" s="40"/>
      <c r="X921" s="40"/>
      <c r="Y921" s="40"/>
      <c r="Z921" s="40"/>
      <c r="AA921" s="41"/>
      <c r="AB921" s="41"/>
      <c r="AC921" s="41"/>
      <c r="AD921" s="41"/>
      <c r="AE921" s="41"/>
      <c r="AF921" s="40"/>
      <c r="AG921" s="40"/>
      <c r="AH921" s="5"/>
      <c r="AI921" s="5"/>
      <c r="AJ921" s="40"/>
      <c r="AK921" s="40"/>
      <c r="AL921" s="40"/>
      <c r="AM921" s="40"/>
      <c r="AO921" s="40"/>
      <c r="AQ921" s="40"/>
    </row>
    <row r="922" spans="2:43" ht="12.75" customHeight="1" x14ac:dyDescent="0.15">
      <c r="B922" s="40"/>
      <c r="C922" s="40"/>
      <c r="D922" s="40"/>
      <c r="E922" s="40"/>
      <c r="F922" s="40"/>
      <c r="G922" s="40"/>
      <c r="H922" s="53"/>
      <c r="R922" s="40"/>
      <c r="S922" s="40"/>
      <c r="T922" s="40"/>
      <c r="U922" s="40"/>
      <c r="V922" s="40"/>
      <c r="X922" s="40"/>
      <c r="Y922" s="40"/>
      <c r="Z922" s="40"/>
      <c r="AA922" s="41"/>
      <c r="AB922" s="41"/>
      <c r="AC922" s="41"/>
      <c r="AD922" s="41"/>
      <c r="AE922" s="41"/>
      <c r="AF922" s="40"/>
      <c r="AG922" s="40"/>
      <c r="AH922" s="5"/>
      <c r="AI922" s="5"/>
      <c r="AJ922" s="40"/>
      <c r="AK922" s="40"/>
      <c r="AL922" s="40"/>
      <c r="AM922" s="40"/>
      <c r="AO922" s="40"/>
      <c r="AQ922" s="40"/>
    </row>
    <row r="923" spans="2:43" ht="12.75" customHeight="1" x14ac:dyDescent="0.15">
      <c r="B923" s="40"/>
      <c r="C923" s="40"/>
      <c r="D923" s="40"/>
      <c r="E923" s="40"/>
      <c r="F923" s="40"/>
      <c r="G923" s="40"/>
      <c r="H923" s="53"/>
      <c r="R923" s="40"/>
      <c r="S923" s="40"/>
      <c r="T923" s="40"/>
      <c r="U923" s="40"/>
      <c r="V923" s="40"/>
      <c r="X923" s="40"/>
      <c r="Y923" s="40"/>
      <c r="Z923" s="40"/>
      <c r="AA923" s="41"/>
      <c r="AB923" s="41"/>
      <c r="AC923" s="41"/>
      <c r="AD923" s="41"/>
      <c r="AE923" s="41"/>
      <c r="AF923" s="40"/>
      <c r="AG923" s="40"/>
      <c r="AH923" s="5"/>
      <c r="AI923" s="5"/>
      <c r="AJ923" s="40"/>
      <c r="AK923" s="40"/>
      <c r="AL923" s="40"/>
      <c r="AM923" s="40"/>
      <c r="AO923" s="40"/>
      <c r="AQ923" s="40"/>
    </row>
    <row r="924" spans="2:43" ht="12.75" customHeight="1" x14ac:dyDescent="0.15">
      <c r="B924" s="40"/>
      <c r="C924" s="40"/>
      <c r="D924" s="40"/>
      <c r="E924" s="40"/>
      <c r="F924" s="40"/>
      <c r="G924" s="40"/>
      <c r="H924" s="53"/>
      <c r="R924" s="40"/>
      <c r="S924" s="40"/>
      <c r="T924" s="40"/>
      <c r="U924" s="40"/>
      <c r="V924" s="40"/>
      <c r="X924" s="40"/>
      <c r="Y924" s="40"/>
      <c r="Z924" s="40"/>
      <c r="AA924" s="41"/>
      <c r="AB924" s="41"/>
      <c r="AC924" s="41"/>
      <c r="AD924" s="41"/>
      <c r="AE924" s="41"/>
      <c r="AF924" s="40"/>
      <c r="AG924" s="40"/>
      <c r="AH924" s="5"/>
      <c r="AI924" s="5"/>
      <c r="AJ924" s="40"/>
      <c r="AK924" s="40"/>
      <c r="AL924" s="40"/>
      <c r="AM924" s="40"/>
      <c r="AO924" s="40"/>
      <c r="AQ924" s="40"/>
    </row>
    <row r="925" spans="2:43" ht="12.75" customHeight="1" x14ac:dyDescent="0.15">
      <c r="B925" s="40"/>
      <c r="C925" s="40"/>
      <c r="D925" s="40"/>
      <c r="E925" s="40"/>
      <c r="F925" s="40"/>
      <c r="G925" s="40"/>
      <c r="H925" s="53"/>
      <c r="R925" s="40"/>
      <c r="S925" s="40"/>
      <c r="T925" s="40"/>
      <c r="U925" s="40"/>
      <c r="V925" s="40"/>
      <c r="X925" s="40"/>
      <c r="Y925" s="40"/>
      <c r="Z925" s="40"/>
      <c r="AA925" s="41"/>
      <c r="AB925" s="41"/>
      <c r="AC925" s="41"/>
      <c r="AD925" s="41"/>
      <c r="AE925" s="41"/>
      <c r="AF925" s="40"/>
      <c r="AG925" s="40"/>
      <c r="AH925" s="5"/>
      <c r="AI925" s="5"/>
      <c r="AJ925" s="40"/>
      <c r="AK925" s="40"/>
      <c r="AL925" s="40"/>
      <c r="AM925" s="40"/>
      <c r="AO925" s="40"/>
      <c r="AQ925" s="40"/>
    </row>
    <row r="926" spans="2:43" ht="12.75" customHeight="1" x14ac:dyDescent="0.15">
      <c r="B926" s="40"/>
      <c r="C926" s="40"/>
      <c r="D926" s="40"/>
      <c r="E926" s="40"/>
      <c r="F926" s="40"/>
      <c r="G926" s="40"/>
      <c r="H926" s="53"/>
      <c r="R926" s="40"/>
      <c r="S926" s="40"/>
      <c r="T926" s="40"/>
      <c r="U926" s="40"/>
      <c r="V926" s="40"/>
      <c r="X926" s="40"/>
      <c r="Y926" s="40"/>
      <c r="Z926" s="40"/>
      <c r="AA926" s="41"/>
      <c r="AB926" s="41"/>
      <c r="AC926" s="41"/>
      <c r="AD926" s="41"/>
      <c r="AE926" s="41"/>
      <c r="AF926" s="40"/>
      <c r="AG926" s="40"/>
      <c r="AH926" s="5"/>
      <c r="AI926" s="5"/>
      <c r="AJ926" s="40"/>
      <c r="AK926" s="40"/>
      <c r="AL926" s="40"/>
      <c r="AM926" s="40"/>
      <c r="AO926" s="40"/>
      <c r="AQ926" s="40"/>
    </row>
    <row r="927" spans="2:43" ht="12.75" customHeight="1" x14ac:dyDescent="0.15">
      <c r="B927" s="40"/>
      <c r="C927" s="40"/>
      <c r="D927" s="40"/>
      <c r="E927" s="40"/>
      <c r="F927" s="40"/>
      <c r="G927" s="40"/>
      <c r="H927" s="53"/>
      <c r="R927" s="40"/>
      <c r="S927" s="40"/>
      <c r="T927" s="40"/>
      <c r="U927" s="40"/>
      <c r="V927" s="40"/>
      <c r="X927" s="40"/>
      <c r="Y927" s="40"/>
      <c r="Z927" s="40"/>
      <c r="AA927" s="41"/>
      <c r="AB927" s="41"/>
      <c r="AC927" s="41"/>
      <c r="AD927" s="41"/>
      <c r="AE927" s="41"/>
      <c r="AF927" s="40"/>
      <c r="AG927" s="40"/>
      <c r="AH927" s="5"/>
      <c r="AI927" s="5"/>
      <c r="AJ927" s="40"/>
      <c r="AK927" s="40"/>
      <c r="AL927" s="40"/>
      <c r="AM927" s="40"/>
      <c r="AO927" s="40"/>
      <c r="AQ927" s="40"/>
    </row>
    <row r="928" spans="2:43" ht="12.75" customHeight="1" x14ac:dyDescent="0.15">
      <c r="B928" s="40"/>
      <c r="C928" s="40"/>
      <c r="D928" s="40"/>
      <c r="E928" s="40"/>
      <c r="F928" s="40"/>
      <c r="G928" s="40"/>
      <c r="H928" s="53"/>
      <c r="R928" s="40"/>
      <c r="S928" s="40"/>
      <c r="T928" s="40"/>
      <c r="U928" s="40"/>
      <c r="V928" s="40"/>
      <c r="X928" s="40"/>
      <c r="Y928" s="40"/>
      <c r="Z928" s="40"/>
      <c r="AA928" s="41"/>
      <c r="AB928" s="41"/>
      <c r="AC928" s="41"/>
      <c r="AD928" s="41"/>
      <c r="AE928" s="41"/>
      <c r="AF928" s="40"/>
      <c r="AG928" s="40"/>
      <c r="AH928" s="5"/>
      <c r="AI928" s="5"/>
      <c r="AJ928" s="40"/>
      <c r="AK928" s="40"/>
      <c r="AL928" s="40"/>
      <c r="AM928" s="40"/>
      <c r="AO928" s="40"/>
      <c r="AQ928" s="40"/>
    </row>
  </sheetData>
  <autoFilter ref="A5:AP5" xr:uid="{4CEC865E-050E-4C7E-BDF0-E0F28CC14714}">
    <filterColumn colId="1" showButton="0"/>
    <filterColumn colId="9" showButton="0"/>
    <filterColumn colId="11" showButton="0"/>
    <filterColumn colId="13" showButton="0"/>
    <filterColumn colId="15" showButton="0"/>
    <filterColumn colId="32" showButton="0"/>
    <filterColumn colId="33" showButton="0"/>
    <filterColumn colId="34" showButton="0"/>
  </autoFilter>
  <mergeCells count="13">
    <mergeCell ref="Y3:AE3"/>
    <mergeCell ref="B4:C4"/>
    <mergeCell ref="B5:C5"/>
    <mergeCell ref="AG5:AJ5"/>
    <mergeCell ref="AG4:AJ4"/>
    <mergeCell ref="L4:M4"/>
    <mergeCell ref="J4:K4"/>
    <mergeCell ref="P4:Q4"/>
    <mergeCell ref="L5:M5"/>
    <mergeCell ref="J5:K5"/>
    <mergeCell ref="P5:Q5"/>
    <mergeCell ref="N4:O4"/>
    <mergeCell ref="N5:O5"/>
  </mergeCells>
  <phoneticPr fontId="21" type="noConversion"/>
  <conditionalFormatting sqref="A3">
    <cfRule type="containsText" dxfId="489" priority="496" operator="containsText" text="N/A">
      <formula>NOT(ISERROR(SEARCH("N/A",A3)))</formula>
    </cfRule>
  </conditionalFormatting>
  <conditionalFormatting sqref="A6:A799">
    <cfRule type="expression" dxfId="488" priority="168">
      <formula>ISTEXT(A6)</formula>
    </cfRule>
  </conditionalFormatting>
  <conditionalFormatting sqref="A36:A42">
    <cfRule type="containsText" dxfId="487" priority="223" operator="containsText" text="N/A">
      <formula>NOT(ISERROR(SEARCH("N/A",A36)))</formula>
    </cfRule>
  </conditionalFormatting>
  <conditionalFormatting sqref="A48:A53">
    <cfRule type="containsText" dxfId="486" priority="66" operator="containsText" text="N/A">
      <formula>NOT(ISERROR(SEARCH("N/A",A48)))</formula>
    </cfRule>
  </conditionalFormatting>
  <conditionalFormatting sqref="A44:D47">
    <cfRule type="containsText" dxfId="485" priority="69" operator="containsText" text="N/A">
      <formula>NOT(ISERROR(SEARCH("N/A",A44)))</formula>
    </cfRule>
  </conditionalFormatting>
  <conditionalFormatting sqref="A32:F35">
    <cfRule type="containsText" dxfId="484" priority="301" operator="containsText" text="N/A">
      <formula>NOT(ISERROR(SEARCH("N/A",A32)))</formula>
    </cfRule>
  </conditionalFormatting>
  <conditionalFormatting sqref="A43:F43">
    <cfRule type="containsText" dxfId="483" priority="170" operator="containsText" text="N/A">
      <formula>NOT(ISERROR(SEARCH("N/A",A43)))</formula>
    </cfRule>
  </conditionalFormatting>
  <conditionalFormatting sqref="B6:B799">
    <cfRule type="expression" dxfId="482" priority="25">
      <formula>ISTEXT(A6)</formula>
    </cfRule>
  </conditionalFormatting>
  <conditionalFormatting sqref="B4:C5">
    <cfRule type="containsText" dxfId="481" priority="535" operator="containsText" text="N/A">
      <formula>NOT(ISERROR(SEARCH("N/A",B4)))</formula>
    </cfRule>
  </conditionalFormatting>
  <conditionalFormatting sqref="B7:C53">
    <cfRule type="containsText" dxfId="480" priority="1" operator="containsText" text="N/A">
      <formula>NOT(ISERROR(SEARCH("N/A",B7)))</formula>
    </cfRule>
  </conditionalFormatting>
  <conditionalFormatting sqref="B48:D48">
    <cfRule type="containsText" dxfId="479" priority="65" operator="containsText" text="N/A">
      <formula>NOT(ISERROR(SEARCH("N/A",B48)))</formula>
    </cfRule>
  </conditionalFormatting>
  <conditionalFormatting sqref="B42:F42">
    <cfRule type="containsText" dxfId="478" priority="221" operator="containsText" text="N/A">
      <formula>NOT(ISERROR(SEARCH("N/A",B42)))</formula>
    </cfRule>
  </conditionalFormatting>
  <conditionalFormatting sqref="C6:C799">
    <cfRule type="expression" dxfId="477" priority="24">
      <formula>ISTEXT(A6)</formula>
    </cfRule>
  </conditionalFormatting>
  <conditionalFormatting sqref="D6:D799">
    <cfRule type="expression" dxfId="476" priority="165">
      <formula>ISTEXT(A6)</formula>
    </cfRule>
  </conditionalFormatting>
  <conditionalFormatting sqref="E6:E799">
    <cfRule type="expression" dxfId="475" priority="164">
      <formula>ISTEXT(A6)</formula>
    </cfRule>
  </conditionalFormatting>
  <conditionalFormatting sqref="E44:F48">
    <cfRule type="containsText" dxfId="474" priority="61" operator="containsText" text="N/A">
      <formula>NOT(ISERROR(SEARCH("N/A",E44)))</formula>
    </cfRule>
  </conditionalFormatting>
  <conditionalFormatting sqref="F32:F35">
    <cfRule type="expression" dxfId="473" priority="292">
      <formula>ISTEXT(A32)</formula>
    </cfRule>
  </conditionalFormatting>
  <conditionalFormatting sqref="F42:F48">
    <cfRule type="expression" dxfId="472" priority="163">
      <formula>ISTEXT(A42)</formula>
    </cfRule>
  </conditionalFormatting>
  <conditionalFormatting sqref="F6:G31 G26:G35 F36:G41 G42:G50 F49:G799">
    <cfRule type="expression" dxfId="471" priority="477">
      <formula>ISTEXT(A6)</formula>
    </cfRule>
  </conditionalFormatting>
  <conditionalFormatting sqref="I4">
    <cfRule type="containsText" dxfId="470" priority="434" operator="containsText" text="N/A">
      <formula>NOT(ISERROR(SEARCH("N/A",I4)))</formula>
    </cfRule>
  </conditionalFormatting>
  <conditionalFormatting sqref="I6:I799">
    <cfRule type="expression" dxfId="469" priority="474">
      <formula>ISTEXT(A6)</formula>
    </cfRule>
  </conditionalFormatting>
  <conditionalFormatting sqref="J1:J1048576">
    <cfRule type="cellIs" dxfId="468" priority="446" operator="lessThan">
      <formula>0</formula>
    </cfRule>
  </conditionalFormatting>
  <conditionalFormatting sqref="J4">
    <cfRule type="dataBar" priority="457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{4408A27C-A299-48BF-A8D6-B5A7743CC8F8}</x14:id>
        </ext>
      </extLst>
    </cfRule>
  </conditionalFormatting>
  <conditionalFormatting sqref="J5">
    <cfRule type="dataBar" priority="455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{DF97B351-A648-41F9-A97E-9534748CD71E}</x14:id>
        </ext>
      </extLst>
    </cfRule>
  </conditionalFormatting>
  <conditionalFormatting sqref="J6:J799">
    <cfRule type="expression" dxfId="467" priority="476">
      <formula>ISTEXT(A6)</formula>
    </cfRule>
  </conditionalFormatting>
  <conditionalFormatting sqref="K1:K3 K6:K1048576">
    <cfRule type="dataBar" priority="486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{41D121F8-5D4E-4E20-8CB6-EBC50C98095A}</x14:id>
        </ext>
      </extLst>
    </cfRule>
  </conditionalFormatting>
  <conditionalFormatting sqref="K4:K5">
    <cfRule type="dataBar" priority="447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{6F75F936-D643-4CD6-9F59-82F140E2571E}</x14:id>
        </ext>
      </extLst>
    </cfRule>
  </conditionalFormatting>
  <conditionalFormatting sqref="K6:K799">
    <cfRule type="expression" dxfId="466" priority="475">
      <formula>ISTEXT(A6)</formula>
    </cfRule>
  </conditionalFormatting>
  <conditionalFormatting sqref="L6:L799">
    <cfRule type="expression" dxfId="465" priority="473">
      <formula>ISTEXT(A6)</formula>
    </cfRule>
  </conditionalFormatting>
  <conditionalFormatting sqref="M1:M3 O1:O3 M6:M1048576 O23:O1048576">
    <cfRule type="dataBar" priority="534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{690C86EC-8A2A-415B-A33A-262B095F11F4}</x14:id>
        </ext>
      </extLst>
    </cfRule>
  </conditionalFormatting>
  <conditionalFormatting sqref="M4:M5">
    <cfRule type="dataBar" priority="448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{B037D7F3-1B6D-4D06-AE50-50E9708CA100}</x14:id>
        </ext>
      </extLst>
    </cfRule>
  </conditionalFormatting>
  <conditionalFormatting sqref="M6:M799">
    <cfRule type="expression" dxfId="464" priority="472">
      <formula>ISTEXT(A6)</formula>
    </cfRule>
  </conditionalFormatting>
  <conditionalFormatting sqref="N6:N799">
    <cfRule type="expression" dxfId="463" priority="471">
      <formula>ISTEXT(A6)</formula>
    </cfRule>
  </conditionalFormatting>
  <conditionalFormatting sqref="O4:O5">
    <cfRule type="dataBar" priority="449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{A6D7D3E2-077D-4DC0-8508-1A9085828210}</x14:id>
        </ext>
      </extLst>
    </cfRule>
  </conditionalFormatting>
  <conditionalFormatting sqref="O6:O22">
    <cfRule type="dataBar" priority="484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{E9FA3A71-0CC8-4B2F-80FE-88BD92450D5C}</x14:id>
        </ext>
      </extLst>
    </cfRule>
  </conditionalFormatting>
  <conditionalFormatting sqref="O6:O799">
    <cfRule type="expression" dxfId="462" priority="470">
      <formula>ISTEXT(A6)</formula>
    </cfRule>
  </conditionalFormatting>
  <conditionalFormatting sqref="P4:P5">
    <cfRule type="containsText" dxfId="461" priority="454" operator="containsText" text="N/A">
      <formula>NOT(ISERROR(SEARCH("N/A",P4)))</formula>
    </cfRule>
  </conditionalFormatting>
  <conditionalFormatting sqref="P6:P799">
    <cfRule type="expression" dxfId="460" priority="469">
      <formula>ISTEXT(A6)</formula>
    </cfRule>
  </conditionalFormatting>
  <conditionalFormatting sqref="Q1:Q3 Q6:Q1048576">
    <cfRule type="dataBar" priority="485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{81495292-FFC7-434A-84FF-FCB6B4A5891D}</x14:id>
        </ext>
      </extLst>
    </cfRule>
  </conditionalFormatting>
  <conditionalFormatting sqref="Q4:Q5">
    <cfRule type="dataBar" priority="459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{D0A9FE6A-7108-4F04-8561-C5A946103F58}</x14:id>
        </ext>
      </extLst>
    </cfRule>
  </conditionalFormatting>
  <conditionalFormatting sqref="Q6:Q799">
    <cfRule type="expression" dxfId="459" priority="468">
      <formula>ISTEXT(A6)</formula>
    </cfRule>
  </conditionalFormatting>
  <conditionalFormatting sqref="R4 R5:V5">
    <cfRule type="containsText" dxfId="458" priority="537" operator="containsText" text="N/A">
      <formula>NOT(ISERROR(SEARCH("N/A",R4)))</formula>
    </cfRule>
  </conditionalFormatting>
  <conditionalFormatting sqref="R6:R31 R23:S24">
    <cfRule type="expression" dxfId="457" priority="393">
      <formula>ISTEXT(A6)</formula>
    </cfRule>
  </conditionalFormatting>
  <conditionalFormatting sqref="R33:R35">
    <cfRule type="expression" dxfId="456" priority="289">
      <formula>ISTEXT(B33)</formula>
    </cfRule>
  </conditionalFormatting>
  <conditionalFormatting sqref="R36:R41 R44:R799">
    <cfRule type="expression" dxfId="455" priority="367">
      <formula>ISTEXT(A36)</formula>
    </cfRule>
  </conditionalFormatting>
  <conditionalFormatting sqref="R42:R43">
    <cfRule type="expression" dxfId="454" priority="143">
      <formula>ISTEXT(B42)</formula>
    </cfRule>
  </conditionalFormatting>
  <conditionalFormatting sqref="R32:S32">
    <cfRule type="expression" dxfId="453" priority="336">
      <formula>ISTEXT(B32)</formula>
    </cfRule>
    <cfRule type="expression" dxfId="452" priority="340">
      <formula>ISTEXT(C32)</formula>
    </cfRule>
  </conditionalFormatting>
  <conditionalFormatting sqref="R43:S43">
    <cfRule type="expression" dxfId="451" priority="144">
      <formula>ISTEXT(C43)</formula>
    </cfRule>
  </conditionalFormatting>
  <conditionalFormatting sqref="R42:AM43 AA44:AA53">
    <cfRule type="containsText" dxfId="450" priority="152" operator="containsText" text="N/A">
      <formula>NOT(ISERROR(SEARCH("N/A",R42)))</formula>
    </cfRule>
  </conditionalFormatting>
  <conditionalFormatting sqref="R33:AN35">
    <cfRule type="containsText" dxfId="449" priority="268" operator="containsText" text="N/A">
      <formula>NOT(ISERROR(SEARCH("N/A",R33)))</formula>
    </cfRule>
  </conditionalFormatting>
  <conditionalFormatting sqref="R32:AP32">
    <cfRule type="containsText" dxfId="448" priority="341" operator="containsText" text="N/A">
      <formula>NOT(ISERROR(SEARCH("N/A",R32)))</formula>
    </cfRule>
  </conditionalFormatting>
  <conditionalFormatting sqref="S4">
    <cfRule type="containsText" dxfId="447" priority="368" operator="containsText" text="N/A">
      <formula>NOT(ISERROR(SEARCH("N/A",S4)))</formula>
    </cfRule>
  </conditionalFormatting>
  <conditionalFormatting sqref="S6:S31 S36:S41 S49:S799">
    <cfRule type="expression" dxfId="446" priority="366">
      <formula>ISTEXT(A6)</formula>
    </cfRule>
  </conditionalFormatting>
  <conditionalFormatting sqref="S32:S35">
    <cfRule type="expression" dxfId="445" priority="286">
      <formula>ISTEXT(B32)</formula>
    </cfRule>
  </conditionalFormatting>
  <conditionalFormatting sqref="S42:S48">
    <cfRule type="expression" dxfId="444" priority="129">
      <formula>ISTEXT(B42)</formula>
    </cfRule>
  </conditionalFormatting>
  <conditionalFormatting sqref="S44:S48">
    <cfRule type="expression" dxfId="443" priority="53">
      <formula>ISTEXT(D44)</formula>
    </cfRule>
  </conditionalFormatting>
  <conditionalFormatting sqref="S48">
    <cfRule type="containsText" dxfId="442" priority="54" operator="containsText" text="N/A">
      <formula>NOT(ISERROR(SEARCH("N/A",S48)))</formula>
    </cfRule>
  </conditionalFormatting>
  <conditionalFormatting sqref="S44:T47">
    <cfRule type="containsText" dxfId="441" priority="57" operator="containsText" text="N/A">
      <formula>NOT(ISERROR(SEARCH("N/A",S44)))</formula>
    </cfRule>
  </conditionalFormatting>
  <conditionalFormatting sqref="T6:T31 T23:U24">
    <cfRule type="expression" dxfId="440" priority="392">
      <formula>ISTEXT(A6)</formula>
    </cfRule>
  </conditionalFormatting>
  <conditionalFormatting sqref="T36:T41 T51:T799">
    <cfRule type="expression" dxfId="439" priority="359">
      <formula>ISTEXT(A36)</formula>
    </cfRule>
  </conditionalFormatting>
  <conditionalFormatting sqref="T44:T50">
    <cfRule type="expression" dxfId="438" priority="51">
      <formula>ISTEXT(B44)</formula>
    </cfRule>
  </conditionalFormatting>
  <conditionalFormatting sqref="T48:T50">
    <cfRule type="containsText" dxfId="437" priority="52" operator="containsText" text="N/A">
      <formula>NOT(ISERROR(SEARCH("N/A",T48)))</formula>
    </cfRule>
  </conditionalFormatting>
  <conditionalFormatting sqref="T32:U35">
    <cfRule type="expression" dxfId="436" priority="288">
      <formula>ISTEXT(B32)</formula>
    </cfRule>
  </conditionalFormatting>
  <conditionalFormatting sqref="T42:U43">
    <cfRule type="expression" dxfId="435" priority="142">
      <formula>ISTEXT(B42)</formula>
    </cfRule>
  </conditionalFormatting>
  <conditionalFormatting sqref="T4:V4">
    <cfRule type="containsText" dxfId="434" priority="450" operator="containsText" text="N/A">
      <formula>NOT(ISERROR(SEARCH("N/A",T4)))</formula>
    </cfRule>
  </conditionalFormatting>
  <conditionalFormatting sqref="U1:U22 J4:R4 R5:T22 V5:W22 A4:H5 A54:XFD1048576 AA6:AK31 AB36:XFD41 AB44:AK44 AH46:AI46 AH48:AI48 AB49:XFD53 AK4:XFD4 I5:Q5 T4:W4 A1:T3 A6:Q31 G32:Q35 D36:T41 G42:Q43 G44:R48 D49:S50 D51:T53 Y1:AK2 V1:X3 AM1:XFD3 AL1:AL31 Y3 AF3:AK3 AM6:XFD31 R23:W31 AR32:XFD32 AQ45:XFD46 AJ45:AK48 AP46 AP47:XFD48 V51:Z53">
    <cfRule type="containsText" dxfId="433" priority="565" operator="containsText" text="N/A">
      <formula>NOT(ISERROR(SEARCH("N/A",A1)))</formula>
    </cfRule>
  </conditionalFormatting>
  <conditionalFormatting sqref="U6:U31 U54:U799">
    <cfRule type="expression" dxfId="432" priority="465">
      <formula>ISTEXT(A6)</formula>
    </cfRule>
  </conditionalFormatting>
  <conditionalFormatting sqref="U25:U53">
    <cfRule type="expression" dxfId="431" priority="9">
      <formula>ISTEXT(B25)</formula>
    </cfRule>
  </conditionalFormatting>
  <conditionalFormatting sqref="U36:U41">
    <cfRule type="expression" dxfId="430" priority="251">
      <formula>ISTEXT(C36)</formula>
    </cfRule>
  </conditionalFormatting>
  <conditionalFormatting sqref="U44:U53">
    <cfRule type="expression" dxfId="429" priority="7">
      <formula>ISTEXT(C44)</formula>
    </cfRule>
  </conditionalFormatting>
  <conditionalFormatting sqref="U49:U53">
    <cfRule type="containsText" dxfId="428" priority="8" operator="containsText" text="N/A">
      <formula>NOT(ISERROR(SEARCH("N/A",U49)))</formula>
    </cfRule>
  </conditionalFormatting>
  <conditionalFormatting sqref="U44:Y48">
    <cfRule type="containsText" dxfId="427" priority="50" operator="containsText" text="N/A">
      <formula>NOT(ISERROR(SEARCH("N/A",U44)))</formula>
    </cfRule>
  </conditionalFormatting>
  <conditionalFormatting sqref="U36:AA41">
    <cfRule type="containsText" dxfId="426" priority="252" operator="containsText" text="N/A">
      <formula>NOT(ISERROR(SEARCH("N/A",U36)))</formula>
    </cfRule>
  </conditionalFormatting>
  <conditionalFormatting sqref="V6:V31">
    <cfRule type="expression" dxfId="425" priority="391">
      <formula>ISTEXT(A6)</formula>
    </cfRule>
  </conditionalFormatting>
  <conditionalFormatting sqref="V32:V35">
    <cfRule type="expression" dxfId="424" priority="287">
      <formula>ISTEXT(B32)</formula>
    </cfRule>
  </conditionalFormatting>
  <conditionalFormatting sqref="V36:V41 V44 V46 V48:V799">
    <cfRule type="expression" dxfId="423" priority="464">
      <formula>ISTEXT(A36)</formula>
    </cfRule>
  </conditionalFormatting>
  <conditionalFormatting sqref="V42:V43 V45">
    <cfRule type="expression" dxfId="422" priority="141">
      <formula>ISTEXT(B42)</formula>
    </cfRule>
  </conditionalFormatting>
  <conditionalFormatting sqref="V43 V45">
    <cfRule type="expression" dxfId="421" priority="160">
      <formula>ISTEXT(E43)</formula>
    </cfRule>
  </conditionalFormatting>
  <conditionalFormatting sqref="V47">
    <cfRule type="expression" dxfId="420" priority="60">
      <formula>ISTEXT(E47)</formula>
    </cfRule>
    <cfRule type="expression" dxfId="419" priority="58">
      <formula>ISTEXT(B47)</formula>
    </cfRule>
  </conditionalFormatting>
  <conditionalFormatting sqref="V49:Y50">
    <cfRule type="containsText" dxfId="418" priority="14" operator="containsText" text="N/A">
      <formula>NOT(ISERROR(SEARCH("N/A",V49)))</formula>
    </cfRule>
  </conditionalFormatting>
  <conditionalFormatting sqref="X6:X31 X36:X41 X44:X799">
    <cfRule type="expression" dxfId="417" priority="1131">
      <formula>ISTEXT(#REF!)</formula>
    </cfRule>
  </conditionalFormatting>
  <conditionalFormatting sqref="X6:X799">
    <cfRule type="expression" dxfId="416" priority="128">
      <formula>ISTEXT(A6)</formula>
    </cfRule>
  </conditionalFormatting>
  <conditionalFormatting sqref="X32:X35">
    <cfRule type="expression" dxfId="415" priority="276">
      <formula>ISTEXT(B32)</formula>
    </cfRule>
  </conditionalFormatting>
  <conditionalFormatting sqref="X42:X43">
    <cfRule type="expression" dxfId="414" priority="127">
      <formula>ISTEXT(B42)</formula>
    </cfRule>
  </conditionalFormatting>
  <conditionalFormatting sqref="X4:Y4">
    <cfRule type="containsText" dxfId="413" priority="362" operator="containsText" text="N/A">
      <formula>NOT(ISERROR(SEARCH("N/A",X4)))</formula>
    </cfRule>
  </conditionalFormatting>
  <conditionalFormatting sqref="X4:Z31">
    <cfRule type="containsText" dxfId="412" priority="363" operator="containsText" text="N/A">
      <formula>NOT(ISERROR(SEARCH("N/A",X4)))</formula>
    </cfRule>
  </conditionalFormatting>
  <conditionalFormatting sqref="Y6:Y31">
    <cfRule type="expression" dxfId="411" priority="389">
      <formula>ISTEXT(A6)</formula>
    </cfRule>
  </conditionalFormatting>
  <conditionalFormatting sqref="Y33:Y35">
    <cfRule type="expression" dxfId="410" priority="284">
      <formula>ISTEXT(B33)</formula>
    </cfRule>
  </conditionalFormatting>
  <conditionalFormatting sqref="Y36:Y41 Y44 Y46 Y48 Y50:Y799">
    <cfRule type="expression" dxfId="409" priority="463">
      <formula>ISTEXT(A36)</formula>
    </cfRule>
  </conditionalFormatting>
  <conditionalFormatting sqref="Y42">
    <cfRule type="expression" dxfId="408" priority="203">
      <formula>ISTEXT(B42)</formula>
    </cfRule>
  </conditionalFormatting>
  <conditionalFormatting sqref="Y49">
    <cfRule type="expression" dxfId="407" priority="13">
      <formula>ISTEXT(B49)</formula>
    </cfRule>
  </conditionalFormatting>
  <conditionalFormatting sqref="Y32:Z32">
    <cfRule type="expression" dxfId="406" priority="337">
      <formula>ISTEXT(B32)</formula>
    </cfRule>
  </conditionalFormatting>
  <conditionalFormatting sqref="Y43:Z43">
    <cfRule type="expression" dxfId="405" priority="140">
      <formula>ISTEXT(B43)</formula>
    </cfRule>
  </conditionalFormatting>
  <conditionalFormatting sqref="Y45:Z45">
    <cfRule type="expression" dxfId="404" priority="77">
      <formula>ISTEXT(B45)</formula>
    </cfRule>
  </conditionalFormatting>
  <conditionalFormatting sqref="Y47:Z47">
    <cfRule type="expression" dxfId="403" priority="47">
      <formula>ISTEXT(B47)</formula>
    </cfRule>
  </conditionalFormatting>
  <conditionalFormatting sqref="Z6:Z4400">
    <cfRule type="expression" dxfId="402" priority="388">
      <formula>ISTEXT(A6)</formula>
    </cfRule>
  </conditionalFormatting>
  <conditionalFormatting sqref="Z32">
    <cfRule type="expression" dxfId="401" priority="342">
      <formula>ISTEXT(#REF!)</formula>
    </cfRule>
  </conditionalFormatting>
  <conditionalFormatting sqref="Z32:Z35">
    <cfRule type="expression" dxfId="400" priority="283">
      <formula>ISTEXT(B32)</formula>
    </cfRule>
  </conditionalFormatting>
  <conditionalFormatting sqref="Z42:Z43">
    <cfRule type="expression" dxfId="399" priority="139">
      <formula>ISTEXT(B42)</formula>
    </cfRule>
  </conditionalFormatting>
  <conditionalFormatting sqref="Z44">
    <cfRule type="expression" dxfId="398" priority="116">
      <formula>ISTEXT(XEV44)</formula>
    </cfRule>
    <cfRule type="expression" dxfId="397" priority="117">
      <formula>ISTEXT(XET44)</formula>
    </cfRule>
  </conditionalFormatting>
  <conditionalFormatting sqref="Z44:Z50">
    <cfRule type="containsText" dxfId="396" priority="45" operator="containsText" text="N/A">
      <formula>NOT(ISERROR(SEARCH("N/A",Z44)))</formula>
    </cfRule>
  </conditionalFormatting>
  <conditionalFormatting sqref="Z45">
    <cfRule type="expression" dxfId="395" priority="76">
      <formula>ISTEXT(B45)</formula>
    </cfRule>
  </conditionalFormatting>
  <conditionalFormatting sqref="Z46">
    <cfRule type="expression" dxfId="394" priority="73">
      <formula>ISTEXT(XEV46)</formula>
    </cfRule>
    <cfRule type="expression" dxfId="393" priority="74">
      <formula>ISTEXT(XET46)</formula>
    </cfRule>
  </conditionalFormatting>
  <conditionalFormatting sqref="Z47">
    <cfRule type="expression" dxfId="392" priority="46">
      <formula>ISTEXT(B47)</formula>
    </cfRule>
  </conditionalFormatting>
  <conditionalFormatting sqref="Z48">
    <cfRule type="expression" dxfId="391" priority="44">
      <formula>ISTEXT(XET48)</formula>
    </cfRule>
    <cfRule type="expression" dxfId="390" priority="43">
      <formula>ISTEXT(XEV48)</formula>
    </cfRule>
  </conditionalFormatting>
  <conditionalFormatting sqref="AA6:AA31 AA54:AA799">
    <cfRule type="expression" dxfId="389" priority="460">
      <formula>ISTEXT(A6)</formula>
    </cfRule>
  </conditionalFormatting>
  <conditionalFormatting sqref="AA32:AA53">
    <cfRule type="expression" dxfId="388" priority="137">
      <formula>ISTEXT(B32)</formula>
    </cfRule>
  </conditionalFormatting>
  <conditionalFormatting sqref="AA4:AJ4">
    <cfRule type="containsText" dxfId="387" priority="435" operator="containsText" text="N/A">
      <formula>NOT(ISERROR(SEARCH("N/A",AA4)))</formula>
    </cfRule>
  </conditionalFormatting>
  <conditionalFormatting sqref="AA5:XFD5">
    <cfRule type="containsText" dxfId="386" priority="369" operator="containsText" text="N/A">
      <formula>NOT(ISERROR(SEARCH("N/A",AA5)))</formula>
    </cfRule>
  </conditionalFormatting>
  <conditionalFormatting sqref="AB6:AB31">
    <cfRule type="expression" dxfId="385" priority="385">
      <formula>ISTEXT(A6)</formula>
    </cfRule>
  </conditionalFormatting>
  <conditionalFormatting sqref="AB32:AB35">
    <cfRule type="expression" dxfId="384" priority="281">
      <formula>ISTEXT(B32)</formula>
    </cfRule>
  </conditionalFormatting>
  <conditionalFormatting sqref="AB36:AB41 AB44:AB799">
    <cfRule type="expression" dxfId="383" priority="444">
      <formula>ISTEXT(A36)</formula>
    </cfRule>
  </conditionalFormatting>
  <conditionalFormatting sqref="AB42">
    <cfRule type="expression" dxfId="382" priority="200">
      <formula>ISTEXT(B42)</formula>
    </cfRule>
  </conditionalFormatting>
  <conditionalFormatting sqref="AB43:AE43">
    <cfRule type="expression" dxfId="381" priority="136">
      <formula>ISTEXT(B43)</formula>
    </cfRule>
  </conditionalFormatting>
  <conditionalFormatting sqref="AB45:AG48">
    <cfRule type="containsText" dxfId="380" priority="72" operator="containsText" text="N/A">
      <formula>NOT(ISERROR(SEARCH("N/A",AB45)))</formula>
    </cfRule>
  </conditionalFormatting>
  <conditionalFormatting sqref="AC6:AC31">
    <cfRule type="expression" dxfId="379" priority="384">
      <formula>ISTEXT(A6)</formula>
    </cfRule>
  </conditionalFormatting>
  <conditionalFormatting sqref="AC32:AC35">
    <cfRule type="expression" dxfId="378" priority="280">
      <formula>ISTEXT(B32)</formula>
    </cfRule>
  </conditionalFormatting>
  <conditionalFormatting sqref="AC36:AC41 AC44:AC799">
    <cfRule type="expression" dxfId="377" priority="443">
      <formula>ISTEXT(A36)</formula>
    </cfRule>
  </conditionalFormatting>
  <conditionalFormatting sqref="AC42:AC43">
    <cfRule type="expression" dxfId="376" priority="135">
      <formula>ISTEXT(B42)</formula>
    </cfRule>
  </conditionalFormatting>
  <conditionalFormatting sqref="AD6:AD31">
    <cfRule type="expression" dxfId="375" priority="383">
      <formula>ISTEXT(A6)</formula>
    </cfRule>
  </conditionalFormatting>
  <conditionalFormatting sqref="AD32:AD35">
    <cfRule type="expression" dxfId="374" priority="279">
      <formula>ISTEXT(B32)</formula>
    </cfRule>
  </conditionalFormatting>
  <conditionalFormatting sqref="AD36:AD41 AD44:AD799">
    <cfRule type="expression" dxfId="373" priority="442">
      <formula>ISTEXT(A36)</formula>
    </cfRule>
  </conditionalFormatting>
  <conditionalFormatting sqref="AD42:AD43">
    <cfRule type="expression" dxfId="372" priority="134">
      <formula>ISTEXT(B42)</formula>
    </cfRule>
  </conditionalFormatting>
  <conditionalFormatting sqref="AE6:AE31">
    <cfRule type="expression" dxfId="371" priority="382">
      <formula>ISTEXT(A6)</formula>
    </cfRule>
  </conditionalFormatting>
  <conditionalFormatting sqref="AE32:AE35">
    <cfRule type="expression" dxfId="370" priority="278">
      <formula>ISTEXT(B32)</formula>
    </cfRule>
  </conditionalFormatting>
  <conditionalFormatting sqref="AE36:AE41 AE44 AE46 AE48:AE799">
    <cfRule type="expression" dxfId="369" priority="441">
      <formula>ISTEXT(A36)</formula>
    </cfRule>
  </conditionalFormatting>
  <conditionalFormatting sqref="AE42:AE43">
    <cfRule type="expression" dxfId="368" priority="133">
      <formula>ISTEXT(B42)</formula>
    </cfRule>
  </conditionalFormatting>
  <conditionalFormatting sqref="AE45 AE47">
    <cfRule type="expression" dxfId="367" priority="70">
      <formula>ISTEXT(B45)</formula>
    </cfRule>
    <cfRule type="expression" dxfId="366" priority="71">
      <formula>ISTEXT(E45)</formula>
    </cfRule>
  </conditionalFormatting>
  <conditionalFormatting sqref="AG6:AG41">
    <cfRule type="expression" dxfId="365" priority="390">
      <formula>ISTEXT(A6)</formula>
    </cfRule>
  </conditionalFormatting>
  <conditionalFormatting sqref="AG42:AG43">
    <cfRule type="expression" dxfId="364" priority="132">
      <formula>ISTEXT(B42)</formula>
    </cfRule>
  </conditionalFormatting>
  <conditionalFormatting sqref="AG44:AG799">
    <cfRule type="expression" dxfId="363" priority="440">
      <formula>ISTEXT(A44)</formula>
    </cfRule>
  </conditionalFormatting>
  <conditionalFormatting sqref="AH6:AH31 AH36:AH41 AH44 AH46 AH48:AH141">
    <cfRule type="containsText" dxfId="362" priority="571" operator="containsText" text="F">
      <formula>NOT(ISERROR(SEARCH("F",AH6)))</formula>
    </cfRule>
    <cfRule type="containsText" dxfId="361" priority="570" operator="containsText" text="E">
      <formula>NOT(ISERROR(SEARCH("E",AH6)))</formula>
    </cfRule>
    <cfRule type="containsText" dxfId="360" priority="569" operator="containsText" text="C">
      <formula>NOT(ISERROR(SEARCH("C",AH6)))</formula>
    </cfRule>
    <cfRule type="containsText" dxfId="359" priority="568" operator="containsText" text="B">
      <formula>NOT(ISERROR(SEARCH("B",AH6)))</formula>
    </cfRule>
    <cfRule type="containsText" dxfId="358" priority="567" operator="containsText" text="A2">
      <formula>NOT(ISERROR(SEARCH("A2",AH6)))</formula>
    </cfRule>
    <cfRule type="containsText" dxfId="357" priority="566" operator="containsText" text="A1">
      <formula>NOT(ISERROR(SEARCH("A1",AH6)))</formula>
    </cfRule>
    <cfRule type="containsText" dxfId="356" priority="572" operator="containsText" text="D">
      <formula>NOT(ISERROR(SEARCH("D",AH6)))</formula>
    </cfRule>
  </conditionalFormatting>
  <conditionalFormatting sqref="AH32:AH35">
    <cfRule type="containsText" dxfId="355" priority="270" operator="containsText" text="A2">
      <formula>NOT(ISERROR(SEARCH("A2",AH32)))</formula>
    </cfRule>
    <cfRule type="containsText" dxfId="354" priority="271" operator="containsText" text="B">
      <formula>NOT(ISERROR(SEARCH("B",AH32)))</formula>
    </cfRule>
    <cfRule type="containsText" dxfId="353" priority="272" operator="containsText" text="C">
      <formula>NOT(ISERROR(SEARCH("C",AH32)))</formula>
    </cfRule>
    <cfRule type="containsText" dxfId="352" priority="273" operator="containsText" text="E">
      <formula>NOT(ISERROR(SEARCH("E",AH32)))</formula>
    </cfRule>
    <cfRule type="containsText" dxfId="351" priority="275" operator="containsText" text="D">
      <formula>NOT(ISERROR(SEARCH("D",AH32)))</formula>
    </cfRule>
    <cfRule type="containsText" dxfId="350" priority="274" operator="containsText" text="F">
      <formula>NOT(ISERROR(SEARCH("F",AH32)))</formula>
    </cfRule>
    <cfRule type="containsText" dxfId="349" priority="269" operator="containsText" text="A1">
      <formula>NOT(ISERROR(SEARCH("A1",AH32)))</formula>
    </cfRule>
  </conditionalFormatting>
  <conditionalFormatting sqref="AH42:AH43">
    <cfRule type="containsText" dxfId="348" priority="153" operator="containsText" text="A1">
      <formula>NOT(ISERROR(SEARCH("A1",AH42)))</formula>
    </cfRule>
    <cfRule type="containsText" dxfId="347" priority="157" operator="containsText" text="E">
      <formula>NOT(ISERROR(SEARCH("E",AH42)))</formula>
    </cfRule>
    <cfRule type="containsText" dxfId="346" priority="158" operator="containsText" text="F">
      <formula>NOT(ISERROR(SEARCH("F",AH42)))</formula>
    </cfRule>
    <cfRule type="containsText" dxfId="345" priority="155" operator="containsText" text="B">
      <formula>NOT(ISERROR(SEARCH("B",AH42)))</formula>
    </cfRule>
    <cfRule type="containsText" dxfId="344" priority="159" operator="containsText" text="D">
      <formula>NOT(ISERROR(SEARCH("D",AH42)))</formula>
    </cfRule>
    <cfRule type="containsText" dxfId="343" priority="154" operator="containsText" text="A2">
      <formula>NOT(ISERROR(SEARCH("A2",AH42)))</formula>
    </cfRule>
    <cfRule type="containsText" dxfId="342" priority="156" operator="containsText" text="C">
      <formula>NOT(ISERROR(SEARCH("C",AH42)))</formula>
    </cfRule>
  </conditionalFormatting>
  <conditionalFormatting sqref="AH45">
    <cfRule type="containsText" dxfId="341" priority="95" operator="containsText" text="B">
      <formula>NOT(ISERROR(SEARCH("B",AH45)))</formula>
    </cfRule>
    <cfRule type="containsText" dxfId="340" priority="94" operator="containsText" text="A2">
      <formula>NOT(ISERROR(SEARCH("A2",AH45)))</formula>
    </cfRule>
    <cfRule type="containsText" dxfId="339" priority="96" operator="containsText" text="C">
      <formula>NOT(ISERROR(SEARCH("C",AH45)))</formula>
    </cfRule>
    <cfRule type="containsText" dxfId="338" priority="97" operator="containsText" text="E">
      <formula>NOT(ISERROR(SEARCH("E",AH45)))</formula>
    </cfRule>
    <cfRule type="containsText" dxfId="337" priority="99" operator="containsText" text="D">
      <formula>NOT(ISERROR(SEARCH("D",AH45)))</formula>
    </cfRule>
    <cfRule type="containsText" dxfId="336" priority="98" operator="containsText" text="F">
      <formula>NOT(ISERROR(SEARCH("F",AH45)))</formula>
    </cfRule>
    <cfRule type="containsText" dxfId="335" priority="93" operator="containsText" text="A1">
      <formula>NOT(ISERROR(SEARCH("A1",AH45)))</formula>
    </cfRule>
  </conditionalFormatting>
  <conditionalFormatting sqref="AH47">
    <cfRule type="containsText" dxfId="334" priority="36" operator="containsText" text="A1">
      <formula>NOT(ISERROR(SEARCH("A1",AH47)))</formula>
    </cfRule>
    <cfRule type="containsText" dxfId="333" priority="38" operator="containsText" text="B">
      <formula>NOT(ISERROR(SEARCH("B",AH47)))</formula>
    </cfRule>
    <cfRule type="containsText" dxfId="332" priority="39" operator="containsText" text="C">
      <formula>NOT(ISERROR(SEARCH("C",AH47)))</formula>
    </cfRule>
    <cfRule type="containsText" dxfId="331" priority="37" operator="containsText" text="A2">
      <formula>NOT(ISERROR(SEARCH("A2",AH47)))</formula>
    </cfRule>
    <cfRule type="containsText" dxfId="330" priority="42" operator="containsText" text="D">
      <formula>NOT(ISERROR(SEARCH("D",AH47)))</formula>
    </cfRule>
    <cfRule type="containsText" dxfId="329" priority="41" operator="containsText" text="F">
      <formula>NOT(ISERROR(SEARCH("F",AH47)))</formula>
    </cfRule>
    <cfRule type="containsText" dxfId="328" priority="40" operator="containsText" text="E">
      <formula>NOT(ISERROR(SEARCH("E",AH47)))</formula>
    </cfRule>
  </conditionalFormatting>
  <conditionalFormatting sqref="AH45:AI45">
    <cfRule type="containsText" dxfId="327" priority="92" operator="containsText" text="N/A">
      <formula>NOT(ISERROR(SEARCH("N/A",AH45)))</formula>
    </cfRule>
  </conditionalFormatting>
  <conditionalFormatting sqref="AH47:AI47">
    <cfRule type="containsText" dxfId="326" priority="35" operator="containsText" text="N/A">
      <formula>NOT(ISERROR(SEARCH("N/A",AH47)))</formula>
    </cfRule>
  </conditionalFormatting>
  <conditionalFormatting sqref="AI6:AI22 AI25:AI31 AI36:AI41 AI44 AI46 AI48:AI141">
    <cfRule type="expression" dxfId="325" priority="515">
      <formula>AH6="E"</formula>
    </cfRule>
    <cfRule type="expression" dxfId="324" priority="514">
      <formula>AH6="D"</formula>
    </cfRule>
    <cfRule type="expression" dxfId="323" priority="513">
      <formula>AH6="C"</formula>
    </cfRule>
    <cfRule type="expression" dxfId="322" priority="512">
      <formula>AH6="B"</formula>
    </cfRule>
    <cfRule type="expression" dxfId="321" priority="511">
      <formula>AH6="A2"</formula>
    </cfRule>
    <cfRule type="expression" dxfId="320" priority="516">
      <formula>AH6="F"</formula>
    </cfRule>
  </conditionalFormatting>
  <conditionalFormatting sqref="AI6:AI31">
    <cfRule type="expression" dxfId="319" priority="421">
      <formula>AH6="A1"</formula>
    </cfRule>
  </conditionalFormatting>
  <conditionalFormatting sqref="AI23:AI24">
    <cfRule type="expression" dxfId="318" priority="415">
      <formula>AH23="F"</formula>
    </cfRule>
    <cfRule type="expression" dxfId="317" priority="416">
      <formula>AH23="E"</formula>
    </cfRule>
    <cfRule type="expression" dxfId="316" priority="417">
      <formula>AH23="D"</formula>
    </cfRule>
    <cfRule type="expression" dxfId="315" priority="418">
      <formula>AH23="C"</formula>
    </cfRule>
    <cfRule type="expression" dxfId="314" priority="419">
      <formula>AH23="B"</formula>
    </cfRule>
    <cfRule type="expression" dxfId="313" priority="420">
      <formula>AH23="A2"</formula>
    </cfRule>
  </conditionalFormatting>
  <conditionalFormatting sqref="AI32:AI35">
    <cfRule type="expression" dxfId="312" priority="266">
      <formula>AH32="A2"</formula>
    </cfRule>
    <cfRule type="expression" dxfId="311" priority="265">
      <formula>AH32="B"</formula>
    </cfRule>
    <cfRule type="expression" dxfId="310" priority="261">
      <formula>AH32="F"</formula>
    </cfRule>
    <cfRule type="expression" dxfId="309" priority="262">
      <formula>AH32="E"</formula>
    </cfRule>
    <cfRule type="expression" dxfId="308" priority="263">
      <formula>AH32="D"</formula>
    </cfRule>
    <cfRule type="expression" dxfId="307" priority="264">
      <formula>AH32="C"</formula>
    </cfRule>
  </conditionalFormatting>
  <conditionalFormatting sqref="AI32:AI41">
    <cfRule type="expression" dxfId="306" priority="267">
      <formula>AH32="A1"</formula>
    </cfRule>
  </conditionalFormatting>
  <conditionalFormatting sqref="AI42:AI43">
    <cfRule type="expression" dxfId="305" priority="147">
      <formula>AH42="D"</formula>
    </cfRule>
    <cfRule type="expression" dxfId="304" priority="150">
      <formula>AH42="A2"</formula>
    </cfRule>
    <cfRule type="expression" dxfId="303" priority="145">
      <formula>AH42="F"</formula>
    </cfRule>
    <cfRule type="expression" dxfId="302" priority="146">
      <formula>AH42="E"</formula>
    </cfRule>
    <cfRule type="expression" dxfId="301" priority="149">
      <formula>AH42="B"</formula>
    </cfRule>
    <cfRule type="expression" dxfId="300" priority="148">
      <formula>AH42="C"</formula>
    </cfRule>
  </conditionalFormatting>
  <conditionalFormatting sqref="AI42:AI44">
    <cfRule type="expression" dxfId="299" priority="151">
      <formula>AH42="A1"</formula>
    </cfRule>
  </conditionalFormatting>
  <conditionalFormatting sqref="AI45">
    <cfRule type="expression" dxfId="298" priority="87">
      <formula>AH45="D"</formula>
    </cfRule>
    <cfRule type="expression" dxfId="297" priority="86">
      <formula>AH45="E"</formula>
    </cfRule>
    <cfRule type="expression" dxfId="296" priority="90">
      <formula>AH45="A2"</formula>
    </cfRule>
    <cfRule type="expression" dxfId="295" priority="89">
      <formula>AH45="B"</formula>
    </cfRule>
    <cfRule type="expression" dxfId="294" priority="88">
      <formula>AH45="C"</formula>
    </cfRule>
    <cfRule type="expression" dxfId="293" priority="85">
      <formula>AH45="F"</formula>
    </cfRule>
  </conditionalFormatting>
  <conditionalFormatting sqref="AI45:AI46">
    <cfRule type="expression" dxfId="292" priority="91">
      <formula>AH45="A1"</formula>
    </cfRule>
  </conditionalFormatting>
  <conditionalFormatting sqref="AI47">
    <cfRule type="expression" dxfId="291" priority="30">
      <formula>AH47="D"</formula>
    </cfRule>
    <cfRule type="expression" dxfId="290" priority="29">
      <formula>AH47="E"</formula>
    </cfRule>
    <cfRule type="expression" dxfId="289" priority="28">
      <formula>AH47="F"</formula>
    </cfRule>
    <cfRule type="expression" dxfId="288" priority="33">
      <formula>AH47="A2"</formula>
    </cfRule>
    <cfRule type="expression" dxfId="287" priority="32">
      <formula>AH47="B"</formula>
    </cfRule>
    <cfRule type="expression" dxfId="286" priority="31">
      <formula>AH47="C"</formula>
    </cfRule>
  </conditionalFormatting>
  <conditionalFormatting sqref="AI47:AI141">
    <cfRule type="expression" dxfId="285" priority="34">
      <formula>AH47="A1"</formula>
    </cfRule>
  </conditionalFormatting>
  <conditionalFormatting sqref="AI401">
    <cfRule type="expression" dxfId="284" priority="517">
      <formula>AH401="F"</formula>
    </cfRule>
    <cfRule type="expression" dxfId="283" priority="519">
      <formula>AH401="A1"</formula>
    </cfRule>
    <cfRule type="expression" dxfId="282" priority="520">
      <formula>AH401="A2"</formula>
    </cfRule>
    <cfRule type="expression" dxfId="281" priority="521">
      <formula>AH401="B"</formula>
    </cfRule>
    <cfRule type="expression" dxfId="280" priority="522">
      <formula>AH401="C"</formula>
    </cfRule>
    <cfRule type="expression" dxfId="279" priority="523">
      <formula>AH401="D"</formula>
    </cfRule>
    <cfRule type="expression" dxfId="278" priority="524">
      <formula>AH401="E"</formula>
    </cfRule>
    <cfRule type="expression" dxfId="277" priority="525">
      <formula>AH401="F"</formula>
    </cfRule>
    <cfRule type="expression" dxfId="276" priority="530">
      <formula>AH401="F"</formula>
    </cfRule>
    <cfRule type="expression" dxfId="275" priority="528">
      <formula>AH401="E"</formula>
    </cfRule>
  </conditionalFormatting>
  <conditionalFormatting sqref="AJ6:AJ31">
    <cfRule type="expression" dxfId="274" priority="381">
      <formula>ISTEXT(A6)</formula>
    </cfRule>
  </conditionalFormatting>
  <conditionalFormatting sqref="AJ32:AJ35">
    <cfRule type="expression" dxfId="273" priority="259">
      <formula>ISTEXT(B32)</formula>
    </cfRule>
  </conditionalFormatting>
  <conditionalFormatting sqref="AJ36:AJ41 AJ44:AJ799">
    <cfRule type="expression" dxfId="272" priority="439">
      <formula>ISTEXT(A36)</formula>
    </cfRule>
  </conditionalFormatting>
  <conditionalFormatting sqref="AJ42:AJ43 AL43:AL48">
    <cfRule type="expression" dxfId="271" priority="131">
      <formula>ISTEXT(B42)</formula>
    </cfRule>
  </conditionalFormatting>
  <conditionalFormatting sqref="AL6:AL31">
    <cfRule type="expression" dxfId="270" priority="387">
      <formula>ISTEXT(A6)</formula>
    </cfRule>
  </conditionalFormatting>
  <conditionalFormatting sqref="AL15:AL22">
    <cfRule type="expression" dxfId="269" priority="771">
      <formula>ISTEXT(B15)</formula>
    </cfRule>
  </conditionalFormatting>
  <conditionalFormatting sqref="AL32">
    <cfRule type="expression" dxfId="268" priority="324">
      <formula>ISTEXT(#REF!)</formula>
    </cfRule>
    <cfRule type="expression" dxfId="267" priority="321">
      <formula>ISTEXT(D32)</formula>
    </cfRule>
  </conditionalFormatting>
  <conditionalFormatting sqref="AL32:AL35">
    <cfRule type="expression" dxfId="266" priority="260">
      <formula>ISTEXT(B32)</formula>
    </cfRule>
  </conditionalFormatting>
  <conditionalFormatting sqref="AL36:AL41 AL49:AL799">
    <cfRule type="expression" dxfId="265" priority="461">
      <formula>ISTEXT(A36)</formula>
    </cfRule>
  </conditionalFormatting>
  <conditionalFormatting sqref="AL42:AL48">
    <cfRule type="expression" dxfId="264" priority="138">
      <formula>ISTEXT(B42)</formula>
    </cfRule>
  </conditionalFormatting>
  <conditionalFormatting sqref="AL44:AN48">
    <cfRule type="containsText" dxfId="263" priority="26" operator="containsText" text="N/A">
      <formula>NOT(ISERROR(SEARCH("N/A",AL44)))</formula>
    </cfRule>
  </conditionalFormatting>
  <conditionalFormatting sqref="AM6:AM31">
    <cfRule type="expression" dxfId="262" priority="380">
      <formula>ISTEXT(A6)</formula>
    </cfRule>
  </conditionalFormatting>
  <conditionalFormatting sqref="AM32:AM35">
    <cfRule type="expression" dxfId="261" priority="258">
      <formula>ISTEXT(B32)</formula>
    </cfRule>
  </conditionalFormatting>
  <conditionalFormatting sqref="AM36:AM41 AM44:AM799">
    <cfRule type="expression" dxfId="260" priority="438">
      <formula>ISTEXT(A36)</formula>
    </cfRule>
  </conditionalFormatting>
  <conditionalFormatting sqref="AM42:AM43">
    <cfRule type="expression" dxfId="259" priority="130">
      <formula>ISTEXT(B42)</formula>
    </cfRule>
  </conditionalFormatting>
  <conditionalFormatting sqref="AN42:XFD43 AO44:XFD44">
    <cfRule type="containsText" dxfId="258" priority="126" operator="containsText" text="N/A">
      <formula>NOT(ISERROR(SEARCH("N/A",AN42)))</formula>
    </cfRule>
  </conditionalFormatting>
  <conditionalFormatting sqref="AO6">
    <cfRule type="expression" dxfId="257" priority="762">
      <formula>ISTEXT(#REF!)</formula>
    </cfRule>
  </conditionalFormatting>
  <conditionalFormatting sqref="AO6:AO31">
    <cfRule type="expression" dxfId="256" priority="379">
      <formula>ISTEXT(A6)</formula>
    </cfRule>
  </conditionalFormatting>
  <conditionalFormatting sqref="AO32">
    <cfRule type="expression" dxfId="255" priority="303">
      <formula>ISTEXT(B32)</formula>
    </cfRule>
  </conditionalFormatting>
  <conditionalFormatting sqref="AO33:AO799">
    <cfRule type="expression" dxfId="254" priority="125">
      <formula>ISTEXT(A33)</formula>
    </cfRule>
  </conditionalFormatting>
  <conditionalFormatting sqref="AO45:AP45 AO46:AO48">
    <cfRule type="containsText" dxfId="253" priority="82" operator="containsText" text="N/A">
      <formula>NOT(ISERROR(SEARCH("N/A",AO45)))</formula>
    </cfRule>
  </conditionalFormatting>
  <conditionalFormatting sqref="AO33:XFD35">
    <cfRule type="containsText" dxfId="252" priority="257" operator="containsText" text="N/A">
      <formula>NOT(ISERROR(SEARCH("N/A",AO33)))</formula>
    </cfRule>
  </conditionalFormatting>
  <conditionalFormatting sqref="AP6:AP31">
    <cfRule type="expression" dxfId="251" priority="378">
      <formula>ISTEXT(A6)</formula>
    </cfRule>
  </conditionalFormatting>
  <conditionalFormatting sqref="AP32">
    <cfRule type="expression" dxfId="250" priority="302">
      <formula>ISTEXT(B32)</formula>
    </cfRule>
  </conditionalFormatting>
  <conditionalFormatting sqref="AP33:AP799">
    <cfRule type="expression" dxfId="249" priority="81">
      <formula>ISTEXT(A33)</formula>
    </cfRule>
  </conditionalFormatting>
  <conditionalFormatting sqref="AR4">
    <cfRule type="containsText" dxfId="248" priority="509" operator="containsText" text="N/A">
      <formula>NOT(ISERROR(SEARCH("N/A",AR4)))</formula>
    </cfRule>
  </conditionalFormatting>
  <hyperlinks>
    <hyperlink ref="AP7:AP8" r:id="rId1" display="Link" xr:uid="{FD06E70F-2E23-4E90-BB37-743D9777AC48}"/>
    <hyperlink ref="R8" r:id="rId2" display="Produktspecifik" xr:uid="{65BE3F5A-8FAD-48EA-B91F-15DABBC11B69}"/>
    <hyperlink ref="R7" r:id="rId3" display="Produktspecifik" xr:uid="{2144C4A8-6D0A-43E0-8976-537EE6A1AE5E}"/>
    <hyperlink ref="E7" r:id="rId4" xr:uid="{2CDC490C-44E6-4E64-AF65-9F48CF0E8B5B}"/>
    <hyperlink ref="E8" r:id="rId5" xr:uid="{3FF84E0A-64E9-412E-B970-34B30E526352}"/>
    <hyperlink ref="E6" r:id="rId6" xr:uid="{7DA0D5E3-562D-4510-9D4A-1B2F3684F82F}"/>
    <hyperlink ref="E9" r:id="rId7" xr:uid="{677740B7-D47D-48EA-94D2-29C1E8F13558}"/>
    <hyperlink ref="AO9" r:id="rId8" xr:uid="{2FEEFB1B-D0C8-4CCC-BBE1-54C847E9766E}"/>
    <hyperlink ref="R9" r:id="rId9" display="Produktspecifik" xr:uid="{1E934AAD-21D2-4A56-81BB-885E6EE57C16}"/>
    <hyperlink ref="AP10" r:id="rId10" xr:uid="{2515017D-8EA0-4ABC-87A0-19EEA05F3D56}"/>
    <hyperlink ref="AO10" r:id="rId11" xr:uid="{9BE0B3A2-1527-403F-9528-3035B52BAFF6}"/>
    <hyperlink ref="AO11" r:id="rId12" xr:uid="{42E3C646-D788-4FB4-A413-E132991B3315}"/>
    <hyperlink ref="R12" r:id="rId13" display="Produktspecifik" xr:uid="{F789DEB3-FDD3-4EC8-A6DC-B484D1E27934}"/>
    <hyperlink ref="AO12" r:id="rId14" xr:uid="{DA3DF9F3-51B0-473A-81B9-3B52DDC095B7}"/>
    <hyperlink ref="E13" r:id="rId15" xr:uid="{8BBF690E-03AD-4641-9165-799C7B94368C}"/>
    <hyperlink ref="E12" r:id="rId16" xr:uid="{54CA37BE-449B-4A48-A2DA-AEEBFF4F23D1}"/>
    <hyperlink ref="AO14" r:id="rId17" xr:uid="{B56CFE5E-0058-4C6E-9E4E-7978AC0D3F2B}"/>
    <hyperlink ref="AP14" r:id="rId18" xr:uid="{C3AAFC9F-F217-4A53-A56D-63FEA5847671}"/>
    <hyperlink ref="E14" r:id="rId19" xr:uid="{30F2D7B7-F934-4D66-990C-97104D6BED75}"/>
    <hyperlink ref="AO15" r:id="rId20" xr:uid="{2B0CD921-CB6C-4AD1-A8E6-D1584DB9883C}"/>
    <hyperlink ref="AO16" r:id="rId21" xr:uid="{0FAED04C-7889-4276-837B-EB8F51ECABEB}"/>
    <hyperlink ref="AO17" r:id="rId22" xr:uid="{7C870E64-970A-44EF-829F-03505A317539}"/>
    <hyperlink ref="AO18" r:id="rId23" xr:uid="{CE9E119D-54D0-4418-BD29-AB1758AC1797}"/>
    <hyperlink ref="AO19" r:id="rId24" xr:uid="{177ABCF6-6D35-4FB8-A2F5-C2A2971B3C6E}"/>
    <hyperlink ref="AO20" r:id="rId25" xr:uid="{F6212886-07F0-4D4D-8613-AAEC85F6D83E}"/>
    <hyperlink ref="AO21" r:id="rId26" xr:uid="{CE6D6BBA-DB5A-478C-9E33-62267747F79B}"/>
    <hyperlink ref="AO22" r:id="rId27" xr:uid="{7512C466-A426-4984-AF54-50849BD8174C}"/>
    <hyperlink ref="AP19" r:id="rId28" xr:uid="{F9921768-5427-4686-9A93-11E2E0FB13EC}"/>
    <hyperlink ref="AP20" r:id="rId29" xr:uid="{6FDCE8AA-B6D6-4F31-9A72-DB246B6ECDB9}"/>
    <hyperlink ref="AP21" r:id="rId30" xr:uid="{47D299EC-87FA-49F1-8A48-9935A1A4FDE1}"/>
    <hyperlink ref="AP22" r:id="rId31" xr:uid="{4D76F56C-E60D-44A4-8150-2B09679ED156}"/>
    <hyperlink ref="E23" r:id="rId32" xr:uid="{4B1CA409-9F41-43C7-B2DB-433CD4B1235F}"/>
    <hyperlink ref="R23" r:id="rId33" xr:uid="{7F82B0F8-3215-4F1A-829D-3C9925204167}"/>
    <hyperlink ref="AO23" r:id="rId34" xr:uid="{49613ABF-577F-4859-B0AA-47AF3EEED1C4}"/>
    <hyperlink ref="AP23" r:id="rId35" xr:uid="{ED69EF34-906B-4E02-85A6-3123E00A6EC1}"/>
    <hyperlink ref="E24" r:id="rId36" xr:uid="{E10A62EC-586B-4E71-97F1-AD26D79D679B}"/>
    <hyperlink ref="R24" r:id="rId37" xr:uid="{57DBB068-AD85-4967-9FCA-0BF58F1CA15B}"/>
    <hyperlink ref="AO24" r:id="rId38" xr:uid="{A7EAEB05-5B74-44BE-916E-F064812A0114}"/>
    <hyperlink ref="AP24" r:id="rId39" xr:uid="{1BA51C69-74AA-41EB-897C-9EAF5946FA47}"/>
    <hyperlink ref="AO6" r:id="rId40" xr:uid="{77FAE701-70CB-4C19-9BAF-CCDC034B1A71}"/>
    <hyperlink ref="AO7" r:id="rId41" xr:uid="{0B4189E1-1C21-4B0D-9CAB-3FAF7A826D97}"/>
    <hyperlink ref="AO8" r:id="rId42" xr:uid="{8DEBB721-55A0-480C-82FA-E2C7AB71C492}"/>
    <hyperlink ref="AP13" r:id="rId43" display="Link" xr:uid="{E23D2B94-460F-4AFF-AC6D-EF06A0655A94}"/>
    <hyperlink ref="AO13" r:id="rId44" xr:uid="{F3A45E3C-4721-413B-AE2C-20C447972619}"/>
    <hyperlink ref="E25" r:id="rId45" xr:uid="{B44DD0D8-5D08-47A2-AA23-564A2F2C9581}"/>
    <hyperlink ref="R25" r:id="rId46" xr:uid="{40C24B23-1453-42E2-B5C9-3230325F0702}"/>
    <hyperlink ref="R26:R31" r:id="rId47" display="EPD" xr:uid="{3509D30A-D391-482C-BAC2-EBC5AE066DF3}"/>
    <hyperlink ref="E26" r:id="rId48" xr:uid="{1BB8B9FB-D515-42D7-80AE-83A50B4B3A5F}"/>
    <hyperlink ref="E27" r:id="rId49" xr:uid="{C3EBDA54-9050-4CA1-B27C-DE8C7594CD69}"/>
    <hyperlink ref="E28" r:id="rId50" xr:uid="{D81264C2-D015-4249-9D91-B752C4389408}"/>
    <hyperlink ref="E29" r:id="rId51" xr:uid="{ADE2895C-7E9A-4BC7-AA5F-88A71283EA95}"/>
    <hyperlink ref="E30" r:id="rId52" xr:uid="{CFFB565D-24C1-4D82-9A29-B023656C5D5B}"/>
    <hyperlink ref="E31" r:id="rId53" xr:uid="{1FFD8B09-497D-4D39-A49C-EF7414A9B80E}"/>
    <hyperlink ref="R32" r:id="rId54" display="Produktspecifik" xr:uid="{0EC52E32-2FF3-4834-905F-5B9CE56DFD4A}"/>
    <hyperlink ref="AO32" r:id="rId55" xr:uid="{7A337698-791C-4A70-BCB2-55F31BCAD980}"/>
    <hyperlink ref="E33" r:id="rId56" xr:uid="{8157C658-B721-4E2B-AEAD-EEC6EBDE2647}"/>
    <hyperlink ref="E34" r:id="rId57" xr:uid="{C4FE95AF-7032-4976-B0D4-A40A8C80878B}"/>
    <hyperlink ref="E35" r:id="rId58" xr:uid="{4B225F4E-923C-442A-B5A5-FA456CF29A74}"/>
    <hyperlink ref="R34" r:id="rId59" display="Produktspecifik" xr:uid="{C26E3445-9A90-4CD5-8D64-B8763FD9835E}"/>
    <hyperlink ref="R33" r:id="rId60" display="Produktspecifik" xr:uid="{D9688AF3-533F-42B3-8213-337D79085886}"/>
    <hyperlink ref="R35" r:id="rId61" display="Produktspecifik" xr:uid="{028E72EB-3C23-499B-B91A-4421C18A44CD}"/>
    <hyperlink ref="AO35" r:id="rId62" xr:uid="{2C042584-64E2-4E9C-B9B4-C41EE68A2EEC}"/>
    <hyperlink ref="AO34" r:id="rId63" xr:uid="{CD54DE7F-93FB-4C68-B811-09DC3F98BAE4}"/>
    <hyperlink ref="AO33" r:id="rId64" xr:uid="{E85DA22D-6CD6-4545-BA49-85F3B125F2DF}"/>
    <hyperlink ref="AO33:AO35" r:id="rId65" display="Link" xr:uid="{B859D744-B53B-4C75-9DB7-DC12153C6381}"/>
    <hyperlink ref="AO36" r:id="rId66" xr:uid="{DE7877C0-1CA0-45BB-98D9-07E8FF95238F}"/>
    <hyperlink ref="AP36" r:id="rId67" xr:uid="{DFAAE11D-44AF-4AFB-A6E4-3D69CA0BBA44}"/>
    <hyperlink ref="AO27" r:id="rId68" xr:uid="{094608FB-9191-49A0-AE18-29D4AF78784D}"/>
    <hyperlink ref="AO26" r:id="rId69" xr:uid="{66CFC15A-9836-4AF6-A991-4D8EE3E6613E}"/>
    <hyperlink ref="AO28" r:id="rId70" xr:uid="{0A7EFF8A-3F71-443D-AAE1-D273010C36CD}"/>
    <hyperlink ref="AO31" r:id="rId71" xr:uid="{E917DBB3-18DB-4DE4-98DA-5124CF1E4112}"/>
    <hyperlink ref="AO25" r:id="rId72" xr:uid="{8C02E7A5-71FB-438D-9544-6899C35CF037}"/>
    <hyperlink ref="AO29" r:id="rId73" xr:uid="{2B196292-A5BA-44A6-BE7F-5C4E3264CE32}"/>
    <hyperlink ref="AO30" r:id="rId74" xr:uid="{DB073D81-7258-4173-AEBC-0B41362062A9}"/>
    <hyperlink ref="E36" r:id="rId75" xr:uid="{A902BFA6-5EA5-4129-BF4E-7E0C5C6F075F}"/>
    <hyperlink ref="R36" r:id="rId76" xr:uid="{0B6867B3-CB55-491B-86E3-B33AA743A93F}"/>
    <hyperlink ref="E37" r:id="rId77" xr:uid="{F87762A2-6445-4B0D-9902-72D6F873B45C}"/>
    <hyperlink ref="R37" r:id="rId78" xr:uid="{35241C3F-B1CB-4695-9222-55B02329A5AB}"/>
    <hyperlink ref="AO37" r:id="rId79" xr:uid="{A2517D23-FD3A-4E7C-B387-6DB62470651C}"/>
    <hyperlink ref="R38" r:id="rId80" xr:uid="{FB13B5FC-273B-4080-BF23-AC1787CA1932}"/>
    <hyperlink ref="E38" r:id="rId81" xr:uid="{139DEE6A-AFF5-44E7-8528-1CCC3CF11957}"/>
    <hyperlink ref="AO38" r:id="rId82" xr:uid="{97345AC6-7BB3-45D9-9C6C-F20433321497}"/>
    <hyperlink ref="AP38" r:id="rId83" xr:uid="{E759B2E8-C3A0-476B-84BE-204CBA3F5117}"/>
    <hyperlink ref="R39" r:id="rId84" xr:uid="{5684FADB-D465-43F4-8452-435322A09BD8}"/>
    <hyperlink ref="E39" r:id="rId85" xr:uid="{31C5C7C4-25B8-4796-9607-50EE53DA6F40}"/>
    <hyperlink ref="AO39" r:id="rId86" xr:uid="{39A45A36-160F-4CCB-A91F-DE9674D62A2D}"/>
    <hyperlink ref="AP39" r:id="rId87" xr:uid="{FB512889-7804-4020-9652-2639B077980C}"/>
    <hyperlink ref="R40" r:id="rId88" xr:uid="{8B0C05D1-6861-4D37-B2B7-A6C71B502A49}"/>
    <hyperlink ref="E40" r:id="rId89" xr:uid="{1E1F3724-1DF1-4E1A-82B7-CC77C6A63FA0}"/>
    <hyperlink ref="AO40" r:id="rId90" xr:uid="{1B0C2ECA-67C0-4BA1-8888-65DD0BD8D449}"/>
    <hyperlink ref="AP40" r:id="rId91" xr:uid="{0C62A199-D42C-435D-AA5E-1ACAD397442E}"/>
    <hyperlink ref="R41" r:id="rId92" xr:uid="{F5440DEC-968F-47CE-852B-FBD1BCA0879C}"/>
    <hyperlink ref="E41" r:id="rId93" xr:uid="{6A3E0D53-0EF4-4056-95AA-1B397A9B4136}"/>
    <hyperlink ref="AO41" r:id="rId94" xr:uid="{4E002007-C420-4117-805E-07F3555F1E80}"/>
    <hyperlink ref="AP41" r:id="rId95" xr:uid="{6A792883-3128-4741-B147-18B34FBF94C6}"/>
    <hyperlink ref="E42" r:id="rId96" xr:uid="{FF02E133-4DC1-4EF4-A61B-69E82E1E71B5}"/>
    <hyperlink ref="R42" r:id="rId97" xr:uid="{522E3419-4A3C-4115-95A7-1E094E872770}"/>
    <hyperlink ref="AO42" r:id="rId98" xr:uid="{B9491BEF-4533-4850-B265-A83249024693}"/>
    <hyperlink ref="AP42" r:id="rId99" xr:uid="{02AD07D0-D861-42CE-A29F-FA943BD2CFD1}"/>
    <hyperlink ref="E43" r:id="rId100" xr:uid="{1772F2B8-DE9A-44D7-AD76-35AC5370CC9B}"/>
    <hyperlink ref="R43" r:id="rId101" display="Produktspecifik" xr:uid="{39BBD5AE-9F3B-43B8-A6FC-6E58432B96CC}"/>
    <hyperlink ref="AO43" r:id="rId102" xr:uid="{9C7EE6F4-1FD3-4C63-9826-B5A3AB7C05AB}"/>
    <hyperlink ref="E44" r:id="rId103" xr:uid="{922A5981-852F-4D8A-AA31-FAB106ED173A}"/>
    <hyperlink ref="R44" r:id="rId104" xr:uid="{8E7C5D2C-D1FB-41ED-B2B3-72D882793B47}"/>
    <hyperlink ref="AO44" r:id="rId105" xr:uid="{14077F9E-E7F8-4444-8138-106B9FE110AA}"/>
    <hyperlink ref="E45" r:id="rId106" xr:uid="{0E399342-DF4A-4308-A66D-1A736BAF25A3}"/>
    <hyperlink ref="R45" r:id="rId107" xr:uid="{D364F988-A6DE-4686-BC54-358837E3BFFE}"/>
    <hyperlink ref="AO45" r:id="rId108" xr:uid="{1924D375-F559-48AA-9F14-ADD813D6C65C}"/>
    <hyperlink ref="AO46" r:id="rId109" xr:uid="{CDA6E85C-84DC-448A-A38F-037886829A82}"/>
    <hyperlink ref="R46" r:id="rId110" xr:uid="{583DFF1A-73D9-42B5-86B2-1A2F91856D14}"/>
    <hyperlink ref="E46" r:id="rId111" xr:uid="{CA1772CD-2A44-4542-A5D5-755E8F917E9A}"/>
    <hyperlink ref="E47" r:id="rId112" xr:uid="{45536053-96F3-467C-A1C7-D2D2139FB0A3}"/>
    <hyperlink ref="AO47" r:id="rId113" xr:uid="{1723D223-F899-447F-B1E3-D5421140F5D9}"/>
    <hyperlink ref="AO48" r:id="rId114" xr:uid="{92545B92-C437-4A89-A9AD-8FF478AD8BC5}"/>
    <hyperlink ref="R47" r:id="rId115" xr:uid="{20DC09DA-69D1-43F0-AE3D-742CF0C1022C}"/>
    <hyperlink ref="E48" r:id="rId116" xr:uid="{200AD22B-70B9-4F98-A728-046AE36445F2}"/>
    <hyperlink ref="R48" r:id="rId117" xr:uid="{8EA40BEE-9FFB-40FF-B50C-7F337511A4F7}"/>
    <hyperlink ref="R49" r:id="rId118" xr:uid="{6587A88E-9DCD-4821-9D6D-116BA44D78CC}"/>
    <hyperlink ref="E49" r:id="rId119" xr:uid="{270B65B4-5573-439F-8B50-A9CDE87D56F3}"/>
    <hyperlink ref="AO49" r:id="rId120" xr:uid="{36909668-C3A9-45D6-9D0D-595ACD511FA6}"/>
    <hyperlink ref="AO50" r:id="rId121" xr:uid="{59A36484-8DC7-4B91-A98C-04A7E3A82B3A}"/>
    <hyperlink ref="E50" r:id="rId122" xr:uid="{D41B7A15-477B-4E89-9F8F-5A1949073C81}"/>
    <hyperlink ref="R50" r:id="rId123" xr:uid="{B3625D46-9B24-4596-AF9C-5DDEBBFF3F12}"/>
    <hyperlink ref="R51" r:id="rId124" xr:uid="{C3F28D2D-F942-4C7D-AF5D-F463F5564D27}"/>
    <hyperlink ref="AO51" r:id="rId125" location="product" xr:uid="{74115CD7-E243-43D5-B392-57C0D2142F3B}"/>
    <hyperlink ref="E51" r:id="rId126" xr:uid="{6337C52B-4C43-4A2F-B348-301C46F6AD44}"/>
    <hyperlink ref="R52" r:id="rId127" xr:uid="{9A092EF9-E135-465D-9684-CB1E4CED8326}"/>
    <hyperlink ref="E52" r:id="rId128" xr:uid="{3DE1E50E-DC82-4DC5-BC6E-590EA199DAEE}"/>
    <hyperlink ref="E53" r:id="rId129" xr:uid="{83AC39F6-11B2-4B26-B9E1-02B467368252}"/>
    <hyperlink ref="R53" r:id="rId130" xr:uid="{99CB8E21-FCB3-4173-A423-4AB4C7778F10}"/>
  </hyperlinks>
  <pageMargins left="0.7" right="0.7" top="0.75" bottom="0.75" header="0.3" footer="0.3"/>
  <pageSetup paperSize="9" orientation="portrait" r:id="rId131"/>
  <drawing r:id="rId132"/>
  <legacyDrawing r:id="rId13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08A27C-A299-48BF-A8D6-B5A7743CC8F8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J4</xm:sqref>
        </x14:conditionalFormatting>
        <x14:conditionalFormatting xmlns:xm="http://schemas.microsoft.com/office/excel/2006/main">
          <x14:cfRule type="dataBar" id="{DF97B351-A648-41F9-A97E-9534748CD71E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J5</xm:sqref>
        </x14:conditionalFormatting>
        <x14:conditionalFormatting xmlns:xm="http://schemas.microsoft.com/office/excel/2006/main">
          <x14:cfRule type="dataBar" id="{41D121F8-5D4E-4E20-8CB6-EBC50C98095A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K1:K3 K6:K1048576</xm:sqref>
        </x14:conditionalFormatting>
        <x14:conditionalFormatting xmlns:xm="http://schemas.microsoft.com/office/excel/2006/main">
          <x14:cfRule type="dataBar" id="{6F75F936-D643-4CD6-9F59-82F140E2571E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K4:K5</xm:sqref>
        </x14:conditionalFormatting>
        <x14:conditionalFormatting xmlns:xm="http://schemas.microsoft.com/office/excel/2006/main">
          <x14:cfRule type="dataBar" id="{690C86EC-8A2A-415B-A33A-262B095F11F4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M1:M3 O1:O3 M6:M1048576 O23:O1048576</xm:sqref>
        </x14:conditionalFormatting>
        <x14:conditionalFormatting xmlns:xm="http://schemas.microsoft.com/office/excel/2006/main">
          <x14:cfRule type="dataBar" id="{B037D7F3-1B6D-4D06-AE50-50E9708CA100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M4:M5</xm:sqref>
        </x14:conditionalFormatting>
        <x14:conditionalFormatting xmlns:xm="http://schemas.microsoft.com/office/excel/2006/main">
          <x14:cfRule type="dataBar" id="{A6D7D3E2-077D-4DC0-8508-1A9085828210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O4:O5</xm:sqref>
        </x14:conditionalFormatting>
        <x14:conditionalFormatting xmlns:xm="http://schemas.microsoft.com/office/excel/2006/main">
          <x14:cfRule type="dataBar" id="{E9FA3A71-0CC8-4B2F-80FE-88BD92450D5C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O6:O22</xm:sqref>
        </x14:conditionalFormatting>
        <x14:conditionalFormatting xmlns:xm="http://schemas.microsoft.com/office/excel/2006/main">
          <x14:cfRule type="dataBar" id="{81495292-FFC7-434A-84FF-FCB6B4A5891D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Q1:Q3 Q6:Q1048576</xm:sqref>
        </x14:conditionalFormatting>
        <x14:conditionalFormatting xmlns:xm="http://schemas.microsoft.com/office/excel/2006/main">
          <x14:cfRule type="dataBar" id="{D0A9FE6A-7108-4F04-8561-C5A946103F58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Q4:Q5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C8C60-0FCF-433B-B7A9-42E3938ADCD0}">
  <sheetPr>
    <tabColor rgb="FF6A9495"/>
  </sheetPr>
  <dimension ref="A1:AZ928"/>
  <sheetViews>
    <sheetView showGridLines="0" zoomScale="60" zoomScaleNormal="60" workbookViewId="0">
      <pane xSplit="1" ySplit="5" topLeftCell="C6" activePane="bottomRight" state="frozen"/>
      <selection activeCell="A3" sqref="A3"/>
      <selection pane="topRight" activeCell="B3" sqref="B3"/>
      <selection pane="bottomLeft" activeCell="A6" sqref="A6"/>
      <selection pane="bottomRight" activeCell="A3" sqref="A3"/>
    </sheetView>
  </sheetViews>
  <sheetFormatPr defaultColWidth="14.44140625" defaultRowHeight="14.4" outlineLevelCol="1" x14ac:dyDescent="0.15"/>
  <cols>
    <col min="1" max="1" width="47.88671875" style="17" customWidth="1"/>
    <col min="2" max="2" width="10.88671875" style="16" hidden="1" customWidth="1"/>
    <col min="3" max="3" width="10.33203125" style="16" customWidth="1"/>
    <col min="4" max="4" width="14.44140625" style="16" customWidth="1"/>
    <col min="5" max="5" width="18.33203125" style="16" customWidth="1"/>
    <col min="6" max="6" width="12.44140625" style="16" customWidth="1"/>
    <col min="7" max="7" width="16.5546875" style="16" customWidth="1"/>
    <col min="8" max="8" width="8.88671875" style="16" customWidth="1"/>
    <col min="9" max="9" width="3.6640625" style="49" customWidth="1"/>
    <col min="10" max="10" width="9.6640625" style="8" customWidth="1"/>
    <col min="11" max="11" width="10.6640625" style="50" customWidth="1"/>
    <col min="12" max="12" width="15.6640625" style="156" customWidth="1"/>
    <col min="13" max="13" width="10.6640625" style="50" customWidth="1"/>
    <col min="14" max="14" width="15.6640625" style="156" customWidth="1"/>
    <col min="15" max="15" width="10.6640625" style="50" customWidth="1"/>
    <col min="16" max="16" width="15.6640625" style="156" customWidth="1"/>
    <col min="17" max="17" width="10.6640625" style="50" customWidth="1"/>
    <col min="18" max="18" width="15.6640625" style="157" customWidth="1"/>
    <col min="19" max="19" width="9.44140625" style="16" customWidth="1"/>
    <col min="20" max="20" width="13.6640625" style="16" customWidth="1"/>
    <col min="21" max="21" width="10.33203125" style="16" customWidth="1"/>
    <col min="22" max="22" width="18" style="16" customWidth="1"/>
    <col min="23" max="23" width="10.6640625" style="16" customWidth="1"/>
    <col min="24" max="24" width="3.6640625" style="48" hidden="1" customWidth="1" outlineLevel="1"/>
    <col min="25" max="25" width="31.33203125" style="16" hidden="1" customWidth="1" outlineLevel="1"/>
    <col min="26" max="27" width="16.33203125" style="16" hidden="1" customWidth="1" outlineLevel="1"/>
    <col min="28" max="28" width="13.5546875" style="16" hidden="1" customWidth="1" outlineLevel="1"/>
    <col min="29" max="29" width="20.6640625" style="19" hidden="1" customWidth="1" outlineLevel="1"/>
    <col min="30" max="30" width="17" style="19" hidden="1" customWidth="1" outlineLevel="1"/>
    <col min="31" max="31" width="18.33203125" style="19" hidden="1" customWidth="1" outlineLevel="1"/>
    <col min="32" max="32" width="18" style="19" hidden="1" customWidth="1" outlineLevel="1"/>
    <col min="33" max="33" width="19.6640625" style="19" hidden="1" customWidth="1" outlineLevel="1"/>
    <col min="34" max="34" width="3.6640625" style="16" customWidth="1" collapsed="1"/>
    <col min="35" max="35" width="2.33203125" style="16" customWidth="1"/>
    <col min="36" max="37" width="4.33203125" style="4" customWidth="1"/>
    <col min="38" max="38" width="2.33203125" style="16" customWidth="1"/>
    <col min="39" max="39" width="3.6640625" style="16" customWidth="1"/>
    <col min="40" max="40" width="11.33203125" style="16" customWidth="1"/>
    <col min="41" max="41" width="12.109375" style="16" customWidth="1"/>
    <col min="42" max="42" width="10.6640625" style="16" customWidth="1"/>
    <col min="43" max="43" width="9.6640625" style="16" customWidth="1"/>
    <col min="44" max="44" width="3.6640625" style="16" customWidth="1"/>
    <col min="45" max="45" width="9.6640625" style="16" customWidth="1"/>
    <col min="46" max="46" width="3.6640625" style="48" customWidth="1"/>
    <col min="47" max="48" width="7.6640625" style="16" customWidth="1"/>
    <col min="49" max="49" width="3.6640625" style="16" customWidth="1"/>
    <col min="50" max="51" width="13.44140625" style="17" customWidth="1"/>
    <col min="52" max="52" width="13.44140625" style="48" customWidth="1"/>
    <col min="53" max="16384" width="14.44140625" style="17"/>
  </cols>
  <sheetData>
    <row r="1" spans="1:50" ht="22.2" hidden="1" customHeight="1" x14ac:dyDescent="0.25">
      <c r="K1" s="44" t="s">
        <v>297</v>
      </c>
      <c r="L1" s="142">
        <f>SUBTOTAL(4,K6:R799)</f>
        <v>400.03472222222217</v>
      </c>
    </row>
    <row r="2" spans="1:50" ht="15" hidden="1" customHeight="1" x14ac:dyDescent="0.25">
      <c r="K2" s="44" t="s">
        <v>298</v>
      </c>
      <c r="L2" s="142">
        <f>SUBTOTAL(5,K6:R155)</f>
        <v>-102.97069999999999</v>
      </c>
    </row>
    <row r="3" spans="1:50" ht="49.95" customHeight="1" x14ac:dyDescent="0.15">
      <c r="A3" s="16"/>
      <c r="Y3" s="48"/>
      <c r="Z3" s="284" t="s">
        <v>372</v>
      </c>
      <c r="AA3" s="284"/>
      <c r="AB3" s="284"/>
      <c r="AC3" s="284"/>
      <c r="AD3" s="284"/>
      <c r="AE3" s="284"/>
      <c r="AF3" s="284"/>
      <c r="AG3" s="284"/>
    </row>
    <row r="4" spans="1:50" s="9" customFormat="1" ht="30" customHeight="1" x14ac:dyDescent="0.3">
      <c r="A4" s="56" t="s">
        <v>0</v>
      </c>
      <c r="B4" s="288" t="s">
        <v>207</v>
      </c>
      <c r="C4" s="288"/>
      <c r="D4" s="56" t="s">
        <v>1</v>
      </c>
      <c r="E4" s="56" t="s">
        <v>134</v>
      </c>
      <c r="F4" s="56" t="s">
        <v>2</v>
      </c>
      <c r="G4" s="56" t="s">
        <v>179</v>
      </c>
      <c r="H4" s="56" t="s">
        <v>409</v>
      </c>
      <c r="I4" s="126"/>
      <c r="J4" s="56" t="s">
        <v>245</v>
      </c>
      <c r="K4" s="291" t="s">
        <v>197</v>
      </c>
      <c r="L4" s="291"/>
      <c r="M4" s="287" t="s">
        <v>198</v>
      </c>
      <c r="N4" s="288"/>
      <c r="O4" s="287" t="s">
        <v>303</v>
      </c>
      <c r="P4" s="288"/>
      <c r="Q4" s="291" t="s">
        <v>202</v>
      </c>
      <c r="R4" s="291"/>
      <c r="S4" s="56" t="s">
        <v>5</v>
      </c>
      <c r="T4" s="20" t="s">
        <v>371</v>
      </c>
      <c r="U4" s="20" t="s">
        <v>242</v>
      </c>
      <c r="V4" s="56" t="s">
        <v>4</v>
      </c>
      <c r="W4" s="20" t="s">
        <v>243</v>
      </c>
      <c r="X4" s="51"/>
      <c r="Y4" s="20" t="s">
        <v>532</v>
      </c>
      <c r="Z4" s="20" t="s">
        <v>193</v>
      </c>
      <c r="AA4" s="20" t="s">
        <v>520</v>
      </c>
      <c r="AB4" s="20" t="s">
        <v>521</v>
      </c>
      <c r="AC4" s="20" t="s">
        <v>203</v>
      </c>
      <c r="AD4" s="56" t="s">
        <v>6</v>
      </c>
      <c r="AE4" s="56" t="s">
        <v>7</v>
      </c>
      <c r="AF4" s="56" t="s">
        <v>8</v>
      </c>
      <c r="AG4" s="20" t="s">
        <v>202</v>
      </c>
      <c r="AH4" s="131"/>
      <c r="AI4" s="287" t="s">
        <v>199</v>
      </c>
      <c r="AJ4" s="288"/>
      <c r="AK4" s="288"/>
      <c r="AL4" s="288"/>
      <c r="AM4" s="126"/>
      <c r="AN4" s="20" t="s">
        <v>810</v>
      </c>
      <c r="AO4" s="20" t="s">
        <v>811</v>
      </c>
      <c r="AP4" s="20" t="s">
        <v>812</v>
      </c>
      <c r="AQ4" s="20" t="s">
        <v>809</v>
      </c>
      <c r="AR4" s="219"/>
      <c r="AS4" s="20" t="s">
        <v>393</v>
      </c>
      <c r="AT4" s="130"/>
      <c r="AU4" s="56" t="s">
        <v>186</v>
      </c>
      <c r="AV4" s="56"/>
      <c r="AW4" s="51"/>
      <c r="AX4" s="51" t="s">
        <v>241</v>
      </c>
    </row>
    <row r="5" spans="1:50" s="23" customFormat="1" ht="20.399999999999999" customHeight="1" x14ac:dyDescent="0.3">
      <c r="A5" s="24"/>
      <c r="B5" s="290"/>
      <c r="C5" s="290"/>
      <c r="D5" s="22"/>
      <c r="E5" s="22"/>
      <c r="F5" s="22"/>
      <c r="G5" s="22"/>
      <c r="H5" s="22"/>
      <c r="I5" s="127"/>
      <c r="J5" s="22" t="s">
        <v>288</v>
      </c>
      <c r="K5" s="293" t="s">
        <v>275</v>
      </c>
      <c r="L5" s="293"/>
      <c r="M5" s="289" t="s">
        <v>275</v>
      </c>
      <c r="N5" s="289"/>
      <c r="O5" s="289" t="s">
        <v>275</v>
      </c>
      <c r="P5" s="289"/>
      <c r="Q5" s="293" t="s">
        <v>275</v>
      </c>
      <c r="R5" s="293"/>
      <c r="S5" s="22"/>
      <c r="T5" s="163"/>
      <c r="U5" s="22"/>
      <c r="V5" s="22" t="s">
        <v>194</v>
      </c>
      <c r="W5" s="22" t="s">
        <v>10</v>
      </c>
      <c r="X5" s="43"/>
      <c r="Y5" s="22"/>
      <c r="Z5" s="22"/>
      <c r="AA5" s="22" t="s">
        <v>206</v>
      </c>
      <c r="AB5" s="22" t="s">
        <v>206</v>
      </c>
      <c r="AC5" s="22" t="s">
        <v>373</v>
      </c>
      <c r="AD5" s="22" t="s">
        <v>373</v>
      </c>
      <c r="AE5" s="22" t="s">
        <v>373</v>
      </c>
      <c r="AF5" s="22" t="s">
        <v>373</v>
      </c>
      <c r="AG5" s="22" t="s">
        <v>373</v>
      </c>
      <c r="AH5" s="132"/>
      <c r="AI5" s="290" t="s">
        <v>11</v>
      </c>
      <c r="AJ5" s="290"/>
      <c r="AK5" s="290"/>
      <c r="AL5" s="290"/>
      <c r="AM5" s="127"/>
      <c r="AN5" s="22" t="s">
        <v>813</v>
      </c>
      <c r="AO5" s="22" t="s">
        <v>814</v>
      </c>
      <c r="AP5" s="22" t="s">
        <v>814</v>
      </c>
      <c r="AQ5" s="22" t="s">
        <v>815</v>
      </c>
      <c r="AR5" s="43"/>
      <c r="AS5" s="22" t="s">
        <v>394</v>
      </c>
      <c r="AT5" s="129"/>
      <c r="AU5" s="22"/>
      <c r="AV5" s="22"/>
      <c r="AW5" s="43"/>
    </row>
    <row r="6" spans="1:50" s="25" customFormat="1" ht="25.2" customHeight="1" x14ac:dyDescent="0.15">
      <c r="A6" s="25" t="s">
        <v>391</v>
      </c>
      <c r="B6" s="47" t="s">
        <v>210</v>
      </c>
      <c r="C6" s="47" t="str">
        <f>""</f>
        <v/>
      </c>
      <c r="D6" s="47" t="s">
        <v>973</v>
      </c>
      <c r="E6" s="88" t="s">
        <v>146</v>
      </c>
      <c r="F6" s="47" t="s">
        <v>522</v>
      </c>
      <c r="G6" s="47" t="s">
        <v>395</v>
      </c>
      <c r="H6" s="47" t="s">
        <v>410</v>
      </c>
      <c r="I6" s="47"/>
      <c r="J6" s="111">
        <v>1</v>
      </c>
      <c r="K6" s="52" t="str">
        <f t="shared" ref="K6:K25" si="0">IF(AE6="N/A","N/A",IF(L6="","N/A",L6))</f>
        <v>N/A</v>
      </c>
      <c r="L6" s="148" t="str" cm="1">
        <f t="array" ref="L6">IF(AE6="N/A","",_xlfn.IFS(Z6="m2",AC6*J6,Z6="stk",(AC6*(1/(AA6*AB6)))*J6,Z6="N/A",""))</f>
        <v/>
      </c>
      <c r="M6" s="52">
        <f t="shared" ref="M6:M38" si="1">IF(N6="","N/A",N6)</f>
        <v>294</v>
      </c>
      <c r="N6" s="148" cm="1">
        <f t="array" ref="N6">_xlfn.IFS(Z6="m2",AD6*J6,Z6="stk",(AD6*(1/(AA6*AB6)))*J6,Z6="N/A","")</f>
        <v>294</v>
      </c>
      <c r="O6" s="52" t="str">
        <f t="shared" ref="O6:O37" si="2">IF(P6="","N/A",P6)</f>
        <v>N/A</v>
      </c>
      <c r="P6" s="148" t="str" cm="1">
        <f t="array" ref="P6">IF(AE6="N/A","",_xlfn.IFS(Z6="m2",AE6*J6,Z6="stk",(AE6*(1/(AA6*AB6)))*J6,Z6="N/A",""))</f>
        <v/>
      </c>
      <c r="Q6" s="52" t="str">
        <f t="shared" ref="Q6:Q38" si="3">IF(R6="","N/A",R6)</f>
        <v>N/A</v>
      </c>
      <c r="R6" s="155" t="str" cm="1">
        <f t="array" ref="R6">IF(AG6="N/A","",_xlfn.IFS(Z6="m2",AG6*J6,Z6="stk",(AG6*(1/(AA6*AB6)))*J6,Z6="N/A",""))</f>
        <v/>
      </c>
      <c r="S6" s="88" t="s">
        <v>5</v>
      </c>
      <c r="T6" s="164"/>
      <c r="U6" s="47">
        <v>2023</v>
      </c>
      <c r="V6" s="47" t="s">
        <v>14</v>
      </c>
      <c r="W6" s="47" t="s">
        <v>191</v>
      </c>
      <c r="Y6" s="47" t="s">
        <v>613</v>
      </c>
      <c r="Z6" s="47" t="s">
        <v>15</v>
      </c>
      <c r="AA6" s="47">
        <v>1.48</v>
      </c>
      <c r="AB6" s="47">
        <v>1.23</v>
      </c>
      <c r="AC6" s="52" t="str">
        <f t="shared" ref="AC6:AC7" si="4">IF(AE6="N/A","N/A",SUM(AD6:AE6))</f>
        <v>N/A</v>
      </c>
      <c r="AD6" s="52">
        <v>294</v>
      </c>
      <c r="AE6" s="52" t="s">
        <v>191</v>
      </c>
      <c r="AF6" s="52" t="s">
        <v>191</v>
      </c>
      <c r="AG6" s="52" t="s">
        <v>191</v>
      </c>
      <c r="AH6" s="47"/>
      <c r="AI6" s="115" t="str">
        <f t="shared" ref="AI6:AI69" si="5">AJ6&amp;" "&amp;AK6</f>
        <v xml:space="preserve">F </v>
      </c>
      <c r="AJ6" s="122" t="s">
        <v>82</v>
      </c>
      <c r="AK6" s="124"/>
      <c r="AL6" s="47"/>
      <c r="AM6" s="47"/>
      <c r="AN6" s="47" t="s">
        <v>191</v>
      </c>
      <c r="AO6" s="47" t="s">
        <v>191</v>
      </c>
      <c r="AP6" s="47" t="s">
        <v>191</v>
      </c>
      <c r="AQ6" s="47" t="s">
        <v>191</v>
      </c>
      <c r="AR6" s="47"/>
      <c r="AS6" s="47">
        <v>76.5</v>
      </c>
      <c r="AU6" s="105" t="s">
        <v>17</v>
      </c>
      <c r="AV6" s="205" t="s">
        <v>17</v>
      </c>
      <c r="AW6" s="47"/>
    </row>
    <row r="7" spans="1:50" s="25" customFormat="1" ht="25.2" customHeight="1" x14ac:dyDescent="0.15">
      <c r="A7" s="25" t="s">
        <v>392</v>
      </c>
      <c r="B7" s="47" t="s">
        <v>210</v>
      </c>
      <c r="C7" s="47" t="str">
        <f>""</f>
        <v/>
      </c>
      <c r="D7" s="47" t="s">
        <v>973</v>
      </c>
      <c r="E7" s="88" t="s">
        <v>142</v>
      </c>
      <c r="F7" s="47" t="s">
        <v>522</v>
      </c>
      <c r="G7" s="47" t="s">
        <v>395</v>
      </c>
      <c r="H7" s="47" t="s">
        <v>410</v>
      </c>
      <c r="I7" s="47"/>
      <c r="J7" s="111">
        <v>1</v>
      </c>
      <c r="K7" s="52" t="str">
        <f t="shared" si="0"/>
        <v>N/A</v>
      </c>
      <c r="L7" s="148" t="str" cm="1">
        <f t="array" ref="L7">IF(AE7="N/A","",_xlfn.IFS(Z7="m2",AC7*J7,Z7="stk",(AC7*(1/(AA7*AB7)))*J7,Z7="N/A",""))</f>
        <v/>
      </c>
      <c r="M7" s="52">
        <f t="shared" si="1"/>
        <v>218</v>
      </c>
      <c r="N7" s="148" cm="1">
        <f t="array" ref="N7">_xlfn.IFS(Z7="m2",AD7*J7,Z7="stk",(AD7*(1/(AA7*AB7)))*J7,Z7="N/A","")</f>
        <v>218</v>
      </c>
      <c r="O7" s="52" t="str">
        <f t="shared" si="2"/>
        <v>N/A</v>
      </c>
      <c r="P7" s="148" t="str" cm="1">
        <f t="array" ref="P7">IF(AE7="N/A","",_xlfn.IFS(Z7="m2",AE7*J7,Z7="stk",(AE7*(1/(AA7*AB7)))*J7,Z7="N/A",""))</f>
        <v/>
      </c>
      <c r="Q7" s="52" t="str">
        <f t="shared" si="3"/>
        <v>N/A</v>
      </c>
      <c r="R7" s="155" t="str" cm="1">
        <f t="array" ref="R7">IF(AG7="N/A","",_xlfn.IFS(Z7="m2",AG7*J7,Z7="stk",(AG7*(1/(AA7*AB7)))*J7,Z7="N/A",""))</f>
        <v/>
      </c>
      <c r="S7" s="88" t="s">
        <v>5</v>
      </c>
      <c r="T7" s="164"/>
      <c r="U7" s="47">
        <v>2023</v>
      </c>
      <c r="V7" s="47" t="s">
        <v>14</v>
      </c>
      <c r="W7" s="47" t="s">
        <v>191</v>
      </c>
      <c r="Y7" s="47" t="s">
        <v>614</v>
      </c>
      <c r="Z7" s="47" t="s">
        <v>15</v>
      </c>
      <c r="AA7" s="47">
        <v>1.48</v>
      </c>
      <c r="AB7" s="47">
        <v>1.23</v>
      </c>
      <c r="AC7" s="52" t="str">
        <f t="shared" si="4"/>
        <v>N/A</v>
      </c>
      <c r="AD7" s="52">
        <v>218</v>
      </c>
      <c r="AE7" s="52" t="s">
        <v>191</v>
      </c>
      <c r="AF7" s="52" t="s">
        <v>191</v>
      </c>
      <c r="AG7" s="52" t="s">
        <v>191</v>
      </c>
      <c r="AH7" s="47"/>
      <c r="AI7" s="115" t="str">
        <f t="shared" si="5"/>
        <v xml:space="preserve">F </v>
      </c>
      <c r="AJ7" s="122" t="s">
        <v>82</v>
      </c>
      <c r="AK7" s="124"/>
      <c r="AL7" s="47"/>
      <c r="AM7" s="47"/>
      <c r="AN7" s="47" t="s">
        <v>191</v>
      </c>
      <c r="AO7" s="47" t="s">
        <v>191</v>
      </c>
      <c r="AP7" s="47" t="s">
        <v>191</v>
      </c>
      <c r="AQ7" s="47" t="s">
        <v>191</v>
      </c>
      <c r="AR7" s="47"/>
      <c r="AS7" s="47">
        <v>76.5</v>
      </c>
      <c r="AU7" s="105" t="s">
        <v>17</v>
      </c>
      <c r="AV7" s="73"/>
      <c r="AW7" s="47"/>
    </row>
    <row r="8" spans="1:50" s="25" customFormat="1" ht="25.2" customHeight="1" x14ac:dyDescent="0.15">
      <c r="A8" s="25" t="s">
        <v>397</v>
      </c>
      <c r="B8" s="47" t="s">
        <v>208</v>
      </c>
      <c r="C8" s="47" t="str">
        <f>""</f>
        <v/>
      </c>
      <c r="D8" s="47" t="s">
        <v>503</v>
      </c>
      <c r="E8" s="88" t="s">
        <v>146</v>
      </c>
      <c r="F8" s="47" t="s">
        <v>396</v>
      </c>
      <c r="G8" s="47" t="s">
        <v>395</v>
      </c>
      <c r="H8" s="47" t="s">
        <v>411</v>
      </c>
      <c r="I8" s="47"/>
      <c r="J8" s="111">
        <v>1</v>
      </c>
      <c r="K8" s="52">
        <f t="shared" si="0"/>
        <v>47.040000000000006</v>
      </c>
      <c r="L8" s="148" cm="1">
        <f t="array" ref="L8">IF(AE8="N/A","",_xlfn.IFS(Z8="m2",AC8*J8,Z8="stk",(AC8*(1/(AA8*AB8)))*J8,Z8="N/A",""))</f>
        <v>47.040000000000006</v>
      </c>
      <c r="M8" s="52">
        <f t="shared" si="1"/>
        <v>25.310000000000002</v>
      </c>
      <c r="N8" s="148" cm="1">
        <f t="array" ref="N8">_xlfn.IFS(Z8="m2",AD8*J8,Z8="stk",(AD8*(1/(AA8*AB8)))*J8,Z8="N/A","")</f>
        <v>25.310000000000002</v>
      </c>
      <c r="O8" s="52">
        <f t="shared" si="2"/>
        <v>21.73</v>
      </c>
      <c r="P8" s="148" cm="1">
        <f t="array" ref="P8">IF(AE8="N/A","",_xlfn.IFS(Z8="m2",AE8*J8,Z8="stk",(AE8*(1/(AA8*AB8)))*J8,Z8="N/A",""))</f>
        <v>21.73</v>
      </c>
      <c r="Q8" s="52">
        <f t="shared" si="3"/>
        <v>-16.152000000000001</v>
      </c>
      <c r="R8" s="155" cm="1">
        <f t="array" ref="R8">IF(AG8="N/A","",_xlfn.IFS(Z8="m2",AG8*J8,Z8="stk",(AG8*(1/(AA8*AB8)))*J8,Z8="N/A",""))</f>
        <v>-16.152000000000001</v>
      </c>
      <c r="S8" s="88" t="s">
        <v>5</v>
      </c>
      <c r="T8" s="164" t="s">
        <v>377</v>
      </c>
      <c r="U8" s="47">
        <v>2027</v>
      </c>
      <c r="V8" s="47" t="s">
        <v>28</v>
      </c>
      <c r="W8" s="47" t="s">
        <v>191</v>
      </c>
      <c r="Y8" s="47" t="s">
        <v>615</v>
      </c>
      <c r="Z8" s="47" t="s">
        <v>15</v>
      </c>
      <c r="AA8" s="47">
        <v>1.48</v>
      </c>
      <c r="AB8" s="47">
        <v>1.23</v>
      </c>
      <c r="AC8" s="52">
        <f t="shared" ref="AC8" si="6">IF(AE8="N/A","N/A",SUM(AD8:AE8))</f>
        <v>47.040000000000006</v>
      </c>
      <c r="AD8" s="52">
        <f>10.4 +1.61 +13.3</f>
        <v>25.310000000000002</v>
      </c>
      <c r="AE8" s="52">
        <f>20.5+1.23</f>
        <v>21.73</v>
      </c>
      <c r="AF8" s="52">
        <f>-15.5</f>
        <v>-15.5</v>
      </c>
      <c r="AG8" s="52">
        <f>-25.8-0.002+9.65</f>
        <v>-16.152000000000001</v>
      </c>
      <c r="AH8" s="52"/>
      <c r="AI8" s="115" t="str">
        <f t="shared" si="5"/>
        <v xml:space="preserve">F </v>
      </c>
      <c r="AJ8" s="122" t="s">
        <v>82</v>
      </c>
      <c r="AK8" s="123"/>
      <c r="AL8" s="47"/>
      <c r="AM8" s="47"/>
      <c r="AN8" s="47">
        <v>1.35</v>
      </c>
      <c r="AO8" s="47">
        <v>0.82</v>
      </c>
      <c r="AP8" s="47">
        <v>0.73</v>
      </c>
      <c r="AQ8" s="47">
        <v>-13</v>
      </c>
      <c r="AR8" s="47"/>
      <c r="AS8" s="47">
        <v>27.7</v>
      </c>
      <c r="AU8" s="105" t="s">
        <v>17</v>
      </c>
      <c r="AV8" s="205" t="s">
        <v>17</v>
      </c>
      <c r="AW8" s="47"/>
    </row>
    <row r="9" spans="1:50" s="25" customFormat="1" ht="25.2" customHeight="1" x14ac:dyDescent="0.15">
      <c r="A9" s="25" t="s">
        <v>398</v>
      </c>
      <c r="B9" s="47" t="s">
        <v>208</v>
      </c>
      <c r="C9" s="47" t="str">
        <f>""</f>
        <v/>
      </c>
      <c r="D9" s="47" t="s">
        <v>503</v>
      </c>
      <c r="E9" s="88" t="s">
        <v>146</v>
      </c>
      <c r="F9" s="47" t="s">
        <v>396</v>
      </c>
      <c r="G9" s="47" t="s">
        <v>395</v>
      </c>
      <c r="H9" s="47" t="s">
        <v>410</v>
      </c>
      <c r="I9" s="47"/>
      <c r="J9" s="111">
        <v>1</v>
      </c>
      <c r="K9" s="52">
        <f t="shared" si="0"/>
        <v>56.12</v>
      </c>
      <c r="L9" s="148" cm="1">
        <f t="array" ref="L9">IF(AE9="N/A","",_xlfn.IFS(Z9="m2",AC9*J9,Z9="stk",(AC9*(1/(AA9*AB9)))*J9,Z9="N/A",""))</f>
        <v>56.12</v>
      </c>
      <c r="M9" s="52">
        <f t="shared" si="1"/>
        <v>34.43</v>
      </c>
      <c r="N9" s="148" cm="1">
        <f t="array" ref="N9">_xlfn.IFS(Z9="m2",AD9*J9,Z9="stk",(AD9*(1/(AA9*AB9)))*J9,Z9="N/A","")</f>
        <v>34.43</v>
      </c>
      <c r="O9" s="52">
        <f t="shared" si="2"/>
        <v>21.689999999999998</v>
      </c>
      <c r="P9" s="148" cm="1">
        <f t="array" ref="P9">IF(AE9="N/A","",_xlfn.IFS(Z9="m2",AE9*J9,Z9="stk",(AE9*(1/(AA9*AB9)))*J9,Z9="N/A",""))</f>
        <v>21.689999999999998</v>
      </c>
      <c r="Q9" s="52">
        <f t="shared" si="3"/>
        <v>-16.11253</v>
      </c>
      <c r="R9" s="155" cm="1">
        <f t="array" ref="R9">IF(AG9="N/A","",_xlfn.IFS(Z9="m2",AG9*J9,Z9="stk",(AG9*(1/(AA9*AB9)))*J9,Z9="N/A",""))</f>
        <v>-16.11253</v>
      </c>
      <c r="S9" s="88" t="s">
        <v>5</v>
      </c>
      <c r="T9" s="164" t="s">
        <v>377</v>
      </c>
      <c r="U9" s="47">
        <v>2027</v>
      </c>
      <c r="V9" s="47" t="s">
        <v>28</v>
      </c>
      <c r="W9" s="47" t="s">
        <v>191</v>
      </c>
      <c r="Y9" s="47" t="s">
        <v>615</v>
      </c>
      <c r="Z9" s="47" t="s">
        <v>15</v>
      </c>
      <c r="AA9" s="47">
        <v>1.48</v>
      </c>
      <c r="AB9" s="47">
        <v>1.23</v>
      </c>
      <c r="AC9" s="52">
        <f t="shared" ref="AC9" si="7">IF(AE9="N/A","N/A",SUM(AD9:AE9))</f>
        <v>56.12</v>
      </c>
      <c r="AD9" s="52">
        <f>19.2 +2.03+13.2</f>
        <v>34.43</v>
      </c>
      <c r="AE9" s="52">
        <f>20.4+1.29</f>
        <v>21.689999999999998</v>
      </c>
      <c r="AF9" s="52">
        <f>-16.6</f>
        <v>-16.600000000000001</v>
      </c>
      <c r="AG9" s="52">
        <f>-25.7-0.00253+9.59</f>
        <v>-16.11253</v>
      </c>
      <c r="AH9" s="52"/>
      <c r="AI9" s="115" t="str">
        <f t="shared" si="5"/>
        <v xml:space="preserve">F </v>
      </c>
      <c r="AJ9" s="122" t="s">
        <v>82</v>
      </c>
      <c r="AK9" s="123"/>
      <c r="AL9" s="47"/>
      <c r="AM9" s="47"/>
      <c r="AN9" s="47">
        <v>0.91</v>
      </c>
      <c r="AO9" s="47">
        <v>0.74</v>
      </c>
      <c r="AP9" s="47">
        <v>0.56999999999999995</v>
      </c>
      <c r="AQ9" s="47">
        <v>2.9</v>
      </c>
      <c r="AR9" s="47"/>
      <c r="AS9" s="47">
        <v>33.5</v>
      </c>
      <c r="AU9" s="105" t="s">
        <v>17</v>
      </c>
      <c r="AV9" s="205" t="s">
        <v>17</v>
      </c>
      <c r="AW9" s="47"/>
    </row>
    <row r="10" spans="1:50" s="25" customFormat="1" ht="25.2" customHeight="1" x14ac:dyDescent="0.15">
      <c r="A10" s="25" t="s">
        <v>399</v>
      </c>
      <c r="B10" s="47" t="s">
        <v>208</v>
      </c>
      <c r="C10" s="47" t="str">
        <f>""</f>
        <v/>
      </c>
      <c r="D10" s="47" t="s">
        <v>503</v>
      </c>
      <c r="E10" s="88" t="s">
        <v>146</v>
      </c>
      <c r="F10" s="47" t="s">
        <v>523</v>
      </c>
      <c r="G10" s="47" t="s">
        <v>395</v>
      </c>
      <c r="H10" s="47" t="s">
        <v>411</v>
      </c>
      <c r="I10" s="47"/>
      <c r="J10" s="111">
        <v>1</v>
      </c>
      <c r="K10" s="52">
        <f t="shared" si="0"/>
        <v>69.180000000000007</v>
      </c>
      <c r="L10" s="148" cm="1">
        <f t="array" ref="L10">IF(AE10="N/A","",_xlfn.IFS(Z10="m2",AC10*J10,Z10="stk",(AC10*(1/(AA10*AB10)))*J10,Z10="N/A",""))</f>
        <v>69.180000000000007</v>
      </c>
      <c r="M10" s="52">
        <f t="shared" si="1"/>
        <v>47.470000000000006</v>
      </c>
      <c r="N10" s="148" cm="1">
        <f t="array" ref="N10">_xlfn.IFS(Z10="m2",AD10*J10,Z10="stk",(AD10*(1/(AA10*AB10)))*J10,Z10="N/A","")</f>
        <v>47.470000000000006</v>
      </c>
      <c r="O10" s="52">
        <f t="shared" si="2"/>
        <v>21.71</v>
      </c>
      <c r="P10" s="148" cm="1">
        <f t="array" ref="P10">IF(AE10="N/A","",_xlfn.IFS(Z10="m2",AE10*J10,Z10="stk",(AE10*(1/(AA10*AB10)))*J10,Z10="N/A",""))</f>
        <v>21.71</v>
      </c>
      <c r="Q10" s="52">
        <f t="shared" si="3"/>
        <v>-15.6822</v>
      </c>
      <c r="R10" s="155" cm="1">
        <f t="array" ref="R10">IF(AG10="N/A","",_xlfn.IFS(Z10="m2",AG10*J10,Z10="stk",(AG10*(1/(AA10*AB10)))*J10,Z10="N/A",""))</f>
        <v>-15.6822</v>
      </c>
      <c r="S10" s="88" t="s">
        <v>5</v>
      </c>
      <c r="T10" s="164" t="s">
        <v>377</v>
      </c>
      <c r="U10" s="47">
        <v>2027</v>
      </c>
      <c r="V10" s="47" t="s">
        <v>28</v>
      </c>
      <c r="W10" s="47" t="s">
        <v>191</v>
      </c>
      <c r="Y10" s="47" t="s">
        <v>615</v>
      </c>
      <c r="Z10" s="47" t="s">
        <v>15</v>
      </c>
      <c r="AA10" s="47">
        <v>1.48</v>
      </c>
      <c r="AB10" s="47">
        <v>1.23</v>
      </c>
      <c r="AC10" s="52">
        <f t="shared" ref="AC10" si="8">IF(AE10="N/A","N/A",SUM(AD10:AE10))</f>
        <v>69.180000000000007</v>
      </c>
      <c r="AD10" s="52">
        <f>32.7+1.77+13</f>
        <v>47.470000000000006</v>
      </c>
      <c r="AE10" s="52">
        <f>20.5+1.21</f>
        <v>21.71</v>
      </c>
      <c r="AF10" s="52">
        <f>-26.7</f>
        <v>-26.7</v>
      </c>
      <c r="AG10" s="52">
        <f>-25.1 -0.0022+9.42</f>
        <v>-15.6822</v>
      </c>
      <c r="AH10" s="52"/>
      <c r="AI10" s="115" t="str">
        <f t="shared" si="5"/>
        <v xml:space="preserve">F </v>
      </c>
      <c r="AJ10" s="122" t="s">
        <v>82</v>
      </c>
      <c r="AK10" s="123"/>
      <c r="AL10" s="47"/>
      <c r="AM10" s="47"/>
      <c r="AN10" s="47">
        <v>1.34</v>
      </c>
      <c r="AO10" s="47">
        <v>0.82</v>
      </c>
      <c r="AP10" s="47">
        <v>0.73</v>
      </c>
      <c r="AQ10" s="47">
        <v>-12.1</v>
      </c>
      <c r="AR10" s="47"/>
      <c r="AS10" s="47">
        <v>29.3</v>
      </c>
      <c r="AU10" s="105" t="s">
        <v>17</v>
      </c>
      <c r="AV10" s="205" t="s">
        <v>17</v>
      </c>
      <c r="AW10" s="47"/>
    </row>
    <row r="11" spans="1:50" s="25" customFormat="1" ht="25.2" customHeight="1" x14ac:dyDescent="0.15">
      <c r="A11" s="25" t="s">
        <v>400</v>
      </c>
      <c r="B11" s="47" t="s">
        <v>208</v>
      </c>
      <c r="C11" s="47" t="str">
        <f>""</f>
        <v/>
      </c>
      <c r="D11" s="47" t="s">
        <v>503</v>
      </c>
      <c r="E11" s="88" t="s">
        <v>146</v>
      </c>
      <c r="F11" s="47" t="s">
        <v>523</v>
      </c>
      <c r="G11" s="47" t="s">
        <v>395</v>
      </c>
      <c r="H11" s="47" t="s">
        <v>410</v>
      </c>
      <c r="I11" s="47"/>
      <c r="J11" s="111">
        <v>1</v>
      </c>
      <c r="K11" s="52">
        <f t="shared" si="0"/>
        <v>70.45</v>
      </c>
      <c r="L11" s="148" cm="1">
        <f t="array" ref="L11">IF(AE11="N/A","",_xlfn.IFS(Z11="m2",AC11*J11,Z11="stk",(AC11*(1/(AA11*AB11)))*J11,Z11="N/A",""))</f>
        <v>70.45</v>
      </c>
      <c r="M11" s="52">
        <f t="shared" si="1"/>
        <v>48.67</v>
      </c>
      <c r="N11" s="148" cm="1">
        <f t="array" ref="N11">_xlfn.IFS(Z11="m2",AD11*J11,Z11="stk",(AD11*(1/(AA11*AB11)))*J11,Z11="N/A","")</f>
        <v>48.67</v>
      </c>
      <c r="O11" s="52">
        <f t="shared" si="2"/>
        <v>21.78</v>
      </c>
      <c r="P11" s="148" cm="1">
        <f t="array" ref="P11">IF(AE11="N/A","",_xlfn.IFS(Z11="m2",AE11*J11,Z11="stk",(AE11*(1/(AA11*AB11)))*J11,Z11="N/A",""))</f>
        <v>21.78</v>
      </c>
      <c r="Q11" s="52">
        <f t="shared" si="3"/>
        <v>-15.682710000000002</v>
      </c>
      <c r="R11" s="155" cm="1">
        <f t="array" ref="R11">IF(AG11="N/A","",_xlfn.IFS(Z11="m2",AG11*J11,Z11="stk",(AG11*(1/(AA11*AB11)))*J11,Z11="N/A",""))</f>
        <v>-15.682710000000002</v>
      </c>
      <c r="S11" s="88" t="s">
        <v>5</v>
      </c>
      <c r="T11" s="164" t="s">
        <v>377</v>
      </c>
      <c r="U11" s="47">
        <v>2027</v>
      </c>
      <c r="V11" s="47" t="s">
        <v>28</v>
      </c>
      <c r="W11" s="47" t="s">
        <v>191</v>
      </c>
      <c r="Y11" s="47" t="s">
        <v>615</v>
      </c>
      <c r="Z11" s="47" t="s">
        <v>15</v>
      </c>
      <c r="AA11" s="47">
        <v>1.48</v>
      </c>
      <c r="AB11" s="47">
        <v>1.23</v>
      </c>
      <c r="AC11" s="52">
        <f t="shared" ref="AC11:AC14" si="9">IF(AE11="N/A","N/A",SUM(AD11:AE11))</f>
        <v>70.45</v>
      </c>
      <c r="AD11" s="52">
        <f>33.5+2.17+13</f>
        <v>48.67</v>
      </c>
      <c r="AE11" s="52">
        <f>20.5+1.28</f>
        <v>21.78</v>
      </c>
      <c r="AF11" s="52">
        <f>-26.8</f>
        <v>-26.8</v>
      </c>
      <c r="AG11" s="52">
        <f>-25.1-0.00271 +9.42</f>
        <v>-15.682710000000002</v>
      </c>
      <c r="AH11" s="52"/>
      <c r="AI11" s="115" t="str">
        <f t="shared" si="5"/>
        <v xml:space="preserve">F </v>
      </c>
      <c r="AJ11" s="122" t="s">
        <v>82</v>
      </c>
      <c r="AK11" s="123"/>
      <c r="AL11" s="47"/>
      <c r="AM11" s="47"/>
      <c r="AN11" s="47">
        <v>0.78</v>
      </c>
      <c r="AO11" s="47">
        <v>0.74</v>
      </c>
      <c r="AP11" s="47">
        <v>0.53</v>
      </c>
      <c r="AQ11" s="47">
        <v>8.6</v>
      </c>
      <c r="AR11" s="47"/>
      <c r="AS11" s="47">
        <v>35</v>
      </c>
      <c r="AU11" s="105" t="s">
        <v>17</v>
      </c>
      <c r="AV11" s="205" t="s">
        <v>17</v>
      </c>
      <c r="AW11" s="47"/>
    </row>
    <row r="12" spans="1:50" s="25" customFormat="1" ht="25.2" customHeight="1" x14ac:dyDescent="0.15">
      <c r="A12" s="25" t="s">
        <v>405</v>
      </c>
      <c r="B12" s="47" t="s">
        <v>208</v>
      </c>
      <c r="C12" s="47" t="str">
        <f>""</f>
        <v/>
      </c>
      <c r="D12" s="47" t="s">
        <v>401</v>
      </c>
      <c r="E12" s="88" t="s">
        <v>146</v>
      </c>
      <c r="F12" s="47" t="s">
        <v>396</v>
      </c>
      <c r="G12" s="47" t="s">
        <v>395</v>
      </c>
      <c r="H12" s="47" t="s">
        <v>411</v>
      </c>
      <c r="I12" s="47"/>
      <c r="J12" s="111">
        <v>1</v>
      </c>
      <c r="K12" s="52">
        <f t="shared" si="0"/>
        <v>42.56</v>
      </c>
      <c r="L12" s="148" cm="1">
        <f t="array" ref="L12">IF(AE12="N/A","",_xlfn.IFS(Z12="m2",AC12*J12,Z12="stk",(AC12*(1/(AA12*AB12)))*J12,Z12="N/A",""))</f>
        <v>42.56</v>
      </c>
      <c r="M12" s="52">
        <f t="shared" si="1"/>
        <v>20.84</v>
      </c>
      <c r="N12" s="148" cm="1">
        <f t="array" ref="N12">_xlfn.IFS(Z12="m2",AD12*J12,Z12="stk",(AD12*(1/(AA12*AB12)))*J12,Z12="N/A","")</f>
        <v>20.84</v>
      </c>
      <c r="O12" s="52">
        <f t="shared" si="2"/>
        <v>21.72</v>
      </c>
      <c r="P12" s="148" cm="1">
        <f t="array" ref="P12">IF(AE12="N/A","",_xlfn.IFS(Z12="m2",AE12*J12,Z12="stk",(AE12*(1/(AA12*AB12)))*J12,Z12="N/A",""))</f>
        <v>21.72</v>
      </c>
      <c r="Q12" s="52">
        <f t="shared" si="3"/>
        <v>-20.431980000000003</v>
      </c>
      <c r="R12" s="155" cm="1">
        <f t="array" ref="R12">IF(AG12="N/A","",_xlfn.IFS(Z12="m2",AG12*J12,Z12="stk",(AG12*(1/(AA12*AB12)))*J12,Z12="N/A",""))</f>
        <v>-20.431980000000003</v>
      </c>
      <c r="S12" s="88" t="s">
        <v>5</v>
      </c>
      <c r="T12" s="164" t="s">
        <v>377</v>
      </c>
      <c r="U12" s="47">
        <v>2027</v>
      </c>
      <c r="V12" s="47" t="s">
        <v>28</v>
      </c>
      <c r="W12" s="47" t="s">
        <v>191</v>
      </c>
      <c r="Y12" s="47" t="s">
        <v>617</v>
      </c>
      <c r="Z12" s="47" t="s">
        <v>15</v>
      </c>
      <c r="AA12" s="47">
        <v>1.48</v>
      </c>
      <c r="AB12" s="47">
        <v>1.23</v>
      </c>
      <c r="AC12" s="52">
        <f t="shared" si="9"/>
        <v>42.56</v>
      </c>
      <c r="AD12" s="52">
        <f>12.7+1.59+6.55</f>
        <v>20.84</v>
      </c>
      <c r="AE12" s="52">
        <f>20.5+1.22</f>
        <v>21.72</v>
      </c>
      <c r="AF12" s="52">
        <v>-17.2</v>
      </c>
      <c r="AG12" s="52">
        <f>-23.6-0.00198 +3.17</f>
        <v>-20.431980000000003</v>
      </c>
      <c r="AH12" s="52"/>
      <c r="AI12" s="115" t="str">
        <f t="shared" si="5"/>
        <v xml:space="preserve">F </v>
      </c>
      <c r="AJ12" s="122" t="s">
        <v>82</v>
      </c>
      <c r="AK12" s="123"/>
      <c r="AL12" s="47"/>
      <c r="AM12" s="47"/>
      <c r="AN12" s="47">
        <v>1.35</v>
      </c>
      <c r="AO12" s="47">
        <v>0.82</v>
      </c>
      <c r="AP12" s="47">
        <v>0.73</v>
      </c>
      <c r="AQ12" s="47">
        <v>-13</v>
      </c>
      <c r="AR12" s="47"/>
      <c r="AS12" s="47">
        <v>27.9</v>
      </c>
      <c r="AU12" s="105" t="s">
        <v>17</v>
      </c>
      <c r="AV12" s="205" t="s">
        <v>17</v>
      </c>
      <c r="AW12" s="47"/>
    </row>
    <row r="13" spans="1:50" s="25" customFormat="1" ht="25.2" customHeight="1" x14ac:dyDescent="0.15">
      <c r="A13" s="25" t="s">
        <v>406</v>
      </c>
      <c r="B13" s="47" t="s">
        <v>208</v>
      </c>
      <c r="C13" s="47" t="str">
        <f>""</f>
        <v/>
      </c>
      <c r="D13" s="47" t="s">
        <v>401</v>
      </c>
      <c r="E13" s="88" t="s">
        <v>146</v>
      </c>
      <c r="F13" s="47" t="s">
        <v>396</v>
      </c>
      <c r="G13" s="47" t="s">
        <v>395</v>
      </c>
      <c r="H13" s="47" t="s">
        <v>410</v>
      </c>
      <c r="I13" s="47"/>
      <c r="J13" s="111">
        <v>1</v>
      </c>
      <c r="K13" s="52">
        <f t="shared" si="0"/>
        <v>51.709999999999994</v>
      </c>
      <c r="L13" s="148" cm="1">
        <f t="array" ref="L13">IF(AE13="N/A","",_xlfn.IFS(Z13="m2",AC13*J13,Z13="stk",(AC13*(1/(AA13*AB13)))*J13,Z13="N/A",""))</f>
        <v>51.709999999999994</v>
      </c>
      <c r="M13" s="52">
        <f t="shared" si="1"/>
        <v>30.019999999999996</v>
      </c>
      <c r="N13" s="148" cm="1">
        <f t="array" ref="N13">_xlfn.IFS(Z13="m2",AD13*J13,Z13="stk",(AD13*(1/(AA13*AB13)))*J13,Z13="N/A","")</f>
        <v>30.019999999999996</v>
      </c>
      <c r="O13" s="52">
        <f t="shared" si="2"/>
        <v>21.689999999999998</v>
      </c>
      <c r="P13" s="148" cm="1">
        <f t="array" ref="P13">IF(AE13="N/A","",_xlfn.IFS(Z13="m2",AE13*J13,Z13="stk",(AE13*(1/(AA13*AB13)))*J13,Z13="N/A",""))</f>
        <v>21.689999999999998</v>
      </c>
      <c r="Q13" s="52">
        <f t="shared" si="3"/>
        <v>-20.27251</v>
      </c>
      <c r="R13" s="155" cm="1">
        <f t="array" ref="R13">IF(AG13="N/A","",_xlfn.IFS(Z13="m2",AG13*J13,Z13="stk",(AG13*(1/(AA13*AB13)))*J13,Z13="N/A",""))</f>
        <v>-20.27251</v>
      </c>
      <c r="S13" s="88" t="s">
        <v>5</v>
      </c>
      <c r="T13" s="164" t="s">
        <v>377</v>
      </c>
      <c r="U13" s="47">
        <v>2027</v>
      </c>
      <c r="V13" s="47" t="s">
        <v>28</v>
      </c>
      <c r="W13" s="47" t="s">
        <v>191</v>
      </c>
      <c r="Y13" s="47" t="s">
        <v>617</v>
      </c>
      <c r="Z13" s="47" t="s">
        <v>15</v>
      </c>
      <c r="AA13" s="47">
        <v>1.48</v>
      </c>
      <c r="AB13" s="47">
        <v>1.23</v>
      </c>
      <c r="AC13" s="52">
        <f t="shared" si="9"/>
        <v>51.709999999999994</v>
      </c>
      <c r="AD13" s="52">
        <f>21.5+2.01 +6.51</f>
        <v>30.019999999999996</v>
      </c>
      <c r="AE13" s="52">
        <f>20.4+1.29</f>
        <v>21.689999999999998</v>
      </c>
      <c r="AF13" s="52">
        <f>-18.3</f>
        <v>-18.3</v>
      </c>
      <c r="AG13" s="52">
        <f>-23.4-0.00251+3.13</f>
        <v>-20.27251</v>
      </c>
      <c r="AH13" s="52"/>
      <c r="AI13" s="115" t="str">
        <f t="shared" si="5"/>
        <v xml:space="preserve">F </v>
      </c>
      <c r="AJ13" s="122" t="s">
        <v>82</v>
      </c>
      <c r="AK13" s="123"/>
      <c r="AL13" s="47"/>
      <c r="AM13" s="47"/>
      <c r="AN13" s="47">
        <v>0.91</v>
      </c>
      <c r="AO13" s="47">
        <v>0.74</v>
      </c>
      <c r="AP13" s="47">
        <v>0.56999999999999995</v>
      </c>
      <c r="AQ13" s="47">
        <v>2.9</v>
      </c>
      <c r="AR13" s="47"/>
      <c r="AS13" s="47">
        <v>33.799999999999997</v>
      </c>
      <c r="AU13" s="105" t="s">
        <v>17</v>
      </c>
      <c r="AV13" s="205" t="s">
        <v>17</v>
      </c>
      <c r="AW13" s="47"/>
    </row>
    <row r="14" spans="1:50" s="25" customFormat="1" ht="25.2" customHeight="1" x14ac:dyDescent="0.15">
      <c r="A14" s="25" t="s">
        <v>407</v>
      </c>
      <c r="B14" s="47" t="s">
        <v>208</v>
      </c>
      <c r="C14" s="47" t="str">
        <f>""</f>
        <v/>
      </c>
      <c r="D14" s="47" t="s">
        <v>401</v>
      </c>
      <c r="E14" s="88" t="s">
        <v>146</v>
      </c>
      <c r="F14" s="47" t="s">
        <v>523</v>
      </c>
      <c r="G14" s="47" t="s">
        <v>395</v>
      </c>
      <c r="H14" s="47" t="s">
        <v>411</v>
      </c>
      <c r="I14" s="47"/>
      <c r="J14" s="111">
        <v>1</v>
      </c>
      <c r="K14" s="52">
        <f t="shared" si="0"/>
        <v>64.710000000000008</v>
      </c>
      <c r="L14" s="148" cm="1">
        <f t="array" ref="L14">IF(AE14="N/A","",_xlfn.IFS(Z14="m2",AC14*J14,Z14="stk",(AC14*(1/(AA14*AB14)))*J14,Z14="N/A",""))</f>
        <v>64.710000000000008</v>
      </c>
      <c r="M14" s="52">
        <f t="shared" si="1"/>
        <v>43.31</v>
      </c>
      <c r="N14" s="148" cm="1">
        <f t="array" ref="N14">_xlfn.IFS(Z14="m2",AD14*J14,Z14="stk",(AD14*(1/(AA14*AB14)))*J14,Z14="N/A","")</f>
        <v>43.31</v>
      </c>
      <c r="O14" s="52">
        <f t="shared" si="2"/>
        <v>21.4</v>
      </c>
      <c r="P14" s="148" cm="1">
        <f t="array" ref="P14">IF(AE14="N/A","",_xlfn.IFS(Z14="m2",AE14*J14,Z14="stk",(AE14*(1/(AA14*AB14)))*J14,Z14="N/A",""))</f>
        <v>21.4</v>
      </c>
      <c r="Q14" s="52">
        <f t="shared" si="3"/>
        <v>-19.912179999999999</v>
      </c>
      <c r="R14" s="155" cm="1">
        <f t="array" ref="R14">IF(AG14="N/A","",_xlfn.IFS(Z14="m2",AG14*J14,Z14="stk",(AG14*(1/(AA14*AB14)))*J14,Z14="N/A",""))</f>
        <v>-19.912179999999999</v>
      </c>
      <c r="S14" s="88" t="s">
        <v>5</v>
      </c>
      <c r="T14" s="164" t="s">
        <v>377</v>
      </c>
      <c r="U14" s="47">
        <v>2027</v>
      </c>
      <c r="V14" s="47" t="s">
        <v>28</v>
      </c>
      <c r="W14" s="47" t="s">
        <v>191</v>
      </c>
      <c r="Y14" s="47" t="s">
        <v>617</v>
      </c>
      <c r="Z14" s="47" t="s">
        <v>15</v>
      </c>
      <c r="AA14" s="47">
        <v>1.48</v>
      </c>
      <c r="AB14" s="47">
        <v>1.23</v>
      </c>
      <c r="AC14" s="52">
        <f t="shared" si="9"/>
        <v>64.710000000000008</v>
      </c>
      <c r="AD14" s="52">
        <f>35.2 +1.75+6.36</f>
        <v>43.31</v>
      </c>
      <c r="AE14" s="52">
        <f>20.2+1.2</f>
        <v>21.4</v>
      </c>
      <c r="AF14" s="52">
        <f>-28.2</f>
        <v>-28.2</v>
      </c>
      <c r="AG14" s="52">
        <f>-22.9-0.00218+2.99</f>
        <v>-19.912179999999999</v>
      </c>
      <c r="AH14" s="52"/>
      <c r="AI14" s="115" t="str">
        <f t="shared" si="5"/>
        <v xml:space="preserve">F </v>
      </c>
      <c r="AJ14" s="122" t="s">
        <v>82</v>
      </c>
      <c r="AK14" s="123"/>
      <c r="AL14" s="47"/>
      <c r="AM14" s="47"/>
      <c r="AN14" s="47">
        <v>1.34</v>
      </c>
      <c r="AO14" s="47">
        <v>0.82</v>
      </c>
      <c r="AP14" s="47">
        <v>0.73</v>
      </c>
      <c r="AQ14" s="47">
        <v>-12.1</v>
      </c>
      <c r="AR14" s="47"/>
      <c r="AS14" s="47">
        <v>29.4</v>
      </c>
      <c r="AU14" s="105" t="s">
        <v>17</v>
      </c>
      <c r="AV14" s="205" t="s">
        <v>17</v>
      </c>
      <c r="AW14" s="47"/>
    </row>
    <row r="15" spans="1:50" s="25" customFormat="1" ht="25.2" customHeight="1" x14ac:dyDescent="0.15">
      <c r="A15" s="25" t="s">
        <v>408</v>
      </c>
      <c r="B15" s="47" t="s">
        <v>208</v>
      </c>
      <c r="C15" s="47" t="str">
        <f>""</f>
        <v/>
      </c>
      <c r="D15" s="47" t="s">
        <v>401</v>
      </c>
      <c r="E15" s="88" t="s">
        <v>146</v>
      </c>
      <c r="F15" s="47" t="s">
        <v>523</v>
      </c>
      <c r="G15" s="47" t="s">
        <v>395</v>
      </c>
      <c r="H15" s="47" t="s">
        <v>410</v>
      </c>
      <c r="I15" s="47"/>
      <c r="J15" s="111">
        <v>1</v>
      </c>
      <c r="K15" s="52">
        <f t="shared" si="0"/>
        <v>65.58</v>
      </c>
      <c r="L15" s="148" cm="1">
        <f t="array" ref="L15">IF(AE15="N/A","",_xlfn.IFS(Z15="m2",AC15*J15,Z15="stk",(AC15*(1/(AA15*AB15)))*J15,Z15="N/A",""))</f>
        <v>65.58</v>
      </c>
      <c r="M15" s="52">
        <f t="shared" si="1"/>
        <v>44.11</v>
      </c>
      <c r="N15" s="148" cm="1">
        <f t="array" ref="N15">_xlfn.IFS(Z15="m2",AD15*J15,Z15="stk",(AD15*(1/(AA15*AB15)))*J15,Z15="N/A","")</f>
        <v>44.11</v>
      </c>
      <c r="O15" s="52">
        <f t="shared" si="2"/>
        <v>21.47</v>
      </c>
      <c r="P15" s="148" cm="1">
        <f t="array" ref="P15">IF(AE15="N/A","",_xlfn.IFS(Z15="m2",AE15*J15,Z15="stk",(AE15*(1/(AA15*AB15)))*J15,Z15="N/A",""))</f>
        <v>21.47</v>
      </c>
      <c r="Q15" s="52">
        <f t="shared" si="3"/>
        <v>-19.912680000000002</v>
      </c>
      <c r="R15" s="155" cm="1">
        <f t="array" ref="R15">IF(AG15="N/A","",_xlfn.IFS(Z15="m2",AG15*J15,Z15="stk",(AG15*(1/(AA15*AB15)))*J15,Z15="N/A",""))</f>
        <v>-19.912680000000002</v>
      </c>
      <c r="S15" s="88" t="s">
        <v>5</v>
      </c>
      <c r="T15" s="164" t="s">
        <v>377</v>
      </c>
      <c r="U15" s="47">
        <v>2027</v>
      </c>
      <c r="V15" s="47" t="s">
        <v>28</v>
      </c>
      <c r="W15" s="47" t="s">
        <v>191</v>
      </c>
      <c r="Y15" s="47" t="s">
        <v>617</v>
      </c>
      <c r="Z15" s="47" t="s">
        <v>15</v>
      </c>
      <c r="AA15" s="47">
        <v>1.48</v>
      </c>
      <c r="AB15" s="47">
        <v>1.23</v>
      </c>
      <c r="AC15" s="52">
        <f t="shared" ref="AC15:AC18" si="10">IF(AE15="N/A","N/A",SUM(AD15:AE15))</f>
        <v>65.58</v>
      </c>
      <c r="AD15" s="52">
        <f>35.6 +2.15 +6.36</f>
        <v>44.11</v>
      </c>
      <c r="AE15" s="52">
        <f>20.2+1.27</f>
        <v>21.47</v>
      </c>
      <c r="AF15" s="52">
        <f>-28.3</f>
        <v>-28.3</v>
      </c>
      <c r="AG15" s="52">
        <f>-22.9-0.00268+2.99</f>
        <v>-19.912680000000002</v>
      </c>
      <c r="AH15" s="52"/>
      <c r="AI15" s="115" t="str">
        <f t="shared" si="5"/>
        <v xml:space="preserve">F </v>
      </c>
      <c r="AJ15" s="122" t="s">
        <v>82</v>
      </c>
      <c r="AK15" s="123"/>
      <c r="AL15" s="47"/>
      <c r="AM15" s="47"/>
      <c r="AN15" s="47">
        <v>0.78</v>
      </c>
      <c r="AO15" s="47">
        <v>0.74</v>
      </c>
      <c r="AP15" s="47">
        <v>0.53</v>
      </c>
      <c r="AQ15" s="47">
        <v>8.6</v>
      </c>
      <c r="AR15" s="47"/>
      <c r="AS15" s="47">
        <v>35.1</v>
      </c>
      <c r="AU15" s="105" t="s">
        <v>17</v>
      </c>
      <c r="AV15" s="205" t="s">
        <v>17</v>
      </c>
      <c r="AW15" s="47"/>
    </row>
    <row r="16" spans="1:50" s="25" customFormat="1" ht="25.2" customHeight="1" x14ac:dyDescent="0.15">
      <c r="A16" s="25" t="s">
        <v>412</v>
      </c>
      <c r="B16" s="47" t="s">
        <v>208</v>
      </c>
      <c r="C16" s="47" t="str">
        <f>""</f>
        <v/>
      </c>
      <c r="D16" s="47" t="s">
        <v>402</v>
      </c>
      <c r="E16" s="88" t="s">
        <v>146</v>
      </c>
      <c r="F16" s="47" t="s">
        <v>396</v>
      </c>
      <c r="G16" s="47" t="s">
        <v>395</v>
      </c>
      <c r="H16" s="47" t="s">
        <v>411</v>
      </c>
      <c r="I16" s="47"/>
      <c r="J16" s="111">
        <v>1</v>
      </c>
      <c r="K16" s="52">
        <f t="shared" si="0"/>
        <v>43.2</v>
      </c>
      <c r="L16" s="148" cm="1">
        <f t="array" ref="L16">IF(AE16="N/A","",_xlfn.IFS(Z16="m2",AC16*J16,Z16="stk",(AC16*(1/(AA16*AB16)))*J16,Z16="N/A",""))</f>
        <v>43.2</v>
      </c>
      <c r="M16" s="52">
        <f>IF(N16="","N/A",N16)</f>
        <v>20.96</v>
      </c>
      <c r="N16" s="148" cm="1">
        <f t="array" ref="N16">_xlfn.IFS(Z16="m2",AD16*J16,Z16="stk",(AD16*(1/(AA16*AB16)))*J16,Z16="N/A","")</f>
        <v>20.96</v>
      </c>
      <c r="O16" s="52">
        <f t="shared" si="2"/>
        <v>22.24</v>
      </c>
      <c r="P16" s="148" cm="1">
        <f t="array" ref="P16">IF(AE16="N/A","",_xlfn.IFS(Z16="m2",AE16*J16,Z16="stk",(AE16*(1/(AA16*AB16)))*J16,Z16="N/A",""))</f>
        <v>22.24</v>
      </c>
      <c r="Q16" s="52">
        <f t="shared" si="3"/>
        <v>-19.25177</v>
      </c>
      <c r="R16" s="155" cm="1">
        <f t="array" ref="R16">IF(AG16="N/A","",_xlfn.IFS(Z16="m2",AG16*J16,Z16="stk",(AG16*(1/(AA16*AB16)))*J16,Z16="N/A",""))</f>
        <v>-19.25177</v>
      </c>
      <c r="S16" s="88" t="s">
        <v>5</v>
      </c>
      <c r="T16" s="164" t="s">
        <v>377</v>
      </c>
      <c r="U16" s="47">
        <v>2027</v>
      </c>
      <c r="V16" s="47" t="s">
        <v>28</v>
      </c>
      <c r="W16" s="47" t="s">
        <v>191</v>
      </c>
      <c r="Y16" s="47" t="s">
        <v>616</v>
      </c>
      <c r="Z16" s="47" t="s">
        <v>15</v>
      </c>
      <c r="AA16" s="47">
        <v>1.48</v>
      </c>
      <c r="AB16" s="47">
        <v>1.23</v>
      </c>
      <c r="AC16" s="52">
        <f t="shared" si="10"/>
        <v>43.2</v>
      </c>
      <c r="AD16" s="52">
        <f>5.41+1.75+13.8</f>
        <v>20.96</v>
      </c>
      <c r="AE16" s="52">
        <f>21+1.24</f>
        <v>22.24</v>
      </c>
      <c r="AF16" s="52">
        <f>-16</f>
        <v>-16</v>
      </c>
      <c r="AG16" s="52">
        <f>-28.1-0.00177+8.85</f>
        <v>-19.25177</v>
      </c>
      <c r="AH16" s="52"/>
      <c r="AI16" s="115" t="str">
        <f t="shared" si="5"/>
        <v xml:space="preserve">F </v>
      </c>
      <c r="AJ16" s="122" t="s">
        <v>82</v>
      </c>
      <c r="AK16" s="123"/>
      <c r="AL16" s="47"/>
      <c r="AM16" s="47"/>
      <c r="AN16" s="47">
        <v>1.27</v>
      </c>
      <c r="AO16" s="47">
        <v>0.83</v>
      </c>
      <c r="AP16" s="47">
        <v>0.77</v>
      </c>
      <c r="AQ16" s="47">
        <v>0.2</v>
      </c>
      <c r="AR16" s="47"/>
      <c r="AS16" s="47">
        <v>27.9</v>
      </c>
      <c r="AU16" s="105" t="s">
        <v>17</v>
      </c>
      <c r="AV16" s="205" t="s">
        <v>17</v>
      </c>
      <c r="AW16" s="47"/>
    </row>
    <row r="17" spans="1:51" s="25" customFormat="1" ht="25.2" customHeight="1" x14ac:dyDescent="0.15">
      <c r="A17" s="25" t="s">
        <v>413</v>
      </c>
      <c r="B17" s="47" t="s">
        <v>208</v>
      </c>
      <c r="C17" s="47" t="str">
        <f>""</f>
        <v/>
      </c>
      <c r="D17" s="47" t="s">
        <v>402</v>
      </c>
      <c r="E17" s="88" t="s">
        <v>146</v>
      </c>
      <c r="F17" s="47" t="s">
        <v>396</v>
      </c>
      <c r="G17" s="47" t="s">
        <v>395</v>
      </c>
      <c r="H17" s="47" t="s">
        <v>410</v>
      </c>
      <c r="I17" s="47"/>
      <c r="J17" s="111">
        <v>1</v>
      </c>
      <c r="K17" s="52">
        <f t="shared" si="0"/>
        <v>52.58</v>
      </c>
      <c r="L17" s="148" cm="1">
        <f t="array" ref="L17">IF(AE17="N/A","",_xlfn.IFS(Z17="m2",AC17*J17,Z17="stk",(AC17*(1/(AA17*AB17)))*J17,Z17="N/A",""))</f>
        <v>52.58</v>
      </c>
      <c r="M17" s="52">
        <f t="shared" si="1"/>
        <v>30.48</v>
      </c>
      <c r="N17" s="148" cm="1">
        <f t="array" ref="N17">_xlfn.IFS(Z17="m2",AD17*J17,Z17="stk",(AD17*(1/(AA17*AB17)))*J17,Z17="N/A","")</f>
        <v>30.48</v>
      </c>
      <c r="O17" s="52">
        <f t="shared" si="2"/>
        <v>22.1</v>
      </c>
      <c r="P17" s="148" cm="1">
        <f t="array" ref="P17">IF(AE17="N/A","",_xlfn.IFS(Z17="m2",AE17*J17,Z17="stk",(AE17*(1/(AA17*AB17)))*J17,Z17="N/A",""))</f>
        <v>22.1</v>
      </c>
      <c r="Q17" s="52">
        <f t="shared" si="3"/>
        <v>-19.052309999999999</v>
      </c>
      <c r="R17" s="155" cm="1">
        <f t="array" ref="R17">IF(AG17="N/A","",_xlfn.IFS(Z17="m2",AG17*J17,Z17="stk",(AG17*(1/(AA17*AB17)))*J17,Z17="N/A",""))</f>
        <v>-19.052309999999999</v>
      </c>
      <c r="S17" s="88" t="s">
        <v>5</v>
      </c>
      <c r="T17" s="164" t="s">
        <v>377</v>
      </c>
      <c r="U17" s="47">
        <v>2027</v>
      </c>
      <c r="V17" s="47" t="s">
        <v>28</v>
      </c>
      <c r="W17" s="47" t="s">
        <v>191</v>
      </c>
      <c r="Y17" s="47" t="s">
        <v>616</v>
      </c>
      <c r="Z17" s="47" t="s">
        <v>15</v>
      </c>
      <c r="AA17" s="47">
        <v>1.48</v>
      </c>
      <c r="AB17" s="47">
        <v>1.23</v>
      </c>
      <c r="AC17" s="52">
        <f t="shared" si="10"/>
        <v>52.58</v>
      </c>
      <c r="AD17" s="52">
        <f>14.5 +2.18+13.8</f>
        <v>30.48</v>
      </c>
      <c r="AE17" s="52">
        <f>20.8+1.3</f>
        <v>22.1</v>
      </c>
      <c r="AF17" s="52">
        <f>-17.2</f>
        <v>-17.2</v>
      </c>
      <c r="AG17" s="52">
        <f>-27.9-0.00231+8.85</f>
        <v>-19.052309999999999</v>
      </c>
      <c r="AH17" s="52"/>
      <c r="AI17" s="115" t="str">
        <f t="shared" si="5"/>
        <v xml:space="preserve">F </v>
      </c>
      <c r="AJ17" s="122" t="s">
        <v>82</v>
      </c>
      <c r="AK17" s="123"/>
      <c r="AL17" s="47"/>
      <c r="AM17" s="47"/>
      <c r="AN17" s="47">
        <v>0.87</v>
      </c>
      <c r="AO17" s="47">
        <v>0.75</v>
      </c>
      <c r="AP17" s="47">
        <v>0.62</v>
      </c>
      <c r="AQ17" s="47">
        <v>13.9</v>
      </c>
      <c r="AR17" s="47"/>
      <c r="AS17" s="47">
        <v>33.700000000000003</v>
      </c>
      <c r="AU17" s="105" t="s">
        <v>17</v>
      </c>
      <c r="AV17" s="233" t="s">
        <v>17</v>
      </c>
      <c r="AW17" s="47"/>
      <c r="AY17" s="66"/>
    </row>
    <row r="18" spans="1:51" s="25" customFormat="1" ht="25.2" customHeight="1" x14ac:dyDescent="0.15">
      <c r="A18" s="25" t="s">
        <v>414</v>
      </c>
      <c r="B18" s="47" t="s">
        <v>208</v>
      </c>
      <c r="C18" s="47" t="str">
        <f>""</f>
        <v/>
      </c>
      <c r="D18" s="47" t="s">
        <v>402</v>
      </c>
      <c r="E18" s="88" t="s">
        <v>146</v>
      </c>
      <c r="F18" s="47" t="s">
        <v>523</v>
      </c>
      <c r="G18" s="47" t="s">
        <v>395</v>
      </c>
      <c r="H18" s="47" t="s">
        <v>411</v>
      </c>
      <c r="I18" s="47"/>
      <c r="J18" s="111">
        <v>1</v>
      </c>
      <c r="K18" s="52">
        <f t="shared" si="0"/>
        <v>67.53</v>
      </c>
      <c r="L18" s="148" cm="1">
        <f t="array" ref="L18">IF(AE18="N/A","",_xlfn.IFS(Z18="m2",AC18*J18,Z18="stk",(AC18*(1/(AA18*AB18)))*J18,Z18="N/A",""))</f>
        <v>67.53</v>
      </c>
      <c r="M18" s="52">
        <f t="shared" si="1"/>
        <v>45.930000000000007</v>
      </c>
      <c r="N18" s="148" cm="1">
        <f t="array" ref="N18">_xlfn.IFS(Z18="m2",AD18*J18,Z18="stk",(AD18*(1/(AA18*AB18)))*J18,Z18="N/A","")</f>
        <v>45.930000000000007</v>
      </c>
      <c r="O18" s="52">
        <f t="shared" si="2"/>
        <v>21.599999999999998</v>
      </c>
      <c r="P18" s="148" cm="1">
        <f t="array" ref="P18">IF(AE18="N/A","",_xlfn.IFS(Z18="m2",AE18*J18,Z18="stk",(AE18*(1/(AA18*AB18)))*J18,Z18="N/A",""))</f>
        <v>21.599999999999998</v>
      </c>
      <c r="Q18" s="52">
        <f t="shared" si="3"/>
        <v>-18.552</v>
      </c>
      <c r="R18" s="155" cm="1">
        <f t="array" ref="R18">IF(AG18="N/A","",_xlfn.IFS(Z18="m2",AG18*J18,Z18="stk",(AG18*(1/(AA18*AB18)))*J18,Z18="N/A",""))</f>
        <v>-18.552</v>
      </c>
      <c r="S18" s="88" t="s">
        <v>5</v>
      </c>
      <c r="T18" s="164" t="s">
        <v>377</v>
      </c>
      <c r="U18" s="47">
        <v>2027</v>
      </c>
      <c r="V18" s="47" t="s">
        <v>28</v>
      </c>
      <c r="W18" s="47" t="s">
        <v>191</v>
      </c>
      <c r="Y18" s="47" t="s">
        <v>616</v>
      </c>
      <c r="Z18" s="47" t="s">
        <v>15</v>
      </c>
      <c r="AA18" s="47">
        <v>1.48</v>
      </c>
      <c r="AB18" s="47">
        <v>1.23</v>
      </c>
      <c r="AC18" s="52">
        <f t="shared" si="10"/>
        <v>67.53</v>
      </c>
      <c r="AD18" s="52">
        <f>30.2+1.93+13.8</f>
        <v>45.930000000000007</v>
      </c>
      <c r="AE18" s="52">
        <f>20.4+1.2</f>
        <v>21.599999999999998</v>
      </c>
      <c r="AF18" s="52">
        <f>-28</f>
        <v>-28</v>
      </c>
      <c r="AG18" s="52">
        <f>-27.4-0.002+8.85</f>
        <v>-18.552</v>
      </c>
      <c r="AH18" s="52"/>
      <c r="AI18" s="115" t="str">
        <f t="shared" si="5"/>
        <v xml:space="preserve">F </v>
      </c>
      <c r="AJ18" s="122" t="s">
        <v>82</v>
      </c>
      <c r="AK18" s="123"/>
      <c r="AL18" s="47"/>
      <c r="AM18" s="47"/>
      <c r="AN18" s="47">
        <v>1.27</v>
      </c>
      <c r="AO18" s="47">
        <v>0.83</v>
      </c>
      <c r="AP18" s="47">
        <v>0.77</v>
      </c>
      <c r="AQ18" s="47">
        <v>0.2</v>
      </c>
      <c r="AR18" s="47"/>
      <c r="AS18" s="47">
        <v>29.5</v>
      </c>
      <c r="AU18" s="105" t="s">
        <v>17</v>
      </c>
      <c r="AV18" s="233" t="s">
        <v>17</v>
      </c>
      <c r="AW18" s="47"/>
      <c r="AY18" s="66"/>
    </row>
    <row r="19" spans="1:51" s="25" customFormat="1" ht="25.2" customHeight="1" x14ac:dyDescent="0.15">
      <c r="A19" s="25" t="s">
        <v>415</v>
      </c>
      <c r="B19" s="47" t="s">
        <v>208</v>
      </c>
      <c r="C19" s="47" t="str">
        <f>""</f>
        <v/>
      </c>
      <c r="D19" s="47" t="s">
        <v>402</v>
      </c>
      <c r="E19" s="88" t="s">
        <v>146</v>
      </c>
      <c r="F19" s="47" t="s">
        <v>523</v>
      </c>
      <c r="G19" s="47" t="s">
        <v>395</v>
      </c>
      <c r="H19" s="47" t="s">
        <v>410</v>
      </c>
      <c r="I19" s="47"/>
      <c r="J19" s="111">
        <v>1</v>
      </c>
      <c r="K19" s="52">
        <f t="shared" si="0"/>
        <v>68.77000000000001</v>
      </c>
      <c r="L19" s="148" cm="1">
        <f t="array" ref="L19">IF(AE19="N/A","",_xlfn.IFS(Z19="m2",AC19*J19,Z19="stk",(AC19*(1/(AA19*AB19)))*J19,Z19="N/A",""))</f>
        <v>68.77000000000001</v>
      </c>
      <c r="M19" s="52">
        <f t="shared" si="1"/>
        <v>47.070000000000007</v>
      </c>
      <c r="N19" s="148" cm="1">
        <f t="array" ref="N19">_xlfn.IFS(Z19="m2",AD19*J19,Z19="stk",(AD19*(1/(AA19*AB19)))*J19,Z19="N/A","")</f>
        <v>47.070000000000007</v>
      </c>
      <c r="O19" s="52">
        <f t="shared" si="2"/>
        <v>21.7</v>
      </c>
      <c r="P19" s="148" cm="1">
        <f t="array" ref="P19">IF(AE19="N/A","",_xlfn.IFS(Z19="m2",AE19*J19,Z19="stk",(AE19*(1/(AA19*AB19)))*J19,Z19="N/A",""))</f>
        <v>21.7</v>
      </c>
      <c r="Q19" s="52">
        <f t="shared" si="3"/>
        <v>-18.552689999999998</v>
      </c>
      <c r="R19" s="155" cm="1">
        <f t="array" ref="R19">IF(AG19="N/A","",_xlfn.IFS(Z19="m2",AG19*J19,Z19="stk",(AG19*(1/(AA19*AB19)))*J19,Z19="N/A",""))</f>
        <v>-18.552689999999998</v>
      </c>
      <c r="S19" s="88" t="s">
        <v>5</v>
      </c>
      <c r="T19" s="164" t="s">
        <v>377</v>
      </c>
      <c r="U19" s="47">
        <v>2027</v>
      </c>
      <c r="V19" s="47" t="s">
        <v>28</v>
      </c>
      <c r="W19" s="47" t="s">
        <v>191</v>
      </c>
      <c r="Y19" s="47" t="s">
        <v>616</v>
      </c>
      <c r="Z19" s="47" t="s">
        <v>15</v>
      </c>
      <c r="AA19" s="47">
        <v>1.48</v>
      </c>
      <c r="AB19" s="47">
        <v>1.23</v>
      </c>
      <c r="AC19" s="52">
        <f t="shared" ref="AC19" si="11">IF(AE19="N/A","N/A",SUM(AD19:AE19))</f>
        <v>68.77000000000001</v>
      </c>
      <c r="AD19" s="52">
        <f>30.8+2.47 +13.8</f>
        <v>47.070000000000007</v>
      </c>
      <c r="AE19" s="52">
        <f>20.4+1.3</f>
        <v>21.7</v>
      </c>
      <c r="AF19" s="52">
        <f>-28.9</f>
        <v>-28.9</v>
      </c>
      <c r="AG19" s="52">
        <f>-27.4-0.00269+8.85</f>
        <v>-18.552689999999998</v>
      </c>
      <c r="AH19" s="52"/>
      <c r="AI19" s="115" t="str">
        <f t="shared" si="5"/>
        <v xml:space="preserve">F </v>
      </c>
      <c r="AJ19" s="122" t="s">
        <v>82</v>
      </c>
      <c r="AK19" s="123"/>
      <c r="AL19" s="47"/>
      <c r="AM19" s="47"/>
      <c r="AN19" s="47">
        <v>0.78</v>
      </c>
      <c r="AO19" s="47">
        <v>0.74</v>
      </c>
      <c r="AP19" s="47">
        <v>0.53</v>
      </c>
      <c r="AQ19" s="47">
        <v>7.6</v>
      </c>
      <c r="AR19" s="47"/>
      <c r="AS19" s="47">
        <v>37.200000000000003</v>
      </c>
      <c r="AU19" s="105" t="s">
        <v>17</v>
      </c>
      <c r="AV19" s="233" t="s">
        <v>17</v>
      </c>
      <c r="AW19" s="47"/>
      <c r="AY19" s="66"/>
    </row>
    <row r="20" spans="1:51" s="25" customFormat="1" ht="25.2" customHeight="1" x14ac:dyDescent="0.15">
      <c r="A20" s="25" t="s">
        <v>416</v>
      </c>
      <c r="B20" s="47" t="s">
        <v>208</v>
      </c>
      <c r="C20" s="47" t="str">
        <f>""</f>
        <v/>
      </c>
      <c r="D20" s="47" t="s">
        <v>403</v>
      </c>
      <c r="E20" s="88" t="s">
        <v>142</v>
      </c>
      <c r="F20" s="47" t="s">
        <v>523</v>
      </c>
      <c r="G20" s="47" t="s">
        <v>395</v>
      </c>
      <c r="H20" s="47" t="s">
        <v>410</v>
      </c>
      <c r="I20" s="46"/>
      <c r="J20" s="111">
        <v>1</v>
      </c>
      <c r="K20" s="52">
        <f t="shared" si="0"/>
        <v>76.44</v>
      </c>
      <c r="L20" s="148" cm="1">
        <f t="array" ref="L20">IF(AE20="N/A","",_xlfn.IFS(Z20="m2",AC20*J20,Z20="stk",(AC20*(1/(AA20*AB20)))*J20,Z20="N/A",""))</f>
        <v>76.44</v>
      </c>
      <c r="M20" s="52">
        <f t="shared" si="1"/>
        <v>46.6</v>
      </c>
      <c r="N20" s="148" cm="1">
        <f t="array" ref="N20">_xlfn.IFS(Z20="m2",AD20*J20,Z20="stk",(AD20*(1/(AA20*AB20)))*J20,Z20="N/A","")</f>
        <v>46.6</v>
      </c>
      <c r="O20" s="52">
        <f t="shared" si="2"/>
        <v>29.84</v>
      </c>
      <c r="P20" s="148" cm="1">
        <f t="array" ref="P20">IF(AE20="N/A","",_xlfn.IFS(Z20="m2",AE20*J20,Z20="stk",(AE20*(1/(AA20*AB20)))*J20,Z20="N/A",""))</f>
        <v>29.84</v>
      </c>
      <c r="Q20" s="52">
        <f t="shared" si="3"/>
        <v>-23.5</v>
      </c>
      <c r="R20" s="155" cm="1">
        <f t="array" ref="R20">IF(AG20="N/A","",_xlfn.IFS(Z20="m2",AG20*J20,Z20="stk",(AG20*(1/(AA20*AB20)))*J20,Z20="N/A",""))</f>
        <v>-23.5</v>
      </c>
      <c r="S20" s="88" t="s">
        <v>5</v>
      </c>
      <c r="T20" s="164" t="s">
        <v>377</v>
      </c>
      <c r="U20" s="47">
        <v>2028</v>
      </c>
      <c r="V20" s="47" t="s">
        <v>28</v>
      </c>
      <c r="W20" s="47" t="s">
        <v>191</v>
      </c>
      <c r="Y20" s="47" t="s">
        <v>618</v>
      </c>
      <c r="Z20" s="47" t="s">
        <v>15</v>
      </c>
      <c r="AA20" s="47">
        <v>1.48</v>
      </c>
      <c r="AB20" s="47">
        <v>1.23</v>
      </c>
      <c r="AC20" s="52">
        <f>IF(AE20="N/A","N/A",SUM(AD20:AE20))</f>
        <v>76.44</v>
      </c>
      <c r="AD20" s="52">
        <v>46.6</v>
      </c>
      <c r="AE20" s="52">
        <f>28.3+1.54</f>
        <v>29.84</v>
      </c>
      <c r="AF20" s="52">
        <f>-24.3</f>
        <v>-24.3</v>
      </c>
      <c r="AG20" s="52">
        <f>-23.5</f>
        <v>-23.5</v>
      </c>
      <c r="AH20" s="47"/>
      <c r="AI20" s="115" t="str">
        <f t="shared" si="5"/>
        <v xml:space="preserve">F </v>
      </c>
      <c r="AJ20" s="122" t="s">
        <v>82</v>
      </c>
      <c r="AK20" s="125"/>
      <c r="AL20" s="46"/>
      <c r="AM20" s="46"/>
      <c r="AN20" s="47">
        <v>0.77</v>
      </c>
      <c r="AO20" s="47">
        <v>0.74</v>
      </c>
      <c r="AP20" s="47">
        <v>0.53</v>
      </c>
      <c r="AQ20" s="47">
        <v>7.5</v>
      </c>
      <c r="AR20" s="167"/>
      <c r="AS20" s="167">
        <v>36.85</v>
      </c>
      <c r="AU20" s="105" t="s">
        <v>17</v>
      </c>
      <c r="AV20" s="160" t="s">
        <v>17</v>
      </c>
      <c r="AW20" s="46"/>
      <c r="AY20" s="66"/>
    </row>
    <row r="21" spans="1:51" s="25" customFormat="1" ht="25.2" customHeight="1" x14ac:dyDescent="0.15">
      <c r="A21" s="25" t="s">
        <v>417</v>
      </c>
      <c r="B21" s="47" t="s">
        <v>208</v>
      </c>
      <c r="C21" s="47" t="str">
        <f>""</f>
        <v/>
      </c>
      <c r="D21" s="47" t="s">
        <v>403</v>
      </c>
      <c r="E21" s="88" t="s">
        <v>142</v>
      </c>
      <c r="F21" s="47" t="s">
        <v>523</v>
      </c>
      <c r="G21" s="47" t="s">
        <v>395</v>
      </c>
      <c r="H21" s="47" t="s">
        <v>410</v>
      </c>
      <c r="I21" s="46"/>
      <c r="J21" s="111">
        <v>1</v>
      </c>
      <c r="K21" s="52">
        <f t="shared" si="0"/>
        <v>76.44</v>
      </c>
      <c r="L21" s="148" cm="1">
        <f t="array" ref="L21">IF(AE21="N/A","",_xlfn.IFS(Z21="m2",AC21*J21,Z21="stk",(AC21*(1/(AA21*AB21)))*J21,Z21="N/A",""))</f>
        <v>76.44</v>
      </c>
      <c r="M21" s="52">
        <f t="shared" si="1"/>
        <v>46.6</v>
      </c>
      <c r="N21" s="148" cm="1">
        <f t="array" ref="N21">_xlfn.IFS(Z21="m2",AD21*J21,Z21="stk",(AD21*(1/(AA21*AB21)))*J21,Z21="N/A","")</f>
        <v>46.6</v>
      </c>
      <c r="O21" s="52">
        <f t="shared" si="2"/>
        <v>29.84</v>
      </c>
      <c r="P21" s="148" cm="1">
        <f t="array" ref="P21">IF(AE21="N/A","",_xlfn.IFS(Z21="m2",AE21*J21,Z21="stk",(AE21*(1/(AA21*AB21)))*J21,Z21="N/A",""))</f>
        <v>29.84</v>
      </c>
      <c r="Q21" s="52">
        <f t="shared" si="3"/>
        <v>-23.5</v>
      </c>
      <c r="R21" s="155" cm="1">
        <f t="array" ref="R21">IF(AG21="N/A","",_xlfn.IFS(Z21="m2",AG21*J21,Z21="stk",(AG21*(1/(AA21*AB21)))*J21,Z21="N/A",""))</f>
        <v>-23.5</v>
      </c>
      <c r="S21" s="88" t="s">
        <v>5</v>
      </c>
      <c r="T21" s="164" t="s">
        <v>377</v>
      </c>
      <c r="U21" s="47">
        <v>2028</v>
      </c>
      <c r="V21" s="47" t="s">
        <v>28</v>
      </c>
      <c r="W21" s="47" t="s">
        <v>191</v>
      </c>
      <c r="Y21" s="47" t="s">
        <v>618</v>
      </c>
      <c r="Z21" s="47" t="s">
        <v>15</v>
      </c>
      <c r="AA21" s="47">
        <v>1.48</v>
      </c>
      <c r="AB21" s="47">
        <v>1.23</v>
      </c>
      <c r="AC21" s="52">
        <f>IF(AE21="N/A","N/A",SUM(AD21:AE21))</f>
        <v>76.44</v>
      </c>
      <c r="AD21" s="52">
        <f>46.6</f>
        <v>46.6</v>
      </c>
      <c r="AE21" s="52">
        <f>28.3+1.54</f>
        <v>29.84</v>
      </c>
      <c r="AF21" s="52">
        <f>-24.3</f>
        <v>-24.3</v>
      </c>
      <c r="AG21" s="52">
        <f>-23.5</f>
        <v>-23.5</v>
      </c>
      <c r="AH21" s="47"/>
      <c r="AI21" s="115" t="str">
        <f t="shared" si="5"/>
        <v xml:space="preserve">F </v>
      </c>
      <c r="AJ21" s="122" t="s">
        <v>82</v>
      </c>
      <c r="AK21" s="125"/>
      <c r="AL21" s="46"/>
      <c r="AM21" s="46"/>
      <c r="AN21" s="47">
        <v>0.79</v>
      </c>
      <c r="AO21" s="47">
        <v>0.74</v>
      </c>
      <c r="AP21" s="47">
        <v>0.53</v>
      </c>
      <c r="AQ21" s="47">
        <v>5.6</v>
      </c>
      <c r="AR21" s="167"/>
      <c r="AS21" s="167">
        <v>36.85</v>
      </c>
      <c r="AU21" s="105" t="s">
        <v>17</v>
      </c>
      <c r="AV21" s="160" t="s">
        <v>17</v>
      </c>
      <c r="AW21" s="46"/>
      <c r="AY21" s="66"/>
    </row>
    <row r="22" spans="1:51" s="16" customFormat="1" ht="25.2" customHeight="1" x14ac:dyDescent="0.15">
      <c r="A22" s="47" t="s">
        <v>423</v>
      </c>
      <c r="B22" s="47" t="s">
        <v>208</v>
      </c>
      <c r="C22" s="47" t="str">
        <f>""</f>
        <v/>
      </c>
      <c r="D22" s="47" t="s">
        <v>404</v>
      </c>
      <c r="E22" s="88" t="s">
        <v>146</v>
      </c>
      <c r="F22" s="47" t="s">
        <v>523</v>
      </c>
      <c r="G22" s="47" t="s">
        <v>422</v>
      </c>
      <c r="H22" s="47" t="s">
        <v>411</v>
      </c>
      <c r="J22" s="111">
        <v>1</v>
      </c>
      <c r="K22" s="52">
        <f t="shared" si="0"/>
        <v>172.77</v>
      </c>
      <c r="L22" s="148" cm="1">
        <f t="array" ref="L22">IF(AE22="N/A","",_xlfn.IFS(Z22="m2",AC22*J22,Z22="stk",(AC22*(1/(AA22*AB22)))*J22,Z22="N/A",""))</f>
        <v>172.77</v>
      </c>
      <c r="M22" s="52">
        <f t="shared" si="1"/>
        <v>121.5</v>
      </c>
      <c r="N22" s="148" cm="1">
        <f t="array" ref="N22">_xlfn.IFS(Z22="m2",AD22*J22,Z22="stk",(AD22*(1/(AA22*AB22)))*J22,Z22="N/A","")</f>
        <v>121.5</v>
      </c>
      <c r="O22" s="52">
        <f t="shared" si="2"/>
        <v>51.27</v>
      </c>
      <c r="P22" s="148" cm="1">
        <f t="array" ref="P22">IF(AE22="N/A","",_xlfn.IFS(Z22="m2",AE22*J22,Z22="stk",(AE22*(1/(AA22*AB22)))*J22,Z22="N/A",""))</f>
        <v>51.27</v>
      </c>
      <c r="Q22" s="52">
        <f t="shared" si="3"/>
        <v>-76.98830000000001</v>
      </c>
      <c r="R22" s="155" cm="1">
        <f t="array" ref="R22">IF(AG22="N/A","",_xlfn.IFS(Z22="m2",AG22*J22,Z22="stk",(AG22*(1/(AA22*AB22)))*J22,Z22="N/A",""))</f>
        <v>-76.98830000000001</v>
      </c>
      <c r="S22" s="88" t="s">
        <v>5</v>
      </c>
      <c r="T22" s="165"/>
      <c r="U22" s="47">
        <v>2028</v>
      </c>
      <c r="V22" s="47" t="s">
        <v>28</v>
      </c>
      <c r="W22" s="47">
        <v>30</v>
      </c>
      <c r="X22" s="39"/>
      <c r="Y22" s="47" t="s">
        <v>621</v>
      </c>
      <c r="Z22" s="47" t="s">
        <v>15</v>
      </c>
      <c r="AA22" s="47">
        <v>1.48</v>
      </c>
      <c r="AB22" s="47">
        <v>1.23</v>
      </c>
      <c r="AC22" s="52">
        <f t="shared" ref="AC22:AC25" si="12">IF(AE22="N/A","N/A",SUM(AD22:AE22))</f>
        <v>172.77</v>
      </c>
      <c r="AD22" s="52">
        <f>160+3.4+6.7+(-57+1.7+6.7 )</f>
        <v>121.5</v>
      </c>
      <c r="AE22" s="52">
        <f>17+0.14+(34+0.13)</f>
        <v>51.27</v>
      </c>
      <c r="AF22" s="52">
        <f>-68+(-4.1)</f>
        <v>-72.099999999999994</v>
      </c>
      <c r="AG22" s="52">
        <f>-22 +0.0079+8+(-71+0.0038+8)</f>
        <v>-76.98830000000001</v>
      </c>
      <c r="AH22" s="19"/>
      <c r="AI22" s="115" t="str">
        <f t="shared" si="5"/>
        <v xml:space="preserve">F </v>
      </c>
      <c r="AJ22" s="122" t="s">
        <v>82</v>
      </c>
      <c r="AK22" s="83"/>
      <c r="AL22" s="103"/>
      <c r="AN22" s="47" t="s">
        <v>191</v>
      </c>
      <c r="AO22" s="47" t="s">
        <v>191</v>
      </c>
      <c r="AP22" s="47" t="s">
        <v>191</v>
      </c>
      <c r="AQ22" s="47" t="s">
        <v>191</v>
      </c>
      <c r="AR22" s="167"/>
      <c r="AS22" s="167">
        <f>1/0.021+1/0.04</f>
        <v>72.61904761904762</v>
      </c>
      <c r="AU22" s="105" t="s">
        <v>17</v>
      </c>
      <c r="AV22" s="160"/>
      <c r="AW22" s="47"/>
      <c r="AX22" s="25"/>
    </row>
    <row r="23" spans="1:51" s="16" customFormat="1" ht="25.2" customHeight="1" x14ac:dyDescent="0.15">
      <c r="A23" s="47" t="s">
        <v>424</v>
      </c>
      <c r="B23" s="47" t="s">
        <v>208</v>
      </c>
      <c r="C23" s="47" t="str">
        <f>""</f>
        <v/>
      </c>
      <c r="D23" s="47" t="s">
        <v>404</v>
      </c>
      <c r="E23" s="88" t="s">
        <v>146</v>
      </c>
      <c r="F23" s="47" t="s">
        <v>523</v>
      </c>
      <c r="G23" s="47" t="s">
        <v>422</v>
      </c>
      <c r="H23" s="47" t="s">
        <v>411</v>
      </c>
      <c r="J23" s="111">
        <v>1</v>
      </c>
      <c r="K23" s="52">
        <f t="shared" si="0"/>
        <v>156.24</v>
      </c>
      <c r="L23" s="148" cm="1">
        <f t="array" ref="L23">IF(AE23="N/A","",_xlfn.IFS(Z23="m2",AC23*J23,Z23="stk",(AC23*(1/(AA23*AB23)))*J23,Z23="N/A",""))</f>
        <v>156.24</v>
      </c>
      <c r="M23" s="52">
        <f t="shared" si="1"/>
        <v>113</v>
      </c>
      <c r="N23" s="148" cm="1">
        <f t="array" ref="N23">_xlfn.IFS(Z23="m2",AD23*J23,Z23="stk",(AD23*(1/(AA23*AB23)))*J23,Z23="N/A","")</f>
        <v>113</v>
      </c>
      <c r="O23" s="52">
        <f t="shared" si="2"/>
        <v>43.24</v>
      </c>
      <c r="P23" s="148" cm="1">
        <f t="array" ref="P23">IF(AE23="N/A","",_xlfn.IFS(Z23="m2",AE23*J23,Z23="stk",(AE23*(1/(AA23*AB23)))*J23,Z23="N/A",""))</f>
        <v>43.24</v>
      </c>
      <c r="Q23" s="52">
        <f t="shared" si="3"/>
        <v>-64.9893</v>
      </c>
      <c r="R23" s="155" cm="1">
        <f t="array" ref="R23">IF(AG23="N/A","",_xlfn.IFS(Z23="m2",AG23*J23,Z23="stk",(AG23*(1/(AA23*AB23)))*J23,Z23="N/A",""))</f>
        <v>-64.9893</v>
      </c>
      <c r="S23" s="88" t="s">
        <v>5</v>
      </c>
      <c r="T23" s="165"/>
      <c r="U23" s="47">
        <v>2028</v>
      </c>
      <c r="V23" s="47" t="s">
        <v>28</v>
      </c>
      <c r="W23" s="47">
        <v>30</v>
      </c>
      <c r="X23" s="39"/>
      <c r="Y23" s="47" t="s">
        <v>621</v>
      </c>
      <c r="Z23" s="47" t="s">
        <v>15</v>
      </c>
      <c r="AA23" s="47">
        <v>2.1800000000000002</v>
      </c>
      <c r="AB23" s="47">
        <v>1.48</v>
      </c>
      <c r="AC23" s="52">
        <f t="shared" si="12"/>
        <v>156.24</v>
      </c>
      <c r="AD23" s="52">
        <f>140+3.3+6.7+(-45+1.3+6.7)</f>
        <v>113</v>
      </c>
      <c r="AE23" s="52">
        <f>17+0.14+(26 +0.1 )</f>
        <v>43.24</v>
      </c>
      <c r="AF23" s="52">
        <f>-50+(-3.2)</f>
        <v>-53.2</v>
      </c>
      <c r="AG23" s="52">
        <f>-23+0.0076 +8+(-58 +0.0031+8 )</f>
        <v>-64.9893</v>
      </c>
      <c r="AH23" s="19"/>
      <c r="AI23" s="115" t="str">
        <f t="shared" si="5"/>
        <v xml:space="preserve">F </v>
      </c>
      <c r="AJ23" s="122" t="s">
        <v>82</v>
      </c>
      <c r="AK23" s="83"/>
      <c r="AL23" s="103"/>
      <c r="AN23" s="47" t="s">
        <v>191</v>
      </c>
      <c r="AO23" s="47" t="s">
        <v>191</v>
      </c>
      <c r="AP23" s="47" t="s">
        <v>191</v>
      </c>
      <c r="AQ23" s="47" t="s">
        <v>191</v>
      </c>
      <c r="AR23" s="167"/>
      <c r="AS23" s="167">
        <f>1/0.022+1/0.052</f>
        <v>64.685314685314694</v>
      </c>
      <c r="AU23" s="105" t="s">
        <v>17</v>
      </c>
      <c r="AV23" s="160"/>
      <c r="AW23" s="47"/>
      <c r="AX23" s="25"/>
    </row>
    <row r="24" spans="1:51" s="25" customFormat="1" ht="25.2" customHeight="1" x14ac:dyDescent="0.15">
      <c r="A24" s="25" t="s">
        <v>425</v>
      </c>
      <c r="B24" s="47" t="s">
        <v>208</v>
      </c>
      <c r="C24" s="47" t="str">
        <f>""</f>
        <v/>
      </c>
      <c r="D24" s="47" t="s">
        <v>404</v>
      </c>
      <c r="E24" s="88" t="s">
        <v>146</v>
      </c>
      <c r="F24" s="47" t="s">
        <v>523</v>
      </c>
      <c r="G24" s="47" t="s">
        <v>422</v>
      </c>
      <c r="H24" s="47" t="s">
        <v>410</v>
      </c>
      <c r="I24" s="46"/>
      <c r="J24" s="111">
        <v>1</v>
      </c>
      <c r="K24" s="52">
        <f t="shared" si="0"/>
        <v>220.01</v>
      </c>
      <c r="L24" s="148" cm="1">
        <f t="array" ref="L24">IF(AE24="N/A","",_xlfn.IFS(Z24="m2",AC24*J24,Z24="stk",(AC24*(1/(AA24*AB24)))*J24,Z24="N/A",""))</f>
        <v>220.01</v>
      </c>
      <c r="M24" s="52">
        <f t="shared" si="1"/>
        <v>172.7</v>
      </c>
      <c r="N24" s="148" cm="1">
        <f t="array" ref="N24">_xlfn.IFS(Z24="m2",AD24*J24,Z24="stk",(AD24*(1/(AA24*AB24)))*J24,Z24="N/A","")</f>
        <v>172.7</v>
      </c>
      <c r="O24" s="52">
        <f t="shared" si="2"/>
        <v>47.31</v>
      </c>
      <c r="P24" s="148" cm="1">
        <f t="array" ref="P24">IF(AE24="N/A","",_xlfn.IFS(Z24="m2",AE24*J24,Z24="stk",(AE24*(1/(AA24*AB24)))*J24,Z24="N/A",""))</f>
        <v>47.31</v>
      </c>
      <c r="Q24" s="52">
        <f t="shared" si="3"/>
        <v>-76.986199999999997</v>
      </c>
      <c r="R24" s="155" cm="1">
        <f t="array" ref="R24">IF(AG24="N/A","",_xlfn.IFS(Z24="m2",AG24*J24,Z24="stk",(AG24*(1/(AA24*AB24)))*J24,Z24="N/A",""))</f>
        <v>-76.986199999999997</v>
      </c>
      <c r="S24" s="88" t="s">
        <v>5</v>
      </c>
      <c r="T24" s="47"/>
      <c r="U24" s="47">
        <v>2028</v>
      </c>
      <c r="V24" s="47" t="s">
        <v>28</v>
      </c>
      <c r="W24" s="47">
        <v>30</v>
      </c>
      <c r="Y24" s="47" t="s">
        <v>621</v>
      </c>
      <c r="Z24" s="47" t="s">
        <v>15</v>
      </c>
      <c r="AA24" s="47">
        <v>1.48</v>
      </c>
      <c r="AB24" s="47">
        <v>1.23</v>
      </c>
      <c r="AC24" s="52">
        <f t="shared" si="12"/>
        <v>220.01</v>
      </c>
      <c r="AD24" s="52">
        <f>210 +4.6+6.7+(-57+1.7+6.7 )</f>
        <v>172.7</v>
      </c>
      <c r="AE24" s="52">
        <f>13+0.18+(34+0.13)</f>
        <v>47.31</v>
      </c>
      <c r="AF24" s="52">
        <f>-68+(-4.1)</f>
        <v>-72.099999999999994</v>
      </c>
      <c r="AG24" s="52">
        <f>-22+0.01+8+(-71+0.0038+8)</f>
        <v>-76.986199999999997</v>
      </c>
      <c r="AH24" s="47"/>
      <c r="AI24" s="115" t="str">
        <f t="shared" si="5"/>
        <v xml:space="preserve">F </v>
      </c>
      <c r="AJ24" s="122" t="s">
        <v>82</v>
      </c>
      <c r="AK24" s="125"/>
      <c r="AL24" s="46"/>
      <c r="AM24" s="46"/>
      <c r="AN24" s="47" t="s">
        <v>191</v>
      </c>
      <c r="AO24" s="47" t="s">
        <v>191</v>
      </c>
      <c r="AP24" s="47" t="s">
        <v>191</v>
      </c>
      <c r="AQ24" s="47" t="s">
        <v>191</v>
      </c>
      <c r="AR24" s="167"/>
      <c r="AS24" s="167">
        <f>1/0.015+1/0.04</f>
        <v>91.666666666666671</v>
      </c>
      <c r="AU24" s="105" t="s">
        <v>17</v>
      </c>
      <c r="AV24" s="110"/>
      <c r="AW24" s="46"/>
      <c r="AY24" s="66"/>
    </row>
    <row r="25" spans="1:51" s="25" customFormat="1" ht="25.2" customHeight="1" x14ac:dyDescent="0.15">
      <c r="A25" s="25" t="s">
        <v>426</v>
      </c>
      <c r="B25" s="47" t="s">
        <v>208</v>
      </c>
      <c r="C25" s="47" t="str">
        <f>""</f>
        <v/>
      </c>
      <c r="D25" s="47" t="s">
        <v>404</v>
      </c>
      <c r="E25" s="88" t="s">
        <v>146</v>
      </c>
      <c r="F25" s="47" t="s">
        <v>523</v>
      </c>
      <c r="G25" s="47" t="s">
        <v>422</v>
      </c>
      <c r="H25" s="47" t="s">
        <v>410</v>
      </c>
      <c r="I25" s="46"/>
      <c r="J25" s="111">
        <v>1</v>
      </c>
      <c r="K25" s="52">
        <f t="shared" si="0"/>
        <v>202.47</v>
      </c>
      <c r="L25" s="148" cm="1">
        <f t="array" ref="L25">IF(AE25="N/A","",_xlfn.IFS(Z25="m2",AC25*J25,Z25="stk",(AC25*(1/(AA25*AB25)))*J25,Z25="N/A",""))</f>
        <v>202.47</v>
      </c>
      <c r="M25" s="52">
        <f t="shared" si="1"/>
        <v>164.2</v>
      </c>
      <c r="N25" s="148" cm="1">
        <f t="array" ref="N25">_xlfn.IFS(Z25="m2",AD25*J25,Z25="stk",(AD25*(1/(AA25*AB25)))*J25,Z25="N/A","")</f>
        <v>164.2</v>
      </c>
      <c r="O25" s="52">
        <f t="shared" si="2"/>
        <v>38.270000000000003</v>
      </c>
      <c r="P25" s="148" cm="1">
        <f t="array" ref="P25">IF(AE25="N/A","",_xlfn.IFS(Z25="m2",AE25*J25,Z25="stk",(AE25*(1/(AA25*AB25)))*J25,Z25="N/A",""))</f>
        <v>38.270000000000003</v>
      </c>
      <c r="Q25" s="52">
        <f t="shared" si="3"/>
        <v>-63.986899999999991</v>
      </c>
      <c r="R25" s="155" cm="1">
        <f t="array" ref="R25">IF(AG25="N/A","",_xlfn.IFS(Z25="m2",AG25*J25,Z25="stk",(AG25*(1/(AA25*AB25)))*J25,Z25="N/A",""))</f>
        <v>-63.986899999999991</v>
      </c>
      <c r="S25" s="88" t="s">
        <v>5</v>
      </c>
      <c r="T25" s="47"/>
      <c r="U25" s="47">
        <v>2028</v>
      </c>
      <c r="V25" s="47" t="s">
        <v>28</v>
      </c>
      <c r="W25" s="47">
        <v>30</v>
      </c>
      <c r="Y25" s="47" t="s">
        <v>621</v>
      </c>
      <c r="Z25" s="47" t="s">
        <v>15</v>
      </c>
      <c r="AA25" s="47">
        <v>2.1800000000000002</v>
      </c>
      <c r="AB25" s="47">
        <v>1.48</v>
      </c>
      <c r="AC25" s="52">
        <f t="shared" si="12"/>
        <v>202.47</v>
      </c>
      <c r="AD25" s="52">
        <f>190 +4.5+6.7+(-45+1.3+6.7)</f>
        <v>164.2</v>
      </c>
      <c r="AE25" s="52">
        <f>12+0.17+(26 +0.1 )</f>
        <v>38.270000000000003</v>
      </c>
      <c r="AF25" s="52">
        <f>-50+(-3.2)</f>
        <v>-53.2</v>
      </c>
      <c r="AG25" s="52">
        <f>-22+0.01+8+(-58 +0.0031+8 )</f>
        <v>-63.986899999999991</v>
      </c>
      <c r="AH25" s="47"/>
      <c r="AI25" s="115" t="str">
        <f t="shared" si="5"/>
        <v xml:space="preserve">F </v>
      </c>
      <c r="AJ25" s="122" t="s">
        <v>82</v>
      </c>
      <c r="AK25" s="125"/>
      <c r="AL25" s="46"/>
      <c r="AM25" s="46"/>
      <c r="AN25" s="47" t="s">
        <v>191</v>
      </c>
      <c r="AO25" s="47" t="s">
        <v>191</v>
      </c>
      <c r="AP25" s="47" t="s">
        <v>191</v>
      </c>
      <c r="AQ25" s="47" t="s">
        <v>191</v>
      </c>
      <c r="AR25" s="167"/>
      <c r="AS25" s="167">
        <f>1/0.016+1/0.052</f>
        <v>81.730769230769226</v>
      </c>
      <c r="AU25" s="105" t="s">
        <v>17</v>
      </c>
      <c r="AV25" s="73"/>
      <c r="AW25" s="46"/>
    </row>
    <row r="26" spans="1:51" s="16" customFormat="1" ht="25.2" customHeight="1" x14ac:dyDescent="0.15">
      <c r="A26" s="47" t="s">
        <v>418</v>
      </c>
      <c r="B26" s="47" t="s">
        <v>208</v>
      </c>
      <c r="C26" s="47" t="str">
        <f>""</f>
        <v/>
      </c>
      <c r="D26" s="47" t="s">
        <v>404</v>
      </c>
      <c r="E26" s="88" t="s">
        <v>146</v>
      </c>
      <c r="F26" s="47" t="s">
        <v>523</v>
      </c>
      <c r="G26" s="47" t="s">
        <v>422</v>
      </c>
      <c r="H26" s="47" t="s">
        <v>411</v>
      </c>
      <c r="J26" s="111">
        <v>1</v>
      </c>
      <c r="K26" s="52">
        <f t="shared" ref="K26:K29" si="13">IF(AE26="N/A","N/A",IF(L26="","N/A",L26))</f>
        <v>172.77</v>
      </c>
      <c r="L26" s="148" cm="1">
        <f t="array" ref="L26">IF(AE26="N/A","",_xlfn.IFS(Z26="m2",AC26*J26,Z26="stk",(AC26*(1/(AA26*AB26)))*J26,Z26="N/A",""))</f>
        <v>172.77</v>
      </c>
      <c r="M26" s="52">
        <f t="shared" si="1"/>
        <v>121.5</v>
      </c>
      <c r="N26" s="148" cm="1">
        <f t="array" ref="N26">_xlfn.IFS(Z26="m2",AD26*J26,Z26="stk",(AD26*(1/(AA26*AB26)))*J26,Z26="N/A","")</f>
        <v>121.5</v>
      </c>
      <c r="O26" s="52">
        <f t="shared" si="2"/>
        <v>51.27</v>
      </c>
      <c r="P26" s="148" cm="1">
        <f t="array" ref="P26">IF(AE26="N/A","",_xlfn.IFS(Z26="m2",AE26*J26,Z26="stk",(AE26*(1/(AA26*AB26)))*J26,Z26="N/A",""))</f>
        <v>51.27</v>
      </c>
      <c r="Q26" s="52">
        <f t="shared" si="3"/>
        <v>-76.98830000000001</v>
      </c>
      <c r="R26" s="155" cm="1">
        <f t="array" ref="R26">IF(AG26="N/A","",_xlfn.IFS(Z26="m2",AG26*J26,Z26="stk",(AG26*(1/(AA26*AB26)))*J26,Z26="N/A",""))</f>
        <v>-76.98830000000001</v>
      </c>
      <c r="S26" s="88" t="s">
        <v>5</v>
      </c>
      <c r="T26" s="165"/>
      <c r="U26" s="47">
        <v>2028</v>
      </c>
      <c r="V26" s="47" t="s">
        <v>28</v>
      </c>
      <c r="W26" s="47">
        <v>30</v>
      </c>
      <c r="X26" s="39"/>
      <c r="Y26" s="47" t="s">
        <v>619</v>
      </c>
      <c r="Z26" s="47" t="s">
        <v>15</v>
      </c>
      <c r="AA26" s="47">
        <v>1.48</v>
      </c>
      <c r="AB26" s="47">
        <v>1.23</v>
      </c>
      <c r="AC26" s="52">
        <f t="shared" ref="AC26:AC30" si="14">IF(AE26="N/A","N/A",SUM(AD26:AE26))</f>
        <v>172.77</v>
      </c>
      <c r="AD26" s="52">
        <f>160+3.4+6.7+(-57+1.7+6.7 )</f>
        <v>121.5</v>
      </c>
      <c r="AE26" s="52">
        <f>17+0.14+(34+0.13)</f>
        <v>51.27</v>
      </c>
      <c r="AF26" s="52">
        <f>-68+(-4.1)</f>
        <v>-72.099999999999994</v>
      </c>
      <c r="AG26" s="52">
        <f>-22 +0.0079+8+(-71+0.0038+8)</f>
        <v>-76.98830000000001</v>
      </c>
      <c r="AH26" s="19"/>
      <c r="AI26" s="115" t="str">
        <f t="shared" si="5"/>
        <v xml:space="preserve">F </v>
      </c>
      <c r="AJ26" s="122" t="s">
        <v>82</v>
      </c>
      <c r="AK26" s="83"/>
      <c r="AL26" s="103"/>
      <c r="AN26" s="47" t="s">
        <v>191</v>
      </c>
      <c r="AO26" s="47" t="s">
        <v>191</v>
      </c>
      <c r="AP26" s="47" t="s">
        <v>191</v>
      </c>
      <c r="AQ26" s="47" t="s">
        <v>191</v>
      </c>
      <c r="AR26" s="167"/>
      <c r="AS26" s="167">
        <f>1/0.021+1/0.04</f>
        <v>72.61904761904762</v>
      </c>
      <c r="AU26" s="105" t="s">
        <v>17</v>
      </c>
      <c r="AV26" s="160"/>
      <c r="AW26" s="73"/>
      <c r="AX26" s="26"/>
    </row>
    <row r="27" spans="1:51" s="16" customFormat="1" ht="25.2" customHeight="1" x14ac:dyDescent="0.15">
      <c r="A27" s="47" t="s">
        <v>419</v>
      </c>
      <c r="B27" s="47" t="s">
        <v>208</v>
      </c>
      <c r="C27" s="47" t="str">
        <f>""</f>
        <v/>
      </c>
      <c r="D27" s="47" t="s">
        <v>404</v>
      </c>
      <c r="E27" s="88" t="s">
        <v>146</v>
      </c>
      <c r="F27" s="47" t="s">
        <v>523</v>
      </c>
      <c r="G27" s="47" t="s">
        <v>422</v>
      </c>
      <c r="H27" s="47" t="s">
        <v>411</v>
      </c>
      <c r="J27" s="111">
        <v>1</v>
      </c>
      <c r="K27" s="52">
        <f t="shared" si="13"/>
        <v>156.24</v>
      </c>
      <c r="L27" s="148" cm="1">
        <f t="array" ref="L27">IF(AE27="N/A","",_xlfn.IFS(Z27="m2",AC27*J27,Z27="stk",(AC27*(1/(AA27*AB27)))*J27,Z27="N/A",""))</f>
        <v>156.24</v>
      </c>
      <c r="M27" s="52">
        <f t="shared" si="1"/>
        <v>113</v>
      </c>
      <c r="N27" s="148" cm="1">
        <f t="array" ref="N27">_xlfn.IFS(Z27="m2",AD27*J27,Z27="stk",(AD27*(1/(AA27*AB27)))*J27,Z27="N/A","")</f>
        <v>113</v>
      </c>
      <c r="O27" s="52">
        <f t="shared" si="2"/>
        <v>43.24</v>
      </c>
      <c r="P27" s="148" cm="1">
        <f t="array" ref="P27">IF(AE27="N/A","",_xlfn.IFS(Z27="m2",AE27*J27,Z27="stk",(AE27*(1/(AA27*AB27)))*J27,Z27="N/A",""))</f>
        <v>43.24</v>
      </c>
      <c r="Q27" s="52">
        <f t="shared" si="3"/>
        <v>-64.9893</v>
      </c>
      <c r="R27" s="155" cm="1">
        <f t="array" ref="R27">IF(AG27="N/A","",_xlfn.IFS(Z27="m2",AG27*J27,Z27="stk",(AG27*(1/(AA27*AB27)))*J27,Z27="N/A",""))</f>
        <v>-64.9893</v>
      </c>
      <c r="S27" s="88" t="s">
        <v>5</v>
      </c>
      <c r="T27" s="165"/>
      <c r="U27" s="47">
        <v>2028</v>
      </c>
      <c r="V27" s="47" t="s">
        <v>28</v>
      </c>
      <c r="W27" s="47">
        <v>30</v>
      </c>
      <c r="X27" s="39"/>
      <c r="Y27" s="47" t="s">
        <v>619</v>
      </c>
      <c r="Z27" s="47" t="s">
        <v>15</v>
      </c>
      <c r="AA27" s="47">
        <v>2.1800000000000002</v>
      </c>
      <c r="AB27" s="47">
        <v>1.48</v>
      </c>
      <c r="AC27" s="52">
        <f t="shared" si="14"/>
        <v>156.24</v>
      </c>
      <c r="AD27" s="52">
        <f>140+3.3+6.7+(-45+1.3+6.7)</f>
        <v>113</v>
      </c>
      <c r="AE27" s="52">
        <f>17+0.14+(26 +0.1 )</f>
        <v>43.24</v>
      </c>
      <c r="AF27" s="52">
        <f>-50+(-3.2)</f>
        <v>-53.2</v>
      </c>
      <c r="AG27" s="52">
        <f>-23+0.0076 +8+(-58 +0.0031+8 )</f>
        <v>-64.9893</v>
      </c>
      <c r="AH27" s="19"/>
      <c r="AI27" s="115" t="str">
        <f t="shared" si="5"/>
        <v xml:space="preserve">F </v>
      </c>
      <c r="AJ27" s="122" t="s">
        <v>82</v>
      </c>
      <c r="AK27" s="83"/>
      <c r="AL27" s="103"/>
      <c r="AN27" s="47" t="s">
        <v>191</v>
      </c>
      <c r="AO27" s="47" t="s">
        <v>191</v>
      </c>
      <c r="AP27" s="47" t="s">
        <v>191</v>
      </c>
      <c r="AQ27" s="47" t="s">
        <v>191</v>
      </c>
      <c r="AR27" s="167"/>
      <c r="AS27" s="167">
        <f>1/0.022+1/0.052</f>
        <v>64.685314685314694</v>
      </c>
      <c r="AU27" s="105" t="s">
        <v>17</v>
      </c>
      <c r="AV27" s="160"/>
      <c r="AW27" s="73"/>
      <c r="AX27" s="26"/>
    </row>
    <row r="28" spans="1:51" s="25" customFormat="1" ht="25.2" customHeight="1" x14ac:dyDescent="0.15">
      <c r="A28" s="25" t="s">
        <v>420</v>
      </c>
      <c r="B28" s="47" t="s">
        <v>208</v>
      </c>
      <c r="C28" s="47" t="str">
        <f>""</f>
        <v/>
      </c>
      <c r="D28" s="47" t="s">
        <v>404</v>
      </c>
      <c r="E28" s="88" t="s">
        <v>146</v>
      </c>
      <c r="F28" s="47" t="s">
        <v>523</v>
      </c>
      <c r="G28" s="47" t="s">
        <v>422</v>
      </c>
      <c r="H28" s="47" t="s">
        <v>410</v>
      </c>
      <c r="I28" s="46"/>
      <c r="J28" s="111">
        <v>1</v>
      </c>
      <c r="K28" s="52">
        <f t="shared" si="13"/>
        <v>220.01</v>
      </c>
      <c r="L28" s="148" cm="1">
        <f t="array" ref="L28">IF(AE28="N/A","",_xlfn.IFS(Z28="m2",AC28*J28,Z28="stk",(AC28*(1/(AA28*AB28)))*J28,Z28="N/A",""))</f>
        <v>220.01</v>
      </c>
      <c r="M28" s="52">
        <f t="shared" si="1"/>
        <v>172.7</v>
      </c>
      <c r="N28" s="148" cm="1">
        <f t="array" ref="N28">_xlfn.IFS(Z28="m2",AD28*J28,Z28="stk",(AD28*(1/(AA28*AB28)))*J28,Z28="N/A","")</f>
        <v>172.7</v>
      </c>
      <c r="O28" s="52">
        <f t="shared" si="2"/>
        <v>47.31</v>
      </c>
      <c r="P28" s="148" cm="1">
        <f t="array" ref="P28">IF(AE28="N/A","",_xlfn.IFS(Z28="m2",AE28*J28,Z28="stk",(AE28*(1/(AA28*AB28)))*J28,Z28="N/A",""))</f>
        <v>47.31</v>
      </c>
      <c r="Q28" s="52">
        <f t="shared" si="3"/>
        <v>-76.986199999999997</v>
      </c>
      <c r="R28" s="155" cm="1">
        <f t="array" ref="R28">IF(AG28="N/A","",_xlfn.IFS(Z28="m2",AG28*J28,Z28="stk",(AG28*(1/(AA28*AB28)))*J28,Z28="N/A",""))</f>
        <v>-76.986199999999997</v>
      </c>
      <c r="S28" s="88" t="s">
        <v>5</v>
      </c>
      <c r="T28" s="47"/>
      <c r="U28" s="47">
        <v>2028</v>
      </c>
      <c r="V28" s="47" t="s">
        <v>28</v>
      </c>
      <c r="W28" s="47">
        <v>30</v>
      </c>
      <c r="Y28" s="47" t="s">
        <v>619</v>
      </c>
      <c r="Z28" s="47" t="s">
        <v>15</v>
      </c>
      <c r="AA28" s="47">
        <v>1.48</v>
      </c>
      <c r="AB28" s="47">
        <v>1.23</v>
      </c>
      <c r="AC28" s="52">
        <f t="shared" si="14"/>
        <v>220.01</v>
      </c>
      <c r="AD28" s="52">
        <f>210 +4.6+6.7+(-57+1.7+6.7 )</f>
        <v>172.7</v>
      </c>
      <c r="AE28" s="52">
        <f>13+0.18+(34+0.13)</f>
        <v>47.31</v>
      </c>
      <c r="AF28" s="52">
        <f>-68+(-4.1)</f>
        <v>-72.099999999999994</v>
      </c>
      <c r="AG28" s="52">
        <f>-22+0.01+8+(-71+0.0038+8)</f>
        <v>-76.986199999999997</v>
      </c>
      <c r="AH28" s="47"/>
      <c r="AI28" s="115" t="str">
        <f t="shared" si="5"/>
        <v xml:space="preserve">F </v>
      </c>
      <c r="AJ28" s="122" t="s">
        <v>82</v>
      </c>
      <c r="AK28" s="125"/>
      <c r="AL28" s="46"/>
      <c r="AM28" s="46"/>
      <c r="AN28" s="47" t="s">
        <v>191</v>
      </c>
      <c r="AO28" s="47" t="s">
        <v>191</v>
      </c>
      <c r="AP28" s="47" t="s">
        <v>191</v>
      </c>
      <c r="AQ28" s="47" t="s">
        <v>191</v>
      </c>
      <c r="AR28" s="167"/>
      <c r="AS28" s="167">
        <f>1/0.015+1/0.04</f>
        <v>91.666666666666671</v>
      </c>
      <c r="AU28" s="105" t="s">
        <v>17</v>
      </c>
      <c r="AV28" s="73"/>
      <c r="AW28" s="46"/>
    </row>
    <row r="29" spans="1:51" s="25" customFormat="1" ht="25.2" customHeight="1" x14ac:dyDescent="0.15">
      <c r="A29" s="25" t="s">
        <v>421</v>
      </c>
      <c r="B29" s="47" t="s">
        <v>208</v>
      </c>
      <c r="C29" s="47" t="str">
        <f>""</f>
        <v/>
      </c>
      <c r="D29" s="47" t="s">
        <v>404</v>
      </c>
      <c r="E29" s="88" t="s">
        <v>146</v>
      </c>
      <c r="F29" s="47" t="s">
        <v>523</v>
      </c>
      <c r="G29" s="47" t="s">
        <v>422</v>
      </c>
      <c r="H29" s="47" t="s">
        <v>410</v>
      </c>
      <c r="I29" s="46"/>
      <c r="J29" s="111">
        <v>1</v>
      </c>
      <c r="K29" s="52">
        <f t="shared" si="13"/>
        <v>202.47</v>
      </c>
      <c r="L29" s="148" cm="1">
        <f t="array" ref="L29">IF(AE29="N/A","",_xlfn.IFS(Z29="m2",AC29*J29,Z29="stk",(AC29*(1/(AA29*AB29)))*J29,Z29="N/A",""))</f>
        <v>202.47</v>
      </c>
      <c r="M29" s="52">
        <f t="shared" si="1"/>
        <v>164.2</v>
      </c>
      <c r="N29" s="148" cm="1">
        <f t="array" ref="N29">_xlfn.IFS(Z29="m2",AD29*J29,Z29="stk",(AD29*(1/(AA29*AB29)))*J29,Z29="N/A","")</f>
        <v>164.2</v>
      </c>
      <c r="O29" s="52">
        <f t="shared" si="2"/>
        <v>38.270000000000003</v>
      </c>
      <c r="P29" s="148" cm="1">
        <f t="array" ref="P29">IF(AE29="N/A","",_xlfn.IFS(Z29="m2",AE29*J29,Z29="stk",(AE29*(1/(AA29*AB29)))*J29,Z29="N/A",""))</f>
        <v>38.270000000000003</v>
      </c>
      <c r="Q29" s="52">
        <f t="shared" si="3"/>
        <v>-63.986899999999991</v>
      </c>
      <c r="R29" s="155" cm="1">
        <f t="array" ref="R29">IF(AG29="N/A","",_xlfn.IFS(Z29="m2",AG29*J29,Z29="stk",(AG29*(1/(AA29*AB29)))*J29,Z29="N/A",""))</f>
        <v>-63.986899999999991</v>
      </c>
      <c r="S29" s="88" t="s">
        <v>5</v>
      </c>
      <c r="T29" s="47"/>
      <c r="U29" s="47">
        <v>2028</v>
      </c>
      <c r="V29" s="47" t="s">
        <v>28</v>
      </c>
      <c r="W29" s="47">
        <v>30</v>
      </c>
      <c r="Y29" s="47" t="s">
        <v>619</v>
      </c>
      <c r="Z29" s="47" t="s">
        <v>15</v>
      </c>
      <c r="AA29" s="47">
        <v>2.1800000000000002</v>
      </c>
      <c r="AB29" s="47">
        <v>1.48</v>
      </c>
      <c r="AC29" s="52">
        <f t="shared" si="14"/>
        <v>202.47</v>
      </c>
      <c r="AD29" s="52">
        <f>190 +4.5+6.7+(-45+1.3+6.7)</f>
        <v>164.2</v>
      </c>
      <c r="AE29" s="52">
        <f>12+0.17+(26 +0.1 )</f>
        <v>38.270000000000003</v>
      </c>
      <c r="AF29" s="52">
        <f>-50+(-3.2)</f>
        <v>-53.2</v>
      </c>
      <c r="AG29" s="52">
        <f>-22+0.01+8+(-58 +0.0031+8 )</f>
        <v>-63.986899999999991</v>
      </c>
      <c r="AH29" s="47"/>
      <c r="AI29" s="115" t="str">
        <f t="shared" si="5"/>
        <v xml:space="preserve">F </v>
      </c>
      <c r="AJ29" s="122" t="s">
        <v>82</v>
      </c>
      <c r="AK29" s="125"/>
      <c r="AL29" s="46"/>
      <c r="AM29" s="46"/>
      <c r="AN29" s="47" t="s">
        <v>191</v>
      </c>
      <c r="AO29" s="47" t="s">
        <v>191</v>
      </c>
      <c r="AP29" s="47" t="s">
        <v>191</v>
      </c>
      <c r="AQ29" s="47" t="s">
        <v>191</v>
      </c>
      <c r="AR29" s="167"/>
      <c r="AS29" s="167">
        <f>1/0.016+1/0.052</f>
        <v>81.730769230769226</v>
      </c>
      <c r="AU29" s="105" t="s">
        <v>17</v>
      </c>
      <c r="AV29" s="73"/>
      <c r="AW29" s="46"/>
    </row>
    <row r="30" spans="1:51" s="25" customFormat="1" ht="25.2" customHeight="1" x14ac:dyDescent="0.15">
      <c r="A30" s="48" t="s">
        <v>504</v>
      </c>
      <c r="B30" s="47" t="s">
        <v>208</v>
      </c>
      <c r="C30" s="47" t="str">
        <f>""</f>
        <v/>
      </c>
      <c r="D30" s="47" t="s">
        <v>404</v>
      </c>
      <c r="E30" s="88" t="s">
        <v>146</v>
      </c>
      <c r="F30" s="47" t="s">
        <v>523</v>
      </c>
      <c r="G30" s="47" t="s">
        <v>422</v>
      </c>
      <c r="H30" s="47" t="s">
        <v>191</v>
      </c>
      <c r="I30" s="46"/>
      <c r="J30" s="111">
        <v>1</v>
      </c>
      <c r="K30" s="52">
        <f t="shared" ref="K30" si="15">IF(AE30="N/A","N/A",IF(L30="","N/A",L30))</f>
        <v>143.37</v>
      </c>
      <c r="L30" s="148" cm="1">
        <f t="array" ref="L30">IF(AE30="N/A","",_xlfn.IFS(Z30="m2",AC30*J30,Z30="stk",(AC30*(1/(AA30*AB30)))*J30,Z30="N/A",""))</f>
        <v>143.37</v>
      </c>
      <c r="M30" s="52">
        <f t="shared" si="1"/>
        <v>93.15</v>
      </c>
      <c r="N30" s="148" cm="1">
        <f t="array" ref="N30">_xlfn.IFS(Z30="m2",AD30*J30,Z30="stk",(AD30*(1/(AA30*AB30)))*J30,Z30="N/A","")</f>
        <v>93.15</v>
      </c>
      <c r="O30" s="52">
        <f t="shared" si="2"/>
        <v>50.22</v>
      </c>
      <c r="P30" s="148" cm="1">
        <f t="array" ref="P30">IF(AE30="N/A","",_xlfn.IFS(Z30="m2",AE30*J30,Z30="stk",(AE30*(1/(AA30*AB30)))*J30,Z30="N/A",""))</f>
        <v>50.22</v>
      </c>
      <c r="Q30" s="52">
        <f t="shared" si="3"/>
        <v>-78.973799999999997</v>
      </c>
      <c r="R30" s="155" cm="1">
        <f t="array" ref="R30">IF(AG30="N/A","",_xlfn.IFS(Z30="m2",AG30*J30,Z30="stk",(AG30*(1/(AA30*AB30)))*J30,Z30="N/A",""))</f>
        <v>-78.973799999999997</v>
      </c>
      <c r="S30" s="88" t="s">
        <v>5</v>
      </c>
      <c r="T30" s="47"/>
      <c r="U30" s="47">
        <v>2028</v>
      </c>
      <c r="V30" s="47" t="s">
        <v>28</v>
      </c>
      <c r="W30" s="47">
        <v>30</v>
      </c>
      <c r="Y30" s="47" t="s">
        <v>620</v>
      </c>
      <c r="Z30" s="47" t="s">
        <v>15</v>
      </c>
      <c r="AA30" s="47">
        <v>1.48</v>
      </c>
      <c r="AB30" s="47">
        <v>1.23</v>
      </c>
      <c r="AC30" s="52">
        <f t="shared" si="14"/>
        <v>143.37</v>
      </c>
      <c r="AD30" s="52">
        <f>110+0.75+6.7+(-42+11+6.7)</f>
        <v>93.15</v>
      </c>
      <c r="AE30" s="52">
        <f>11+0.03+(39+0.19 )</f>
        <v>50.22</v>
      </c>
      <c r="AF30" s="52">
        <f>-190+(-5)</f>
        <v>-195</v>
      </c>
      <c r="AG30" s="52">
        <f>-14+0.0022+8+(-81+0.024+8 )</f>
        <v>-78.973799999999997</v>
      </c>
      <c r="AH30" s="47"/>
      <c r="AI30" s="115" t="str">
        <f t="shared" si="5"/>
        <v xml:space="preserve">F </v>
      </c>
      <c r="AJ30" s="122" t="s">
        <v>82</v>
      </c>
      <c r="AK30" s="125"/>
      <c r="AL30" s="46"/>
      <c r="AM30" s="46"/>
      <c r="AN30" s="47" t="s">
        <v>191</v>
      </c>
      <c r="AO30" s="47" t="s">
        <v>191</v>
      </c>
      <c r="AP30" s="47" t="s">
        <v>191</v>
      </c>
      <c r="AQ30" s="47" t="s">
        <v>191</v>
      </c>
      <c r="AR30" s="167"/>
      <c r="AS30" s="167">
        <f>1/0.101+1/0.028</f>
        <v>45.615275813295618</v>
      </c>
      <c r="AU30" s="105" t="s">
        <v>17</v>
      </c>
      <c r="AV30" s="106" t="s">
        <v>17</v>
      </c>
      <c r="AW30" s="46"/>
    </row>
    <row r="31" spans="1:51" s="25" customFormat="1" ht="25.2" customHeight="1" x14ac:dyDescent="0.15">
      <c r="A31" s="25" t="s">
        <v>505</v>
      </c>
      <c r="B31" s="47" t="s">
        <v>208</v>
      </c>
      <c r="C31" s="47" t="str">
        <f>""</f>
        <v/>
      </c>
      <c r="D31" s="47" t="s">
        <v>404</v>
      </c>
      <c r="E31" s="88" t="s">
        <v>146</v>
      </c>
      <c r="F31" s="47" t="s">
        <v>523</v>
      </c>
      <c r="G31" s="47" t="s">
        <v>422</v>
      </c>
      <c r="H31" s="47" t="s">
        <v>191</v>
      </c>
      <c r="I31" s="46"/>
      <c r="J31" s="111">
        <v>1</v>
      </c>
      <c r="K31" s="52">
        <f t="shared" ref="K31:K38" si="16">IF(AE31="N/A","N/A",IF(L31="","N/A",L31))</f>
        <v>116.78700000000001</v>
      </c>
      <c r="L31" s="148" cm="1">
        <f t="array" ref="L31">IF(AE31="N/A","",_xlfn.IFS(Z31="m2",AC31*J31,Z31="stk",(AC31*(1/(AA31*AB31)))*J31,Z31="N/A",""))</f>
        <v>116.78700000000001</v>
      </c>
      <c r="M31" s="52">
        <f t="shared" si="1"/>
        <v>73.7</v>
      </c>
      <c r="N31" s="148" cm="1">
        <f t="array" ref="N31">_xlfn.IFS(Z31="m2",AD31*J31,Z31="stk",(AD31*(1/(AA31*AB31)))*J31,Z31="N/A","")</f>
        <v>73.7</v>
      </c>
      <c r="O31" s="52">
        <f t="shared" si="2"/>
        <v>43.086999999999996</v>
      </c>
      <c r="P31" s="148" cm="1">
        <f t="array" ref="P31">IF(AE31="N/A","",_xlfn.IFS(Z31="m2",AE31*J31,Z31="stk",(AE31*(1/(AA31*AB31)))*J31,Z31="N/A",""))</f>
        <v>43.086999999999996</v>
      </c>
      <c r="Q31" s="52">
        <f t="shared" si="3"/>
        <v>-66.978899999999996</v>
      </c>
      <c r="R31" s="155" cm="1">
        <f t="array" ref="R31">IF(AG31="N/A","",_xlfn.IFS(Z31="m2",AG31*J31,Z31="stk",(AG31*(1/(AA31*AB31)))*J31,Z31="N/A",""))</f>
        <v>-66.978899999999996</v>
      </c>
      <c r="S31" s="88" t="s">
        <v>5</v>
      </c>
      <c r="T31" s="47"/>
      <c r="U31" s="47">
        <v>2028</v>
      </c>
      <c r="V31" s="47" t="s">
        <v>28</v>
      </c>
      <c r="W31" s="47">
        <v>30</v>
      </c>
      <c r="Y31" s="47" t="s">
        <v>620</v>
      </c>
      <c r="Z31" s="47" t="s">
        <v>15</v>
      </c>
      <c r="AA31" s="47">
        <v>2.1800000000000002</v>
      </c>
      <c r="AB31" s="47">
        <v>1.48</v>
      </c>
      <c r="AC31" s="52">
        <f t="shared" ref="AC31:AC39" si="17">IF(AE31="N/A","N/A",SUM(AD31:AE31))</f>
        <v>116.78700000000001</v>
      </c>
      <c r="AD31" s="52">
        <f>88+0.7+6.7+(-37+8.6 +6.7)</f>
        <v>73.7</v>
      </c>
      <c r="AE31" s="52">
        <f>9.9+0.027+(33+0.16)</f>
        <v>43.086999999999996</v>
      </c>
      <c r="AF31" s="52">
        <f>-140+(-4.1)</f>
        <v>-144.1</v>
      </c>
      <c r="AG31" s="52">
        <f>-14+0.0021+8+(-69+0.019+8)</f>
        <v>-66.978899999999996</v>
      </c>
      <c r="AH31" s="47"/>
      <c r="AI31" s="115" t="str">
        <f t="shared" si="5"/>
        <v xml:space="preserve">F </v>
      </c>
      <c r="AJ31" s="122" t="s">
        <v>82</v>
      </c>
      <c r="AK31" s="125"/>
      <c r="AL31" s="46"/>
      <c r="AM31" s="46"/>
      <c r="AN31" s="47" t="s">
        <v>191</v>
      </c>
      <c r="AO31" s="47" t="s">
        <v>191</v>
      </c>
      <c r="AP31" s="47" t="s">
        <v>191</v>
      </c>
      <c r="AQ31" s="47" t="s">
        <v>191</v>
      </c>
      <c r="AR31" s="167"/>
      <c r="AS31" s="167">
        <f>1/0.122+1/0.034</f>
        <v>37.608486017357762</v>
      </c>
      <c r="AU31" s="105" t="s">
        <v>17</v>
      </c>
      <c r="AV31" s="106" t="s">
        <v>17</v>
      </c>
      <c r="AW31" s="46"/>
    </row>
    <row r="32" spans="1:51" s="25" customFormat="1" ht="25.2" customHeight="1" x14ac:dyDescent="0.15">
      <c r="A32" s="25" t="s">
        <v>506</v>
      </c>
      <c r="B32" s="47" t="s">
        <v>208</v>
      </c>
      <c r="C32" s="47" t="str">
        <f>""</f>
        <v/>
      </c>
      <c r="D32" s="47" t="s">
        <v>404</v>
      </c>
      <c r="E32" s="88" t="s">
        <v>146</v>
      </c>
      <c r="F32" s="47" t="s">
        <v>523</v>
      </c>
      <c r="G32" s="47" t="s">
        <v>422</v>
      </c>
      <c r="H32" s="47" t="s">
        <v>191</v>
      </c>
      <c r="I32" s="46"/>
      <c r="J32" s="111">
        <v>1</v>
      </c>
      <c r="K32" s="52">
        <f t="shared" si="16"/>
        <v>130.654</v>
      </c>
      <c r="L32" s="148" cm="1">
        <f t="array" ref="L32">IF(AE32="N/A","",_xlfn.IFS(Z32="m2",AC32*J32,Z32="stk",(AC32*(1/(AA32*AB32)))*J32,Z32="N/A",""))</f>
        <v>130.654</v>
      </c>
      <c r="M32" s="52">
        <f t="shared" si="1"/>
        <v>83.04</v>
      </c>
      <c r="N32" s="148" cm="1">
        <f t="array" ref="N32">_xlfn.IFS(Z32="m2",AD32*J32,Z32="stk",(AD32*(1/(AA32*AB32)))*J32,Z32="N/A","")</f>
        <v>83.04</v>
      </c>
      <c r="O32" s="52">
        <f t="shared" si="2"/>
        <v>47.613999999999997</v>
      </c>
      <c r="P32" s="148" cm="1">
        <f t="array" ref="P32">IF(AE32="N/A","",_xlfn.IFS(Z32="m2",AE32*J32,Z32="stk",(AE32*(1/(AA32*AB32)))*J32,Z32="N/A",""))</f>
        <v>47.613999999999997</v>
      </c>
      <c r="Q32" s="52">
        <f t="shared" si="3"/>
        <v>-78.974099999999993</v>
      </c>
      <c r="R32" s="155" cm="1">
        <f t="array" ref="R32">IF(AG32="N/A","",_xlfn.IFS(Z32="m2",AG32*J32,Z32="stk",(AG32*(1/(AA32*AB32)))*J32,Z32="N/A",""))</f>
        <v>-78.974099999999993</v>
      </c>
      <c r="S32" s="88" t="s">
        <v>5</v>
      </c>
      <c r="T32" s="47"/>
      <c r="U32" s="47">
        <v>2028</v>
      </c>
      <c r="V32" s="47" t="s">
        <v>28</v>
      </c>
      <c r="W32" s="47">
        <v>30</v>
      </c>
      <c r="Y32" s="47" t="s">
        <v>620</v>
      </c>
      <c r="Z32" s="47" t="s">
        <v>15</v>
      </c>
      <c r="AA32" s="47">
        <v>1.48</v>
      </c>
      <c r="AB32" s="47">
        <v>1.23</v>
      </c>
      <c r="AC32" s="52">
        <f t="shared" si="17"/>
        <v>130.654</v>
      </c>
      <c r="AD32" s="52">
        <f>100+0.64+6.7+(-42+11+6.7)</f>
        <v>83.04</v>
      </c>
      <c r="AE32" s="52">
        <f>8.4+0.024+(39+0.19 )</f>
        <v>47.613999999999997</v>
      </c>
      <c r="AF32" s="52">
        <f>-190+(-5)</f>
        <v>-195</v>
      </c>
      <c r="AG32" s="52">
        <f>-14+0.0019+8+(-81+0.024+8 )</f>
        <v>-78.974099999999993</v>
      </c>
      <c r="AH32" s="47"/>
      <c r="AI32" s="115" t="str">
        <f t="shared" si="5"/>
        <v xml:space="preserve">F </v>
      </c>
      <c r="AJ32" s="122" t="s">
        <v>82</v>
      </c>
      <c r="AK32" s="125"/>
      <c r="AL32" s="46"/>
      <c r="AM32" s="46"/>
      <c r="AN32" s="47" t="s">
        <v>191</v>
      </c>
      <c r="AO32" s="47" t="s">
        <v>191</v>
      </c>
      <c r="AP32" s="47" t="s">
        <v>191</v>
      </c>
      <c r="AQ32" s="47" t="s">
        <v>191</v>
      </c>
      <c r="AR32" s="167"/>
      <c r="AS32" s="167">
        <f>1/0.113+1/0.028</f>
        <v>44.56384323640961</v>
      </c>
      <c r="AU32" s="105" t="s">
        <v>17</v>
      </c>
      <c r="AV32" s="106" t="s">
        <v>17</v>
      </c>
      <c r="AW32" s="46"/>
    </row>
    <row r="33" spans="1:49" s="25" customFormat="1" ht="25.2" customHeight="1" x14ac:dyDescent="0.15">
      <c r="A33" s="25" t="s">
        <v>507</v>
      </c>
      <c r="B33" s="47" t="s">
        <v>208</v>
      </c>
      <c r="C33" s="47" t="str">
        <f>""</f>
        <v/>
      </c>
      <c r="D33" s="47" t="s">
        <v>404</v>
      </c>
      <c r="E33" s="88" t="s">
        <v>146</v>
      </c>
      <c r="F33" s="47" t="s">
        <v>523</v>
      </c>
      <c r="G33" s="47" t="s">
        <v>422</v>
      </c>
      <c r="H33" s="47" t="s">
        <v>191</v>
      </c>
      <c r="I33" s="46"/>
      <c r="J33" s="111">
        <v>1</v>
      </c>
      <c r="K33" s="52">
        <f t="shared" si="16"/>
        <v>106.572</v>
      </c>
      <c r="L33" s="148" cm="1">
        <f t="array" ref="L33">IF(AE33="N/A","",_xlfn.IFS(Z33="m2",AC33*J33,Z33="stk",(AC33*(1/(AA33*AB33)))*J33,Z33="N/A",""))</f>
        <v>106.572</v>
      </c>
      <c r="M33" s="52">
        <f t="shared" si="1"/>
        <v>65.59</v>
      </c>
      <c r="N33" s="148" cm="1">
        <f t="array" ref="N33">_xlfn.IFS(Z33="m2",AD33*J33,Z33="stk",(AD33*(1/(AA33*AB33)))*J33,Z33="N/A","")</f>
        <v>65.59</v>
      </c>
      <c r="O33" s="52">
        <f t="shared" si="2"/>
        <v>40.981999999999999</v>
      </c>
      <c r="P33" s="148" cm="1">
        <f t="array" ref="P33">IF(AE33="N/A","",_xlfn.IFS(Z33="m2",AE33*J33,Z33="stk",(AE33*(1/(AA33*AB33)))*J33,Z33="N/A",""))</f>
        <v>40.981999999999999</v>
      </c>
      <c r="Q33" s="52">
        <f t="shared" si="3"/>
        <v>-66.979199999999992</v>
      </c>
      <c r="R33" s="155" cm="1">
        <f t="array" ref="R33">IF(AG33="N/A","",_xlfn.IFS(Z33="m2",AG33*J33,Z33="stk",(AG33*(1/(AA33*AB33)))*J33,Z33="N/A",""))</f>
        <v>-66.979199999999992</v>
      </c>
      <c r="S33" s="88" t="s">
        <v>5</v>
      </c>
      <c r="T33" s="47"/>
      <c r="U33" s="47">
        <v>2028</v>
      </c>
      <c r="V33" s="47" t="s">
        <v>28</v>
      </c>
      <c r="W33" s="47">
        <v>30</v>
      </c>
      <c r="Y33" s="47" t="s">
        <v>620</v>
      </c>
      <c r="Z33" s="47" t="s">
        <v>15</v>
      </c>
      <c r="AA33" s="47">
        <v>2.1800000000000002</v>
      </c>
      <c r="AB33" s="47">
        <v>1.48</v>
      </c>
      <c r="AC33" s="52">
        <f t="shared" si="17"/>
        <v>106.572</v>
      </c>
      <c r="AD33" s="52">
        <f>80 +0.59+6.7+(-37+8.6 +6.7)</f>
        <v>65.59</v>
      </c>
      <c r="AE33" s="52">
        <f>7.8+0.022+(33+0.16)</f>
        <v>40.981999999999999</v>
      </c>
      <c r="AF33" s="52">
        <f>-140+(-4.1)</f>
        <v>-144.1</v>
      </c>
      <c r="AG33" s="52">
        <f>-14+0.0018+8+(-69+0.019+8)</f>
        <v>-66.979199999999992</v>
      </c>
      <c r="AH33" s="47"/>
      <c r="AI33" s="115" t="str">
        <f t="shared" si="5"/>
        <v xml:space="preserve">F </v>
      </c>
      <c r="AJ33" s="122" t="s">
        <v>82</v>
      </c>
      <c r="AK33" s="125"/>
      <c r="AL33" s="46"/>
      <c r="AM33" s="46"/>
      <c r="AN33" s="47" t="s">
        <v>191</v>
      </c>
      <c r="AO33" s="47" t="s">
        <v>191</v>
      </c>
      <c r="AP33" s="47" t="s">
        <v>191</v>
      </c>
      <c r="AQ33" s="47" t="s">
        <v>191</v>
      </c>
      <c r="AR33" s="167"/>
      <c r="AS33" s="167">
        <f>1/0.137+1/0.034</f>
        <v>36.711034778875053</v>
      </c>
      <c r="AU33" s="105" t="s">
        <v>17</v>
      </c>
      <c r="AV33" s="106" t="s">
        <v>17</v>
      </c>
      <c r="AW33" s="46"/>
    </row>
    <row r="34" spans="1:49" s="25" customFormat="1" ht="25.2" customHeight="1" x14ac:dyDescent="0.15">
      <c r="A34" s="25" t="s">
        <v>508</v>
      </c>
      <c r="B34" s="47" t="s">
        <v>208</v>
      </c>
      <c r="C34" s="47" t="str">
        <f>""</f>
        <v/>
      </c>
      <c r="D34" s="47" t="s">
        <v>404</v>
      </c>
      <c r="E34" s="88" t="s">
        <v>146</v>
      </c>
      <c r="F34" s="47" t="s">
        <v>523</v>
      </c>
      <c r="G34" s="47" t="s">
        <v>422</v>
      </c>
      <c r="H34" s="47" t="s">
        <v>411</v>
      </c>
      <c r="I34" s="46"/>
      <c r="J34" s="111">
        <v>1</v>
      </c>
      <c r="K34" s="52">
        <f t="shared" si="16"/>
        <v>208.62999999999997</v>
      </c>
      <c r="L34" s="148" cm="1">
        <f t="array" ref="L34">IF(AE34="N/A","",_xlfn.IFS(Z34="m2",AC34*J34,Z34="stk",(AC34*(1/(AA34*AB34)))*J34,Z34="N/A",""))</f>
        <v>208.62999999999997</v>
      </c>
      <c r="M34" s="52">
        <f t="shared" si="1"/>
        <v>160.09999999999997</v>
      </c>
      <c r="N34" s="148" cm="1">
        <f t="array" ref="N34">_xlfn.IFS(Z34="m2",AD34*J34,Z34="stk",(AD34*(1/(AA34*AB34)))*J34,Z34="N/A","")</f>
        <v>160.09999999999997</v>
      </c>
      <c r="O34" s="52">
        <f t="shared" si="2"/>
        <v>48.53</v>
      </c>
      <c r="P34" s="148" cm="1">
        <f t="array" ref="P34">IF(AE34="N/A","",_xlfn.IFS(Z34="m2",AE34*J34,Z34="stk",(AE34*(1/(AA34*AB34)))*J34,Z34="N/A",""))</f>
        <v>48.53</v>
      </c>
      <c r="Q34" s="52">
        <f t="shared" si="3"/>
        <v>-76.967600000000004</v>
      </c>
      <c r="R34" s="155" cm="1">
        <f t="array" ref="R34">IF(AG34="N/A","",_xlfn.IFS(Z34="m2",AG34*J34,Z34="stk",(AG34*(1/(AA34*AB34)))*J34,Z34="N/A",""))</f>
        <v>-76.967600000000004</v>
      </c>
      <c r="S34" s="88" t="s">
        <v>5</v>
      </c>
      <c r="T34" s="47"/>
      <c r="U34" s="47">
        <v>2028</v>
      </c>
      <c r="V34" s="47" t="s">
        <v>28</v>
      </c>
      <c r="W34" s="47">
        <v>30</v>
      </c>
      <c r="Y34" s="47" t="s">
        <v>620</v>
      </c>
      <c r="Z34" s="47" t="s">
        <v>15</v>
      </c>
      <c r="AA34" s="47">
        <v>1.48</v>
      </c>
      <c r="AB34" s="47">
        <v>1.23</v>
      </c>
      <c r="AC34" s="52">
        <f t="shared" si="17"/>
        <v>208.62999999999997</v>
      </c>
      <c r="AD34" s="52">
        <f>170+3.7+6.7+(-38+11+6.7)</f>
        <v>160.09999999999997</v>
      </c>
      <c r="AE34" s="52">
        <f>9.2+0.14+(39+0.19)</f>
        <v>48.53</v>
      </c>
      <c r="AF34" s="52">
        <f>-98+(-4.7)</f>
        <v>-102.7</v>
      </c>
      <c r="AG34" s="52">
        <f>-16+0.0084+8+(-77 +0.024+8)</f>
        <v>-76.967600000000004</v>
      </c>
      <c r="AH34" s="47"/>
      <c r="AI34" s="115" t="str">
        <f t="shared" si="5"/>
        <v xml:space="preserve">F </v>
      </c>
      <c r="AJ34" s="122" t="s">
        <v>82</v>
      </c>
      <c r="AK34" s="125"/>
      <c r="AL34" s="46"/>
      <c r="AM34" s="46"/>
      <c r="AN34" s="47" t="s">
        <v>191</v>
      </c>
      <c r="AO34" s="47" t="s">
        <v>191</v>
      </c>
      <c r="AP34" s="47" t="s">
        <v>191</v>
      </c>
      <c r="AQ34" s="47" t="s">
        <v>191</v>
      </c>
      <c r="AR34" s="167"/>
      <c r="AS34" s="167">
        <f>1/0.018+1/0.028</f>
        <v>91.269841269841265</v>
      </c>
      <c r="AU34" s="105" t="s">
        <v>17</v>
      </c>
      <c r="AV34" s="73"/>
      <c r="AW34" s="46"/>
    </row>
    <row r="35" spans="1:49" s="25" customFormat="1" ht="25.2" customHeight="1" x14ac:dyDescent="0.15">
      <c r="A35" s="25" t="s">
        <v>509</v>
      </c>
      <c r="B35" s="47" t="s">
        <v>208</v>
      </c>
      <c r="C35" s="47" t="str">
        <f>""</f>
        <v/>
      </c>
      <c r="D35" s="47" t="s">
        <v>404</v>
      </c>
      <c r="E35" s="88" t="s">
        <v>146</v>
      </c>
      <c r="F35" s="47" t="s">
        <v>523</v>
      </c>
      <c r="G35" s="47" t="s">
        <v>422</v>
      </c>
      <c r="H35" s="47" t="s">
        <v>411</v>
      </c>
      <c r="I35" s="46"/>
      <c r="J35" s="111">
        <v>1</v>
      </c>
      <c r="K35" s="52">
        <f t="shared" si="16"/>
        <v>161.26999999999998</v>
      </c>
      <c r="L35" s="148" cm="1">
        <f t="array" ref="L35">IF(AE35="N/A","",_xlfn.IFS(Z35="m2",AC35*J35,Z35="stk",(AC35*(1/(AA35*AB35)))*J35,Z35="N/A",""))</f>
        <v>161.26999999999998</v>
      </c>
      <c r="M35" s="52">
        <f t="shared" si="1"/>
        <v>120.89999999999999</v>
      </c>
      <c r="N35" s="148" cm="1">
        <f t="array" ref="N35">_xlfn.IFS(Z35="m2",AD35*J35,Z35="stk",(AD35*(1/(AA35*AB35)))*J35,Z35="N/A","")</f>
        <v>120.89999999999999</v>
      </c>
      <c r="O35" s="52">
        <f t="shared" si="2"/>
        <v>40.369999999999997</v>
      </c>
      <c r="P35" s="148" cm="1">
        <f t="array" ref="P35">IF(AE35="N/A","",_xlfn.IFS(Z35="m2",AE35*J35,Z35="stk",(AE35*(1/(AA35*AB35)))*J35,Z35="N/A",""))</f>
        <v>40.369999999999997</v>
      </c>
      <c r="Q35" s="52">
        <f t="shared" si="3"/>
        <v>-65.974299999999999</v>
      </c>
      <c r="R35" s="155" cm="1">
        <f t="array" ref="R35">IF(AG35="N/A","",_xlfn.IFS(Z35="m2",AG35*J35,Z35="stk",(AG35*(1/(AA35*AB35)))*J35,Z35="N/A",""))</f>
        <v>-65.974299999999999</v>
      </c>
      <c r="S35" s="88" t="s">
        <v>5</v>
      </c>
      <c r="T35" s="47"/>
      <c r="U35" s="47">
        <v>2028</v>
      </c>
      <c r="V35" s="47" t="s">
        <v>28</v>
      </c>
      <c r="W35" s="47">
        <v>30</v>
      </c>
      <c r="Y35" s="47" t="s">
        <v>620</v>
      </c>
      <c r="Z35" s="47" t="s">
        <v>15</v>
      </c>
      <c r="AA35" s="47">
        <v>2.1800000000000002</v>
      </c>
      <c r="AB35" s="47">
        <v>1.48</v>
      </c>
      <c r="AC35" s="52">
        <f t="shared" si="17"/>
        <v>161.26999999999998</v>
      </c>
      <c r="AD35" s="52">
        <f>130+2.9+6.7+(-34+8.6+6.7)</f>
        <v>120.89999999999999</v>
      </c>
      <c r="AE35" s="52">
        <f>7.1+0.11+(33+0.16)</f>
        <v>40.369999999999997</v>
      </c>
      <c r="AF35" s="52">
        <f>-73+(-3.9)</f>
        <v>-76.900000000000006</v>
      </c>
      <c r="AG35" s="52">
        <f>-16+0.0067+8+(-66+0.019 +8 )</f>
        <v>-65.974299999999999</v>
      </c>
      <c r="AH35" s="47"/>
      <c r="AI35" s="115" t="str">
        <f t="shared" si="5"/>
        <v xml:space="preserve">F </v>
      </c>
      <c r="AJ35" s="122" t="s">
        <v>82</v>
      </c>
      <c r="AK35" s="125"/>
      <c r="AL35" s="46"/>
      <c r="AM35" s="46"/>
      <c r="AN35" s="47" t="s">
        <v>191</v>
      </c>
      <c r="AO35" s="47" t="s">
        <v>191</v>
      </c>
      <c r="AP35" s="47" t="s">
        <v>191</v>
      </c>
      <c r="AQ35" s="47" t="s">
        <v>191</v>
      </c>
      <c r="AR35" s="167"/>
      <c r="AS35" s="167">
        <f>1/0.024+1/0.034</f>
        <v>71.078431372549019</v>
      </c>
      <c r="AU35" s="105" t="s">
        <v>17</v>
      </c>
      <c r="AV35" s="73"/>
      <c r="AW35" s="46"/>
    </row>
    <row r="36" spans="1:49" s="25" customFormat="1" ht="25.2" customHeight="1" x14ac:dyDescent="0.15">
      <c r="A36" s="25" t="s">
        <v>510</v>
      </c>
      <c r="B36" s="47" t="s">
        <v>208</v>
      </c>
      <c r="C36" s="47" t="str">
        <f>""</f>
        <v/>
      </c>
      <c r="D36" s="47" t="s">
        <v>404</v>
      </c>
      <c r="E36" s="88" t="s">
        <v>146</v>
      </c>
      <c r="F36" s="47" t="s">
        <v>523</v>
      </c>
      <c r="G36" s="47" t="s">
        <v>422</v>
      </c>
      <c r="H36" s="47" t="s">
        <v>410</v>
      </c>
      <c r="I36" s="46"/>
      <c r="J36" s="111">
        <v>1</v>
      </c>
      <c r="K36" s="52">
        <f t="shared" si="16"/>
        <v>306.20999999999998</v>
      </c>
      <c r="L36" s="148" cm="1">
        <f t="array" ref="L36">IF(AE36="N/A","",_xlfn.IFS(Z36="m2",AC36*J36,Z36="stk",(AC36*(1/(AA36*AB36)))*J36,Z36="N/A",""))</f>
        <v>306.20999999999998</v>
      </c>
      <c r="M36" s="52">
        <f t="shared" si="1"/>
        <v>262.5</v>
      </c>
      <c r="N36" s="148" cm="1">
        <f t="array" ref="N36">_xlfn.IFS(Z36="m2",AD36*J36,Z36="stk",(AD36*(1/(AA36*AB36)))*J36,Z36="N/A","")</f>
        <v>262.5</v>
      </c>
      <c r="O36" s="52">
        <f t="shared" si="2"/>
        <v>43.709999999999994</v>
      </c>
      <c r="P36" s="148" cm="1">
        <f t="array" ref="P36">IF(AE36="N/A","",_xlfn.IFS(Z36="m2",AE36*J36,Z36="stk",(AE36*(1/(AA36*AB36)))*J36,Z36="N/A",""))</f>
        <v>43.709999999999994</v>
      </c>
      <c r="Q36" s="52">
        <f t="shared" si="3"/>
        <v>-75.962000000000003</v>
      </c>
      <c r="R36" s="155" cm="1">
        <f t="array" ref="R36">IF(AG36="N/A","",_xlfn.IFS(Z36="m2",AG36*J36,Z36="stk",(AG36*(1/(AA36*AB36)))*J36,Z36="N/A",""))</f>
        <v>-75.962000000000003</v>
      </c>
      <c r="S36" s="88" t="s">
        <v>5</v>
      </c>
      <c r="T36" s="47"/>
      <c r="U36" s="47">
        <v>2028</v>
      </c>
      <c r="V36" s="47" t="s">
        <v>28</v>
      </c>
      <c r="W36" s="47">
        <v>30</v>
      </c>
      <c r="Y36" s="47" t="s">
        <v>620</v>
      </c>
      <c r="Z36" s="47" t="s">
        <v>15</v>
      </c>
      <c r="AA36" s="47">
        <v>1.48</v>
      </c>
      <c r="AB36" s="47">
        <v>1.23</v>
      </c>
      <c r="AC36" s="52">
        <f t="shared" si="17"/>
        <v>306.20999999999998</v>
      </c>
      <c r="AD36" s="52">
        <f>270 +6.1+6.7+(-38+11+6.7)</f>
        <v>262.5</v>
      </c>
      <c r="AE36" s="52">
        <f>4.3+0.22+(39+0.19)</f>
        <v>43.709999999999994</v>
      </c>
      <c r="AF36" s="52">
        <f>-110+(-4.7)</f>
        <v>-114.7</v>
      </c>
      <c r="AG36" s="52">
        <f>-15+0.014+8+(-77 +0.024+8)</f>
        <v>-75.962000000000003</v>
      </c>
      <c r="AH36" s="47"/>
      <c r="AI36" s="115" t="str">
        <f t="shared" si="5"/>
        <v xml:space="preserve">F </v>
      </c>
      <c r="AJ36" s="122" t="s">
        <v>82</v>
      </c>
      <c r="AK36" s="125"/>
      <c r="AL36" s="46"/>
      <c r="AM36" s="46"/>
      <c r="AN36" s="47" t="s">
        <v>191</v>
      </c>
      <c r="AO36" s="47" t="s">
        <v>191</v>
      </c>
      <c r="AP36" s="47" t="s">
        <v>191</v>
      </c>
      <c r="AQ36" s="47" t="s">
        <v>191</v>
      </c>
      <c r="AR36" s="167"/>
      <c r="AS36" s="167">
        <f>1/0.011+1/0.028</f>
        <v>126.62337662337663</v>
      </c>
      <c r="AU36" s="105" t="s">
        <v>17</v>
      </c>
      <c r="AV36" s="73"/>
      <c r="AW36" s="46"/>
    </row>
    <row r="37" spans="1:49" s="25" customFormat="1" ht="25.2" customHeight="1" x14ac:dyDescent="0.15">
      <c r="A37" s="25" t="s">
        <v>511</v>
      </c>
      <c r="B37" s="47" t="s">
        <v>208</v>
      </c>
      <c r="C37" s="47" t="str">
        <f>""</f>
        <v/>
      </c>
      <c r="D37" s="47" t="s">
        <v>404</v>
      </c>
      <c r="E37" s="88" t="s">
        <v>146</v>
      </c>
      <c r="F37" s="47" t="s">
        <v>523</v>
      </c>
      <c r="G37" s="47" t="s">
        <v>422</v>
      </c>
      <c r="H37" s="47" t="s">
        <v>410</v>
      </c>
      <c r="I37" s="46"/>
      <c r="J37" s="111">
        <v>1</v>
      </c>
      <c r="K37" s="52">
        <f t="shared" si="16"/>
        <v>229.43</v>
      </c>
      <c r="L37" s="148" cm="1">
        <f t="array" ref="L37">IF(AE37="N/A","",_xlfn.IFS(Z37="m2",AC37*J37,Z37="stk",(AC37*(1/(AA37*AB37)))*J37,Z37="N/A",""))</f>
        <v>229.43</v>
      </c>
      <c r="M37" s="52">
        <f t="shared" si="1"/>
        <v>192.8</v>
      </c>
      <c r="N37" s="148" cm="1">
        <f t="array" ref="N37">_xlfn.IFS(Z37="m2",AD37*J37,Z37="stk",(AD37*(1/(AA37*AB37)))*J37,Z37="N/A","")</f>
        <v>192.8</v>
      </c>
      <c r="O37" s="52">
        <f t="shared" si="2"/>
        <v>36.629999999999995</v>
      </c>
      <c r="P37" s="148" cm="1">
        <f t="array" ref="P37">IF(AE37="N/A","",_xlfn.IFS(Z37="m2",AE37*J37,Z37="stk",(AE37*(1/(AA37*AB37)))*J37,Z37="N/A",""))</f>
        <v>36.629999999999995</v>
      </c>
      <c r="Q37" s="52">
        <f t="shared" si="3"/>
        <v>-64.97</v>
      </c>
      <c r="R37" s="155" cm="1">
        <f t="array" ref="R37">IF(AG37="N/A","",_xlfn.IFS(Z37="m2",AG37*J37,Z37="stk",(AG37*(1/(AA37*AB37)))*J37,Z37="N/A",""))</f>
        <v>-64.97</v>
      </c>
      <c r="S37" s="88" t="s">
        <v>5</v>
      </c>
      <c r="T37" s="47"/>
      <c r="U37" s="47">
        <v>2028</v>
      </c>
      <c r="V37" s="47" t="s">
        <v>28</v>
      </c>
      <c r="W37" s="47">
        <v>30</v>
      </c>
      <c r="Y37" s="47" t="s">
        <v>620</v>
      </c>
      <c r="Z37" s="47" t="s">
        <v>15</v>
      </c>
      <c r="AA37" s="47">
        <v>2.1800000000000002</v>
      </c>
      <c r="AB37" s="47">
        <v>1.48</v>
      </c>
      <c r="AC37" s="52">
        <f t="shared" si="17"/>
        <v>229.43</v>
      </c>
      <c r="AD37" s="52">
        <f>200+4.8+6.7+(-34+8.6+6.7)</f>
        <v>192.8</v>
      </c>
      <c r="AE37" s="52">
        <f>3.3+0.17+(33+0.16)</f>
        <v>36.629999999999995</v>
      </c>
      <c r="AF37" s="52">
        <f>-80+(-3.9)</f>
        <v>-83.9</v>
      </c>
      <c r="AG37" s="52">
        <f>-15 +0.011 +8+(-66+0.019 +8 )</f>
        <v>-64.97</v>
      </c>
      <c r="AH37" s="47"/>
      <c r="AI37" s="115" t="str">
        <f t="shared" si="5"/>
        <v xml:space="preserve">F </v>
      </c>
      <c r="AJ37" s="122" t="s">
        <v>82</v>
      </c>
      <c r="AK37" s="125"/>
      <c r="AL37" s="46"/>
      <c r="AM37" s="46"/>
      <c r="AN37" s="47" t="s">
        <v>191</v>
      </c>
      <c r="AO37" s="47" t="s">
        <v>191</v>
      </c>
      <c r="AP37" s="47" t="s">
        <v>191</v>
      </c>
      <c r="AQ37" s="47" t="s">
        <v>191</v>
      </c>
      <c r="AR37" s="167"/>
      <c r="AS37" s="167">
        <f>1/0.014+1/0.034</f>
        <v>100.84033613445378</v>
      </c>
      <c r="AU37" s="105" t="s">
        <v>17</v>
      </c>
      <c r="AV37" s="73"/>
      <c r="AW37" s="46"/>
    </row>
    <row r="38" spans="1:49" s="25" customFormat="1" ht="25.2" customHeight="1" x14ac:dyDescent="0.15">
      <c r="A38" s="171" t="s">
        <v>432</v>
      </c>
      <c r="B38" s="47" t="s">
        <v>208</v>
      </c>
      <c r="C38" s="47" t="str">
        <f>""</f>
        <v/>
      </c>
      <c r="D38" s="47" t="s">
        <v>430</v>
      </c>
      <c r="E38" s="88" t="s">
        <v>146</v>
      </c>
      <c r="F38" s="47" t="s">
        <v>523</v>
      </c>
      <c r="G38" s="47" t="s">
        <v>422</v>
      </c>
      <c r="H38" s="47" t="s">
        <v>411</v>
      </c>
      <c r="I38" s="46"/>
      <c r="J38" s="111">
        <v>1</v>
      </c>
      <c r="K38" s="52">
        <f t="shared" si="16"/>
        <v>186.38000000000002</v>
      </c>
      <c r="L38" s="148" cm="1">
        <f t="array" ref="L38">IF(AE38="N/A","",_xlfn.IFS(Z38="m2",AC38*J38,Z38="stk",(AC38*(1/(AA38*AB38)))*J38,Z38="N/A",""))</f>
        <v>186.38000000000002</v>
      </c>
      <c r="M38" s="52">
        <f t="shared" si="1"/>
        <v>181.79000000000002</v>
      </c>
      <c r="N38" s="148" cm="1">
        <f t="array" ref="N38">_xlfn.IFS(Z38="m2",AD38*J38,Z38="stk",(AD38*(1/(AA38*AB38)))*J38,Z38="N/A","")</f>
        <v>181.79000000000002</v>
      </c>
      <c r="O38" s="52">
        <f t="shared" ref="O38" si="18">IF(P38="","N/A",P38)</f>
        <v>4.59</v>
      </c>
      <c r="P38" s="148" cm="1">
        <f t="array" ref="P38">IF(AE38="N/A","",_xlfn.IFS(Z38="m2",AE38*J38,Z38="stk",(AE38*(1/(AA38*AB38)))*J38,Z38="N/A",""))</f>
        <v>4.59</v>
      </c>
      <c r="Q38" s="52">
        <f t="shared" si="3"/>
        <v>-3.6925399999999997</v>
      </c>
      <c r="R38" s="155" cm="1">
        <f t="array" ref="R38">IF(AG38="N/A","",_xlfn.IFS(Z38="m2",AG38*J38,Z38="stk",(AG38*(1/(AA38*AB38)))*J38,Z38="N/A",""))</f>
        <v>-3.6925399999999997</v>
      </c>
      <c r="S38" s="88" t="s">
        <v>5</v>
      </c>
      <c r="T38" s="47"/>
      <c r="U38" s="47">
        <v>2026</v>
      </c>
      <c r="V38" s="47" t="s">
        <v>28</v>
      </c>
      <c r="W38" s="47" t="s">
        <v>191</v>
      </c>
      <c r="Y38" s="47" t="s">
        <v>622</v>
      </c>
      <c r="Z38" s="47" t="s">
        <v>15</v>
      </c>
      <c r="AA38" s="47">
        <v>1.48</v>
      </c>
      <c r="AB38" s="47">
        <v>1.23</v>
      </c>
      <c r="AC38" s="52">
        <f t="shared" si="17"/>
        <v>186.38000000000002</v>
      </c>
      <c r="AD38" s="52">
        <f>174+3.86+3.93</f>
        <v>181.79000000000002</v>
      </c>
      <c r="AE38" s="52">
        <f>3.38+1.21</f>
        <v>4.59</v>
      </c>
      <c r="AF38" s="52">
        <f>-24.8</f>
        <v>-24.8</v>
      </c>
      <c r="AG38" s="52">
        <f>0.194-0.00654-3.88</f>
        <v>-3.6925399999999997</v>
      </c>
      <c r="AH38" s="47"/>
      <c r="AI38" s="115" t="str">
        <f t="shared" si="5"/>
        <v>B s1
d0</v>
      </c>
      <c r="AJ38" s="122" t="s">
        <v>178</v>
      </c>
      <c r="AK38" s="170" t="s">
        <v>176</v>
      </c>
      <c r="AL38" s="46"/>
      <c r="AM38" s="46"/>
      <c r="AN38" s="47">
        <v>1.4</v>
      </c>
      <c r="AO38" s="47">
        <v>0.73</v>
      </c>
      <c r="AP38" s="47">
        <v>0.51</v>
      </c>
      <c r="AQ38" s="47" t="s">
        <v>191</v>
      </c>
      <c r="AR38" s="47"/>
      <c r="AS38" s="47">
        <v>57.8</v>
      </c>
      <c r="AU38" s="105" t="s">
        <v>17</v>
      </c>
      <c r="AV38" s="106" t="s">
        <v>17</v>
      </c>
      <c r="AW38" s="46"/>
    </row>
    <row r="39" spans="1:49" s="25" customFormat="1" ht="25.2" customHeight="1" x14ac:dyDescent="0.15">
      <c r="A39" s="171" t="s">
        <v>433</v>
      </c>
      <c r="B39" s="47" t="s">
        <v>208</v>
      </c>
      <c r="C39" s="47" t="str">
        <f>""</f>
        <v/>
      </c>
      <c r="D39" s="47" t="s">
        <v>430</v>
      </c>
      <c r="E39" s="172" t="s">
        <v>191</v>
      </c>
      <c r="F39" s="47" t="s">
        <v>523</v>
      </c>
      <c r="G39" s="47" t="s">
        <v>422</v>
      </c>
      <c r="H39" s="47" t="s">
        <v>411</v>
      </c>
      <c r="I39" s="46"/>
      <c r="J39" s="111">
        <v>1</v>
      </c>
      <c r="K39" s="52">
        <f t="shared" ref="K39" si="19">IF(AE39="N/A","N/A",IF(L39="","N/A",L39))</f>
        <v>152.07</v>
      </c>
      <c r="L39" s="148" cm="1">
        <f t="array" ref="L39">IF(AE39="N/A","",_xlfn.IFS(Z39="m2",AC39*J39,Z39="stk",(AC39*(1/(AA39*AB39)))*J39,Z39="N/A",""))</f>
        <v>152.07</v>
      </c>
      <c r="M39" s="52">
        <f t="shared" ref="M39" si="20">IF(N39="","N/A",N39)</f>
        <v>123.71000000000001</v>
      </c>
      <c r="N39" s="148" cm="1">
        <f t="array" ref="N39">_xlfn.IFS(Z39="m2",AD39*J39,Z39="stk",(AD39*(1/(AA39*AB39)))*J39,Z39="N/A","")</f>
        <v>123.71000000000001</v>
      </c>
      <c r="O39" s="52">
        <f t="shared" ref="O39" si="21">IF(P39="","N/A",P39)</f>
        <v>28.36</v>
      </c>
      <c r="P39" s="148" cm="1">
        <f t="array" ref="P39">IF(AE39="N/A","",_xlfn.IFS(Z39="m2",AE39*J39,Z39="stk",(AE39*(1/(AA39*AB39)))*J39,Z39="N/A",""))</f>
        <v>28.36</v>
      </c>
      <c r="Q39" s="52">
        <f t="shared" ref="Q39" si="22">IF(R39="","N/A",R39)</f>
        <v>-16.38381</v>
      </c>
      <c r="R39" s="155" cm="1">
        <f t="array" ref="R39">IF(AG39="N/A","",_xlfn.IFS(Z39="m2",AG39*J39,Z39="stk",(AG39*(1/(AA39*AB39)))*J39,Z39="N/A",""))</f>
        <v>-16.38381</v>
      </c>
      <c r="S39" s="88" t="s">
        <v>5</v>
      </c>
      <c r="T39" s="47"/>
      <c r="U39" s="47">
        <v>2027</v>
      </c>
      <c r="V39" s="47" t="s">
        <v>28</v>
      </c>
      <c r="W39" s="47" t="s">
        <v>191</v>
      </c>
      <c r="Y39" s="47" t="s">
        <v>623</v>
      </c>
      <c r="Z39" s="47" t="s">
        <v>15</v>
      </c>
      <c r="AA39" s="47">
        <v>1.48</v>
      </c>
      <c r="AB39" s="47">
        <v>1.23</v>
      </c>
      <c r="AC39" s="52">
        <f t="shared" si="17"/>
        <v>152.07</v>
      </c>
      <c r="AD39" s="52">
        <f>105+3.01+15.7</f>
        <v>123.71000000000001</v>
      </c>
      <c r="AE39" s="52">
        <f>27.3+1.06</f>
        <v>28.36</v>
      </c>
      <c r="AF39" s="52">
        <f>-37.4</f>
        <v>-37.4</v>
      </c>
      <c r="AG39" s="52">
        <f>-18.9 -0.00381 +2.52</f>
        <v>-16.38381</v>
      </c>
      <c r="AH39" s="47"/>
      <c r="AI39" s="115" t="str">
        <f t="shared" si="5"/>
        <v>D s2
d2</v>
      </c>
      <c r="AJ39" s="122" t="s">
        <v>8</v>
      </c>
      <c r="AK39" s="170" t="s">
        <v>431</v>
      </c>
      <c r="AL39" s="46"/>
      <c r="AM39" s="46"/>
      <c r="AN39" s="47">
        <v>1.3</v>
      </c>
      <c r="AO39" s="47">
        <v>0.68</v>
      </c>
      <c r="AP39" s="47">
        <v>0.46</v>
      </c>
      <c r="AQ39" s="47" t="s">
        <v>191</v>
      </c>
      <c r="AR39" s="47"/>
      <c r="AS39" s="47">
        <v>44.2</v>
      </c>
      <c r="AU39" s="105" t="s">
        <v>17</v>
      </c>
      <c r="AV39" s="106" t="s">
        <v>17</v>
      </c>
      <c r="AW39" s="46"/>
    </row>
    <row r="40" spans="1:49" s="25" customFormat="1" ht="25.2" customHeight="1" x14ac:dyDescent="0.15">
      <c r="A40" s="171" t="s">
        <v>434</v>
      </c>
      <c r="B40" s="47" t="s">
        <v>208</v>
      </c>
      <c r="C40" s="47" t="str">
        <f>""</f>
        <v/>
      </c>
      <c r="D40" s="47" t="s">
        <v>430</v>
      </c>
      <c r="E40" s="172" t="s">
        <v>191</v>
      </c>
      <c r="F40" s="47" t="s">
        <v>523</v>
      </c>
      <c r="G40" s="47" t="s">
        <v>422</v>
      </c>
      <c r="H40" s="47" t="s">
        <v>410</v>
      </c>
      <c r="I40" s="46"/>
      <c r="J40" s="111">
        <v>1</v>
      </c>
      <c r="K40" s="52">
        <f t="shared" ref="K40" si="23">IF(AE40="N/A","N/A",IF(L40="","N/A",L40))</f>
        <v>174.51</v>
      </c>
      <c r="L40" s="148" cm="1">
        <f t="array" ref="L40">IF(AE40="N/A","",_xlfn.IFS(Z40="m2",AC40*J40,Z40="stk",(AC40*(1/(AA40*AB40)))*J40,Z40="N/A",""))</f>
        <v>174.51</v>
      </c>
      <c r="M40" s="52">
        <f t="shared" ref="M40" si="24">IF(N40="","N/A",N40)</f>
        <v>146.07</v>
      </c>
      <c r="N40" s="148" cm="1">
        <f t="array" ref="N40">_xlfn.IFS(Z40="m2",AD40*J40,Z40="stk",(AD40*(1/(AA40*AB40)))*J40,Z40="N/A","")</f>
        <v>146.07</v>
      </c>
      <c r="O40" s="52">
        <f t="shared" ref="O40" si="25">IF(P40="","N/A",P40)</f>
        <v>28.44</v>
      </c>
      <c r="P40" s="148" cm="1">
        <f t="array" ref="P40">IF(AE40="N/A","",_xlfn.IFS(Z40="m2",AE40*J40,Z40="stk",(AE40*(1/(AA40*AB40)))*J40,Z40="N/A",""))</f>
        <v>28.44</v>
      </c>
      <c r="Q40" s="52">
        <f t="shared" ref="Q40" si="26">IF(R40="","N/A",R40)</f>
        <v>-16.184259999999998</v>
      </c>
      <c r="R40" s="155" cm="1">
        <f t="array" ref="R40">IF(AG40="N/A","",_xlfn.IFS(Z40="m2",AG40*J40,Z40="stk",(AG40*(1/(AA40*AB40)))*J40,Z40="N/A",""))</f>
        <v>-16.184259999999998</v>
      </c>
      <c r="S40" s="88" t="s">
        <v>5</v>
      </c>
      <c r="T40" s="47"/>
      <c r="U40" s="47">
        <v>2027</v>
      </c>
      <c r="V40" s="47" t="s">
        <v>28</v>
      </c>
      <c r="W40" s="47" t="s">
        <v>191</v>
      </c>
      <c r="Y40" s="47" t="s">
        <v>624</v>
      </c>
      <c r="Z40" s="47" t="s">
        <v>15</v>
      </c>
      <c r="AA40" s="47">
        <v>1.48</v>
      </c>
      <c r="AB40" s="47">
        <v>1.23</v>
      </c>
      <c r="AC40" s="52">
        <f t="shared" ref="AC40:AC41" si="27">IF(AE40="N/A","N/A",SUM(AD40:AE40))</f>
        <v>174.51</v>
      </c>
      <c r="AD40" s="52">
        <f>127+3.37 +15.7</f>
        <v>146.07</v>
      </c>
      <c r="AE40" s="52">
        <f>27.3+1.14</f>
        <v>28.44</v>
      </c>
      <c r="AF40" s="52">
        <f>-38.7</f>
        <v>-38.700000000000003</v>
      </c>
      <c r="AG40" s="52">
        <f>-18.7-0.00426+2.52</f>
        <v>-16.184259999999998</v>
      </c>
      <c r="AH40" s="47"/>
      <c r="AI40" s="115" t="str">
        <f t="shared" si="5"/>
        <v>D s2
d2</v>
      </c>
      <c r="AJ40" s="122" t="s">
        <v>8</v>
      </c>
      <c r="AK40" s="170" t="s">
        <v>431</v>
      </c>
      <c r="AL40" s="46"/>
      <c r="AM40" s="46"/>
      <c r="AN40" s="47">
        <v>1</v>
      </c>
      <c r="AO40" s="47">
        <v>0.62</v>
      </c>
      <c r="AP40" s="47">
        <v>0.44</v>
      </c>
      <c r="AQ40" s="47" t="s">
        <v>191</v>
      </c>
      <c r="AR40" s="47"/>
      <c r="AS40" s="47">
        <v>50</v>
      </c>
      <c r="AU40" s="105" t="s">
        <v>17</v>
      </c>
      <c r="AV40" s="106" t="s">
        <v>17</v>
      </c>
      <c r="AW40" s="46"/>
    </row>
    <row r="41" spans="1:49" s="25" customFormat="1" ht="25.2" customHeight="1" x14ac:dyDescent="0.15">
      <c r="A41" s="171" t="s">
        <v>628</v>
      </c>
      <c r="B41" s="47" t="s">
        <v>208</v>
      </c>
      <c r="C41" s="47" t="str">
        <f>""</f>
        <v/>
      </c>
      <c r="D41" s="47" t="s">
        <v>430</v>
      </c>
      <c r="E41" s="172" t="s">
        <v>191</v>
      </c>
      <c r="F41" s="47" t="s">
        <v>523</v>
      </c>
      <c r="G41" s="47" t="s">
        <v>422</v>
      </c>
      <c r="H41" s="47" t="s">
        <v>410</v>
      </c>
      <c r="I41" s="46"/>
      <c r="J41" s="111">
        <v>1</v>
      </c>
      <c r="K41" s="52">
        <f t="shared" ref="K41" si="28">IF(AE41="N/A","N/A",IF(L41="","N/A",L41))</f>
        <v>218.07</v>
      </c>
      <c r="L41" s="148" cm="1">
        <f t="array" ref="L41">IF(AE41="N/A","",_xlfn.IFS(Z41="m2",AC41*J41,Z41="stk",(AC41*(1/(AA41*AB41)))*J41,Z41="N/A",""))</f>
        <v>218.07</v>
      </c>
      <c r="M41" s="52">
        <f t="shared" ref="M41" si="29">IF(N41="","N/A",N41)</f>
        <v>189.54</v>
      </c>
      <c r="N41" s="148" cm="1">
        <f t="array" ref="N41">_xlfn.IFS(Z41="m2",AD41*J41,Z41="stk",(AD41*(1/(AA41*AB41)))*J41,Z41="N/A","")</f>
        <v>189.54</v>
      </c>
      <c r="O41" s="52">
        <f t="shared" ref="O41" si="30">IF(P41="","N/A",P41)</f>
        <v>28.53</v>
      </c>
      <c r="P41" s="148" cm="1">
        <f t="array" ref="P41">IF(AE41="N/A","",_xlfn.IFS(Z41="m2",AE41*J41,Z41="stk",(AE41*(1/(AA41*AB41)))*J41,Z41="N/A",""))</f>
        <v>28.53</v>
      </c>
      <c r="Q41" s="52">
        <f t="shared" ref="Q41" si="31">IF(R41="","N/A",R41)</f>
        <v>-15.584860000000003</v>
      </c>
      <c r="R41" s="155" cm="1">
        <f t="array" ref="R41">IF(AG41="N/A","",_xlfn.IFS(Z41="m2",AG41*J41,Z41="stk",(AG41*(1/(AA41*AB41)))*J41,Z41="N/A",""))</f>
        <v>-15.584860000000003</v>
      </c>
      <c r="S41" s="88" t="s">
        <v>5</v>
      </c>
      <c r="T41" s="47"/>
      <c r="U41" s="47">
        <v>2027</v>
      </c>
      <c r="V41" s="47" t="s">
        <v>28</v>
      </c>
      <c r="W41" s="47" t="s">
        <v>191</v>
      </c>
      <c r="Y41" s="47" t="s">
        <v>625</v>
      </c>
      <c r="Z41" s="47" t="s">
        <v>15</v>
      </c>
      <c r="AA41" s="47">
        <v>1.48</v>
      </c>
      <c r="AB41" s="47">
        <v>1.23</v>
      </c>
      <c r="AC41" s="52">
        <f t="shared" si="27"/>
        <v>218.07</v>
      </c>
      <c r="AD41" s="52">
        <f>170+3.84+15.7</f>
        <v>189.54</v>
      </c>
      <c r="AE41" s="52">
        <f>27.3+1.23</f>
        <v>28.53</v>
      </c>
      <c r="AF41" s="52">
        <f>-40.4</f>
        <v>-40.4</v>
      </c>
      <c r="AG41" s="52">
        <f>-18.1 -0.00486+2.52</f>
        <v>-15.584860000000003</v>
      </c>
      <c r="AH41" s="47"/>
      <c r="AI41" s="115" t="str">
        <f t="shared" si="5"/>
        <v>D s2
d2</v>
      </c>
      <c r="AJ41" s="122" t="s">
        <v>8</v>
      </c>
      <c r="AK41" s="170" t="s">
        <v>431</v>
      </c>
      <c r="AL41" s="46"/>
      <c r="AM41" s="46"/>
      <c r="AN41" s="47">
        <v>0.96</v>
      </c>
      <c r="AO41" s="47">
        <v>0.68</v>
      </c>
      <c r="AP41" s="47">
        <v>0.47</v>
      </c>
      <c r="AQ41" s="47" t="s">
        <v>191</v>
      </c>
      <c r="AR41" s="47"/>
      <c r="AS41" s="47">
        <v>57.7</v>
      </c>
      <c r="AU41" s="105" t="s">
        <v>17</v>
      </c>
      <c r="AV41" s="106" t="s">
        <v>17</v>
      </c>
      <c r="AW41" s="46"/>
    </row>
    <row r="42" spans="1:49" s="25" customFormat="1" ht="25.2" customHeight="1" x14ac:dyDescent="0.15">
      <c r="A42" s="25" t="s">
        <v>435</v>
      </c>
      <c r="B42" s="47" t="s">
        <v>208</v>
      </c>
      <c r="C42" s="47" t="str">
        <f>""</f>
        <v/>
      </c>
      <c r="D42" s="47" t="s">
        <v>430</v>
      </c>
      <c r="E42" s="88" t="s">
        <v>146</v>
      </c>
      <c r="F42" s="47" t="s">
        <v>523</v>
      </c>
      <c r="G42" s="47" t="s">
        <v>422</v>
      </c>
      <c r="H42" s="47" t="s">
        <v>410</v>
      </c>
      <c r="I42" s="46"/>
      <c r="J42" s="111">
        <v>1</v>
      </c>
      <c r="K42" s="52">
        <f t="shared" ref="K42" si="32">IF(AE42="N/A","N/A",IF(L42="","N/A",L42))</f>
        <v>200.24</v>
      </c>
      <c r="L42" s="148" cm="1">
        <f t="array" ref="L42">IF(AE42="N/A","",_xlfn.IFS(Z42="m2",AC42*J42,Z42="stk",(AC42*(1/(AA42*AB42)))*J42,Z42="N/A",""))</f>
        <v>200.24</v>
      </c>
      <c r="M42" s="52">
        <f t="shared" ref="M42" si="33">IF(N42="","N/A",N42)</f>
        <v>195.43</v>
      </c>
      <c r="N42" s="148" cm="1">
        <f t="array" ref="N42">_xlfn.IFS(Z42="m2",AD42*J42,Z42="stk",(AD42*(1/(AA42*AB42)))*J42,Z42="N/A","")</f>
        <v>195.43</v>
      </c>
      <c r="O42" s="52">
        <f t="shared" ref="O42" si="34">IF(P42="","N/A",P42)</f>
        <v>4.8100000000000005</v>
      </c>
      <c r="P42" s="148" cm="1">
        <f t="array" ref="P42">IF(AE42="N/A","",_xlfn.IFS(Z42="m2",AE42*J42,Z42="stk",(AE42*(1/(AA42*AB42)))*J42,Z42="N/A",""))</f>
        <v>4.8100000000000005</v>
      </c>
      <c r="Q42" s="52">
        <f t="shared" ref="Q42" si="35">IF(R42="","N/A",R42)</f>
        <v>-3.6926199999999998</v>
      </c>
      <c r="R42" s="155" cm="1">
        <f t="array" ref="R42">IF(AG42="N/A","",_xlfn.IFS(Z42="m2",AG42*J42,Z42="stk",(AG42*(1/(AA42*AB42)))*J42,Z42="N/A",""))</f>
        <v>-3.6926199999999998</v>
      </c>
      <c r="S42" s="88" t="s">
        <v>5</v>
      </c>
      <c r="T42" s="47"/>
      <c r="U42" s="47">
        <v>2026</v>
      </c>
      <c r="V42" s="47" t="s">
        <v>28</v>
      </c>
      <c r="W42" s="47" t="s">
        <v>191</v>
      </c>
      <c r="Y42" s="47" t="s">
        <v>627</v>
      </c>
      <c r="Z42" s="47" t="s">
        <v>15</v>
      </c>
      <c r="AA42" s="47">
        <v>1.48</v>
      </c>
      <c r="AB42" s="47">
        <v>1.23</v>
      </c>
      <c r="AC42" s="52">
        <f t="shared" ref="AC42:AC49" si="36">IF(AE42="N/A","N/A",SUM(AD42:AE42))</f>
        <v>200.24</v>
      </c>
      <c r="AD42" s="52">
        <f>187+4.5+3.93</f>
        <v>195.43</v>
      </c>
      <c r="AE42" s="52">
        <f>3.49 +1.32</f>
        <v>4.8100000000000005</v>
      </c>
      <c r="AF42" s="52">
        <f>-27.5</f>
        <v>-27.5</v>
      </c>
      <c r="AG42" s="52">
        <f>0.195-0.00762-3.88</f>
        <v>-3.6926199999999998</v>
      </c>
      <c r="AH42" s="47"/>
      <c r="AI42" s="115" t="str">
        <f t="shared" si="5"/>
        <v>B s1
d0</v>
      </c>
      <c r="AJ42" s="122" t="s">
        <v>178</v>
      </c>
      <c r="AK42" s="170" t="s">
        <v>176</v>
      </c>
      <c r="AL42" s="46"/>
      <c r="AM42" s="46"/>
      <c r="AN42" s="47">
        <v>1.1000000000000001</v>
      </c>
      <c r="AO42" s="47">
        <v>0.71</v>
      </c>
      <c r="AP42" s="47">
        <v>0.5</v>
      </c>
      <c r="AQ42" s="47" t="s">
        <v>191</v>
      </c>
      <c r="AR42" s="47"/>
      <c r="AS42" s="47" t="s">
        <v>191</v>
      </c>
      <c r="AU42" s="105" t="s">
        <v>17</v>
      </c>
      <c r="AV42" s="106" t="s">
        <v>17</v>
      </c>
      <c r="AW42" s="46"/>
    </row>
    <row r="43" spans="1:49" s="25" customFormat="1" ht="25.2" customHeight="1" x14ac:dyDescent="0.15">
      <c r="A43" s="25" t="s">
        <v>436</v>
      </c>
      <c r="B43" s="47" t="s">
        <v>208</v>
      </c>
      <c r="C43" s="47" t="str">
        <f>""</f>
        <v/>
      </c>
      <c r="D43" s="47" t="s">
        <v>430</v>
      </c>
      <c r="E43" s="88" t="s">
        <v>437</v>
      </c>
      <c r="F43" s="47" t="s">
        <v>523</v>
      </c>
      <c r="G43" s="47" t="s">
        <v>422</v>
      </c>
      <c r="H43" s="47" t="s">
        <v>191</v>
      </c>
      <c r="I43" s="46"/>
      <c r="J43" s="111">
        <v>1</v>
      </c>
      <c r="K43" s="52">
        <f>IF(AE43="N/A","N/A",IF(L43="","N/A",L43))</f>
        <v>267.34027777777777</v>
      </c>
      <c r="L43" s="148" cm="1">
        <f t="array" ref="L43">IF(AE43="N/A","",_xlfn.IFS(Z43="m2",AC43*J43,Z43="stk",(AC43*(1/(AA43*AB43)))*J43,Z43="N/A",""))</f>
        <v>267.34027777777777</v>
      </c>
      <c r="M43" s="52">
        <f t="shared" ref="M43:M44" si="37">IF(N43="","N/A",N43)</f>
        <v>169.44444444444443</v>
      </c>
      <c r="N43" s="148" cm="1">
        <f t="array" ref="N43">_xlfn.IFS(Z43="m2",AD43*J43,Z43="stk",(AD43*(1/(AA43*AB43)))*J43,Z43="N/A","")</f>
        <v>169.44444444444443</v>
      </c>
      <c r="O43" s="52">
        <f t="shared" ref="O43:O44" si="38">IF(P43="","N/A",P43)</f>
        <v>97.895833333333329</v>
      </c>
      <c r="P43" s="148" cm="1">
        <f t="array" ref="P43">IF(AE43="N/A","",_xlfn.IFS(Z43="m2",AE43*J43,Z43="stk",(AE43*(1/(AA43*AB43)))*J43,Z43="N/A",""))</f>
        <v>97.895833333333329</v>
      </c>
      <c r="Q43" s="52">
        <f t="shared" ref="Q43:Q44" si="39">IF(R43="","N/A",R43)</f>
        <v>-5.2986111111111107</v>
      </c>
      <c r="R43" s="155" cm="1">
        <f t="array" ref="R43">IF(AG43="N/A","",_xlfn.IFS(Z43="m2",AG43*J43,Z43="stk",(AG43*(1/(AA43*AB43)))*J43,Z43="N/A",""))</f>
        <v>-5.2986111111111107</v>
      </c>
      <c r="S43" s="88" t="s">
        <v>5</v>
      </c>
      <c r="T43" s="47"/>
      <c r="U43" s="47">
        <v>2027</v>
      </c>
      <c r="V43" s="47" t="s">
        <v>28</v>
      </c>
      <c r="W43" s="47" t="s">
        <v>191</v>
      </c>
      <c r="Y43" s="47" t="s">
        <v>626</v>
      </c>
      <c r="Z43" s="47" t="s">
        <v>444</v>
      </c>
      <c r="AA43" s="47">
        <v>1.2</v>
      </c>
      <c r="AB43" s="47">
        <v>1.2</v>
      </c>
      <c r="AC43" s="52">
        <f t="shared" si="36"/>
        <v>384.97</v>
      </c>
      <c r="AD43" s="52">
        <f>244</f>
        <v>244</v>
      </c>
      <c r="AE43" s="52">
        <f>2.97+138</f>
        <v>140.97</v>
      </c>
      <c r="AF43" s="52">
        <f>-45.6</f>
        <v>-45.6</v>
      </c>
      <c r="AG43" s="52">
        <f>-7.63</f>
        <v>-7.63</v>
      </c>
      <c r="AH43" s="47"/>
      <c r="AI43" s="115" t="str">
        <f t="shared" si="5"/>
        <v xml:space="preserve">F </v>
      </c>
      <c r="AJ43" s="122" t="s">
        <v>82</v>
      </c>
      <c r="AK43" s="170"/>
      <c r="AL43" s="46"/>
      <c r="AM43" s="46"/>
      <c r="AN43" s="47">
        <v>0.8</v>
      </c>
      <c r="AO43" s="47">
        <v>0.72</v>
      </c>
      <c r="AP43" s="47" t="s">
        <v>191</v>
      </c>
      <c r="AQ43" s="47" t="s">
        <v>191</v>
      </c>
      <c r="AR43" s="47"/>
      <c r="AS43" s="47" t="s">
        <v>191</v>
      </c>
      <c r="AU43" s="105" t="s">
        <v>17</v>
      </c>
      <c r="AV43" s="106" t="s">
        <v>17</v>
      </c>
      <c r="AW43" s="46"/>
    </row>
    <row r="44" spans="1:49" s="25" customFormat="1" ht="25.2" customHeight="1" x14ac:dyDescent="0.15">
      <c r="A44" s="25" t="s">
        <v>438</v>
      </c>
      <c r="B44" s="47" t="s">
        <v>210</v>
      </c>
      <c r="C44" s="47" t="str">
        <f>""</f>
        <v/>
      </c>
      <c r="D44" s="47" t="s">
        <v>430</v>
      </c>
      <c r="E44" s="88" t="s">
        <v>437</v>
      </c>
      <c r="F44" s="47" t="s">
        <v>522</v>
      </c>
      <c r="G44" s="47" t="s">
        <v>422</v>
      </c>
      <c r="H44" s="47" t="s">
        <v>191</v>
      </c>
      <c r="I44" s="46"/>
      <c r="J44" s="111">
        <v>1</v>
      </c>
      <c r="K44" s="52">
        <f t="shared" ref="K44" si="40">IF(AE44="N/A","N/A",IF(L44="","N/A",L44))</f>
        <v>184.00694444444446</v>
      </c>
      <c r="L44" s="148" cm="1">
        <f t="array" ref="L44">IF(AE44="N/A","",_xlfn.IFS(Z44="m2",AC44*J44,Z44="stk",(AC44*(1/(AA44*AB44)))*J44,Z44="N/A",""))</f>
        <v>184.00694444444446</v>
      </c>
      <c r="M44" s="52">
        <f t="shared" si="37"/>
        <v>127.08333333333333</v>
      </c>
      <c r="N44" s="148" cm="1">
        <f t="array" ref="N44">_xlfn.IFS(Z44="m2",AD44*J44,Z44="stk",(AD44*(1/(AA44*AB44)))*J44,Z44="N/A","")</f>
        <v>127.08333333333333</v>
      </c>
      <c r="O44" s="52">
        <f t="shared" si="38"/>
        <v>56.923611111111107</v>
      </c>
      <c r="P44" s="148" cm="1">
        <f t="array" ref="P44">IF(AE44="N/A","",_xlfn.IFS(Z44="m2",AE44*J44,Z44="stk",(AE44*(1/(AA44*AB44)))*J44,Z44="N/A",""))</f>
        <v>56.923611111111107</v>
      </c>
      <c r="Q44" s="52">
        <f t="shared" si="39"/>
        <v>-4.9513888888888884</v>
      </c>
      <c r="R44" s="155" cm="1">
        <f t="array" ref="R44">IF(AG44="N/A","",_xlfn.IFS(Z44="m2",AG44*J44,Z44="stk",(AG44*(1/(AA44*AB44)))*J44,Z44="N/A",""))</f>
        <v>-4.9513888888888884</v>
      </c>
      <c r="S44" s="88" t="s">
        <v>5</v>
      </c>
      <c r="T44" s="47"/>
      <c r="U44" s="47">
        <v>2027</v>
      </c>
      <c r="V44" s="47" t="s">
        <v>28</v>
      </c>
      <c r="W44" s="47" t="s">
        <v>191</v>
      </c>
      <c r="Y44" s="47" t="s">
        <v>629</v>
      </c>
      <c r="Z44" s="47" t="s">
        <v>444</v>
      </c>
      <c r="AA44" s="47">
        <v>1.2</v>
      </c>
      <c r="AB44" s="47">
        <v>1.2</v>
      </c>
      <c r="AC44" s="52">
        <f t="shared" si="36"/>
        <v>264.97000000000003</v>
      </c>
      <c r="AD44" s="52">
        <f>183</f>
        <v>183</v>
      </c>
      <c r="AE44" s="52">
        <f>1.47+80.5</f>
        <v>81.97</v>
      </c>
      <c r="AF44" s="52">
        <f>-30.1</f>
        <v>-30.1</v>
      </c>
      <c r="AG44" s="52">
        <f>-7.13</f>
        <v>-7.13</v>
      </c>
      <c r="AH44" s="47"/>
      <c r="AI44" s="115" t="str">
        <f t="shared" si="5"/>
        <v xml:space="preserve">F </v>
      </c>
      <c r="AJ44" s="122" t="s">
        <v>82</v>
      </c>
      <c r="AK44" s="170"/>
      <c r="AL44" s="46"/>
      <c r="AM44" s="46"/>
      <c r="AN44" s="47">
        <v>0.8</v>
      </c>
      <c r="AO44" s="47">
        <v>0.72</v>
      </c>
      <c r="AP44" s="47" t="s">
        <v>191</v>
      </c>
      <c r="AQ44" s="47" t="s">
        <v>191</v>
      </c>
      <c r="AR44" s="47"/>
      <c r="AS44" s="47">
        <v>66.8</v>
      </c>
      <c r="AU44" s="105" t="s">
        <v>17</v>
      </c>
      <c r="AV44" s="106" t="s">
        <v>17</v>
      </c>
      <c r="AW44" s="46"/>
    </row>
    <row r="45" spans="1:49" s="25" customFormat="1" ht="25.2" customHeight="1" x14ac:dyDescent="0.15">
      <c r="A45" s="25" t="s">
        <v>439</v>
      </c>
      <c r="B45" s="47" t="s">
        <v>208</v>
      </c>
      <c r="C45" s="47" t="str">
        <f>""</f>
        <v/>
      </c>
      <c r="D45" s="47" t="s">
        <v>430</v>
      </c>
      <c r="E45" s="88" t="s">
        <v>437</v>
      </c>
      <c r="F45" s="47" t="s">
        <v>523</v>
      </c>
      <c r="G45" s="47" t="s">
        <v>422</v>
      </c>
      <c r="H45" s="47" t="s">
        <v>191</v>
      </c>
      <c r="I45" s="46"/>
      <c r="J45" s="111">
        <v>1</v>
      </c>
      <c r="K45" s="52">
        <f t="shared" ref="K45:K49" si="41">IF(AE45="N/A","N/A",IF(L45="","N/A",L45))</f>
        <v>386.3194444444444</v>
      </c>
      <c r="L45" s="148" cm="1">
        <f t="array" ref="L45">IF(AE45="N/A","",_xlfn.IFS(Z45="m2",AC45*J45,Z45="stk",(AC45*(1/(AA45*AB45)))*J45,Z45="N/A",""))</f>
        <v>386.3194444444444</v>
      </c>
      <c r="M45" s="52">
        <f t="shared" ref="M45:M49" si="42">IF(N45="","N/A",N45)</f>
        <v>270.13888888888886</v>
      </c>
      <c r="N45" s="148" cm="1">
        <f t="array" ref="N45">_xlfn.IFS(Z45="m2",AD45*J45,Z45="stk",(AD45*(1/(AA45*AB45)))*J45,Z45="N/A","")</f>
        <v>270.13888888888886</v>
      </c>
      <c r="O45" s="52">
        <f t="shared" ref="O45:O49" si="43">IF(P45="","N/A",P45)</f>
        <v>116.18055555555556</v>
      </c>
      <c r="P45" s="148" cm="1">
        <f t="array" ref="P45">IF(AE45="N/A","",_xlfn.IFS(Z45="m2",AE45*J45,Z45="stk",(AE45*(1/(AA45*AB45)))*J45,Z45="N/A",""))</f>
        <v>116.18055555555556</v>
      </c>
      <c r="Q45" s="52">
        <f t="shared" ref="Q45:Q49" si="44">IF(R45="","N/A",R45)</f>
        <v>-18.194444444444443</v>
      </c>
      <c r="R45" s="155" cm="1">
        <f t="array" ref="R45">IF(AG45="N/A","",_xlfn.IFS(Z45="m2",AG45*J45,Z45="stk",(AG45*(1/(AA45*AB45)))*J45,Z45="N/A",""))</f>
        <v>-18.194444444444443</v>
      </c>
      <c r="S45" s="88" t="s">
        <v>5</v>
      </c>
      <c r="T45" s="47"/>
      <c r="U45" s="47">
        <v>2027</v>
      </c>
      <c r="V45" s="47" t="s">
        <v>28</v>
      </c>
      <c r="W45" s="47" t="s">
        <v>191</v>
      </c>
      <c r="Y45" s="47" t="s">
        <v>630</v>
      </c>
      <c r="Z45" s="47" t="s">
        <v>444</v>
      </c>
      <c r="AA45" s="47">
        <v>1.2</v>
      </c>
      <c r="AB45" s="47">
        <v>1.2</v>
      </c>
      <c r="AC45" s="52">
        <f t="shared" si="36"/>
        <v>556.29999999999995</v>
      </c>
      <c r="AD45" s="52">
        <f>389</f>
        <v>389</v>
      </c>
      <c r="AE45" s="52">
        <f>12.3+155</f>
        <v>167.3</v>
      </c>
      <c r="AF45" s="52">
        <f>-82.4</f>
        <v>-82.4</v>
      </c>
      <c r="AG45" s="52">
        <f>-26.2</f>
        <v>-26.2</v>
      </c>
      <c r="AH45" s="47"/>
      <c r="AI45" s="115" t="str">
        <f t="shared" si="5"/>
        <v xml:space="preserve">F </v>
      </c>
      <c r="AJ45" s="122" t="s">
        <v>82</v>
      </c>
      <c r="AK45" s="125"/>
      <c r="AL45" s="46"/>
      <c r="AM45" s="46"/>
      <c r="AN45" s="47">
        <v>0.99</v>
      </c>
      <c r="AO45" s="47">
        <v>0.72</v>
      </c>
      <c r="AP45" s="47" t="s">
        <v>191</v>
      </c>
      <c r="AQ45" s="47" t="s">
        <v>191</v>
      </c>
      <c r="AR45" s="47"/>
      <c r="AS45" s="47" t="s">
        <v>191</v>
      </c>
      <c r="AU45" s="105" t="s">
        <v>17</v>
      </c>
      <c r="AV45" s="106" t="s">
        <v>17</v>
      </c>
      <c r="AW45" s="46"/>
    </row>
    <row r="46" spans="1:49" s="25" customFormat="1" ht="25.2" customHeight="1" x14ac:dyDescent="0.15">
      <c r="A46" s="25" t="s">
        <v>440</v>
      </c>
      <c r="B46" s="47" t="s">
        <v>210</v>
      </c>
      <c r="C46" s="47" t="str">
        <f>""</f>
        <v/>
      </c>
      <c r="D46" s="47" t="s">
        <v>430</v>
      </c>
      <c r="E46" s="88" t="s">
        <v>437</v>
      </c>
      <c r="F46" s="47" t="s">
        <v>522</v>
      </c>
      <c r="G46" s="47" t="s">
        <v>422</v>
      </c>
      <c r="H46" s="47" t="s">
        <v>191</v>
      </c>
      <c r="I46" s="46"/>
      <c r="J46" s="111">
        <v>1</v>
      </c>
      <c r="K46" s="52">
        <f t="shared" si="41"/>
        <v>249.41666666666669</v>
      </c>
      <c r="L46" s="148" cm="1">
        <f t="array" ref="L46">IF(AE46="N/A","",_xlfn.IFS(Z46="m2",AC46*J46,Z46="stk",(AC46*(1/(AA46*AB46)))*J46,Z46="N/A",""))</f>
        <v>249.41666666666669</v>
      </c>
      <c r="M46" s="52">
        <f t="shared" si="42"/>
        <v>180.55555555555554</v>
      </c>
      <c r="N46" s="148" cm="1">
        <f t="array" ref="N46">_xlfn.IFS(Z46="m2",AD46*J46,Z46="stk",(AD46*(1/(AA46*AB46)))*J46,Z46="N/A","")</f>
        <v>180.55555555555554</v>
      </c>
      <c r="O46" s="52">
        <f t="shared" si="43"/>
        <v>68.861111111111114</v>
      </c>
      <c r="P46" s="148" cm="1">
        <f t="array" ref="P46">IF(AE46="N/A","",_xlfn.IFS(Z46="m2",AE46*J46,Z46="stk",(AE46*(1/(AA46*AB46)))*J46,Z46="N/A",""))</f>
        <v>68.861111111111114</v>
      </c>
      <c r="Q46" s="52">
        <f t="shared" si="44"/>
        <v>-5.5763888888888884</v>
      </c>
      <c r="R46" s="155" cm="1">
        <f t="array" ref="R46">IF(AG46="N/A","",_xlfn.IFS(Z46="m2",AG46*J46,Z46="stk",(AG46*(1/(AA46*AB46)))*J46,Z46="N/A",""))</f>
        <v>-5.5763888888888884</v>
      </c>
      <c r="S46" s="88" t="s">
        <v>5</v>
      </c>
      <c r="T46" s="47"/>
      <c r="U46" s="47">
        <v>2027</v>
      </c>
      <c r="V46" s="47" t="s">
        <v>28</v>
      </c>
      <c r="W46" s="47" t="s">
        <v>191</v>
      </c>
      <c r="Y46" s="47" t="s">
        <v>631</v>
      </c>
      <c r="Z46" s="47" t="s">
        <v>444</v>
      </c>
      <c r="AA46" s="47">
        <v>1.2</v>
      </c>
      <c r="AB46" s="47">
        <v>1.2</v>
      </c>
      <c r="AC46" s="52">
        <f t="shared" si="36"/>
        <v>359.16</v>
      </c>
      <c r="AD46" s="52">
        <f>260</f>
        <v>260</v>
      </c>
      <c r="AE46" s="52">
        <f>2.76+96.4</f>
        <v>99.160000000000011</v>
      </c>
      <c r="AF46" s="52">
        <f>-59</f>
        <v>-59</v>
      </c>
      <c r="AG46" s="52">
        <f>-8.03</f>
        <v>-8.0299999999999994</v>
      </c>
      <c r="AH46" s="47"/>
      <c r="AI46" s="115" t="str">
        <f t="shared" si="5"/>
        <v xml:space="preserve">F </v>
      </c>
      <c r="AJ46" s="122" t="s">
        <v>82</v>
      </c>
      <c r="AK46" s="125"/>
      <c r="AL46" s="46"/>
      <c r="AM46" s="46"/>
      <c r="AN46" s="47">
        <v>0.86</v>
      </c>
      <c r="AO46" s="47">
        <v>0.72</v>
      </c>
      <c r="AP46" s="47" t="s">
        <v>191</v>
      </c>
      <c r="AQ46" s="47" t="s">
        <v>191</v>
      </c>
      <c r="AR46" s="47"/>
      <c r="AS46" s="47" t="s">
        <v>191</v>
      </c>
      <c r="AU46" s="105" t="s">
        <v>17</v>
      </c>
      <c r="AV46" s="106" t="s">
        <v>17</v>
      </c>
      <c r="AW46" s="46"/>
    </row>
    <row r="47" spans="1:49" s="25" customFormat="1" ht="25.2" customHeight="1" x14ac:dyDescent="0.15">
      <c r="A47" s="25" t="s">
        <v>441</v>
      </c>
      <c r="B47" s="47" t="s">
        <v>210</v>
      </c>
      <c r="C47" s="47" t="str">
        <f>""</f>
        <v/>
      </c>
      <c r="D47" s="47" t="s">
        <v>430</v>
      </c>
      <c r="E47" s="88" t="s">
        <v>146</v>
      </c>
      <c r="F47" s="47" t="s">
        <v>522</v>
      </c>
      <c r="G47" s="47" t="s">
        <v>422</v>
      </c>
      <c r="H47" s="47" t="s">
        <v>191</v>
      </c>
      <c r="I47" s="46"/>
      <c r="J47" s="111">
        <v>1</v>
      </c>
      <c r="K47" s="52">
        <f t="shared" si="41"/>
        <v>350.86805555555554</v>
      </c>
      <c r="L47" s="148" cm="1">
        <f t="array" ref="L47">IF(AE47="N/A","",_xlfn.IFS(Z47="m2",AC47*J47,Z47="stk",(AC47*(1/(AA47*AB47)))*J47,Z47="N/A",""))</f>
        <v>350.86805555555554</v>
      </c>
      <c r="M47" s="52">
        <f t="shared" si="42"/>
        <v>304.16666666666663</v>
      </c>
      <c r="N47" s="148" cm="1">
        <f t="array" ref="N47">_xlfn.IFS(Z47="m2",AD47*J47,Z47="stk",(AD47*(1/(AA47*AB47)))*J47,Z47="N/A","")</f>
        <v>304.16666666666663</v>
      </c>
      <c r="O47" s="52">
        <f t="shared" si="43"/>
        <v>46.701388888888886</v>
      </c>
      <c r="P47" s="148" cm="1">
        <f t="array" ref="P47">IF(AE47="N/A","",_xlfn.IFS(Z47="m2",AE47*J47,Z47="stk",(AE47*(1/(AA47*AB47)))*J47,Z47="N/A",""))</f>
        <v>46.701388888888886</v>
      </c>
      <c r="Q47" s="52">
        <f t="shared" si="44"/>
        <v>-22.777777777777775</v>
      </c>
      <c r="R47" s="155" cm="1">
        <f t="array" ref="R47">IF(AG47="N/A","",_xlfn.IFS(Z47="m2",AG47*J47,Z47="stk",(AG47*(1/(AA47*AB47)))*J47,Z47="N/A",""))</f>
        <v>-22.777777777777775</v>
      </c>
      <c r="S47" s="88" t="s">
        <v>5</v>
      </c>
      <c r="T47" s="47"/>
      <c r="U47" s="47">
        <v>2027</v>
      </c>
      <c r="V47" s="47" t="s">
        <v>28</v>
      </c>
      <c r="W47" s="47" t="s">
        <v>191</v>
      </c>
      <c r="Y47" s="47" t="s">
        <v>632</v>
      </c>
      <c r="Z47" s="47" t="s">
        <v>444</v>
      </c>
      <c r="AA47" s="47">
        <v>1.2</v>
      </c>
      <c r="AB47" s="47">
        <v>1.2</v>
      </c>
      <c r="AC47" s="52">
        <f t="shared" si="36"/>
        <v>505.25</v>
      </c>
      <c r="AD47" s="52">
        <f>438</f>
        <v>438</v>
      </c>
      <c r="AE47" s="52">
        <f>2.65+64.6</f>
        <v>67.25</v>
      </c>
      <c r="AF47" s="52">
        <f>-193</f>
        <v>-193</v>
      </c>
      <c r="AG47" s="52">
        <f>-32.8</f>
        <v>-32.799999999999997</v>
      </c>
      <c r="AH47" s="47"/>
      <c r="AI47" s="115" t="str">
        <f t="shared" si="5"/>
        <v xml:space="preserve">F </v>
      </c>
      <c r="AJ47" s="122" t="s">
        <v>82</v>
      </c>
      <c r="AK47" s="125"/>
      <c r="AL47" s="46"/>
      <c r="AM47" s="46"/>
      <c r="AN47" s="47">
        <v>0.65</v>
      </c>
      <c r="AO47" s="47">
        <v>0.69</v>
      </c>
      <c r="AP47" s="47">
        <v>0.52</v>
      </c>
      <c r="AQ47" s="47" t="s">
        <v>191</v>
      </c>
      <c r="AR47" s="47"/>
      <c r="AS47" s="47" t="s">
        <v>191</v>
      </c>
      <c r="AU47" s="105" t="s">
        <v>17</v>
      </c>
      <c r="AV47" s="106" t="s">
        <v>17</v>
      </c>
      <c r="AW47" s="46"/>
    </row>
    <row r="48" spans="1:49" s="25" customFormat="1" ht="25.2" customHeight="1" x14ac:dyDescent="0.15">
      <c r="A48" s="25" t="s">
        <v>442</v>
      </c>
      <c r="B48" s="47" t="s">
        <v>210</v>
      </c>
      <c r="C48" s="47" t="str">
        <f>""</f>
        <v/>
      </c>
      <c r="D48" s="47" t="s">
        <v>430</v>
      </c>
      <c r="E48" s="88" t="s">
        <v>146</v>
      </c>
      <c r="F48" s="47" t="s">
        <v>522</v>
      </c>
      <c r="G48" s="47" t="s">
        <v>422</v>
      </c>
      <c r="H48" s="47" t="s">
        <v>191</v>
      </c>
      <c r="I48" s="46"/>
      <c r="J48" s="111">
        <v>1</v>
      </c>
      <c r="K48" s="52">
        <f t="shared" si="41"/>
        <v>362.92361111111109</v>
      </c>
      <c r="L48" s="148" cm="1">
        <f t="array" ref="L48">IF(AE48="N/A","",_xlfn.IFS(Z48="m2",AC48*J48,Z48="stk",(AC48*(1/(AA48*AB48)))*J48,Z48="N/A",""))</f>
        <v>362.92361111111109</v>
      </c>
      <c r="M48" s="52">
        <f t="shared" si="42"/>
        <v>315.97222222222223</v>
      </c>
      <c r="N48" s="148" cm="1">
        <f t="array" ref="N48">_xlfn.IFS(Z48="m2",AD48*J48,Z48="stk",(AD48*(1/(AA48*AB48)))*J48,Z48="N/A","")</f>
        <v>315.97222222222223</v>
      </c>
      <c r="O48" s="52">
        <f t="shared" si="43"/>
        <v>46.951388888888886</v>
      </c>
      <c r="P48" s="148" cm="1">
        <f t="array" ref="P48">IF(AE48="N/A","",_xlfn.IFS(Z48="m2",AE48*J48,Z48="stk",(AE48*(1/(AA48*AB48)))*J48,Z48="N/A",""))</f>
        <v>46.951388888888886</v>
      </c>
      <c r="Q48" s="52">
        <f t="shared" si="44"/>
        <v>-22.777777777777775</v>
      </c>
      <c r="R48" s="155" cm="1">
        <f t="array" ref="R48">IF(AG48="N/A","",_xlfn.IFS(Z48="m2",AG48*J48,Z48="stk",(AG48*(1/(AA48*AB48)))*J48,Z48="N/A",""))</f>
        <v>-22.777777777777775</v>
      </c>
      <c r="S48" s="88" t="s">
        <v>5</v>
      </c>
      <c r="T48" s="47"/>
      <c r="U48" s="47">
        <v>2027</v>
      </c>
      <c r="V48" s="47" t="s">
        <v>28</v>
      </c>
      <c r="W48" s="47" t="s">
        <v>191</v>
      </c>
      <c r="Y48" s="47" t="s">
        <v>633</v>
      </c>
      <c r="Z48" s="47" t="s">
        <v>444</v>
      </c>
      <c r="AA48" s="47">
        <v>1.2</v>
      </c>
      <c r="AB48" s="47">
        <v>1.2</v>
      </c>
      <c r="AC48" s="52">
        <f t="shared" si="36"/>
        <v>522.61</v>
      </c>
      <c r="AD48" s="52">
        <f>455</f>
        <v>455</v>
      </c>
      <c r="AE48" s="52">
        <f>3.11+64.5</f>
        <v>67.61</v>
      </c>
      <c r="AF48" s="52">
        <f>-193</f>
        <v>-193</v>
      </c>
      <c r="AG48" s="52">
        <f>-32.8</f>
        <v>-32.799999999999997</v>
      </c>
      <c r="AH48" s="47"/>
      <c r="AI48" s="115" t="str">
        <f t="shared" si="5"/>
        <v xml:space="preserve">F </v>
      </c>
      <c r="AJ48" s="122" t="s">
        <v>82</v>
      </c>
      <c r="AK48" s="125"/>
      <c r="AL48" s="46"/>
      <c r="AM48" s="46"/>
      <c r="AN48" s="47">
        <v>0.65</v>
      </c>
      <c r="AO48" s="47">
        <v>0.69</v>
      </c>
      <c r="AP48" s="47">
        <v>0.52</v>
      </c>
      <c r="AQ48" s="47" t="s">
        <v>191</v>
      </c>
      <c r="AR48" s="47"/>
      <c r="AS48" s="47" t="s">
        <v>191</v>
      </c>
      <c r="AU48" s="105" t="s">
        <v>17</v>
      </c>
      <c r="AV48" s="106" t="s">
        <v>17</v>
      </c>
      <c r="AW48" s="46"/>
    </row>
    <row r="49" spans="1:49" s="25" customFormat="1" ht="25.2" customHeight="1" x14ac:dyDescent="0.15">
      <c r="A49" s="25" t="s">
        <v>443</v>
      </c>
      <c r="B49" s="47" t="s">
        <v>210</v>
      </c>
      <c r="C49" s="47" t="str">
        <f>""</f>
        <v/>
      </c>
      <c r="D49" s="47" t="s">
        <v>430</v>
      </c>
      <c r="E49" s="88" t="s">
        <v>146</v>
      </c>
      <c r="F49" s="47" t="s">
        <v>522</v>
      </c>
      <c r="G49" s="47" t="s">
        <v>422</v>
      </c>
      <c r="H49" s="47" t="s">
        <v>191</v>
      </c>
      <c r="I49" s="46"/>
      <c r="J49" s="111">
        <v>1</v>
      </c>
      <c r="K49" s="52">
        <f t="shared" si="41"/>
        <v>400.03472222222217</v>
      </c>
      <c r="L49" s="148" cm="1">
        <f t="array" ref="L49">IF(AE49="N/A","",_xlfn.IFS(Z49="m2",AC49*J49,Z49="stk",(AC49*(1/(AA49*AB49)))*J49,Z49="N/A",""))</f>
        <v>400.03472222222217</v>
      </c>
      <c r="M49" s="52">
        <f t="shared" si="42"/>
        <v>359.72222222222223</v>
      </c>
      <c r="N49" s="148" cm="1">
        <f t="array" ref="N49">_xlfn.IFS(Z49="m2",AD49*J49,Z49="stk",(AD49*(1/(AA49*AB49)))*J49,Z49="N/A","")</f>
        <v>359.72222222222223</v>
      </c>
      <c r="O49" s="52">
        <f t="shared" si="43"/>
        <v>40.3125</v>
      </c>
      <c r="P49" s="148" cm="1">
        <f t="array" ref="P49">IF(AE49="N/A","",_xlfn.IFS(Z49="m2",AE49*J49,Z49="stk",(AE49*(1/(AA49*AB49)))*J49,Z49="N/A",""))</f>
        <v>40.3125</v>
      </c>
      <c r="Q49" s="52">
        <f t="shared" si="44"/>
        <v>-22.569444444444443</v>
      </c>
      <c r="R49" s="155" cm="1">
        <f t="array" ref="R49">IF(AG49="N/A","",_xlfn.IFS(Z49="m2",AG49*J49,Z49="stk",(AG49*(1/(AA49*AB49)))*J49,Z49="N/A",""))</f>
        <v>-22.569444444444443</v>
      </c>
      <c r="S49" s="88" t="s">
        <v>5</v>
      </c>
      <c r="T49" s="47"/>
      <c r="U49" s="47">
        <v>2027</v>
      </c>
      <c r="V49" s="47" t="s">
        <v>28</v>
      </c>
      <c r="W49" s="47" t="s">
        <v>191</v>
      </c>
      <c r="Y49" s="47" t="s">
        <v>634</v>
      </c>
      <c r="Z49" s="47" t="s">
        <v>444</v>
      </c>
      <c r="AA49" s="47">
        <v>1.2</v>
      </c>
      <c r="AB49" s="47">
        <v>1.2</v>
      </c>
      <c r="AC49" s="52">
        <f t="shared" si="36"/>
        <v>576.04999999999995</v>
      </c>
      <c r="AD49" s="52">
        <f>518</f>
        <v>518</v>
      </c>
      <c r="AE49" s="52">
        <f>1.55+56.5</f>
        <v>58.05</v>
      </c>
      <c r="AF49" s="52">
        <f>-339</f>
        <v>-339</v>
      </c>
      <c r="AG49" s="52">
        <f>-32.5</f>
        <v>-32.5</v>
      </c>
      <c r="AH49" s="47"/>
      <c r="AI49" s="115" t="str">
        <f t="shared" si="5"/>
        <v xml:space="preserve">F </v>
      </c>
      <c r="AJ49" s="122" t="s">
        <v>82</v>
      </c>
      <c r="AK49" s="125"/>
      <c r="AL49" s="46"/>
      <c r="AM49" s="46"/>
      <c r="AN49" s="47">
        <v>0.65</v>
      </c>
      <c r="AO49" s="47">
        <v>0.69</v>
      </c>
      <c r="AP49" s="47">
        <v>0.52</v>
      </c>
      <c r="AQ49" s="47" t="s">
        <v>191</v>
      </c>
      <c r="AR49" s="47"/>
      <c r="AS49" s="47" t="s">
        <v>191</v>
      </c>
      <c r="AU49" s="105" t="s">
        <v>17</v>
      </c>
      <c r="AV49" s="106" t="s">
        <v>17</v>
      </c>
      <c r="AW49" s="46"/>
    </row>
    <row r="50" spans="1:49" s="25" customFormat="1" ht="25.2" customHeight="1" x14ac:dyDescent="0.15">
      <c r="A50" s="25" t="s">
        <v>512</v>
      </c>
      <c r="B50" s="47" t="s">
        <v>208</v>
      </c>
      <c r="C50" s="47" t="str">
        <f>""</f>
        <v/>
      </c>
      <c r="D50" s="47" t="s">
        <v>404</v>
      </c>
      <c r="E50" s="88" t="s">
        <v>146</v>
      </c>
      <c r="F50" s="47" t="s">
        <v>523</v>
      </c>
      <c r="G50" s="47" t="s">
        <v>422</v>
      </c>
      <c r="H50" s="47" t="s">
        <v>191</v>
      </c>
      <c r="I50" s="46"/>
      <c r="J50" s="111">
        <v>1</v>
      </c>
      <c r="K50" s="52">
        <f t="shared" ref="K50:K57" si="45">IF(AE50="N/A","N/A",IF(L50="","N/A",L50))</f>
        <v>88.856000000000009</v>
      </c>
      <c r="L50" s="148" cm="1">
        <f t="array" ref="L50">IF(AE50="N/A","",_xlfn.IFS(Z50="m2",AC50*J50,Z50="stk",(AC50*(1/(AA50*AB50)))*J50,Z50="N/A",""))</f>
        <v>88.856000000000009</v>
      </c>
      <c r="M50" s="52">
        <f t="shared" ref="M50:M57" si="46">IF(N50="","N/A",N50)</f>
        <v>29.600000000000005</v>
      </c>
      <c r="N50" s="148" cm="1">
        <f t="array" ref="N50">_xlfn.IFS(Z50="m2",AD50*J50,Z50="stk",(AD50*(1/(AA50*AB50)))*J50,Z50="N/A","")</f>
        <v>29.600000000000005</v>
      </c>
      <c r="O50" s="52">
        <f t="shared" ref="O50:O57" si="47">IF(P50="","N/A",P50)</f>
        <v>59.256</v>
      </c>
      <c r="P50" s="148" cm="1">
        <f t="array" ref="P50">IF(AE50="N/A","",_xlfn.IFS(Z50="m2",AE50*J50,Z50="stk",(AE50*(1/(AA50*AB50)))*J50,Z50="N/A",""))</f>
        <v>59.256</v>
      </c>
      <c r="Q50" s="52">
        <f t="shared" ref="Q50:Q57" si="48">IF(R50="","N/A",R50)</f>
        <v>-92.972999999999999</v>
      </c>
      <c r="R50" s="155" cm="1">
        <f t="array" ref="R50">IF(AG50="N/A","",_xlfn.IFS(Z50="m2",AG50*J50,Z50="stk",(AG50*(1/(AA50*AB50)))*J50,Z50="N/A",""))</f>
        <v>-92.972999999999999</v>
      </c>
      <c r="S50" s="88" t="s">
        <v>5</v>
      </c>
      <c r="T50" s="47"/>
      <c r="U50" s="47">
        <v>2028</v>
      </c>
      <c r="V50" s="47" t="s">
        <v>28</v>
      </c>
      <c r="W50" s="47">
        <v>30</v>
      </c>
      <c r="Y50" s="47" t="s">
        <v>635</v>
      </c>
      <c r="Z50" s="47" t="s">
        <v>15</v>
      </c>
      <c r="AA50" s="47">
        <v>1.48</v>
      </c>
      <c r="AB50" s="47">
        <v>1.23</v>
      </c>
      <c r="AC50" s="52">
        <f t="shared" ref="AC50:AC58" si="49">IF(AE50="N/A","N/A",SUM(AD50:AE50))</f>
        <v>88.856000000000009</v>
      </c>
      <c r="AD50" s="52">
        <f>43+1.2+6.7+(-39 +11+6.7)</f>
        <v>29.600000000000005</v>
      </c>
      <c r="AE50" s="52">
        <f>20+0.066+(39+0.19)</f>
        <v>59.256</v>
      </c>
      <c r="AF50" s="52">
        <f>-100+(-4.7)</f>
        <v>-104.7</v>
      </c>
      <c r="AG50" s="52">
        <f>-32 +0.003 +8+(-77+0.024+8)</f>
        <v>-92.972999999999999</v>
      </c>
      <c r="AH50" s="47"/>
      <c r="AI50" s="115" t="str">
        <f t="shared" si="5"/>
        <v xml:space="preserve">F </v>
      </c>
      <c r="AJ50" s="122" t="s">
        <v>82</v>
      </c>
      <c r="AK50" s="125"/>
      <c r="AL50" s="46"/>
      <c r="AM50" s="46"/>
      <c r="AN50" s="47" t="s">
        <v>191</v>
      </c>
      <c r="AO50" s="47" t="s">
        <v>191</v>
      </c>
      <c r="AP50" s="47" t="s">
        <v>191</v>
      </c>
      <c r="AQ50" s="47" t="s">
        <v>191</v>
      </c>
      <c r="AR50" s="167"/>
      <c r="AS50" s="167">
        <f>1/0.07+1/0.028</f>
        <v>50</v>
      </c>
      <c r="AU50" s="105" t="s">
        <v>17</v>
      </c>
      <c r="AV50" s="73"/>
      <c r="AW50" s="46"/>
    </row>
    <row r="51" spans="1:49" s="25" customFormat="1" ht="25.2" customHeight="1" x14ac:dyDescent="0.15">
      <c r="A51" s="25" t="s">
        <v>513</v>
      </c>
      <c r="B51" s="47" t="s">
        <v>208</v>
      </c>
      <c r="C51" s="47" t="str">
        <f>""</f>
        <v/>
      </c>
      <c r="D51" s="47" t="s">
        <v>404</v>
      </c>
      <c r="E51" s="88" t="s">
        <v>146</v>
      </c>
      <c r="F51" s="47" t="s">
        <v>523</v>
      </c>
      <c r="G51" s="47" t="s">
        <v>422</v>
      </c>
      <c r="H51" s="47" t="s">
        <v>191</v>
      </c>
      <c r="I51" s="46"/>
      <c r="J51" s="111">
        <v>1</v>
      </c>
      <c r="K51" s="52">
        <f t="shared" si="45"/>
        <v>157.32300000000001</v>
      </c>
      <c r="L51" s="148" cm="1">
        <f t="array" ref="L51">IF(AE51="N/A","",_xlfn.IFS(Z51="m2",AC51*J51,Z51="stk",(AC51*(1/(AA51*AB51)))*J51,Z51="N/A",""))</f>
        <v>157.32300000000001</v>
      </c>
      <c r="M51" s="52">
        <f t="shared" si="46"/>
        <v>104.10000000000001</v>
      </c>
      <c r="N51" s="148" cm="1">
        <f t="array" ref="N51">_xlfn.IFS(Z51="m2",AD51*J51,Z51="stk",(AD51*(1/(AA51*AB51)))*J51,Z51="N/A","")</f>
        <v>104.10000000000001</v>
      </c>
      <c r="O51" s="52">
        <f t="shared" si="47"/>
        <v>53.222999999999999</v>
      </c>
      <c r="P51" s="148" cm="1">
        <f t="array" ref="P51">IF(AE51="N/A","",_xlfn.IFS(Z51="m2",AE51*J51,Z51="stk",(AE51*(1/(AA51*AB51)))*J51,Z51="N/A",""))</f>
        <v>53.222999999999999</v>
      </c>
      <c r="Q51" s="52">
        <f t="shared" si="48"/>
        <v>-79.978099999999998</v>
      </c>
      <c r="R51" s="155" cm="1">
        <f t="array" ref="R51">IF(AG51="N/A","",_xlfn.IFS(Z51="m2",AG51*J51,Z51="stk",(AG51*(1/(AA51*AB51)))*J51,Z51="N/A",""))</f>
        <v>-79.978099999999998</v>
      </c>
      <c r="S51" s="88" t="s">
        <v>5</v>
      </c>
      <c r="T51" s="47"/>
      <c r="U51" s="47">
        <v>2028</v>
      </c>
      <c r="V51" s="47" t="s">
        <v>28</v>
      </c>
      <c r="W51" s="47">
        <v>30</v>
      </c>
      <c r="Y51" s="47" t="s">
        <v>635</v>
      </c>
      <c r="Z51" s="47" t="s">
        <v>15</v>
      </c>
      <c r="AA51" s="47">
        <v>2.1800000000000002</v>
      </c>
      <c r="AB51" s="47">
        <v>1.48</v>
      </c>
      <c r="AC51" s="52">
        <f t="shared" si="49"/>
        <v>157.32300000000001</v>
      </c>
      <c r="AD51" s="52">
        <f>46 +1.1+6.7+(35 +8.6+6.7 )</f>
        <v>104.10000000000001</v>
      </c>
      <c r="AE51" s="52">
        <f>20 +0.063+(33+0.16)</f>
        <v>53.222999999999999</v>
      </c>
      <c r="AF51" s="52">
        <f>-81+(-4)</f>
        <v>-85</v>
      </c>
      <c r="AG51" s="52">
        <f>-29 +0.0029+8+(-67+0.019+8)</f>
        <v>-79.978099999999998</v>
      </c>
      <c r="AH51" s="47"/>
      <c r="AI51" s="115" t="str">
        <f t="shared" si="5"/>
        <v xml:space="preserve">F </v>
      </c>
      <c r="AJ51" s="122" t="s">
        <v>82</v>
      </c>
      <c r="AK51" s="125"/>
      <c r="AL51" s="46"/>
      <c r="AM51" s="46"/>
      <c r="AN51" s="47" t="s">
        <v>191</v>
      </c>
      <c r="AO51" s="47" t="s">
        <v>191</v>
      </c>
      <c r="AP51" s="47" t="s">
        <v>191</v>
      </c>
      <c r="AQ51" s="47" t="s">
        <v>191</v>
      </c>
      <c r="AR51" s="167"/>
      <c r="AS51" s="167">
        <f>1/0.076+1/0.034</f>
        <v>42.569659442724458</v>
      </c>
      <c r="AU51" s="105" t="s">
        <v>17</v>
      </c>
      <c r="AV51" s="73"/>
      <c r="AW51" s="46"/>
    </row>
    <row r="52" spans="1:49" s="25" customFormat="1" ht="25.2" customHeight="1" x14ac:dyDescent="0.15">
      <c r="A52" s="25" t="s">
        <v>514</v>
      </c>
      <c r="B52" s="47" t="s">
        <v>208</v>
      </c>
      <c r="C52" s="47" t="str">
        <f>""</f>
        <v/>
      </c>
      <c r="D52" s="47" t="s">
        <v>404</v>
      </c>
      <c r="E52" s="88" t="s">
        <v>146</v>
      </c>
      <c r="F52" s="47" t="s">
        <v>523</v>
      </c>
      <c r="G52" s="47" t="s">
        <v>422</v>
      </c>
      <c r="H52" s="47" t="s">
        <v>191</v>
      </c>
      <c r="I52" s="46"/>
      <c r="J52" s="111">
        <v>1</v>
      </c>
      <c r="K52" s="52">
        <f t="shared" si="45"/>
        <v>127.273</v>
      </c>
      <c r="L52" s="148" cm="1">
        <f t="array" ref="L52">IF(AE52="N/A","",_xlfn.IFS(Z52="m2",AC52*J52,Z52="stk",(AC52*(1/(AA52*AB52)))*J52,Z52="N/A",""))</f>
        <v>127.273</v>
      </c>
      <c r="M52" s="52">
        <f t="shared" si="46"/>
        <v>61</v>
      </c>
      <c r="N52" s="148" cm="1">
        <f t="array" ref="N52">_xlfn.IFS(Z52="m2",AD52*J52,Z52="stk",(AD52*(1/(AA52*AB52)))*J52,Z52="N/A","")</f>
        <v>61</v>
      </c>
      <c r="O52" s="52">
        <f t="shared" si="47"/>
        <v>66.272999999999996</v>
      </c>
      <c r="P52" s="148" cm="1">
        <f t="array" ref="P52">IF(AE52="N/A","",_xlfn.IFS(Z52="m2",AE52*J52,Z52="stk",(AE52*(1/(AA52*AB52)))*J52,Z52="N/A",""))</f>
        <v>66.272999999999996</v>
      </c>
      <c r="Q52" s="52">
        <f t="shared" si="48"/>
        <v>-91.972200000000001</v>
      </c>
      <c r="R52" s="155" cm="1">
        <f t="array" ref="R52">IF(AG52="N/A","",_xlfn.IFS(Z52="m2",AG52*J52,Z52="stk",(AG52*(1/(AA52*AB52)))*J52,Z52="N/A",""))</f>
        <v>-91.972200000000001</v>
      </c>
      <c r="S52" s="88" t="s">
        <v>5</v>
      </c>
      <c r="T52" s="47"/>
      <c r="U52" s="47">
        <v>2028</v>
      </c>
      <c r="V52" s="47" t="s">
        <v>28</v>
      </c>
      <c r="W52" s="47">
        <v>30</v>
      </c>
      <c r="Y52" s="47" t="s">
        <v>635</v>
      </c>
      <c r="Z52" s="47" t="s">
        <v>15</v>
      </c>
      <c r="AA52" s="47">
        <v>1.48</v>
      </c>
      <c r="AB52" s="47">
        <v>1.23</v>
      </c>
      <c r="AC52" s="52">
        <f t="shared" si="49"/>
        <v>127.273</v>
      </c>
      <c r="AD52" s="52">
        <f>74 +1.6+6.7+(-39 +11+6.7)</f>
        <v>61</v>
      </c>
      <c r="AE52" s="52">
        <f>27+0.083+(39+0.19)</f>
        <v>66.272999999999996</v>
      </c>
      <c r="AF52" s="52">
        <f>-100+(-4.7)</f>
        <v>-104.7</v>
      </c>
      <c r="AG52" s="52">
        <f>-31 +0.0038+8+(-77+0.024+8)</f>
        <v>-91.972200000000001</v>
      </c>
      <c r="AH52" s="47"/>
      <c r="AI52" s="115" t="str">
        <f t="shared" si="5"/>
        <v xml:space="preserve">F </v>
      </c>
      <c r="AJ52" s="122" t="s">
        <v>82</v>
      </c>
      <c r="AK52" s="125"/>
      <c r="AL52" s="46"/>
      <c r="AM52" s="46"/>
      <c r="AN52" s="47" t="s">
        <v>191</v>
      </c>
      <c r="AO52" s="47" t="s">
        <v>191</v>
      </c>
      <c r="AP52" s="47" t="s">
        <v>191</v>
      </c>
      <c r="AQ52" s="47" t="s">
        <v>191</v>
      </c>
      <c r="AR52" s="167"/>
      <c r="AS52" s="167">
        <f>1/0.058+1/0.028</f>
        <v>52.955665024630541</v>
      </c>
      <c r="AU52" s="105" t="s">
        <v>17</v>
      </c>
      <c r="AV52" s="73"/>
      <c r="AW52" s="46"/>
    </row>
    <row r="53" spans="1:49" s="25" customFormat="1" ht="25.2" customHeight="1" x14ac:dyDescent="0.15">
      <c r="A53" s="25" t="s">
        <v>515</v>
      </c>
      <c r="B53" s="47" t="s">
        <v>208</v>
      </c>
      <c r="C53" s="47" t="str">
        <f>""</f>
        <v/>
      </c>
      <c r="D53" s="47" t="s">
        <v>404</v>
      </c>
      <c r="E53" s="88" t="s">
        <v>146</v>
      </c>
      <c r="F53" s="47" t="s">
        <v>523</v>
      </c>
      <c r="G53" s="47" t="s">
        <v>422</v>
      </c>
      <c r="H53" s="47" t="s">
        <v>191</v>
      </c>
      <c r="I53" s="46"/>
      <c r="J53" s="111">
        <v>1</v>
      </c>
      <c r="K53" s="52">
        <f t="shared" si="45"/>
        <v>194.84399999999999</v>
      </c>
      <c r="L53" s="148" cm="1">
        <f t="array" ref="L53">IF(AE53="N/A","",_xlfn.IFS(Z53="m2",AC53*J53,Z53="stk",(AC53*(1/(AA53*AB53)))*J53,Z53="N/A",""))</f>
        <v>194.84399999999999</v>
      </c>
      <c r="M53" s="52">
        <f t="shared" si="46"/>
        <v>133.6</v>
      </c>
      <c r="N53" s="148" cm="1">
        <f t="array" ref="N53">_xlfn.IFS(Z53="m2",AD53*J53,Z53="stk",(AD53*(1/(AA53*AB53)))*J53,Z53="N/A","")</f>
        <v>133.6</v>
      </c>
      <c r="O53" s="52">
        <f t="shared" si="47"/>
        <v>61.244</v>
      </c>
      <c r="P53" s="148" cm="1">
        <f t="array" ref="P53">IF(AE53="N/A","",_xlfn.IFS(Z53="m2",AE53*J53,Z53="stk",(AE53*(1/(AA53*AB53)))*J53,Z53="N/A",""))</f>
        <v>61.244</v>
      </c>
      <c r="Q53" s="52">
        <f t="shared" si="48"/>
        <v>-80.977199999999996</v>
      </c>
      <c r="R53" s="155" cm="1">
        <f t="array" ref="R53">IF(AG53="N/A","",_xlfn.IFS(Z53="m2",AG53*J53,Z53="stk",(AG53*(1/(AA53*AB53)))*J53,Z53="N/A",""))</f>
        <v>-80.977199999999996</v>
      </c>
      <c r="S53" s="88" t="s">
        <v>5</v>
      </c>
      <c r="T53" s="47"/>
      <c r="U53" s="47">
        <v>2028</v>
      </c>
      <c r="V53" s="47" t="s">
        <v>28</v>
      </c>
      <c r="W53" s="47">
        <v>30</v>
      </c>
      <c r="Y53" s="47" t="s">
        <v>635</v>
      </c>
      <c r="Z53" s="47" t="s">
        <v>15</v>
      </c>
      <c r="AA53" s="47">
        <v>2.1800000000000002</v>
      </c>
      <c r="AB53" s="47">
        <v>1.48</v>
      </c>
      <c r="AC53" s="52">
        <f t="shared" si="49"/>
        <v>194.84399999999999</v>
      </c>
      <c r="AD53" s="52">
        <f>75+1.6+6.7+(35 +8.6+6.7 )</f>
        <v>133.6</v>
      </c>
      <c r="AE53" s="52">
        <f>28+0.084+(33+0.16)</f>
        <v>61.244</v>
      </c>
      <c r="AF53" s="52">
        <f>-85+(-4)</f>
        <v>-89</v>
      </c>
      <c r="AG53" s="52">
        <f>-30+0.0038 +8+(-67+0.019+8)</f>
        <v>-80.977199999999996</v>
      </c>
      <c r="AH53" s="47"/>
      <c r="AI53" s="115" t="str">
        <f t="shared" si="5"/>
        <v xml:space="preserve">F </v>
      </c>
      <c r="AJ53" s="122" t="s">
        <v>82</v>
      </c>
      <c r="AK53" s="125"/>
      <c r="AL53" s="46"/>
      <c r="AM53" s="46"/>
      <c r="AN53" s="47" t="s">
        <v>191</v>
      </c>
      <c r="AO53" s="47" t="s">
        <v>191</v>
      </c>
      <c r="AP53" s="47" t="s">
        <v>191</v>
      </c>
      <c r="AQ53" s="47" t="s">
        <v>191</v>
      </c>
      <c r="AR53" s="167"/>
      <c r="AS53" s="167">
        <f>1/0.059+1/0.034</f>
        <v>46.360917248255234</v>
      </c>
      <c r="AU53" s="105" t="s">
        <v>17</v>
      </c>
      <c r="AV53" s="73"/>
      <c r="AW53" s="46"/>
    </row>
    <row r="54" spans="1:49" s="25" customFormat="1" ht="25.2" customHeight="1" x14ac:dyDescent="0.15">
      <c r="A54" s="25" t="s">
        <v>516</v>
      </c>
      <c r="B54" s="47" t="s">
        <v>208</v>
      </c>
      <c r="C54" s="47" t="str">
        <f>""</f>
        <v/>
      </c>
      <c r="D54" s="47" t="s">
        <v>404</v>
      </c>
      <c r="E54" s="88" t="s">
        <v>146</v>
      </c>
      <c r="F54" s="47" t="s">
        <v>523</v>
      </c>
      <c r="G54" s="47" t="s">
        <v>422</v>
      </c>
      <c r="H54" s="47" t="s">
        <v>191</v>
      </c>
      <c r="I54" s="46"/>
      <c r="J54" s="111">
        <v>1</v>
      </c>
      <c r="K54" s="52">
        <f t="shared" si="45"/>
        <v>166.01999999999998</v>
      </c>
      <c r="L54" s="148" cm="1">
        <f t="array" ref="L54">IF(AE54="N/A","",_xlfn.IFS(Z54="m2",AC54*J54,Z54="stk",(AC54*(1/(AA54*AB54)))*J54,Z54="N/A",""))</f>
        <v>166.01999999999998</v>
      </c>
      <c r="M54" s="52">
        <f t="shared" si="46"/>
        <v>85.7</v>
      </c>
      <c r="N54" s="148" cm="1">
        <f t="array" ref="N54">_xlfn.IFS(Z54="m2",AD54*J54,Z54="stk",(AD54*(1/(AA54*AB54)))*J54,Z54="N/A","")</f>
        <v>85.7</v>
      </c>
      <c r="O54" s="52">
        <f t="shared" si="47"/>
        <v>80.319999999999993</v>
      </c>
      <c r="P54" s="148" cm="1">
        <f t="array" ref="P54">IF(AE54="N/A","",_xlfn.IFS(Z54="m2",AE54*J54,Z54="stk",(AE54*(1/(AA54*AB54)))*J54,Z54="N/A",""))</f>
        <v>80.319999999999993</v>
      </c>
      <c r="Q54" s="52">
        <f t="shared" si="48"/>
        <v>-102.97069999999999</v>
      </c>
      <c r="R54" s="155" cm="1">
        <f t="array" ref="R54">IF(AG54="N/A","",_xlfn.IFS(Z54="m2",AG54*J54,Z54="stk",(AG54*(1/(AA54*AB54)))*J54,Z54="N/A",""))</f>
        <v>-102.97069999999999</v>
      </c>
      <c r="S54" s="88" t="s">
        <v>5</v>
      </c>
      <c r="T54" s="47"/>
      <c r="U54" s="47">
        <v>2028</v>
      </c>
      <c r="V54" s="47" t="s">
        <v>28</v>
      </c>
      <c r="W54" s="47">
        <v>30</v>
      </c>
      <c r="Y54" s="47" t="s">
        <v>635</v>
      </c>
      <c r="Z54" s="47" t="s">
        <v>15</v>
      </c>
      <c r="AA54" s="47">
        <v>1.48</v>
      </c>
      <c r="AB54" s="47">
        <v>1.23</v>
      </c>
      <c r="AC54" s="52">
        <f t="shared" si="49"/>
        <v>166.01999999999998</v>
      </c>
      <c r="AD54" s="52">
        <f>98 +2.3+6.7+(-39 +11+6.7)</f>
        <v>85.7</v>
      </c>
      <c r="AE54" s="52">
        <f>41+0.13+(39+0.19)</f>
        <v>80.319999999999993</v>
      </c>
      <c r="AF54" s="52">
        <f>-120+(-4.7)</f>
        <v>-124.7</v>
      </c>
      <c r="AG54" s="52">
        <f>-42 +0.0053 +8+(-77+0.024+8)</f>
        <v>-102.97069999999999</v>
      </c>
      <c r="AH54" s="47"/>
      <c r="AI54" s="115" t="str">
        <f t="shared" si="5"/>
        <v xml:space="preserve">F </v>
      </c>
      <c r="AJ54" s="122" t="s">
        <v>82</v>
      </c>
      <c r="AK54" s="125"/>
      <c r="AL54" s="46"/>
      <c r="AM54" s="46"/>
      <c r="AN54" s="47" t="s">
        <v>191</v>
      </c>
      <c r="AO54" s="47" t="s">
        <v>191</v>
      </c>
      <c r="AP54" s="47" t="s">
        <v>191</v>
      </c>
      <c r="AQ54" s="47" t="s">
        <v>191</v>
      </c>
      <c r="AR54" s="167"/>
      <c r="AS54" s="167">
        <f>1/0.038+1/0.028</f>
        <v>62.030075187969928</v>
      </c>
      <c r="AU54" s="105" t="s">
        <v>17</v>
      </c>
      <c r="AV54" s="73"/>
      <c r="AW54" s="46"/>
    </row>
    <row r="55" spans="1:49" s="25" customFormat="1" ht="25.2" customHeight="1" x14ac:dyDescent="0.15">
      <c r="A55" s="25" t="s">
        <v>517</v>
      </c>
      <c r="B55" s="47" t="s">
        <v>208</v>
      </c>
      <c r="C55" s="47" t="str">
        <f>""</f>
        <v/>
      </c>
      <c r="D55" s="47" t="s">
        <v>404</v>
      </c>
      <c r="E55" s="88" t="s">
        <v>146</v>
      </c>
      <c r="F55" s="47" t="s">
        <v>523</v>
      </c>
      <c r="G55" s="47" t="s">
        <v>422</v>
      </c>
      <c r="H55" s="47" t="s">
        <v>191</v>
      </c>
      <c r="I55" s="46"/>
      <c r="J55" s="111">
        <v>1</v>
      </c>
      <c r="K55" s="52">
        <f t="shared" si="45"/>
        <v>231.48000000000002</v>
      </c>
      <c r="L55" s="148" cm="1">
        <f t="array" ref="L55">IF(AE55="N/A","",_xlfn.IFS(Z55="m2",AC55*J55,Z55="stk",(AC55*(1/(AA55*AB55)))*J55,Z55="N/A",""))</f>
        <v>231.48000000000002</v>
      </c>
      <c r="M55" s="52">
        <f t="shared" si="46"/>
        <v>159.20000000000002</v>
      </c>
      <c r="N55" s="148" cm="1">
        <f t="array" ref="N55">_xlfn.IFS(Z55="m2",AD55*J55,Z55="stk",(AD55*(1/(AA55*AB55)))*J55,Z55="N/A","")</f>
        <v>159.20000000000002</v>
      </c>
      <c r="O55" s="52">
        <f t="shared" si="47"/>
        <v>72.28</v>
      </c>
      <c r="P55" s="148" cm="1">
        <f t="array" ref="P55">IF(AE55="N/A","",_xlfn.IFS(Z55="m2",AE55*J55,Z55="stk",(AE55*(1/(AA55*AB55)))*J55,Z55="N/A",""))</f>
        <v>72.28</v>
      </c>
      <c r="Q55" s="52">
        <f t="shared" si="48"/>
        <v>-86.975999999999999</v>
      </c>
      <c r="R55" s="155" cm="1">
        <f t="array" ref="R55">IF(AG55="N/A","",_xlfn.IFS(Z55="m2",AG55*J55,Z55="stk",(AG55*(1/(AA55*AB55)))*J55,Z55="N/A",""))</f>
        <v>-86.975999999999999</v>
      </c>
      <c r="S55" s="88" t="s">
        <v>5</v>
      </c>
      <c r="T55" s="47"/>
      <c r="U55" s="47">
        <v>2028</v>
      </c>
      <c r="V55" s="47" t="s">
        <v>28</v>
      </c>
      <c r="W55" s="47">
        <v>30</v>
      </c>
      <c r="Y55" s="47" t="s">
        <v>635</v>
      </c>
      <c r="Z55" s="47" t="s">
        <v>15</v>
      </c>
      <c r="AA55" s="47">
        <v>2.1800000000000002</v>
      </c>
      <c r="AB55" s="47">
        <v>1.48</v>
      </c>
      <c r="AC55" s="52">
        <f t="shared" si="49"/>
        <v>231.48000000000002</v>
      </c>
      <c r="AD55" s="52">
        <f>100+2.2+6.7+(35 +8.6+6.7 )</f>
        <v>159.20000000000002</v>
      </c>
      <c r="AE55" s="52">
        <f>39+0.12+(33+0.16)</f>
        <v>72.28</v>
      </c>
      <c r="AF55" s="52">
        <f>-99+(-4)</f>
        <v>-103</v>
      </c>
      <c r="AG55" s="52">
        <f>-36+0.005+8+(-67+0.019+8)</f>
        <v>-86.975999999999999</v>
      </c>
      <c r="AH55" s="47"/>
      <c r="AI55" s="115" t="str">
        <f t="shared" si="5"/>
        <v xml:space="preserve">F </v>
      </c>
      <c r="AJ55" s="122" t="s">
        <v>82</v>
      </c>
      <c r="AK55" s="125"/>
      <c r="AL55" s="46"/>
      <c r="AM55" s="46"/>
      <c r="AN55" s="47" t="s">
        <v>191</v>
      </c>
      <c r="AO55" s="47" t="s">
        <v>191</v>
      </c>
      <c r="AP55" s="47" t="s">
        <v>191</v>
      </c>
      <c r="AQ55" s="47" t="s">
        <v>191</v>
      </c>
      <c r="AR55" s="167"/>
      <c r="AS55" s="167">
        <f>1/0.043+1/0.034</f>
        <v>52.667578659370726</v>
      </c>
      <c r="AU55" s="105" t="s">
        <v>17</v>
      </c>
      <c r="AV55" s="73"/>
      <c r="AW55" s="46"/>
    </row>
    <row r="56" spans="1:49" s="25" customFormat="1" ht="25.2" customHeight="1" x14ac:dyDescent="0.15">
      <c r="A56" s="25" t="s">
        <v>518</v>
      </c>
      <c r="B56" s="47" t="s">
        <v>208</v>
      </c>
      <c r="C56" s="47" t="str">
        <f>""</f>
        <v/>
      </c>
      <c r="D56" s="47" t="s">
        <v>404</v>
      </c>
      <c r="E56" s="88" t="s">
        <v>146</v>
      </c>
      <c r="F56" s="47" t="s">
        <v>523</v>
      </c>
      <c r="G56" s="47" t="s">
        <v>422</v>
      </c>
      <c r="H56" s="47" t="s">
        <v>191</v>
      </c>
      <c r="I56" s="46"/>
      <c r="J56" s="111">
        <v>1</v>
      </c>
      <c r="K56" s="52">
        <f t="shared" si="45"/>
        <v>102.961</v>
      </c>
      <c r="L56" s="148" cm="1">
        <f t="array" ref="L56">IF(AE56="N/A","",_xlfn.IFS(Z56="m2",AC56*J56,Z56="stk",(AC56*(1/(AA56*AB56)))*J56,Z56="N/A",""))</f>
        <v>102.961</v>
      </c>
      <c r="M56" s="52">
        <f t="shared" si="46"/>
        <v>41.7</v>
      </c>
      <c r="N56" s="148" cm="1">
        <f t="array" ref="N56">_xlfn.IFS(Z56="m2",AD56*J56,Z56="stk",(AD56*(1/(AA56*AB56)))*J56,Z56="N/A","")</f>
        <v>41.7</v>
      </c>
      <c r="O56" s="52">
        <f t="shared" si="47"/>
        <v>61.260999999999996</v>
      </c>
      <c r="P56" s="148" cm="1">
        <f t="array" ref="P56">IF(AE56="N/A","",_xlfn.IFS(Z56="m2",AE56*J56,Z56="stk",(AE56*(1/(AA56*AB56)))*J56,Z56="N/A",""))</f>
        <v>61.260999999999996</v>
      </c>
      <c r="Q56" s="52">
        <f t="shared" si="48"/>
        <v>-91.972800000000007</v>
      </c>
      <c r="R56" s="155" cm="1">
        <f t="array" ref="R56">IF(AG56="N/A","",_xlfn.IFS(Z56="m2",AG56*J56,Z56="stk",(AG56*(1/(AA56*AB56)))*J56,Z56="N/A",""))</f>
        <v>-91.972800000000007</v>
      </c>
      <c r="S56" s="88" t="s">
        <v>5</v>
      </c>
      <c r="T56" s="47"/>
      <c r="U56" s="47">
        <v>2028</v>
      </c>
      <c r="V56" s="47" t="s">
        <v>28</v>
      </c>
      <c r="W56" s="47">
        <v>30</v>
      </c>
      <c r="Y56" s="47" t="s">
        <v>635</v>
      </c>
      <c r="Z56" s="47" t="s">
        <v>15</v>
      </c>
      <c r="AA56" s="47">
        <v>1.48</v>
      </c>
      <c r="AB56" s="47">
        <v>1.23</v>
      </c>
      <c r="AC56" s="52">
        <f t="shared" si="49"/>
        <v>102.961</v>
      </c>
      <c r="AD56" s="52">
        <f>55 +1.3+6.7+(-39 +11+6.7)</f>
        <v>41.7</v>
      </c>
      <c r="AE56" s="52">
        <f>22 +0.071+(39+0.19)</f>
        <v>61.260999999999996</v>
      </c>
      <c r="AF56" s="52">
        <f>-100+(-4.7)</f>
        <v>-104.7</v>
      </c>
      <c r="AG56" s="52">
        <f>-31+0.0032 +8+(-77+0.024+8)</f>
        <v>-91.972800000000007</v>
      </c>
      <c r="AH56" s="47"/>
      <c r="AI56" s="115" t="str">
        <f t="shared" si="5"/>
        <v xml:space="preserve">F </v>
      </c>
      <c r="AJ56" s="122" t="s">
        <v>82</v>
      </c>
      <c r="AK56" s="125"/>
      <c r="AL56" s="46"/>
      <c r="AM56" s="46"/>
      <c r="AN56" s="47" t="s">
        <v>191</v>
      </c>
      <c r="AO56" s="47" t="s">
        <v>191</v>
      </c>
      <c r="AP56" s="47" t="s">
        <v>191</v>
      </c>
      <c r="AQ56" s="47" t="s">
        <v>191</v>
      </c>
      <c r="AR56" s="167"/>
      <c r="AS56" s="167">
        <f>1/0.066+1/0.028</f>
        <v>50.865800865800864</v>
      </c>
      <c r="AU56" s="105" t="s">
        <v>17</v>
      </c>
      <c r="AV56" s="73"/>
      <c r="AW56" s="46"/>
    </row>
    <row r="57" spans="1:49" s="25" customFormat="1" ht="25.2" customHeight="1" x14ac:dyDescent="0.15">
      <c r="A57" s="25" t="s">
        <v>519</v>
      </c>
      <c r="B57" s="47" t="s">
        <v>208</v>
      </c>
      <c r="C57" s="47" t="str">
        <f>""</f>
        <v/>
      </c>
      <c r="D57" s="47" t="s">
        <v>404</v>
      </c>
      <c r="E57" s="88" t="s">
        <v>146</v>
      </c>
      <c r="F57" s="47" t="s">
        <v>523</v>
      </c>
      <c r="G57" s="47" t="s">
        <v>422</v>
      </c>
      <c r="H57" s="47" t="s">
        <v>191</v>
      </c>
      <c r="I57" s="46"/>
      <c r="J57" s="111">
        <v>1</v>
      </c>
      <c r="K57" s="52">
        <f t="shared" si="45"/>
        <v>166.53100000000001</v>
      </c>
      <c r="L57" s="148" cm="1">
        <f t="array" ref="L57">IF(AE57="N/A","",_xlfn.IFS(Z57="m2",AC57*J57,Z57="stk",(AC57*(1/(AA57*AB57)))*J57,Z57="N/A",""))</f>
        <v>166.53100000000001</v>
      </c>
      <c r="M57" s="52">
        <f t="shared" si="46"/>
        <v>111.30000000000001</v>
      </c>
      <c r="N57" s="148" cm="1">
        <f t="array" ref="N57">_xlfn.IFS(Z57="m2",AD57*J57,Z57="stk",(AD57*(1/(AA57*AB57)))*J57,Z57="N/A","")</f>
        <v>111.30000000000001</v>
      </c>
      <c r="O57" s="52">
        <f t="shared" si="47"/>
        <v>55.230999999999995</v>
      </c>
      <c r="P57" s="148" cm="1">
        <f t="array" ref="P57">IF(AE57="N/A","",_xlfn.IFS(Z57="m2",AE57*J57,Z57="stk",(AE57*(1/(AA57*AB57)))*J57,Z57="N/A",""))</f>
        <v>55.230999999999995</v>
      </c>
      <c r="Q57" s="52">
        <f t="shared" si="48"/>
        <v>-80.977800000000002</v>
      </c>
      <c r="R57" s="155" cm="1">
        <f t="array" ref="R57">IF(AG57="N/A","",_xlfn.IFS(Z57="m2",AG57*J57,Z57="stk",(AG57*(1/(AA57*AB57)))*J57,Z57="N/A",""))</f>
        <v>-80.977800000000002</v>
      </c>
      <c r="S57" s="88" t="s">
        <v>5</v>
      </c>
      <c r="T57" s="47"/>
      <c r="U57" s="47">
        <v>2028</v>
      </c>
      <c r="V57" s="47" t="s">
        <v>28</v>
      </c>
      <c r="W57" s="47">
        <v>30</v>
      </c>
      <c r="Y57" s="47" t="s">
        <v>635</v>
      </c>
      <c r="Z57" s="47" t="s">
        <v>15</v>
      </c>
      <c r="AA57" s="47">
        <v>2.1800000000000002</v>
      </c>
      <c r="AB57" s="47">
        <v>1.48</v>
      </c>
      <c r="AC57" s="52">
        <f t="shared" si="49"/>
        <v>166.53100000000001</v>
      </c>
      <c r="AD57" s="52">
        <f>53+1.3 +6.7+(35 +8.6+6.7 )</f>
        <v>111.30000000000001</v>
      </c>
      <c r="AE57" s="52">
        <f>22 +0.071+(33+0.16)</f>
        <v>55.230999999999995</v>
      </c>
      <c r="AF57" s="52">
        <f>-82+(-4)</f>
        <v>-86</v>
      </c>
      <c r="AG57" s="52">
        <f>-30+0.0032+8+(-67+0.019+8)</f>
        <v>-80.977800000000002</v>
      </c>
      <c r="AH57" s="47"/>
      <c r="AI57" s="115" t="str">
        <f t="shared" si="5"/>
        <v xml:space="preserve">F </v>
      </c>
      <c r="AJ57" s="122" t="s">
        <v>82</v>
      </c>
      <c r="AK57" s="125"/>
      <c r="AL57" s="46"/>
      <c r="AM57" s="46"/>
      <c r="AN57" s="47" t="s">
        <v>191</v>
      </c>
      <c r="AO57" s="47" t="s">
        <v>191</v>
      </c>
      <c r="AP57" s="47" t="s">
        <v>191</v>
      </c>
      <c r="AQ57" s="47" t="s">
        <v>191</v>
      </c>
      <c r="AR57" s="167"/>
      <c r="AS57" s="167">
        <f>1/0.068+1/0.034</f>
        <v>44.117647058823529</v>
      </c>
      <c r="AU57" s="105" t="s">
        <v>17</v>
      </c>
      <c r="AV57" s="73"/>
      <c r="AW57" s="46"/>
    </row>
    <row r="58" spans="1:49" s="25" customFormat="1" ht="25.2" customHeight="1" x14ac:dyDescent="0.15">
      <c r="A58" s="25" t="s">
        <v>446</v>
      </c>
      <c r="B58" s="47" t="s">
        <v>208</v>
      </c>
      <c r="C58" s="47" t="str">
        <f>""</f>
        <v/>
      </c>
      <c r="D58" s="47" t="s">
        <v>445</v>
      </c>
      <c r="E58" s="88" t="s">
        <v>148</v>
      </c>
      <c r="F58" s="47" t="s">
        <v>523</v>
      </c>
      <c r="G58" s="47" t="s">
        <v>395</v>
      </c>
      <c r="H58" s="47" t="s">
        <v>410</v>
      </c>
      <c r="I58" s="46"/>
      <c r="J58" s="111">
        <v>1</v>
      </c>
      <c r="K58" s="52">
        <f t="shared" ref="K58:K59" si="50">IF(AE58="N/A","N/A",IF(L58="","N/A",L58))</f>
        <v>93.28</v>
      </c>
      <c r="L58" s="148" cm="1">
        <f t="array" ref="L58">IF(AE58="N/A","",_xlfn.IFS(Z58="m2",AC58*J58,Z58="stk",(AC58*(1/(AA58*AB58)))*J58,Z58="N/A",""))</f>
        <v>93.28</v>
      </c>
      <c r="M58" s="52">
        <f t="shared" ref="M58:M59" si="51">IF(N58="","N/A",N58)</f>
        <v>72.900000000000006</v>
      </c>
      <c r="N58" s="148" cm="1">
        <f t="array" ref="N58">_xlfn.IFS(Z58="m2",AD58*J58,Z58="stk",(AD58*(1/(AA58*AB58)))*J58,Z58="N/A","")</f>
        <v>72.900000000000006</v>
      </c>
      <c r="O58" s="52">
        <f t="shared" ref="O58:O59" si="52">IF(P58="","N/A",P58)</f>
        <v>20.380000000000003</v>
      </c>
      <c r="P58" s="148" cm="1">
        <f t="array" ref="P58">IF(AE58="N/A","",_xlfn.IFS(Z58="m2",AE58*J58,Z58="stk",(AE58*(1/(AA58*AB58)))*J58,Z58="N/A",""))</f>
        <v>20.380000000000003</v>
      </c>
      <c r="Q58" s="52">
        <f t="shared" ref="Q58:Q59" si="53">IF(R58="","N/A",R58)</f>
        <v>-17.7</v>
      </c>
      <c r="R58" s="155" cm="1">
        <f t="array" ref="R58">IF(AG58="N/A","",_xlfn.IFS(Z58="m2",AG58*J58,Z58="stk",(AG58*(1/(AA58*AB58)))*J58,Z58="N/A",""))</f>
        <v>-17.7</v>
      </c>
      <c r="S58" s="88" t="s">
        <v>5</v>
      </c>
      <c r="T58" s="47" t="s">
        <v>377</v>
      </c>
      <c r="U58" s="47">
        <v>2028</v>
      </c>
      <c r="V58" s="47" t="s">
        <v>28</v>
      </c>
      <c r="W58" s="47" t="s">
        <v>191</v>
      </c>
      <c r="Y58" s="47" t="s">
        <v>636</v>
      </c>
      <c r="Z58" s="47" t="s">
        <v>15</v>
      </c>
      <c r="AA58" s="47">
        <v>1.48</v>
      </c>
      <c r="AB58" s="47">
        <v>1.23</v>
      </c>
      <c r="AC58" s="52">
        <f t="shared" si="49"/>
        <v>93.28</v>
      </c>
      <c r="AD58" s="52">
        <f>72.9</f>
        <v>72.900000000000006</v>
      </c>
      <c r="AE58" s="52">
        <f>19.3+1.08</f>
        <v>20.380000000000003</v>
      </c>
      <c r="AF58" s="52">
        <f>-23</f>
        <v>-23</v>
      </c>
      <c r="AG58" s="52">
        <f>-17.7</f>
        <v>-17.7</v>
      </c>
      <c r="AH58" s="47"/>
      <c r="AI58" s="115" t="str">
        <f t="shared" si="5"/>
        <v xml:space="preserve">F </v>
      </c>
      <c r="AJ58" s="122" t="s">
        <v>82</v>
      </c>
      <c r="AK58" s="125"/>
      <c r="AL58" s="46"/>
      <c r="AM58" s="46"/>
      <c r="AN58" s="47">
        <v>0.82</v>
      </c>
      <c r="AO58" s="47">
        <v>0.74</v>
      </c>
      <c r="AP58" s="47">
        <v>0.53</v>
      </c>
      <c r="AQ58" s="47">
        <v>13.3</v>
      </c>
      <c r="AR58" s="47"/>
      <c r="AS58" s="47" t="s">
        <v>191</v>
      </c>
      <c r="AU58" s="105" t="s">
        <v>17</v>
      </c>
      <c r="AV58" s="205" t="s">
        <v>17</v>
      </c>
      <c r="AW58" s="46"/>
    </row>
    <row r="59" spans="1:49" s="25" customFormat="1" ht="25.2" customHeight="1" x14ac:dyDescent="0.15">
      <c r="A59" s="171" t="s">
        <v>974</v>
      </c>
      <c r="B59" s="47" t="s">
        <v>210</v>
      </c>
      <c r="C59" s="47" t="str">
        <f>""</f>
        <v/>
      </c>
      <c r="D59" s="47" t="s">
        <v>445</v>
      </c>
      <c r="E59" s="88" t="s">
        <v>142</v>
      </c>
      <c r="F59" s="47" t="s">
        <v>524</v>
      </c>
      <c r="G59" s="47" t="s">
        <v>395</v>
      </c>
      <c r="H59" s="47" t="s">
        <v>410</v>
      </c>
      <c r="I59" s="46"/>
      <c r="J59" s="111">
        <v>1</v>
      </c>
      <c r="K59" s="52">
        <f t="shared" si="50"/>
        <v>76.44</v>
      </c>
      <c r="L59" s="148" cm="1">
        <f t="array" ref="L59">IF(AE59="N/A","",_xlfn.IFS(Z59="m2",AC59*J59,Z59="stk",(AC59*(1/(AA59*AB59)))*J59,Z59="N/A",""))</f>
        <v>76.44</v>
      </c>
      <c r="M59" s="52">
        <f t="shared" si="51"/>
        <v>46.6</v>
      </c>
      <c r="N59" s="148" cm="1">
        <f t="array" ref="N59">_xlfn.IFS(Z59="m2",AD59*J59,Z59="stk",(AD59*(1/(AA59*AB59)))*J59,Z59="N/A","")</f>
        <v>46.6</v>
      </c>
      <c r="O59" s="52">
        <f t="shared" si="52"/>
        <v>29.84</v>
      </c>
      <c r="P59" s="148" cm="1">
        <f t="array" ref="P59">IF(AE59="N/A","",_xlfn.IFS(Z59="m2",AE59*J59,Z59="stk",(AE59*(1/(AA59*AB59)))*J59,Z59="N/A",""))</f>
        <v>29.84</v>
      </c>
      <c r="Q59" s="52">
        <f t="shared" si="53"/>
        <v>-23.5</v>
      </c>
      <c r="R59" s="155" cm="1">
        <f t="array" ref="R59">IF(AG59="N/A","",_xlfn.IFS(Z59="m2",AG59*J59,Z59="stk",(AG59*(1/(AA59*AB59)))*J59,Z59="N/A",""))</f>
        <v>-23.5</v>
      </c>
      <c r="S59" s="88" t="s">
        <v>5</v>
      </c>
      <c r="T59" s="47" t="s">
        <v>377</v>
      </c>
      <c r="U59" s="47">
        <v>2028</v>
      </c>
      <c r="V59" s="47" t="s">
        <v>28</v>
      </c>
      <c r="W59" s="47" t="s">
        <v>191</v>
      </c>
      <c r="Y59" s="47" t="s">
        <v>637</v>
      </c>
      <c r="Z59" s="47" t="s">
        <v>15</v>
      </c>
      <c r="AA59" s="47">
        <v>1.48</v>
      </c>
      <c r="AB59" s="47">
        <v>1.23</v>
      </c>
      <c r="AC59" s="52">
        <f t="shared" ref="AC59:AC71" si="54">IF(AE59="N/A","N/A",SUM(AD59:AE59))</f>
        <v>76.44</v>
      </c>
      <c r="AD59" s="52">
        <f>46.6</f>
        <v>46.6</v>
      </c>
      <c r="AE59" s="52">
        <f>28.3+1.54</f>
        <v>29.84</v>
      </c>
      <c r="AF59" s="52">
        <f>-24.3</f>
        <v>-24.3</v>
      </c>
      <c r="AG59" s="52">
        <f>-23.5</f>
        <v>-23.5</v>
      </c>
      <c r="AH59" s="47"/>
      <c r="AI59" s="115" t="str">
        <f t="shared" si="5"/>
        <v xml:space="preserve">F </v>
      </c>
      <c r="AJ59" s="122" t="s">
        <v>82</v>
      </c>
      <c r="AK59" s="125"/>
      <c r="AL59" s="46"/>
      <c r="AM59" s="46"/>
      <c r="AN59" s="47">
        <v>0.77</v>
      </c>
      <c r="AO59" s="47">
        <v>0.74</v>
      </c>
      <c r="AP59" s="47">
        <v>0.53</v>
      </c>
      <c r="AQ59" s="47">
        <v>7.5</v>
      </c>
      <c r="AR59" s="47"/>
      <c r="AS59" s="47" t="s">
        <v>191</v>
      </c>
      <c r="AU59" s="105" t="s">
        <v>17</v>
      </c>
      <c r="AV59" s="205" t="s">
        <v>17</v>
      </c>
      <c r="AW59" s="46"/>
    </row>
    <row r="60" spans="1:49" s="25" customFormat="1" ht="25.2" customHeight="1" x14ac:dyDescent="0.15">
      <c r="A60" s="25" t="s">
        <v>447</v>
      </c>
      <c r="B60" s="47" t="s">
        <v>210</v>
      </c>
      <c r="C60" s="47" t="str">
        <f>""</f>
        <v/>
      </c>
      <c r="D60" s="47" t="s">
        <v>450</v>
      </c>
      <c r="E60" s="88" t="s">
        <v>146</v>
      </c>
      <c r="F60" s="47" t="s">
        <v>522</v>
      </c>
      <c r="G60" s="47" t="s">
        <v>395</v>
      </c>
      <c r="H60" s="47" t="s">
        <v>410</v>
      </c>
      <c r="I60" s="46"/>
      <c r="J60" s="111">
        <v>1</v>
      </c>
      <c r="K60" s="52">
        <f t="shared" ref="K60:K62" si="55">IF(AE60="N/A","N/A",IF(L60="","N/A",L60))</f>
        <v>99.994</v>
      </c>
      <c r="L60" s="148" cm="1">
        <f t="array" ref="L60">IF(AE60="N/A","",_xlfn.IFS(Z60="m2",AC60*J60,Z60="stk",(AC60*(1/(AA60*AB60)))*J60,Z60="N/A",""))</f>
        <v>99.994</v>
      </c>
      <c r="M60" s="52">
        <f t="shared" ref="M60:M62" si="56">IF(N60="","N/A",N60)</f>
        <v>74.099999999999994</v>
      </c>
      <c r="N60" s="148" cm="1">
        <f t="array" ref="N60">_xlfn.IFS(Z60="m2",AD60*J60,Z60="stk",(AD60*(1/(AA60*AB60)))*J60,Z60="N/A","")</f>
        <v>74.099999999999994</v>
      </c>
      <c r="O60" s="52">
        <f t="shared" ref="O60:O62" si="57">IF(P60="","N/A",P60)</f>
        <v>25.893999999999998</v>
      </c>
      <c r="P60" s="148" cm="1">
        <f t="array" ref="P60">IF(AE60="N/A","",_xlfn.IFS(Z60="m2",AE60*J60,Z60="stk",(AE60*(1/(AA60*AB60)))*J60,Z60="N/A",""))</f>
        <v>25.893999999999998</v>
      </c>
      <c r="Q60" s="52">
        <f t="shared" ref="Q60:Q62" si="58">IF(R60="","N/A",R60)</f>
        <v>7.34</v>
      </c>
      <c r="R60" s="155" cm="1">
        <f t="array" ref="R60">IF(AG60="N/A","",_xlfn.IFS(Z60="m2",AG60*J60,Z60="stk",(AG60*(1/(AA60*AB60)))*J60,Z60="N/A",""))</f>
        <v>7.34</v>
      </c>
      <c r="S60" s="88" t="s">
        <v>5</v>
      </c>
      <c r="T60" s="47"/>
      <c r="U60" s="47">
        <v>2028</v>
      </c>
      <c r="V60" s="47" t="s">
        <v>28</v>
      </c>
      <c r="W60" s="47">
        <v>50</v>
      </c>
      <c r="Y60" s="47" t="s">
        <v>638</v>
      </c>
      <c r="Z60" s="47" t="s">
        <v>15</v>
      </c>
      <c r="AA60" s="47">
        <v>1.48</v>
      </c>
      <c r="AB60" s="47">
        <v>1.23</v>
      </c>
      <c r="AC60" s="52">
        <f t="shared" si="54"/>
        <v>99.994</v>
      </c>
      <c r="AD60" s="52">
        <f>74.1</f>
        <v>74.099999999999994</v>
      </c>
      <c r="AE60" s="52">
        <f>25.4+0.494</f>
        <v>25.893999999999998</v>
      </c>
      <c r="AF60" s="52">
        <f>-21.8</f>
        <v>-21.8</v>
      </c>
      <c r="AG60" s="52">
        <f>7.34</f>
        <v>7.34</v>
      </c>
      <c r="AH60" s="47"/>
      <c r="AI60" s="115" t="str">
        <f t="shared" si="5"/>
        <v xml:space="preserve">F </v>
      </c>
      <c r="AJ60" s="122" t="s">
        <v>82</v>
      </c>
      <c r="AK60" s="125"/>
      <c r="AL60" s="46"/>
      <c r="AM60" s="46"/>
      <c r="AN60" s="47">
        <v>0.83</v>
      </c>
      <c r="AO60" s="47" t="s">
        <v>191</v>
      </c>
      <c r="AP60" s="47">
        <v>0.62</v>
      </c>
      <c r="AQ60" s="47" t="s">
        <v>191</v>
      </c>
      <c r="AR60" s="47"/>
      <c r="AS60" s="47">
        <v>35.92</v>
      </c>
      <c r="AU60" s="105" t="s">
        <v>17</v>
      </c>
      <c r="AV60" s="73"/>
      <c r="AW60" s="46"/>
    </row>
    <row r="61" spans="1:49" s="25" customFormat="1" ht="25.2" customHeight="1" x14ac:dyDescent="0.15">
      <c r="A61" s="25" t="s">
        <v>448</v>
      </c>
      <c r="B61" s="47" t="s">
        <v>210</v>
      </c>
      <c r="C61" s="47" t="str">
        <f>""</f>
        <v/>
      </c>
      <c r="D61" s="47" t="s">
        <v>450</v>
      </c>
      <c r="E61" s="88" t="s">
        <v>146</v>
      </c>
      <c r="F61" s="47" t="s">
        <v>522</v>
      </c>
      <c r="G61" s="47" t="s">
        <v>395</v>
      </c>
      <c r="H61" s="47" t="s">
        <v>410</v>
      </c>
      <c r="I61" s="46"/>
      <c r="J61" s="111">
        <v>1</v>
      </c>
      <c r="K61" s="52">
        <f t="shared" si="55"/>
        <v>123.32000000000001</v>
      </c>
      <c r="L61" s="148" cm="1">
        <f t="array" ref="L61">IF(AE61="N/A","",_xlfn.IFS(Z61="m2",AC61*J61,Z61="stk",(AC61*(1/(AA61*AB61)))*J61,Z61="N/A",""))</f>
        <v>123.32000000000001</v>
      </c>
      <c r="M61" s="52">
        <f t="shared" si="56"/>
        <v>94.4</v>
      </c>
      <c r="N61" s="148" cm="1">
        <f t="array" ref="N61">_xlfn.IFS(Z61="m2",AD61*J61,Z61="stk",(AD61*(1/(AA61*AB61)))*J61,Z61="N/A","")</f>
        <v>94.4</v>
      </c>
      <c r="O61" s="52">
        <f t="shared" si="57"/>
        <v>28.919999999999998</v>
      </c>
      <c r="P61" s="148" cm="1">
        <f t="array" ref="P61">IF(AE61="N/A","",_xlfn.IFS(Z61="m2",AE61*J61,Z61="stk",(AE61*(1/(AA61*AB61)))*J61,Z61="N/A",""))</f>
        <v>28.919999999999998</v>
      </c>
      <c r="Q61" s="52">
        <f t="shared" si="58"/>
        <v>8.5299999999999994</v>
      </c>
      <c r="R61" s="155" cm="1">
        <f t="array" ref="R61">IF(AG61="N/A","",_xlfn.IFS(Z61="m2",AG61*J61,Z61="stk",(AG61*(1/(AA61*AB61)))*J61,Z61="N/A",""))</f>
        <v>8.5299999999999994</v>
      </c>
      <c r="S61" s="88" t="s">
        <v>5</v>
      </c>
      <c r="T61" s="47"/>
      <c r="U61" s="47">
        <v>2028</v>
      </c>
      <c r="V61" s="47" t="s">
        <v>28</v>
      </c>
      <c r="W61" s="47">
        <v>50</v>
      </c>
      <c r="Y61" s="47" t="s">
        <v>638</v>
      </c>
      <c r="Z61" s="47" t="s">
        <v>15</v>
      </c>
      <c r="AA61" s="47">
        <v>1.48</v>
      </c>
      <c r="AB61" s="47">
        <v>1.23</v>
      </c>
      <c r="AC61" s="52">
        <f t="shared" si="54"/>
        <v>123.32000000000001</v>
      </c>
      <c r="AD61" s="52">
        <f>94.4</f>
        <v>94.4</v>
      </c>
      <c r="AE61" s="52">
        <f>28.4+0.52</f>
        <v>28.919999999999998</v>
      </c>
      <c r="AF61" s="52">
        <f>-31.4</f>
        <v>-31.4</v>
      </c>
      <c r="AG61" s="52">
        <f>8.53</f>
        <v>8.5299999999999994</v>
      </c>
      <c r="AH61" s="47"/>
      <c r="AI61" s="115" t="str">
        <f t="shared" si="5"/>
        <v xml:space="preserve">F </v>
      </c>
      <c r="AJ61" s="122" t="s">
        <v>82</v>
      </c>
      <c r="AK61" s="125"/>
      <c r="AL61" s="46"/>
      <c r="AM61" s="46"/>
      <c r="AN61" s="47">
        <v>0.91</v>
      </c>
      <c r="AO61" s="47" t="s">
        <v>191</v>
      </c>
      <c r="AP61" s="47">
        <v>0.62</v>
      </c>
      <c r="AQ61" s="47" t="s">
        <v>191</v>
      </c>
      <c r="AR61" s="47"/>
      <c r="AS61" s="47">
        <v>39.47</v>
      </c>
      <c r="AU61" s="105" t="s">
        <v>17</v>
      </c>
      <c r="AV61" s="73"/>
      <c r="AW61" s="46"/>
    </row>
    <row r="62" spans="1:49" s="25" customFormat="1" ht="25.2" customHeight="1" x14ac:dyDescent="0.15">
      <c r="A62" s="25" t="s">
        <v>449</v>
      </c>
      <c r="B62" s="47" t="s">
        <v>210</v>
      </c>
      <c r="C62" s="47" t="str">
        <f>""</f>
        <v/>
      </c>
      <c r="D62" s="47" t="s">
        <v>450</v>
      </c>
      <c r="E62" s="88" t="s">
        <v>146</v>
      </c>
      <c r="F62" s="47" t="s">
        <v>522</v>
      </c>
      <c r="G62" s="47" t="s">
        <v>395</v>
      </c>
      <c r="H62" s="47" t="s">
        <v>410</v>
      </c>
      <c r="I62" s="46"/>
      <c r="J62" s="111">
        <v>1</v>
      </c>
      <c r="K62" s="52">
        <f t="shared" si="55"/>
        <v>128.524</v>
      </c>
      <c r="L62" s="148" cm="1">
        <f t="array" ref="L62">IF(AE62="N/A","",_xlfn.IFS(Z62="m2",AC62*J62,Z62="stk",(AC62*(1/(AA62*AB62)))*J62,Z62="N/A",""))</f>
        <v>128.524</v>
      </c>
      <c r="M62" s="52">
        <f t="shared" si="56"/>
        <v>98.9</v>
      </c>
      <c r="N62" s="148" cm="1">
        <f t="array" ref="N62">_xlfn.IFS(Z62="m2",AD62*J62,Z62="stk",(AD62*(1/(AA62*AB62)))*J62,Z62="N/A","")</f>
        <v>98.9</v>
      </c>
      <c r="O62" s="52">
        <f t="shared" si="57"/>
        <v>29.624000000000002</v>
      </c>
      <c r="P62" s="148" cm="1">
        <f t="array" ref="P62">IF(AE62="N/A","",_xlfn.IFS(Z62="m2",AE62*J62,Z62="stk",(AE62*(1/(AA62*AB62)))*J62,Z62="N/A",""))</f>
        <v>29.624000000000002</v>
      </c>
      <c r="Q62" s="52">
        <f t="shared" si="58"/>
        <v>8.42</v>
      </c>
      <c r="R62" s="155" cm="1">
        <f t="array" ref="R62">IF(AG62="N/A","",_xlfn.IFS(Z62="m2",AG62*J62,Z62="stk",(AG62*(1/(AA62*AB62)))*J62,Z62="N/A",""))</f>
        <v>8.42</v>
      </c>
      <c r="S62" s="88" t="s">
        <v>5</v>
      </c>
      <c r="T62" s="47"/>
      <c r="U62" s="47">
        <v>2028</v>
      </c>
      <c r="V62" s="47" t="s">
        <v>28</v>
      </c>
      <c r="W62" s="47">
        <v>50</v>
      </c>
      <c r="Y62" s="47" t="s">
        <v>638</v>
      </c>
      <c r="Z62" s="47" t="s">
        <v>15</v>
      </c>
      <c r="AA62" s="47">
        <v>1.48</v>
      </c>
      <c r="AB62" s="47">
        <v>1.23</v>
      </c>
      <c r="AC62" s="52">
        <f t="shared" ref="AC62:AC70" si="59">IF(AE62="N/A","N/A",SUM(AD62:AE62))</f>
        <v>128.524</v>
      </c>
      <c r="AD62" s="52">
        <f>98.9</f>
        <v>98.9</v>
      </c>
      <c r="AE62" s="52">
        <f>29.1+0.524</f>
        <v>29.624000000000002</v>
      </c>
      <c r="AF62" s="52">
        <f>-33.6</f>
        <v>-33.6</v>
      </c>
      <c r="AG62" s="52">
        <f>8.42</f>
        <v>8.42</v>
      </c>
      <c r="AH62" s="47"/>
      <c r="AI62" s="115" t="str">
        <f t="shared" si="5"/>
        <v xml:space="preserve">F </v>
      </c>
      <c r="AJ62" s="122" t="s">
        <v>82</v>
      </c>
      <c r="AK62" s="125"/>
      <c r="AL62" s="46"/>
      <c r="AM62" s="46"/>
      <c r="AN62" s="47">
        <v>0.91</v>
      </c>
      <c r="AO62" s="47" t="s">
        <v>191</v>
      </c>
      <c r="AP62" s="47">
        <v>0.62</v>
      </c>
      <c r="AQ62" s="47" t="s">
        <v>191</v>
      </c>
      <c r="AR62" s="47"/>
      <c r="AS62" s="47">
        <v>40.81</v>
      </c>
      <c r="AU62" s="105" t="s">
        <v>17</v>
      </c>
      <c r="AV62" s="73"/>
      <c r="AW62" s="46"/>
    </row>
    <row r="63" spans="1:49" s="25" customFormat="1" ht="25.2" customHeight="1" x14ac:dyDescent="0.15">
      <c r="A63" s="25" t="s">
        <v>451</v>
      </c>
      <c r="B63" s="47" t="s">
        <v>210</v>
      </c>
      <c r="C63" s="47" t="str">
        <f>""</f>
        <v/>
      </c>
      <c r="D63" s="47" t="s">
        <v>450</v>
      </c>
      <c r="E63" s="88" t="s">
        <v>146</v>
      </c>
      <c r="F63" s="47" t="s">
        <v>522</v>
      </c>
      <c r="G63" s="47" t="s">
        <v>395</v>
      </c>
      <c r="H63" s="47" t="s">
        <v>410</v>
      </c>
      <c r="I63" s="46"/>
      <c r="J63" s="111">
        <v>1</v>
      </c>
      <c r="K63" s="52">
        <f t="shared" ref="K63:K68" si="60">IF(AE63="N/A","N/A",IF(L63="","N/A",L63))</f>
        <v>93.540999999999997</v>
      </c>
      <c r="L63" s="148" cm="1">
        <f t="array" ref="L63">IF(AE63="N/A","",_xlfn.IFS(Z63="m2",AC63*J63,Z63="stk",(AC63*(1/(AA63*AB63)))*J63,Z63="N/A",""))</f>
        <v>93.540999999999997</v>
      </c>
      <c r="M63" s="52">
        <f t="shared" ref="M63:M68" si="61">IF(N63="","N/A",N63)</f>
        <v>70.3</v>
      </c>
      <c r="N63" s="148" cm="1">
        <f t="array" ref="N63">_xlfn.IFS(Z63="m2",AD63*J63,Z63="stk",(AD63*(1/(AA63*AB63)))*J63,Z63="N/A","")</f>
        <v>70.3</v>
      </c>
      <c r="O63" s="52">
        <f t="shared" ref="O63:O68" si="62">IF(P63="","N/A",P63)</f>
        <v>23.241</v>
      </c>
      <c r="P63" s="148" cm="1">
        <f t="array" ref="P63">IF(AE63="N/A","",_xlfn.IFS(Z63="m2",AE63*J63,Z63="stk",(AE63*(1/(AA63*AB63)))*J63,Z63="N/A",""))</f>
        <v>23.241</v>
      </c>
      <c r="Q63" s="52">
        <f t="shared" ref="Q63:Q68" si="63">IF(R63="","N/A",R63)</f>
        <v>7.32</v>
      </c>
      <c r="R63" s="155" cm="1">
        <f t="array" ref="R63">IF(AG63="N/A","",_xlfn.IFS(Z63="m2",AG63*J63,Z63="stk",(AG63*(1/(AA63*AB63)))*J63,Z63="N/A",""))</f>
        <v>7.32</v>
      </c>
      <c r="S63" s="88" t="s">
        <v>5</v>
      </c>
      <c r="T63" s="47"/>
      <c r="U63" s="47">
        <v>2028</v>
      </c>
      <c r="V63" s="47" t="s">
        <v>28</v>
      </c>
      <c r="W63" s="47">
        <v>50</v>
      </c>
      <c r="Y63" s="47" t="s">
        <v>639</v>
      </c>
      <c r="Z63" s="47" t="s">
        <v>15</v>
      </c>
      <c r="AA63" s="47">
        <v>1.48</v>
      </c>
      <c r="AB63" s="47">
        <v>1.23</v>
      </c>
      <c r="AC63" s="52">
        <f t="shared" si="54"/>
        <v>93.540999999999997</v>
      </c>
      <c r="AD63" s="52">
        <f>70.3</f>
        <v>70.3</v>
      </c>
      <c r="AE63" s="52">
        <f>22.8+0.441</f>
        <v>23.241</v>
      </c>
      <c r="AF63" s="52">
        <f>-20.3</f>
        <v>-20.3</v>
      </c>
      <c r="AG63" s="52">
        <f>7.32</f>
        <v>7.32</v>
      </c>
      <c r="AH63" s="47"/>
      <c r="AI63" s="115" t="str">
        <f t="shared" si="5"/>
        <v xml:space="preserve">F </v>
      </c>
      <c r="AJ63" s="122" t="s">
        <v>82</v>
      </c>
      <c r="AK63" s="125"/>
      <c r="AL63" s="46"/>
      <c r="AM63" s="46"/>
      <c r="AN63" s="47" t="s">
        <v>191</v>
      </c>
      <c r="AO63" s="47" t="s">
        <v>191</v>
      </c>
      <c r="AP63" s="47" t="s">
        <v>191</v>
      </c>
      <c r="AQ63" s="47" t="s">
        <v>191</v>
      </c>
      <c r="AR63" s="47"/>
      <c r="AS63" s="47">
        <v>32.97</v>
      </c>
      <c r="AU63" s="105" t="s">
        <v>17</v>
      </c>
      <c r="AV63" s="73"/>
      <c r="AW63" s="46"/>
    </row>
    <row r="64" spans="1:49" s="25" customFormat="1" ht="25.2" customHeight="1" x14ac:dyDescent="0.15">
      <c r="A64" s="171" t="s">
        <v>452</v>
      </c>
      <c r="B64" s="47" t="s">
        <v>210</v>
      </c>
      <c r="C64" s="47" t="str">
        <f>""</f>
        <v/>
      </c>
      <c r="D64" s="47" t="s">
        <v>450</v>
      </c>
      <c r="E64" s="88" t="s">
        <v>146</v>
      </c>
      <c r="F64" s="47" t="s">
        <v>522</v>
      </c>
      <c r="G64" s="47" t="s">
        <v>395</v>
      </c>
      <c r="H64" s="47" t="s">
        <v>410</v>
      </c>
      <c r="I64" s="46"/>
      <c r="J64" s="111">
        <v>1</v>
      </c>
      <c r="K64" s="52">
        <f t="shared" si="60"/>
        <v>96.456999999999994</v>
      </c>
      <c r="L64" s="148" cm="1">
        <f t="array" ref="L64">IF(AE64="N/A","",_xlfn.IFS(Z64="m2",AC64*J64,Z64="stk",(AC64*(1/(AA64*AB64)))*J64,Z64="N/A",""))</f>
        <v>96.456999999999994</v>
      </c>
      <c r="M64" s="52">
        <f t="shared" si="61"/>
        <v>72.3</v>
      </c>
      <c r="N64" s="148" cm="1">
        <f t="array" ref="N64">_xlfn.IFS(Z64="m2",AD64*J64,Z64="stk",(AD64*(1/(AA64*AB64)))*J64,Z64="N/A","")</f>
        <v>72.3</v>
      </c>
      <c r="O64" s="52">
        <f t="shared" si="62"/>
        <v>24.157</v>
      </c>
      <c r="P64" s="148" cm="1">
        <f t="array" ref="P64">IF(AE64="N/A","",_xlfn.IFS(Z64="m2",AE64*J64,Z64="stk",(AE64*(1/(AA64*AB64)))*J64,Z64="N/A",""))</f>
        <v>24.157</v>
      </c>
      <c r="Q64" s="52">
        <f t="shared" si="63"/>
        <v>7.37</v>
      </c>
      <c r="R64" s="155" cm="1">
        <f t="array" ref="R64">IF(AG64="N/A","",_xlfn.IFS(Z64="m2",AG64*J64,Z64="stk",(AG64*(1/(AA64*AB64)))*J64,Z64="N/A",""))</f>
        <v>7.37</v>
      </c>
      <c r="S64" s="88" t="s">
        <v>5</v>
      </c>
      <c r="T64" s="47"/>
      <c r="U64" s="47">
        <v>2028</v>
      </c>
      <c r="V64" s="47" t="s">
        <v>28</v>
      </c>
      <c r="W64" s="47">
        <v>50</v>
      </c>
      <c r="Y64" s="47" t="s">
        <v>639</v>
      </c>
      <c r="Z64" s="47" t="s">
        <v>15</v>
      </c>
      <c r="AA64" s="47">
        <v>1.48</v>
      </c>
      <c r="AB64" s="47">
        <v>1.23</v>
      </c>
      <c r="AC64" s="52">
        <f t="shared" si="59"/>
        <v>96.456999999999994</v>
      </c>
      <c r="AD64" s="52">
        <f>72.3</f>
        <v>72.3</v>
      </c>
      <c r="AE64" s="52">
        <f>23.7+0.457</f>
        <v>24.157</v>
      </c>
      <c r="AF64" s="52">
        <f>-21.2</f>
        <v>-21.2</v>
      </c>
      <c r="AG64" s="52">
        <f>7.37</f>
        <v>7.37</v>
      </c>
      <c r="AH64" s="47"/>
      <c r="AI64" s="115" t="str">
        <f t="shared" si="5"/>
        <v xml:space="preserve">F </v>
      </c>
      <c r="AJ64" s="122" t="s">
        <v>82</v>
      </c>
      <c r="AK64" s="125"/>
      <c r="AL64" s="46"/>
      <c r="AM64" s="46"/>
      <c r="AN64" s="47" t="s">
        <v>191</v>
      </c>
      <c r="AO64" s="47" t="s">
        <v>191</v>
      </c>
      <c r="AP64" s="47" t="s">
        <v>191</v>
      </c>
      <c r="AQ64" s="47" t="s">
        <v>191</v>
      </c>
      <c r="AR64" s="47"/>
      <c r="AS64" s="47">
        <v>33.700000000000003</v>
      </c>
      <c r="AU64" s="105" t="s">
        <v>17</v>
      </c>
      <c r="AV64" s="73"/>
      <c r="AW64" s="46"/>
    </row>
    <row r="65" spans="1:49" s="25" customFormat="1" ht="25.2" customHeight="1" x14ac:dyDescent="0.15">
      <c r="A65" s="25" t="s">
        <v>453</v>
      </c>
      <c r="B65" s="47" t="s">
        <v>210</v>
      </c>
      <c r="C65" s="47" t="str">
        <f>""</f>
        <v/>
      </c>
      <c r="D65" s="47" t="s">
        <v>450</v>
      </c>
      <c r="E65" s="88" t="s">
        <v>146</v>
      </c>
      <c r="F65" s="47" t="s">
        <v>522</v>
      </c>
      <c r="G65" s="47" t="s">
        <v>395</v>
      </c>
      <c r="H65" s="47" t="s">
        <v>410</v>
      </c>
      <c r="I65" s="46"/>
      <c r="J65" s="111">
        <v>1</v>
      </c>
      <c r="K65" s="52">
        <f t="shared" si="60"/>
        <v>99.171999999999997</v>
      </c>
      <c r="L65" s="148" cm="1">
        <f t="array" ref="L65">IF(AE65="N/A","",_xlfn.IFS(Z65="m2",AC65*J65,Z65="stk",(AC65*(1/(AA65*AB65)))*J65,Z65="N/A",""))</f>
        <v>99.171999999999997</v>
      </c>
      <c r="M65" s="52">
        <f t="shared" si="61"/>
        <v>74.2</v>
      </c>
      <c r="N65" s="148" cm="1">
        <f t="array" ref="N65">_xlfn.IFS(Z65="m2",AD65*J65,Z65="stk",(AD65*(1/(AA65*AB65)))*J65,Z65="N/A","")</f>
        <v>74.2</v>
      </c>
      <c r="O65" s="52">
        <f t="shared" si="62"/>
        <v>24.972000000000001</v>
      </c>
      <c r="P65" s="148" cm="1">
        <f t="array" ref="P65">IF(AE65="N/A","",_xlfn.IFS(Z65="m2",AE65*J65,Z65="stk",(AE65*(1/(AA65*AB65)))*J65,Z65="N/A",""))</f>
        <v>24.972000000000001</v>
      </c>
      <c r="Q65" s="52">
        <f t="shared" si="63"/>
        <v>7.42</v>
      </c>
      <c r="R65" s="155" cm="1">
        <f t="array" ref="R65">IF(AG65="N/A","",_xlfn.IFS(Z65="m2",AG65*J65,Z65="stk",(AG65*(1/(AA65*AB65)))*J65,Z65="N/A",""))</f>
        <v>7.42</v>
      </c>
      <c r="S65" s="88" t="s">
        <v>5</v>
      </c>
      <c r="T65" s="47"/>
      <c r="U65" s="47">
        <v>2028</v>
      </c>
      <c r="V65" s="47" t="s">
        <v>28</v>
      </c>
      <c r="W65" s="47">
        <v>50</v>
      </c>
      <c r="Y65" s="47" t="s">
        <v>639</v>
      </c>
      <c r="Z65" s="47" t="s">
        <v>15</v>
      </c>
      <c r="AA65" s="47">
        <v>1.48</v>
      </c>
      <c r="AB65" s="47">
        <v>1.23</v>
      </c>
      <c r="AC65" s="52">
        <f t="shared" si="54"/>
        <v>99.171999999999997</v>
      </c>
      <c r="AD65" s="52">
        <v>74.2</v>
      </c>
      <c r="AE65" s="52">
        <f>24.5+0.472</f>
        <v>24.972000000000001</v>
      </c>
      <c r="AF65" s="52">
        <f>-22</f>
        <v>-22</v>
      </c>
      <c r="AG65" s="52">
        <f>7.42</f>
        <v>7.42</v>
      </c>
      <c r="AH65" s="47"/>
      <c r="AI65" s="115" t="str">
        <f t="shared" si="5"/>
        <v xml:space="preserve">F </v>
      </c>
      <c r="AJ65" s="122" t="s">
        <v>82</v>
      </c>
      <c r="AK65" s="125"/>
      <c r="AL65" s="46"/>
      <c r="AM65" s="46"/>
      <c r="AN65" s="47" t="s">
        <v>191</v>
      </c>
      <c r="AO65" s="47" t="s">
        <v>191</v>
      </c>
      <c r="AP65" s="47" t="s">
        <v>191</v>
      </c>
      <c r="AQ65" s="47" t="s">
        <v>191</v>
      </c>
      <c r="AR65" s="47"/>
      <c r="AS65" s="47">
        <v>34.69</v>
      </c>
      <c r="AU65" s="105" t="s">
        <v>17</v>
      </c>
      <c r="AV65" s="73"/>
      <c r="AW65" s="46"/>
    </row>
    <row r="66" spans="1:49" s="25" customFormat="1" ht="25.2" customHeight="1" x14ac:dyDescent="0.15">
      <c r="A66" s="171" t="s">
        <v>454</v>
      </c>
      <c r="B66" s="47" t="s">
        <v>210</v>
      </c>
      <c r="C66" s="47" t="str">
        <f>""</f>
        <v/>
      </c>
      <c r="D66" s="47" t="s">
        <v>450</v>
      </c>
      <c r="E66" s="88" t="s">
        <v>146</v>
      </c>
      <c r="F66" s="47" t="s">
        <v>522</v>
      </c>
      <c r="G66" s="47" t="s">
        <v>395</v>
      </c>
      <c r="H66" s="47" t="s">
        <v>410</v>
      </c>
      <c r="I66" s="46"/>
      <c r="J66" s="111">
        <v>1</v>
      </c>
      <c r="K66" s="52">
        <f t="shared" si="60"/>
        <v>120.20399999999999</v>
      </c>
      <c r="L66" s="148" cm="1">
        <f t="array" ref="L66">IF(AE66="N/A","",_xlfn.IFS(Z66="m2",AC66*J66,Z66="stk",(AC66*(1/(AA66*AB66)))*J66,Z66="N/A",""))</f>
        <v>120.20399999999999</v>
      </c>
      <c r="M66" s="52">
        <f t="shared" si="61"/>
        <v>92.1</v>
      </c>
      <c r="N66" s="148" cm="1">
        <f t="array" ref="N66">_xlfn.IFS(Z66="m2",AD66*J66,Z66="stk",(AD66*(1/(AA66*AB66)))*J66,Z66="N/A","")</f>
        <v>92.1</v>
      </c>
      <c r="O66" s="52">
        <f t="shared" si="62"/>
        <v>28.104000000000003</v>
      </c>
      <c r="P66" s="148" cm="1">
        <f t="array" ref="P66">IF(AE66="N/A","",_xlfn.IFS(Z66="m2",AE66*J66,Z66="stk",(AE66*(1/(AA66*AB66)))*J66,Z66="N/A",""))</f>
        <v>28.104000000000003</v>
      </c>
      <c r="Q66" s="52">
        <f t="shared" si="63"/>
        <v>8.18</v>
      </c>
      <c r="R66" s="155" cm="1">
        <f t="array" ref="R66">IF(AG66="N/A","",_xlfn.IFS(Z66="m2",AG66*J66,Z66="stk",(AG66*(1/(AA66*AB66)))*J66,Z66="N/A",""))</f>
        <v>8.18</v>
      </c>
      <c r="S66" s="88" t="s">
        <v>5</v>
      </c>
      <c r="T66" s="47"/>
      <c r="U66" s="47">
        <v>2028</v>
      </c>
      <c r="V66" s="47" t="s">
        <v>28</v>
      </c>
      <c r="W66" s="47">
        <v>50</v>
      </c>
      <c r="Y66" s="47" t="s">
        <v>639</v>
      </c>
      <c r="Z66" s="47" t="s">
        <v>15</v>
      </c>
      <c r="AA66" s="47">
        <v>1.48</v>
      </c>
      <c r="AB66" s="47">
        <v>1.23</v>
      </c>
      <c r="AC66" s="52">
        <f t="shared" si="59"/>
        <v>120.20399999999999</v>
      </c>
      <c r="AD66" s="52">
        <f>92.1</f>
        <v>92.1</v>
      </c>
      <c r="AE66" s="52">
        <f>27.6+0.504</f>
        <v>28.104000000000003</v>
      </c>
      <c r="AF66" s="52">
        <f>-30.8</f>
        <v>-30.8</v>
      </c>
      <c r="AG66" s="52">
        <f>8.18</f>
        <v>8.18</v>
      </c>
      <c r="AH66" s="47"/>
      <c r="AI66" s="115" t="str">
        <f t="shared" si="5"/>
        <v xml:space="preserve">F </v>
      </c>
      <c r="AJ66" s="122" t="s">
        <v>82</v>
      </c>
      <c r="AK66" s="125"/>
      <c r="AL66" s="46"/>
      <c r="AM66" s="46"/>
      <c r="AN66" s="47" t="s">
        <v>191</v>
      </c>
      <c r="AO66" s="47" t="s">
        <v>191</v>
      </c>
      <c r="AP66" s="47" t="s">
        <v>191</v>
      </c>
      <c r="AQ66" s="47" t="s">
        <v>191</v>
      </c>
      <c r="AR66" s="47"/>
      <c r="AS66" s="47">
        <v>38.21</v>
      </c>
      <c r="AU66" s="105" t="s">
        <v>17</v>
      </c>
      <c r="AV66" s="73"/>
      <c r="AW66" s="46"/>
    </row>
    <row r="67" spans="1:49" s="25" customFormat="1" ht="25.2" customHeight="1" x14ac:dyDescent="0.15">
      <c r="A67" s="171" t="s">
        <v>455</v>
      </c>
      <c r="B67" s="47" t="s">
        <v>210</v>
      </c>
      <c r="C67" s="47" t="str">
        <f>""</f>
        <v/>
      </c>
      <c r="D67" s="47" t="s">
        <v>450</v>
      </c>
      <c r="E67" s="88" t="s">
        <v>146</v>
      </c>
      <c r="F67" s="47" t="s">
        <v>522</v>
      </c>
      <c r="G67" s="47" t="s">
        <v>395</v>
      </c>
      <c r="H67" s="47" t="s">
        <v>410</v>
      </c>
      <c r="I67" s="46"/>
      <c r="J67" s="111">
        <v>1</v>
      </c>
      <c r="K67" s="52">
        <f t="shared" si="60"/>
        <v>123.02</v>
      </c>
      <c r="L67" s="148" cm="1">
        <f t="array" ref="L67">IF(AE67="N/A","",_xlfn.IFS(Z67="m2",AC67*J67,Z67="stk",(AC67*(1/(AA67*AB67)))*J67,Z67="N/A",""))</f>
        <v>123.02</v>
      </c>
      <c r="M67" s="52">
        <f t="shared" si="61"/>
        <v>94</v>
      </c>
      <c r="N67" s="148" cm="1">
        <f t="array" ref="N67">_xlfn.IFS(Z67="m2",AD67*J67,Z67="stk",(AD67*(1/(AA67*AB67)))*J67,Z67="N/A","")</f>
        <v>94</v>
      </c>
      <c r="O67" s="52">
        <f t="shared" si="62"/>
        <v>29.02</v>
      </c>
      <c r="P67" s="148" cm="1">
        <f t="array" ref="P67">IF(AE67="N/A","",_xlfn.IFS(Z67="m2",AE67*J67,Z67="stk",(AE67*(1/(AA67*AB67)))*J67,Z67="N/A",""))</f>
        <v>29.02</v>
      </c>
      <c r="Q67" s="52">
        <f t="shared" si="63"/>
        <v>8.24</v>
      </c>
      <c r="R67" s="155" cm="1">
        <f t="array" ref="R67">IF(AG67="N/A","",_xlfn.IFS(Z67="m2",AG67*J67,Z67="stk",(AG67*(1/(AA67*AB67)))*J67,Z67="N/A",""))</f>
        <v>8.24</v>
      </c>
      <c r="S67" s="88" t="s">
        <v>5</v>
      </c>
      <c r="T67" s="47"/>
      <c r="U67" s="47">
        <v>2028</v>
      </c>
      <c r="V67" s="47" t="s">
        <v>28</v>
      </c>
      <c r="W67" s="47">
        <v>50</v>
      </c>
      <c r="Y67" s="47" t="s">
        <v>639</v>
      </c>
      <c r="Z67" s="47" t="s">
        <v>15</v>
      </c>
      <c r="AA67" s="47">
        <v>1.48</v>
      </c>
      <c r="AB67" s="47">
        <v>1.23</v>
      </c>
      <c r="AC67" s="52">
        <f t="shared" si="54"/>
        <v>123.02</v>
      </c>
      <c r="AD67" s="52">
        <f>94</f>
        <v>94</v>
      </c>
      <c r="AE67" s="52">
        <f>28.5+0.52</f>
        <v>29.02</v>
      </c>
      <c r="AF67" s="52">
        <f>-31.7</f>
        <v>-31.7</v>
      </c>
      <c r="AG67" s="52">
        <f>8.24</f>
        <v>8.24</v>
      </c>
      <c r="AH67" s="47"/>
      <c r="AI67" s="115" t="str">
        <f t="shared" si="5"/>
        <v xml:space="preserve">F </v>
      </c>
      <c r="AJ67" s="122" t="s">
        <v>82</v>
      </c>
      <c r="AK67" s="125"/>
      <c r="AL67" s="46"/>
      <c r="AM67" s="46"/>
      <c r="AN67" s="47" t="s">
        <v>191</v>
      </c>
      <c r="AO67" s="47" t="s">
        <v>191</v>
      </c>
      <c r="AP67" s="47" t="s">
        <v>191</v>
      </c>
      <c r="AQ67" s="47" t="s">
        <v>191</v>
      </c>
      <c r="AR67" s="47"/>
      <c r="AS67" s="47">
        <v>38.909999999999997</v>
      </c>
      <c r="AU67" s="105" t="s">
        <v>17</v>
      </c>
      <c r="AV67" s="73"/>
      <c r="AW67" s="46"/>
    </row>
    <row r="68" spans="1:49" s="25" customFormat="1" ht="25.2" customHeight="1" x14ac:dyDescent="0.15">
      <c r="A68" s="171" t="s">
        <v>456</v>
      </c>
      <c r="B68" s="47" t="s">
        <v>210</v>
      </c>
      <c r="C68" s="47" t="str">
        <f>""</f>
        <v/>
      </c>
      <c r="D68" s="47" t="s">
        <v>450</v>
      </c>
      <c r="E68" s="88" t="s">
        <v>146</v>
      </c>
      <c r="F68" s="47" t="s">
        <v>522</v>
      </c>
      <c r="G68" s="47" t="s">
        <v>395</v>
      </c>
      <c r="H68" s="47" t="s">
        <v>410</v>
      </c>
      <c r="I68" s="46"/>
      <c r="J68" s="111">
        <v>1</v>
      </c>
      <c r="K68" s="52">
        <f t="shared" si="60"/>
        <v>126.339</v>
      </c>
      <c r="L68" s="148" cm="1">
        <f t="array" ref="L68">IF(AE68="N/A","",_xlfn.IFS(Z68="m2",AC68*J68,Z68="stk",(AC68*(1/(AA68*AB68)))*J68,Z68="N/A",""))</f>
        <v>126.339</v>
      </c>
      <c r="M68" s="52">
        <f t="shared" si="61"/>
        <v>96.3</v>
      </c>
      <c r="N68" s="148" cm="1">
        <f t="array" ref="N68">_xlfn.IFS(Z68="m2",AD68*J68,Z68="stk",(AD68*(1/(AA68*AB68)))*J68,Z68="N/A","")</f>
        <v>96.3</v>
      </c>
      <c r="O68" s="52">
        <f t="shared" si="62"/>
        <v>30.039000000000001</v>
      </c>
      <c r="P68" s="148" cm="1">
        <f t="array" ref="P68">IF(AE68="N/A","",_xlfn.IFS(Z68="m2",AE68*J68,Z68="stk",(AE68*(1/(AA68*AB68)))*J68,Z68="N/A",""))</f>
        <v>30.039000000000001</v>
      </c>
      <c r="Q68" s="52">
        <f t="shared" si="63"/>
        <v>8.2899999999999991</v>
      </c>
      <c r="R68" s="155" cm="1">
        <f t="array" ref="R68">IF(AG68="N/A","",_xlfn.IFS(Z68="m2",AG68*J68,Z68="stk",(AG68*(1/(AA68*AB68)))*J68,Z68="N/A",""))</f>
        <v>8.2899999999999991</v>
      </c>
      <c r="S68" s="88" t="s">
        <v>5</v>
      </c>
      <c r="T68" s="47"/>
      <c r="U68" s="47">
        <v>2028</v>
      </c>
      <c r="V68" s="47" t="s">
        <v>28</v>
      </c>
      <c r="W68" s="47">
        <v>50</v>
      </c>
      <c r="Y68" s="47" t="s">
        <v>639</v>
      </c>
      <c r="Z68" s="47" t="s">
        <v>15</v>
      </c>
      <c r="AA68" s="47">
        <v>1.48</v>
      </c>
      <c r="AB68" s="47">
        <v>1.23</v>
      </c>
      <c r="AC68" s="52">
        <f t="shared" si="59"/>
        <v>126.339</v>
      </c>
      <c r="AD68" s="52">
        <f>96.3</f>
        <v>96.3</v>
      </c>
      <c r="AE68" s="52">
        <f>29.5+0.539</f>
        <v>30.039000000000001</v>
      </c>
      <c r="AF68" s="52">
        <f>-32.7</f>
        <v>-32.700000000000003</v>
      </c>
      <c r="AG68" s="52">
        <f>8.29</f>
        <v>8.2899999999999991</v>
      </c>
      <c r="AH68" s="47"/>
      <c r="AI68" s="115" t="str">
        <f t="shared" si="5"/>
        <v xml:space="preserve">F </v>
      </c>
      <c r="AJ68" s="122" t="s">
        <v>82</v>
      </c>
      <c r="AK68" s="125"/>
      <c r="AL68" s="46"/>
      <c r="AM68" s="46"/>
      <c r="AN68" s="47" t="s">
        <v>191</v>
      </c>
      <c r="AO68" s="47" t="s">
        <v>191</v>
      </c>
      <c r="AP68" s="47" t="s">
        <v>191</v>
      </c>
      <c r="AQ68" s="47" t="s">
        <v>191</v>
      </c>
      <c r="AR68" s="47"/>
      <c r="AS68" s="47">
        <v>39.950000000000003</v>
      </c>
      <c r="AU68" s="105" t="s">
        <v>17</v>
      </c>
      <c r="AV68" s="73"/>
      <c r="AW68" s="46"/>
    </row>
    <row r="69" spans="1:49" s="25" customFormat="1" ht="25.2" customHeight="1" x14ac:dyDescent="0.15">
      <c r="A69" s="171" t="s">
        <v>457</v>
      </c>
      <c r="B69" s="47" t="s">
        <v>210</v>
      </c>
      <c r="C69" s="47" t="str">
        <f>""</f>
        <v/>
      </c>
      <c r="D69" s="47" t="s">
        <v>458</v>
      </c>
      <c r="E69" s="88" t="s">
        <v>146</v>
      </c>
      <c r="F69" s="47" t="s">
        <v>461</v>
      </c>
      <c r="G69" s="47" t="s">
        <v>395</v>
      </c>
      <c r="H69" s="47" t="s">
        <v>410</v>
      </c>
      <c r="I69" s="46"/>
      <c r="J69" s="111">
        <v>1</v>
      </c>
      <c r="K69" s="52">
        <f t="shared" ref="K69:K70" si="64">IF(AE69="N/A","N/A",IF(L69="","N/A",L69))</f>
        <v>87.334000000000003</v>
      </c>
      <c r="L69" s="148" cm="1">
        <f t="array" ref="L69">IF(AE69="N/A","",_xlfn.IFS(Z69="m2",AC69*J69,Z69="stk",(AC69*(1/(AA69*AB69)))*J69,Z69="N/A",""))</f>
        <v>87.334000000000003</v>
      </c>
      <c r="M69" s="52">
        <f t="shared" ref="M69:M70" si="65">IF(N69="","N/A",N69)</f>
        <v>79.239999999999995</v>
      </c>
      <c r="N69" s="148" cm="1">
        <f t="array" ref="N69">_xlfn.IFS(Z69="m2",AD69*J69,Z69="stk",(AD69*(1/(AA69*AB69)))*J69,Z69="N/A","")</f>
        <v>79.239999999999995</v>
      </c>
      <c r="O69" s="52">
        <f t="shared" ref="O69:O70" si="66">IF(P69="","N/A",P69)</f>
        <v>8.0940000000000012</v>
      </c>
      <c r="P69" s="148" cm="1">
        <f t="array" ref="P69">IF(AE69="N/A","",_xlfn.IFS(Z69="m2",AE69*J69,Z69="stk",(AE69*(1/(AA69*AB69)))*J69,Z69="N/A",""))</f>
        <v>8.0940000000000012</v>
      </c>
      <c r="Q69" s="52">
        <f t="shared" ref="Q69:Q70" si="67">IF(R69="","N/A",R69)</f>
        <v>-0.59295000000000009</v>
      </c>
      <c r="R69" s="155" cm="1">
        <f t="array" ref="R69">IF(AG69="N/A","",_xlfn.IFS(Z69="m2",AG69*J69,Z69="stk",(AG69*(1/(AA69*AB69)))*J69,Z69="N/A",""))</f>
        <v>-0.59295000000000009</v>
      </c>
      <c r="S69" s="88" t="s">
        <v>462</v>
      </c>
      <c r="T69" s="47"/>
      <c r="U69" s="47">
        <v>2027</v>
      </c>
      <c r="V69" s="47" t="s">
        <v>28</v>
      </c>
      <c r="W69" s="47" t="s">
        <v>191</v>
      </c>
      <c r="Y69" s="47" t="s">
        <v>640</v>
      </c>
      <c r="Z69" s="47" t="s">
        <v>15</v>
      </c>
      <c r="AA69" s="47">
        <v>1.48</v>
      </c>
      <c r="AB69" s="47">
        <v>1.23</v>
      </c>
      <c r="AC69" s="52">
        <f t="shared" si="54"/>
        <v>87.334000000000003</v>
      </c>
      <c r="AD69" s="52">
        <f>76.1+1.54 +1.6</f>
        <v>79.239999999999995</v>
      </c>
      <c r="AE69" s="52">
        <f>7.61 +0.484</f>
        <v>8.0940000000000012</v>
      </c>
      <c r="AF69" s="52">
        <f>-15.4</f>
        <v>-15.4</v>
      </c>
      <c r="AG69" s="52">
        <f>0.939-0.00195-1.53</f>
        <v>-0.59295000000000009</v>
      </c>
      <c r="AH69" s="47"/>
      <c r="AI69" s="115" t="str">
        <f t="shared" si="5"/>
        <v xml:space="preserve">F </v>
      </c>
      <c r="AJ69" s="122" t="s">
        <v>82</v>
      </c>
      <c r="AK69" s="125"/>
      <c r="AL69" s="46"/>
      <c r="AM69" s="46"/>
      <c r="AN69" s="47" t="s">
        <v>191</v>
      </c>
      <c r="AO69" s="47" t="s">
        <v>191</v>
      </c>
      <c r="AP69" s="47" t="s">
        <v>191</v>
      </c>
      <c r="AQ69" s="47" t="s">
        <v>191</v>
      </c>
      <c r="AR69" s="47"/>
      <c r="AS69" s="47">
        <v>35.1</v>
      </c>
      <c r="AU69" s="105" t="s">
        <v>17</v>
      </c>
      <c r="AV69" s="73"/>
      <c r="AW69" s="46"/>
    </row>
    <row r="70" spans="1:49" s="25" customFormat="1" ht="25.2" customHeight="1" x14ac:dyDescent="0.15">
      <c r="A70" s="25" t="s">
        <v>459</v>
      </c>
      <c r="B70" s="47" t="s">
        <v>208</v>
      </c>
      <c r="C70" s="47" t="str">
        <f>""</f>
        <v/>
      </c>
      <c r="D70" s="47" t="s">
        <v>458</v>
      </c>
      <c r="E70" s="88" t="s">
        <v>146</v>
      </c>
      <c r="F70" s="47" t="s">
        <v>523</v>
      </c>
      <c r="G70" s="47" t="s">
        <v>395</v>
      </c>
      <c r="H70" s="47" t="s">
        <v>410</v>
      </c>
      <c r="I70" s="46"/>
      <c r="J70" s="111">
        <v>1</v>
      </c>
      <c r="K70" s="52">
        <f t="shared" si="64"/>
        <v>102.24000000000001</v>
      </c>
      <c r="L70" s="148" cm="1">
        <f t="array" ref="L70">IF(AE70="N/A","",_xlfn.IFS(Z70="m2",AC70*J70,Z70="stk",(AC70*(1/(AA70*AB70)))*J70,Z70="N/A",""))</f>
        <v>102.24000000000001</v>
      </c>
      <c r="M70" s="52">
        <f t="shared" si="65"/>
        <v>82.350000000000009</v>
      </c>
      <c r="N70" s="148" cm="1">
        <f t="array" ref="N70">_xlfn.IFS(Z70="m2",AD70*J70,Z70="stk",(AD70*(1/(AA70*AB70)))*J70,Z70="N/A","")</f>
        <v>82.350000000000009</v>
      </c>
      <c r="O70" s="52">
        <f t="shared" si="66"/>
        <v>19.89</v>
      </c>
      <c r="P70" s="148" cm="1">
        <f t="array" ref="P70">IF(AE70="N/A","",_xlfn.IFS(Z70="m2",AE70*J70,Z70="stk",(AE70*(1/(AA70*AB70)))*J70,Z70="N/A",""))</f>
        <v>19.89</v>
      </c>
      <c r="Q70" s="52">
        <f t="shared" si="67"/>
        <v>-14.90157</v>
      </c>
      <c r="R70" s="155" cm="1">
        <f t="array" ref="R70">IF(AG70="N/A","",_xlfn.IFS(Z70="m2",AG70*J70,Z70="stk",(AG70*(1/(AA70*AB70)))*J70,Z70="N/A",""))</f>
        <v>-14.90157</v>
      </c>
      <c r="S70" s="88" t="s">
        <v>462</v>
      </c>
      <c r="T70" s="47"/>
      <c r="U70" s="47">
        <v>2027</v>
      </c>
      <c r="V70" s="47" t="s">
        <v>28</v>
      </c>
      <c r="W70" s="47" t="s">
        <v>191</v>
      </c>
      <c r="Y70" s="47" t="s">
        <v>641</v>
      </c>
      <c r="Z70" s="47" t="s">
        <v>15</v>
      </c>
      <c r="AA70" s="47">
        <v>1.48</v>
      </c>
      <c r="AB70" s="47">
        <v>1.23</v>
      </c>
      <c r="AC70" s="52">
        <f t="shared" si="59"/>
        <v>102.24000000000001</v>
      </c>
      <c r="AD70" s="52">
        <f>70.4 +1.25 +10.7</f>
        <v>82.350000000000009</v>
      </c>
      <c r="AE70" s="52">
        <f>18.8+1.09</f>
        <v>19.89</v>
      </c>
      <c r="AF70" s="52">
        <f>-29.1</f>
        <v>-29.1</v>
      </c>
      <c r="AG70" s="52">
        <f>-16.9 -0.00157+2</f>
        <v>-14.90157</v>
      </c>
      <c r="AH70" s="47"/>
      <c r="AI70" s="115" t="str">
        <f t="shared" ref="AI70:AI72" si="68">AJ70&amp;" "&amp;AK70</f>
        <v xml:space="preserve">F </v>
      </c>
      <c r="AJ70" s="122" t="s">
        <v>82</v>
      </c>
      <c r="AK70" s="125"/>
      <c r="AL70" s="46"/>
      <c r="AM70" s="46"/>
      <c r="AN70" s="47" t="s">
        <v>191</v>
      </c>
      <c r="AO70" s="47" t="s">
        <v>191</v>
      </c>
      <c r="AP70" s="47" t="s">
        <v>191</v>
      </c>
      <c r="AQ70" s="47" t="s">
        <v>191</v>
      </c>
      <c r="AR70" s="47"/>
      <c r="AS70" s="47">
        <v>36.4</v>
      </c>
      <c r="AU70" s="105" t="s">
        <v>17</v>
      </c>
      <c r="AV70" s="73"/>
      <c r="AW70" s="46"/>
    </row>
    <row r="71" spans="1:49" s="25" customFormat="1" ht="25.2" customHeight="1" x14ac:dyDescent="0.15">
      <c r="A71" s="25" t="s">
        <v>460</v>
      </c>
      <c r="B71" s="47" t="s">
        <v>208</v>
      </c>
      <c r="C71" s="47" t="str">
        <f>""</f>
        <v/>
      </c>
      <c r="D71" s="47" t="s">
        <v>458</v>
      </c>
      <c r="E71" s="88" t="s">
        <v>146</v>
      </c>
      <c r="F71" s="47" t="s">
        <v>396</v>
      </c>
      <c r="G71" s="47" t="s">
        <v>395</v>
      </c>
      <c r="H71" s="47" t="s">
        <v>410</v>
      </c>
      <c r="I71" s="46"/>
      <c r="J71" s="111">
        <v>1</v>
      </c>
      <c r="K71" s="52">
        <f t="shared" ref="K71:K72" si="69">IF(AE71="N/A","N/A",IF(L71="","N/A",L71))</f>
        <v>67.16</v>
      </c>
      <c r="L71" s="148" cm="1">
        <f t="array" ref="L71">IF(AE71="N/A","",_xlfn.IFS(Z71="m2",AC71*J71,Z71="stk",(AC71*(1/(AA71*AB71)))*J71,Z71="N/A",""))</f>
        <v>67.16</v>
      </c>
      <c r="M71" s="52">
        <f t="shared" ref="M71:M72" si="70">IF(N71="","N/A",N71)</f>
        <v>46.97</v>
      </c>
      <c r="N71" s="148" cm="1">
        <f t="array" ref="N71">_xlfn.IFS(Z71="m2",AD71*J71,Z71="stk",(AD71*(1/(AA71*AB71)))*J71,Z71="N/A","")</f>
        <v>46.97</v>
      </c>
      <c r="O71" s="52">
        <f t="shared" ref="O71:O72" si="71">IF(P71="","N/A",P71)</f>
        <v>20.189999999999998</v>
      </c>
      <c r="P71" s="148" cm="1">
        <f t="array" ref="P71">IF(AE71="N/A","",_xlfn.IFS(Z71="m2",AE71*J71,Z71="stk",(AE71*(1/(AA71*AB71)))*J71,Z71="N/A",""))</f>
        <v>20.189999999999998</v>
      </c>
      <c r="Q71" s="52">
        <f t="shared" ref="Q71:Q72" si="72">IF(R71="","N/A",R71)</f>
        <v>-16.480603000000002</v>
      </c>
      <c r="R71" s="155" cm="1">
        <f t="array" ref="R71">IF(AG71="N/A","",_xlfn.IFS(Z71="m2",AG71*J71,Z71="stk",(AG71*(1/(AA71*AB71)))*J71,Z71="N/A",""))</f>
        <v>-16.480603000000002</v>
      </c>
      <c r="S71" s="88" t="s">
        <v>462</v>
      </c>
      <c r="T71" s="47"/>
      <c r="U71" s="47"/>
      <c r="V71" s="47" t="s">
        <v>28</v>
      </c>
      <c r="W71" s="47" t="s">
        <v>191</v>
      </c>
      <c r="Y71" s="47" t="s">
        <v>642</v>
      </c>
      <c r="Z71" s="47" t="s">
        <v>15</v>
      </c>
      <c r="AA71" s="47">
        <v>1.48</v>
      </c>
      <c r="AB71" s="47">
        <v>1.23</v>
      </c>
      <c r="AC71" s="52">
        <f t="shared" si="54"/>
        <v>67.16</v>
      </c>
      <c r="AD71" s="52">
        <f>34.9 +1.77 +10.3</f>
        <v>46.97</v>
      </c>
      <c r="AE71" s="52">
        <f>18.9+1.29</f>
        <v>20.189999999999998</v>
      </c>
      <c r="AF71" s="52">
        <f>-17.5</f>
        <v>-17.5</v>
      </c>
      <c r="AG71" s="52">
        <f>-18-0.000603+1.52</f>
        <v>-16.480603000000002</v>
      </c>
      <c r="AH71" s="47"/>
      <c r="AI71" s="115" t="str">
        <f t="shared" si="68"/>
        <v xml:space="preserve">F </v>
      </c>
      <c r="AJ71" s="122" t="s">
        <v>82</v>
      </c>
      <c r="AK71" s="125"/>
      <c r="AL71" s="46"/>
      <c r="AM71" s="46"/>
      <c r="AN71" s="47" t="s">
        <v>191</v>
      </c>
      <c r="AO71" s="47" t="s">
        <v>191</v>
      </c>
      <c r="AP71" s="47" t="s">
        <v>191</v>
      </c>
      <c r="AQ71" s="47" t="s">
        <v>191</v>
      </c>
      <c r="AR71" s="47"/>
      <c r="AS71" s="47">
        <v>34.200000000000003</v>
      </c>
      <c r="AU71" s="105" t="s">
        <v>17</v>
      </c>
      <c r="AV71" s="73"/>
      <c r="AW71" s="46"/>
    </row>
    <row r="72" spans="1:49" s="25" customFormat="1" ht="25.2" customHeight="1" x14ac:dyDescent="0.15">
      <c r="A72" s="171" t="s">
        <v>975</v>
      </c>
      <c r="B72" s="47" t="s">
        <v>210</v>
      </c>
      <c r="C72" s="47" t="str">
        <f>""</f>
        <v/>
      </c>
      <c r="D72" s="47" t="s">
        <v>445</v>
      </c>
      <c r="E72" s="88" t="s">
        <v>142</v>
      </c>
      <c r="F72" s="47" t="s">
        <v>524</v>
      </c>
      <c r="G72" s="47" t="s">
        <v>395</v>
      </c>
      <c r="H72" s="47" t="s">
        <v>410</v>
      </c>
      <c r="I72" s="46"/>
      <c r="J72" s="111">
        <v>1</v>
      </c>
      <c r="K72" s="52">
        <f t="shared" si="69"/>
        <v>76.44</v>
      </c>
      <c r="L72" s="148" cm="1">
        <f t="array" ref="L72">IF(AE72="N/A","",_xlfn.IFS(Z72="m2",AC72*J72,Z72="stk",(AC72*(1/(AA72*AB72)))*J72,Z72="N/A",""))</f>
        <v>76.44</v>
      </c>
      <c r="M72" s="52">
        <f t="shared" si="70"/>
        <v>46.6</v>
      </c>
      <c r="N72" s="148" cm="1">
        <f t="array" ref="N72">_xlfn.IFS(Z72="m2",AD72*J72,Z72="stk",(AD72*(1/(AA72*AB72)))*J72,Z72="N/A","")</f>
        <v>46.6</v>
      </c>
      <c r="O72" s="52">
        <f t="shared" si="71"/>
        <v>29.84</v>
      </c>
      <c r="P72" s="148" cm="1">
        <f t="array" ref="P72">IF(AE72="N/A","",_xlfn.IFS(Z72="m2",AE72*J72,Z72="stk",(AE72*(1/(AA72*AB72)))*J72,Z72="N/A",""))</f>
        <v>29.84</v>
      </c>
      <c r="Q72" s="52">
        <f t="shared" si="72"/>
        <v>-23.5</v>
      </c>
      <c r="R72" s="155" cm="1">
        <f t="array" ref="R72">IF(AG72="N/A","",_xlfn.IFS(Z72="m2",AG72*J72,Z72="stk",(AG72*(1/(AA72*AB72)))*J72,Z72="N/A",""))</f>
        <v>-23.5</v>
      </c>
      <c r="S72" s="88" t="s">
        <v>5</v>
      </c>
      <c r="T72" s="47" t="s">
        <v>377</v>
      </c>
      <c r="U72" s="47">
        <v>2028</v>
      </c>
      <c r="V72" s="47" t="s">
        <v>28</v>
      </c>
      <c r="W72" s="47" t="s">
        <v>191</v>
      </c>
      <c r="Y72" s="47" t="s">
        <v>637</v>
      </c>
      <c r="Z72" s="47" t="s">
        <v>15</v>
      </c>
      <c r="AA72" s="47">
        <v>1.48</v>
      </c>
      <c r="AB72" s="47">
        <v>1.23</v>
      </c>
      <c r="AC72" s="52">
        <f t="shared" ref="AC72" si="73">IF(AE72="N/A","N/A",SUM(AD72:AE72))</f>
        <v>76.44</v>
      </c>
      <c r="AD72" s="52">
        <f>46.6</f>
        <v>46.6</v>
      </c>
      <c r="AE72" s="52">
        <f>28.3+1.54</f>
        <v>29.84</v>
      </c>
      <c r="AF72" s="52">
        <f>-24.3</f>
        <v>-24.3</v>
      </c>
      <c r="AG72" s="52">
        <f>-23.5</f>
        <v>-23.5</v>
      </c>
      <c r="AH72" s="47"/>
      <c r="AI72" s="115" t="str">
        <f t="shared" si="68"/>
        <v xml:space="preserve">F </v>
      </c>
      <c r="AJ72" s="122" t="s">
        <v>82</v>
      </c>
      <c r="AK72" s="125"/>
      <c r="AL72" s="46"/>
      <c r="AM72" s="46"/>
      <c r="AN72" s="47">
        <v>0.79</v>
      </c>
      <c r="AO72" s="47">
        <v>0.74</v>
      </c>
      <c r="AP72" s="47">
        <v>0.53</v>
      </c>
      <c r="AQ72" s="47">
        <v>5.6</v>
      </c>
      <c r="AR72" s="47"/>
      <c r="AS72" s="47" t="s">
        <v>191</v>
      </c>
      <c r="AU72" s="105" t="s">
        <v>17</v>
      </c>
      <c r="AV72" s="205" t="s">
        <v>17</v>
      </c>
      <c r="AW72" s="46"/>
    </row>
    <row r="73" spans="1:49" s="25" customFormat="1" ht="25.2" customHeight="1" x14ac:dyDescent="0.15">
      <c r="B73" s="47"/>
      <c r="C73" s="47"/>
      <c r="D73" s="47"/>
      <c r="E73" s="47"/>
      <c r="F73" s="47"/>
      <c r="G73" s="47"/>
      <c r="H73" s="47"/>
      <c r="I73" s="46"/>
      <c r="J73" s="111"/>
      <c r="K73" s="52"/>
      <c r="L73" s="148"/>
      <c r="M73" s="52"/>
      <c r="N73" s="148"/>
      <c r="O73" s="52"/>
      <c r="P73" s="148"/>
      <c r="Q73" s="52"/>
      <c r="R73" s="155"/>
      <c r="S73" s="47"/>
      <c r="T73" s="47"/>
      <c r="U73" s="47"/>
      <c r="V73" s="47"/>
      <c r="W73" s="47"/>
      <c r="Y73" s="47"/>
      <c r="Z73" s="47"/>
      <c r="AA73" s="47"/>
      <c r="AB73" s="47"/>
      <c r="AC73" s="52"/>
      <c r="AD73" s="52"/>
      <c r="AE73" s="52"/>
      <c r="AF73" s="52"/>
      <c r="AG73" s="52"/>
      <c r="AH73" s="47"/>
      <c r="AI73" s="115"/>
      <c r="AJ73" s="122"/>
      <c r="AK73" s="125"/>
      <c r="AL73" s="46"/>
      <c r="AM73" s="46"/>
      <c r="AN73" s="47"/>
      <c r="AO73" s="47"/>
      <c r="AP73" s="47"/>
      <c r="AQ73" s="47"/>
      <c r="AR73" s="47"/>
      <c r="AS73" s="47"/>
      <c r="AU73" s="109"/>
      <c r="AV73" s="73"/>
      <c r="AW73" s="46"/>
    </row>
    <row r="74" spans="1:49" s="25" customFormat="1" ht="25.2" customHeight="1" x14ac:dyDescent="0.15">
      <c r="B74" s="47"/>
      <c r="C74" s="47"/>
      <c r="D74" s="47"/>
      <c r="E74" s="47"/>
      <c r="F74" s="47"/>
      <c r="G74" s="47"/>
      <c r="H74" s="47"/>
      <c r="I74" s="46"/>
      <c r="J74" s="111"/>
      <c r="K74" s="52"/>
      <c r="L74" s="148"/>
      <c r="M74" s="52"/>
      <c r="N74" s="148"/>
      <c r="O74" s="52"/>
      <c r="P74" s="148"/>
      <c r="Q74" s="52"/>
      <c r="R74" s="155"/>
      <c r="S74" s="47"/>
      <c r="T74" s="47"/>
      <c r="U74" s="47"/>
      <c r="V74" s="47"/>
      <c r="W74" s="47"/>
      <c r="Y74" s="47"/>
      <c r="Z74" s="47"/>
      <c r="AA74" s="47"/>
      <c r="AB74" s="47"/>
      <c r="AC74" s="52"/>
      <c r="AD74" s="52"/>
      <c r="AE74" s="52"/>
      <c r="AF74" s="52"/>
      <c r="AG74" s="52"/>
      <c r="AH74" s="47"/>
      <c r="AI74" s="115"/>
      <c r="AJ74" s="122"/>
      <c r="AK74" s="125"/>
      <c r="AL74" s="46"/>
      <c r="AM74" s="46"/>
      <c r="AN74" s="47"/>
      <c r="AO74" s="47"/>
      <c r="AP74" s="47"/>
      <c r="AQ74" s="47"/>
      <c r="AR74" s="47"/>
      <c r="AS74" s="47"/>
      <c r="AU74" s="109"/>
      <c r="AV74" s="73"/>
      <c r="AW74" s="46"/>
    </row>
    <row r="75" spans="1:49" s="25" customFormat="1" ht="25.2" customHeight="1" x14ac:dyDescent="0.15">
      <c r="B75" s="47"/>
      <c r="C75" s="47"/>
      <c r="D75" s="47"/>
      <c r="E75" s="47"/>
      <c r="F75" s="47"/>
      <c r="G75" s="47"/>
      <c r="H75" s="47"/>
      <c r="I75" s="46"/>
      <c r="J75" s="111"/>
      <c r="K75" s="52"/>
      <c r="L75" s="148"/>
      <c r="M75" s="52"/>
      <c r="N75" s="148"/>
      <c r="O75" s="52"/>
      <c r="P75" s="148"/>
      <c r="Q75" s="52"/>
      <c r="R75" s="155"/>
      <c r="S75" s="47"/>
      <c r="T75" s="47"/>
      <c r="U75" s="47"/>
      <c r="V75" s="47"/>
      <c r="W75" s="47"/>
      <c r="Y75" s="47"/>
      <c r="Z75" s="47"/>
      <c r="AA75" s="47"/>
      <c r="AB75" s="47"/>
      <c r="AC75" s="52"/>
      <c r="AD75" s="52"/>
      <c r="AE75" s="52"/>
      <c r="AF75" s="52"/>
      <c r="AG75" s="52"/>
      <c r="AH75" s="47"/>
      <c r="AI75" s="115"/>
      <c r="AJ75" s="122"/>
      <c r="AK75" s="125"/>
      <c r="AL75" s="46"/>
      <c r="AM75" s="46"/>
      <c r="AN75" s="47"/>
      <c r="AO75" s="47"/>
      <c r="AP75" s="47"/>
      <c r="AQ75" s="47"/>
      <c r="AR75" s="47"/>
      <c r="AS75" s="47"/>
      <c r="AU75" s="109"/>
      <c r="AV75" s="73"/>
      <c r="AW75" s="46"/>
    </row>
    <row r="76" spans="1:49" s="25" customFormat="1" ht="25.2" customHeight="1" x14ac:dyDescent="0.15">
      <c r="B76" s="47"/>
      <c r="C76" s="47"/>
      <c r="D76" s="47"/>
      <c r="E76" s="47"/>
      <c r="F76" s="47"/>
      <c r="G76" s="47"/>
      <c r="H76" s="47"/>
      <c r="I76" s="46"/>
      <c r="J76" s="111"/>
      <c r="K76" s="52"/>
      <c r="L76" s="148"/>
      <c r="M76" s="52"/>
      <c r="N76" s="148"/>
      <c r="O76" s="52"/>
      <c r="P76" s="148"/>
      <c r="Q76" s="52"/>
      <c r="R76" s="155"/>
      <c r="S76" s="47"/>
      <c r="T76" s="47"/>
      <c r="U76" s="47"/>
      <c r="V76" s="47"/>
      <c r="W76" s="47"/>
      <c r="Y76" s="47"/>
      <c r="Z76" s="47"/>
      <c r="AA76" s="47"/>
      <c r="AB76" s="47"/>
      <c r="AC76" s="52"/>
      <c r="AD76" s="52"/>
      <c r="AE76" s="52"/>
      <c r="AF76" s="52"/>
      <c r="AG76" s="52"/>
      <c r="AH76" s="47"/>
      <c r="AI76" s="115"/>
      <c r="AJ76" s="122"/>
      <c r="AK76" s="125"/>
      <c r="AL76" s="46"/>
      <c r="AM76" s="46"/>
      <c r="AN76" s="47"/>
      <c r="AO76" s="47"/>
      <c r="AP76" s="47"/>
      <c r="AQ76" s="47"/>
      <c r="AR76" s="47"/>
      <c r="AS76" s="47"/>
      <c r="AU76" s="109"/>
      <c r="AV76" s="73"/>
      <c r="AW76" s="46"/>
    </row>
    <row r="77" spans="1:49" s="25" customFormat="1" ht="25.2" customHeight="1" x14ac:dyDescent="0.15">
      <c r="B77" s="47"/>
      <c r="C77" s="47"/>
      <c r="D77" s="47"/>
      <c r="E77" s="47"/>
      <c r="F77" s="47"/>
      <c r="G77" s="47"/>
      <c r="H77" s="47"/>
      <c r="I77" s="46"/>
      <c r="J77" s="111"/>
      <c r="K77" s="52"/>
      <c r="L77" s="148"/>
      <c r="M77" s="52"/>
      <c r="N77" s="148"/>
      <c r="O77" s="52"/>
      <c r="P77" s="148"/>
      <c r="Q77" s="52"/>
      <c r="R77" s="155"/>
      <c r="S77" s="47"/>
      <c r="T77" s="47"/>
      <c r="U77" s="47"/>
      <c r="V77" s="47"/>
      <c r="W77" s="47"/>
      <c r="Y77" s="47"/>
      <c r="Z77" s="47"/>
      <c r="AA77" s="47"/>
      <c r="AB77" s="47"/>
      <c r="AC77" s="52"/>
      <c r="AD77" s="52"/>
      <c r="AE77" s="52"/>
      <c r="AF77" s="52"/>
      <c r="AG77" s="52"/>
      <c r="AH77" s="47"/>
      <c r="AI77" s="115"/>
      <c r="AJ77" s="122"/>
      <c r="AK77" s="125"/>
      <c r="AL77" s="46"/>
      <c r="AM77" s="46"/>
      <c r="AN77" s="47"/>
      <c r="AO77" s="47"/>
      <c r="AP77" s="47"/>
      <c r="AQ77" s="47"/>
      <c r="AR77" s="47"/>
      <c r="AS77" s="47"/>
      <c r="AU77" s="109"/>
      <c r="AV77" s="73"/>
      <c r="AW77" s="46"/>
    </row>
    <row r="78" spans="1:49" s="25" customFormat="1" ht="25.2" customHeight="1" x14ac:dyDescent="0.15">
      <c r="B78" s="47"/>
      <c r="C78" s="47"/>
      <c r="D78" s="47"/>
      <c r="E78" s="47"/>
      <c r="F78" s="47"/>
      <c r="G78" s="47"/>
      <c r="H78" s="47"/>
      <c r="I78" s="46"/>
      <c r="J78" s="111"/>
      <c r="K78" s="52"/>
      <c r="L78" s="148"/>
      <c r="M78" s="52"/>
      <c r="N78" s="148"/>
      <c r="O78" s="52"/>
      <c r="P78" s="148"/>
      <c r="Q78" s="52"/>
      <c r="R78" s="155"/>
      <c r="S78" s="47"/>
      <c r="T78" s="47"/>
      <c r="U78" s="47"/>
      <c r="V78" s="47"/>
      <c r="W78" s="47"/>
      <c r="Y78" s="47"/>
      <c r="Z78" s="47"/>
      <c r="AA78" s="47"/>
      <c r="AB78" s="47"/>
      <c r="AC78" s="52"/>
      <c r="AD78" s="52"/>
      <c r="AE78" s="52"/>
      <c r="AF78" s="52"/>
      <c r="AG78" s="52"/>
      <c r="AH78" s="47"/>
      <c r="AI78" s="115"/>
      <c r="AJ78" s="122"/>
      <c r="AK78" s="125"/>
      <c r="AL78" s="46"/>
      <c r="AM78" s="46"/>
      <c r="AN78" s="47"/>
      <c r="AO78" s="47"/>
      <c r="AP78" s="47"/>
      <c r="AQ78" s="47"/>
      <c r="AR78" s="47"/>
      <c r="AS78" s="47"/>
      <c r="AU78" s="109"/>
      <c r="AV78" s="73"/>
      <c r="AW78" s="46"/>
    </row>
    <row r="79" spans="1:49" s="25" customFormat="1" ht="25.2" customHeight="1" x14ac:dyDescent="0.15">
      <c r="B79" s="47"/>
      <c r="C79" s="47"/>
      <c r="D79" s="47"/>
      <c r="E79" s="47"/>
      <c r="F79" s="47"/>
      <c r="G79" s="47"/>
      <c r="H79" s="47"/>
      <c r="I79" s="46"/>
      <c r="J79" s="111"/>
      <c r="K79" s="52"/>
      <c r="L79" s="148"/>
      <c r="M79" s="52"/>
      <c r="N79" s="148"/>
      <c r="O79" s="52"/>
      <c r="P79" s="148"/>
      <c r="Q79" s="52"/>
      <c r="R79" s="155"/>
      <c r="S79" s="47"/>
      <c r="T79" s="47"/>
      <c r="U79" s="47"/>
      <c r="V79" s="47"/>
      <c r="W79" s="47"/>
      <c r="Y79" s="47"/>
      <c r="Z79" s="47"/>
      <c r="AA79" s="47"/>
      <c r="AB79" s="47"/>
      <c r="AC79" s="52"/>
      <c r="AD79" s="52"/>
      <c r="AE79" s="52"/>
      <c r="AF79" s="52"/>
      <c r="AG79" s="52"/>
      <c r="AH79" s="47"/>
      <c r="AI79" s="115"/>
      <c r="AJ79" s="122"/>
      <c r="AK79" s="125"/>
      <c r="AL79" s="46"/>
      <c r="AM79" s="46"/>
      <c r="AN79" s="47"/>
      <c r="AO79" s="47"/>
      <c r="AP79" s="47"/>
      <c r="AQ79" s="47"/>
      <c r="AR79" s="47"/>
      <c r="AS79" s="47"/>
      <c r="AU79" s="109"/>
      <c r="AV79" s="73"/>
      <c r="AW79" s="46"/>
    </row>
    <row r="80" spans="1:49" s="25" customFormat="1" ht="25.2" customHeight="1" x14ac:dyDescent="0.15">
      <c r="B80" s="47"/>
      <c r="C80" s="47"/>
      <c r="D80" s="47"/>
      <c r="E80" s="47"/>
      <c r="F80" s="47"/>
      <c r="G80" s="47"/>
      <c r="H80" s="47"/>
      <c r="I80" s="46"/>
      <c r="J80" s="111"/>
      <c r="K80" s="52"/>
      <c r="L80" s="148"/>
      <c r="M80" s="52"/>
      <c r="N80" s="148"/>
      <c r="O80" s="52"/>
      <c r="P80" s="148"/>
      <c r="Q80" s="52"/>
      <c r="R80" s="155"/>
      <c r="S80" s="47"/>
      <c r="T80" s="47"/>
      <c r="U80" s="47"/>
      <c r="V80" s="47"/>
      <c r="W80" s="47"/>
      <c r="Y80" s="47"/>
      <c r="Z80" s="47"/>
      <c r="AA80" s="47"/>
      <c r="AB80" s="47"/>
      <c r="AC80" s="52"/>
      <c r="AD80" s="52"/>
      <c r="AE80" s="52"/>
      <c r="AF80" s="52"/>
      <c r="AG80" s="52"/>
      <c r="AH80" s="47"/>
      <c r="AI80" s="115"/>
      <c r="AJ80" s="122"/>
      <c r="AK80" s="125"/>
      <c r="AL80" s="46"/>
      <c r="AM80" s="46"/>
      <c r="AN80" s="47"/>
      <c r="AO80" s="47"/>
      <c r="AP80" s="47"/>
      <c r="AQ80" s="47"/>
      <c r="AR80" s="47"/>
      <c r="AS80" s="47"/>
      <c r="AU80" s="109"/>
      <c r="AV80" s="73"/>
      <c r="AW80" s="46"/>
    </row>
    <row r="81" spans="2:49" s="25" customFormat="1" ht="25.2" customHeight="1" x14ac:dyDescent="0.15">
      <c r="B81" s="47"/>
      <c r="C81" s="47"/>
      <c r="D81" s="47"/>
      <c r="E81" s="47"/>
      <c r="F81" s="47"/>
      <c r="G81" s="47"/>
      <c r="H81" s="47"/>
      <c r="I81" s="46"/>
      <c r="J81" s="111"/>
      <c r="K81" s="52"/>
      <c r="L81" s="148"/>
      <c r="M81" s="52"/>
      <c r="N81" s="148"/>
      <c r="O81" s="52"/>
      <c r="P81" s="148"/>
      <c r="Q81" s="52"/>
      <c r="R81" s="155"/>
      <c r="S81" s="47"/>
      <c r="T81" s="47"/>
      <c r="U81" s="47"/>
      <c r="V81" s="47"/>
      <c r="W81" s="47"/>
      <c r="Y81" s="47"/>
      <c r="Z81" s="47"/>
      <c r="AA81" s="47"/>
      <c r="AB81" s="47"/>
      <c r="AC81" s="52"/>
      <c r="AD81" s="52"/>
      <c r="AE81" s="52"/>
      <c r="AF81" s="52"/>
      <c r="AG81" s="52"/>
      <c r="AH81" s="47"/>
      <c r="AI81" s="115"/>
      <c r="AJ81" s="122"/>
      <c r="AK81" s="125"/>
      <c r="AL81" s="46"/>
      <c r="AM81" s="46"/>
      <c r="AN81" s="47"/>
      <c r="AO81" s="47"/>
      <c r="AP81" s="47"/>
      <c r="AQ81" s="47"/>
      <c r="AR81" s="47"/>
      <c r="AS81" s="47"/>
      <c r="AU81" s="109"/>
      <c r="AV81" s="73"/>
      <c r="AW81" s="46"/>
    </row>
    <row r="82" spans="2:49" s="25" customFormat="1" ht="25.2" customHeight="1" x14ac:dyDescent="0.15">
      <c r="B82" s="47"/>
      <c r="C82" s="47"/>
      <c r="D82" s="47"/>
      <c r="E82" s="47"/>
      <c r="F82" s="47"/>
      <c r="G82" s="47"/>
      <c r="H82" s="47"/>
      <c r="I82" s="46"/>
      <c r="J82" s="111"/>
      <c r="K82" s="52"/>
      <c r="L82" s="148"/>
      <c r="M82" s="52"/>
      <c r="N82" s="148"/>
      <c r="O82" s="52"/>
      <c r="P82" s="148"/>
      <c r="Q82" s="52"/>
      <c r="R82" s="155"/>
      <c r="S82" s="47"/>
      <c r="T82" s="47"/>
      <c r="U82" s="47"/>
      <c r="V82" s="47"/>
      <c r="W82" s="47"/>
      <c r="Y82" s="47"/>
      <c r="Z82" s="47"/>
      <c r="AA82" s="47"/>
      <c r="AB82" s="47"/>
      <c r="AC82" s="52"/>
      <c r="AD82" s="52"/>
      <c r="AE82" s="52"/>
      <c r="AF82" s="52"/>
      <c r="AG82" s="52"/>
      <c r="AH82" s="47"/>
      <c r="AI82" s="115"/>
      <c r="AJ82" s="122"/>
      <c r="AK82" s="125"/>
      <c r="AL82" s="46"/>
      <c r="AM82" s="46"/>
      <c r="AN82" s="47"/>
      <c r="AO82" s="47"/>
      <c r="AP82" s="47"/>
      <c r="AQ82" s="47"/>
      <c r="AR82" s="47"/>
      <c r="AS82" s="47"/>
      <c r="AU82" s="109"/>
      <c r="AV82" s="73"/>
      <c r="AW82" s="46"/>
    </row>
    <row r="83" spans="2:49" s="25" customFormat="1" ht="25.2" customHeight="1" x14ac:dyDescent="0.15">
      <c r="B83" s="47"/>
      <c r="C83" s="47"/>
      <c r="D83" s="47"/>
      <c r="E83" s="47"/>
      <c r="F83" s="47"/>
      <c r="G83" s="47"/>
      <c r="H83" s="47"/>
      <c r="I83" s="46"/>
      <c r="J83" s="111"/>
      <c r="K83" s="52"/>
      <c r="L83" s="148"/>
      <c r="M83" s="52"/>
      <c r="N83" s="148"/>
      <c r="O83" s="52"/>
      <c r="P83" s="148"/>
      <c r="Q83" s="52"/>
      <c r="R83" s="155"/>
      <c r="S83" s="47"/>
      <c r="T83" s="47"/>
      <c r="U83" s="47"/>
      <c r="V83" s="47"/>
      <c r="W83" s="47"/>
      <c r="Y83" s="47"/>
      <c r="Z83" s="47"/>
      <c r="AA83" s="47"/>
      <c r="AB83" s="47"/>
      <c r="AC83" s="52"/>
      <c r="AD83" s="52"/>
      <c r="AE83" s="52"/>
      <c r="AF83" s="52"/>
      <c r="AG83" s="52"/>
      <c r="AH83" s="47"/>
      <c r="AI83" s="115"/>
      <c r="AJ83" s="122"/>
      <c r="AK83" s="125"/>
      <c r="AL83" s="46"/>
      <c r="AM83" s="46"/>
      <c r="AN83" s="47"/>
      <c r="AO83" s="47"/>
      <c r="AP83" s="47"/>
      <c r="AQ83" s="47"/>
      <c r="AR83" s="47"/>
      <c r="AS83" s="47"/>
      <c r="AU83" s="109"/>
      <c r="AV83" s="73"/>
      <c r="AW83" s="46"/>
    </row>
    <row r="84" spans="2:49" s="25" customFormat="1" ht="25.2" customHeight="1" x14ac:dyDescent="0.15">
      <c r="B84" s="47"/>
      <c r="C84" s="47"/>
      <c r="D84" s="47"/>
      <c r="E84" s="47"/>
      <c r="F84" s="47"/>
      <c r="G84" s="47"/>
      <c r="H84" s="47"/>
      <c r="I84" s="46"/>
      <c r="J84" s="111"/>
      <c r="K84" s="52"/>
      <c r="L84" s="148"/>
      <c r="M84" s="52"/>
      <c r="N84" s="148"/>
      <c r="O84" s="52"/>
      <c r="P84" s="148"/>
      <c r="Q84" s="52"/>
      <c r="R84" s="155"/>
      <c r="S84" s="47"/>
      <c r="T84" s="47"/>
      <c r="U84" s="47"/>
      <c r="V84" s="47"/>
      <c r="W84" s="47"/>
      <c r="Y84" s="47"/>
      <c r="Z84" s="47"/>
      <c r="AA84" s="47"/>
      <c r="AB84" s="47"/>
      <c r="AC84" s="52"/>
      <c r="AD84" s="52"/>
      <c r="AE84" s="52"/>
      <c r="AF84" s="52"/>
      <c r="AG84" s="52"/>
      <c r="AH84" s="47"/>
      <c r="AI84" s="115"/>
      <c r="AJ84" s="122"/>
      <c r="AK84" s="125"/>
      <c r="AL84" s="46"/>
      <c r="AM84" s="46"/>
      <c r="AN84" s="47"/>
      <c r="AO84" s="47"/>
      <c r="AP84" s="47"/>
      <c r="AQ84" s="47"/>
      <c r="AR84" s="47"/>
      <c r="AS84" s="47"/>
      <c r="AU84" s="109"/>
      <c r="AV84" s="73"/>
      <c r="AW84" s="46"/>
    </row>
    <row r="85" spans="2:49" s="25" customFormat="1" ht="25.2" customHeight="1" x14ac:dyDescent="0.15">
      <c r="B85" s="47"/>
      <c r="C85" s="47"/>
      <c r="D85" s="47"/>
      <c r="E85" s="47"/>
      <c r="F85" s="47"/>
      <c r="G85" s="47"/>
      <c r="H85" s="47"/>
      <c r="I85" s="46"/>
      <c r="J85" s="111"/>
      <c r="K85" s="52"/>
      <c r="L85" s="148"/>
      <c r="M85" s="52"/>
      <c r="N85" s="148"/>
      <c r="O85" s="52"/>
      <c r="P85" s="148"/>
      <c r="Q85" s="52"/>
      <c r="R85" s="155"/>
      <c r="S85" s="47"/>
      <c r="T85" s="47"/>
      <c r="U85" s="47"/>
      <c r="V85" s="47"/>
      <c r="W85" s="47"/>
      <c r="Y85" s="47"/>
      <c r="Z85" s="47"/>
      <c r="AA85" s="47"/>
      <c r="AB85" s="47"/>
      <c r="AC85" s="52"/>
      <c r="AD85" s="52"/>
      <c r="AE85" s="52"/>
      <c r="AF85" s="52"/>
      <c r="AG85" s="52"/>
      <c r="AH85" s="47"/>
      <c r="AI85" s="115"/>
      <c r="AJ85" s="122"/>
      <c r="AK85" s="125"/>
      <c r="AL85" s="46"/>
      <c r="AM85" s="46"/>
      <c r="AN85" s="47"/>
      <c r="AO85" s="47"/>
      <c r="AP85" s="47"/>
      <c r="AQ85" s="47"/>
      <c r="AR85" s="47"/>
      <c r="AS85" s="47"/>
      <c r="AU85" s="109"/>
      <c r="AV85" s="73"/>
      <c r="AW85" s="46"/>
    </row>
    <row r="86" spans="2:49" s="25" customFormat="1" ht="25.2" customHeight="1" x14ac:dyDescent="0.15">
      <c r="B86" s="47"/>
      <c r="C86" s="47"/>
      <c r="D86" s="47"/>
      <c r="E86" s="47"/>
      <c r="F86" s="47"/>
      <c r="G86" s="47"/>
      <c r="H86" s="47"/>
      <c r="I86" s="46"/>
      <c r="J86" s="111"/>
      <c r="K86" s="52"/>
      <c r="L86" s="148"/>
      <c r="M86" s="52"/>
      <c r="N86" s="148"/>
      <c r="O86" s="52"/>
      <c r="P86" s="148"/>
      <c r="Q86" s="52"/>
      <c r="R86" s="155"/>
      <c r="S86" s="47"/>
      <c r="T86" s="47"/>
      <c r="U86" s="47"/>
      <c r="V86" s="47"/>
      <c r="W86" s="47"/>
      <c r="Y86" s="47"/>
      <c r="Z86" s="47"/>
      <c r="AA86" s="47"/>
      <c r="AB86" s="47"/>
      <c r="AC86" s="52"/>
      <c r="AD86" s="52"/>
      <c r="AE86" s="52"/>
      <c r="AF86" s="52"/>
      <c r="AG86" s="52"/>
      <c r="AH86" s="47"/>
      <c r="AI86" s="115"/>
      <c r="AJ86" s="122"/>
      <c r="AK86" s="125"/>
      <c r="AL86" s="46"/>
      <c r="AM86" s="46"/>
      <c r="AN86" s="47"/>
      <c r="AO86" s="47"/>
      <c r="AP86" s="47"/>
      <c r="AQ86" s="47"/>
      <c r="AR86" s="47"/>
      <c r="AS86" s="47"/>
      <c r="AU86" s="109"/>
      <c r="AV86" s="73"/>
      <c r="AW86" s="46"/>
    </row>
    <row r="87" spans="2:49" s="25" customFormat="1" ht="25.2" customHeight="1" x14ac:dyDescent="0.15">
      <c r="B87" s="47"/>
      <c r="C87" s="47"/>
      <c r="D87" s="47"/>
      <c r="E87" s="47"/>
      <c r="F87" s="47"/>
      <c r="G87" s="47"/>
      <c r="H87" s="47"/>
      <c r="I87" s="46"/>
      <c r="J87" s="111"/>
      <c r="K87" s="52"/>
      <c r="L87" s="148"/>
      <c r="M87" s="52"/>
      <c r="N87" s="148"/>
      <c r="O87" s="52"/>
      <c r="P87" s="148"/>
      <c r="Q87" s="52"/>
      <c r="R87" s="155"/>
      <c r="S87" s="47"/>
      <c r="T87" s="47"/>
      <c r="U87" s="47"/>
      <c r="V87" s="47"/>
      <c r="W87" s="47"/>
      <c r="Y87" s="47"/>
      <c r="Z87" s="47"/>
      <c r="AA87" s="47"/>
      <c r="AB87" s="47"/>
      <c r="AC87" s="52"/>
      <c r="AD87" s="52"/>
      <c r="AE87" s="52"/>
      <c r="AF87" s="52"/>
      <c r="AG87" s="52"/>
      <c r="AH87" s="47"/>
      <c r="AI87" s="115"/>
      <c r="AJ87" s="122"/>
      <c r="AK87" s="125"/>
      <c r="AL87" s="46"/>
      <c r="AM87" s="46"/>
      <c r="AN87" s="47"/>
      <c r="AO87" s="47"/>
      <c r="AP87" s="47"/>
      <c r="AQ87" s="47"/>
      <c r="AR87" s="47"/>
      <c r="AS87" s="47"/>
      <c r="AU87" s="109"/>
      <c r="AV87" s="73"/>
      <c r="AW87" s="46"/>
    </row>
    <row r="88" spans="2:49" s="25" customFormat="1" ht="25.2" customHeight="1" x14ac:dyDescent="0.15">
      <c r="B88" s="47"/>
      <c r="C88" s="47"/>
      <c r="D88" s="47"/>
      <c r="E88" s="47"/>
      <c r="F88" s="47"/>
      <c r="G88" s="47"/>
      <c r="H88" s="47"/>
      <c r="I88" s="46"/>
      <c r="J88" s="111"/>
      <c r="K88" s="52"/>
      <c r="L88" s="148"/>
      <c r="M88" s="52"/>
      <c r="N88" s="148"/>
      <c r="O88" s="52"/>
      <c r="P88" s="148"/>
      <c r="Q88" s="52"/>
      <c r="R88" s="155"/>
      <c r="S88" s="47"/>
      <c r="T88" s="47"/>
      <c r="U88" s="47"/>
      <c r="V88" s="47"/>
      <c r="W88" s="47"/>
      <c r="Y88" s="47"/>
      <c r="Z88" s="47"/>
      <c r="AA88" s="47"/>
      <c r="AB88" s="47"/>
      <c r="AC88" s="52"/>
      <c r="AD88" s="52"/>
      <c r="AE88" s="52"/>
      <c r="AF88" s="52"/>
      <c r="AG88" s="52"/>
      <c r="AH88" s="47"/>
      <c r="AI88" s="115"/>
      <c r="AJ88" s="122"/>
      <c r="AK88" s="125"/>
      <c r="AL88" s="46"/>
      <c r="AM88" s="46"/>
      <c r="AN88" s="47"/>
      <c r="AO88" s="47"/>
      <c r="AP88" s="47"/>
      <c r="AQ88" s="47"/>
      <c r="AR88" s="47"/>
      <c r="AS88" s="47"/>
      <c r="AU88" s="109"/>
      <c r="AV88" s="73"/>
      <c r="AW88" s="46"/>
    </row>
    <row r="89" spans="2:49" s="25" customFormat="1" ht="25.2" customHeight="1" x14ac:dyDescent="0.15">
      <c r="B89" s="47"/>
      <c r="C89" s="47"/>
      <c r="D89" s="47"/>
      <c r="E89" s="47"/>
      <c r="F89" s="47"/>
      <c r="G89" s="47"/>
      <c r="H89" s="47"/>
      <c r="I89" s="46"/>
      <c r="J89" s="111"/>
      <c r="K89" s="52"/>
      <c r="L89" s="148"/>
      <c r="M89" s="52"/>
      <c r="N89" s="148"/>
      <c r="O89" s="52"/>
      <c r="P89" s="148"/>
      <c r="Q89" s="52"/>
      <c r="R89" s="155"/>
      <c r="S89" s="47"/>
      <c r="T89" s="47"/>
      <c r="U89" s="47"/>
      <c r="V89" s="47"/>
      <c r="W89" s="47"/>
      <c r="Y89" s="47"/>
      <c r="Z89" s="47"/>
      <c r="AA89" s="47"/>
      <c r="AB89" s="47"/>
      <c r="AC89" s="52"/>
      <c r="AD89" s="52"/>
      <c r="AE89" s="52"/>
      <c r="AF89" s="52"/>
      <c r="AG89" s="52"/>
      <c r="AH89" s="47"/>
      <c r="AI89" s="115"/>
      <c r="AJ89" s="122"/>
      <c r="AK89" s="125"/>
      <c r="AL89" s="46"/>
      <c r="AM89" s="46"/>
      <c r="AN89" s="47"/>
      <c r="AO89" s="47"/>
      <c r="AP89" s="47"/>
      <c r="AQ89" s="47"/>
      <c r="AR89" s="47"/>
      <c r="AS89" s="47"/>
      <c r="AU89" s="109"/>
      <c r="AV89" s="73"/>
      <c r="AW89" s="46"/>
    </row>
    <row r="90" spans="2:49" s="25" customFormat="1" ht="25.2" customHeight="1" x14ac:dyDescent="0.15">
      <c r="B90" s="47"/>
      <c r="C90" s="47"/>
      <c r="D90" s="47"/>
      <c r="E90" s="47"/>
      <c r="F90" s="47"/>
      <c r="G90" s="47"/>
      <c r="H90" s="47"/>
      <c r="I90" s="46"/>
      <c r="J90" s="111"/>
      <c r="K90" s="52"/>
      <c r="L90" s="148"/>
      <c r="M90" s="52"/>
      <c r="N90" s="148"/>
      <c r="O90" s="52"/>
      <c r="P90" s="148"/>
      <c r="Q90" s="52"/>
      <c r="R90" s="155"/>
      <c r="S90" s="47"/>
      <c r="T90" s="47"/>
      <c r="U90" s="47"/>
      <c r="V90" s="47"/>
      <c r="W90" s="47"/>
      <c r="Y90" s="47"/>
      <c r="Z90" s="47"/>
      <c r="AA90" s="47"/>
      <c r="AB90" s="47"/>
      <c r="AC90" s="52"/>
      <c r="AD90" s="52"/>
      <c r="AE90" s="52"/>
      <c r="AF90" s="52"/>
      <c r="AG90" s="52"/>
      <c r="AH90" s="47"/>
      <c r="AI90" s="115"/>
      <c r="AJ90" s="122"/>
      <c r="AK90" s="125"/>
      <c r="AL90" s="46"/>
      <c r="AM90" s="46"/>
      <c r="AN90" s="47"/>
      <c r="AO90" s="47"/>
      <c r="AP90" s="47"/>
      <c r="AQ90" s="47"/>
      <c r="AR90" s="47"/>
      <c r="AS90" s="47"/>
      <c r="AU90" s="109"/>
      <c r="AV90" s="73"/>
      <c r="AW90" s="46"/>
    </row>
    <row r="91" spans="2:49" s="25" customFormat="1" ht="25.2" customHeight="1" x14ac:dyDescent="0.15">
      <c r="B91" s="47"/>
      <c r="C91" s="47"/>
      <c r="D91" s="47"/>
      <c r="E91" s="47"/>
      <c r="F91" s="47"/>
      <c r="G91" s="47"/>
      <c r="H91" s="47"/>
      <c r="I91" s="46"/>
      <c r="J91" s="111"/>
      <c r="K91" s="52"/>
      <c r="L91" s="148"/>
      <c r="M91" s="52"/>
      <c r="N91" s="148"/>
      <c r="O91" s="52"/>
      <c r="P91" s="148"/>
      <c r="Q91" s="52"/>
      <c r="R91" s="155"/>
      <c r="S91" s="47"/>
      <c r="T91" s="47"/>
      <c r="U91" s="47"/>
      <c r="V91" s="47"/>
      <c r="W91" s="47"/>
      <c r="Y91" s="47"/>
      <c r="Z91" s="47"/>
      <c r="AA91" s="47"/>
      <c r="AB91" s="47"/>
      <c r="AC91" s="52"/>
      <c r="AD91" s="52"/>
      <c r="AE91" s="52"/>
      <c r="AF91" s="52"/>
      <c r="AG91" s="52"/>
      <c r="AH91" s="47"/>
      <c r="AI91" s="115"/>
      <c r="AJ91" s="122"/>
      <c r="AK91" s="125"/>
      <c r="AL91" s="46"/>
      <c r="AM91" s="46"/>
      <c r="AN91" s="47"/>
      <c r="AO91" s="47"/>
      <c r="AP91" s="47"/>
      <c r="AQ91" s="47"/>
      <c r="AR91" s="47"/>
      <c r="AS91" s="47"/>
      <c r="AU91" s="109"/>
      <c r="AV91" s="73"/>
      <c r="AW91" s="46"/>
    </row>
    <row r="92" spans="2:49" s="25" customFormat="1" ht="25.2" customHeight="1" x14ac:dyDescent="0.15">
      <c r="B92" s="47"/>
      <c r="C92" s="47"/>
      <c r="D92" s="47"/>
      <c r="E92" s="47"/>
      <c r="F92" s="47"/>
      <c r="G92" s="47"/>
      <c r="H92" s="47"/>
      <c r="I92" s="46"/>
      <c r="J92" s="111"/>
      <c r="K92" s="52"/>
      <c r="L92" s="148"/>
      <c r="M92" s="52"/>
      <c r="N92" s="148"/>
      <c r="O92" s="52"/>
      <c r="P92" s="148"/>
      <c r="Q92" s="52"/>
      <c r="R92" s="155"/>
      <c r="S92" s="47"/>
      <c r="T92" s="47"/>
      <c r="U92" s="47"/>
      <c r="V92" s="47"/>
      <c r="W92" s="47"/>
      <c r="Y92" s="47"/>
      <c r="Z92" s="47"/>
      <c r="AA92" s="47"/>
      <c r="AB92" s="47"/>
      <c r="AC92" s="52"/>
      <c r="AD92" s="52"/>
      <c r="AE92" s="52"/>
      <c r="AF92" s="52"/>
      <c r="AG92" s="52"/>
      <c r="AH92" s="47"/>
      <c r="AI92" s="115"/>
      <c r="AJ92" s="122"/>
      <c r="AK92" s="125"/>
      <c r="AL92" s="46"/>
      <c r="AM92" s="46"/>
      <c r="AN92" s="47"/>
      <c r="AO92" s="47"/>
      <c r="AP92" s="47"/>
      <c r="AQ92" s="47"/>
      <c r="AR92" s="47"/>
      <c r="AS92" s="47"/>
      <c r="AU92" s="109"/>
      <c r="AV92" s="73"/>
      <c r="AW92" s="46"/>
    </row>
    <row r="93" spans="2:49" s="25" customFormat="1" ht="25.2" customHeight="1" x14ac:dyDescent="0.15">
      <c r="B93" s="47"/>
      <c r="C93" s="47"/>
      <c r="D93" s="47"/>
      <c r="E93" s="47"/>
      <c r="F93" s="47"/>
      <c r="G93" s="47"/>
      <c r="H93" s="47"/>
      <c r="I93" s="46"/>
      <c r="J93" s="111"/>
      <c r="K93" s="52"/>
      <c r="L93" s="148"/>
      <c r="M93" s="52"/>
      <c r="N93" s="148"/>
      <c r="O93" s="52"/>
      <c r="P93" s="148"/>
      <c r="Q93" s="52"/>
      <c r="R93" s="155"/>
      <c r="S93" s="47"/>
      <c r="T93" s="47"/>
      <c r="U93" s="47"/>
      <c r="V93" s="47"/>
      <c r="W93" s="47"/>
      <c r="Y93" s="47"/>
      <c r="Z93" s="47"/>
      <c r="AA93" s="47"/>
      <c r="AB93" s="47"/>
      <c r="AC93" s="52"/>
      <c r="AD93" s="52"/>
      <c r="AE93" s="52"/>
      <c r="AF93" s="52"/>
      <c r="AG93" s="52"/>
      <c r="AH93" s="47"/>
      <c r="AI93" s="115"/>
      <c r="AJ93" s="122"/>
      <c r="AK93" s="125"/>
      <c r="AL93" s="46"/>
      <c r="AM93" s="46"/>
      <c r="AN93" s="47"/>
      <c r="AO93" s="47"/>
      <c r="AP93" s="47"/>
      <c r="AQ93" s="47"/>
      <c r="AR93" s="47"/>
      <c r="AS93" s="47"/>
      <c r="AU93" s="109"/>
      <c r="AV93" s="73"/>
      <c r="AW93" s="46"/>
    </row>
    <row r="94" spans="2:49" s="25" customFormat="1" ht="25.2" customHeight="1" x14ac:dyDescent="0.15">
      <c r="B94" s="47"/>
      <c r="C94" s="47"/>
      <c r="D94" s="47"/>
      <c r="E94" s="47"/>
      <c r="F94" s="47"/>
      <c r="G94" s="47"/>
      <c r="H94" s="47"/>
      <c r="I94" s="46"/>
      <c r="J94" s="111"/>
      <c r="K94" s="52"/>
      <c r="L94" s="148"/>
      <c r="M94" s="52"/>
      <c r="N94" s="148"/>
      <c r="O94" s="52"/>
      <c r="P94" s="148"/>
      <c r="Q94" s="52"/>
      <c r="R94" s="155"/>
      <c r="S94" s="47"/>
      <c r="T94" s="47"/>
      <c r="U94" s="47"/>
      <c r="V94" s="47"/>
      <c r="W94" s="47"/>
      <c r="Y94" s="47"/>
      <c r="Z94" s="47"/>
      <c r="AA94" s="47"/>
      <c r="AB94" s="47"/>
      <c r="AC94" s="52"/>
      <c r="AD94" s="52"/>
      <c r="AE94" s="52"/>
      <c r="AF94" s="52"/>
      <c r="AG94" s="52"/>
      <c r="AH94" s="47"/>
      <c r="AI94" s="115"/>
      <c r="AJ94" s="122"/>
      <c r="AK94" s="125"/>
      <c r="AL94" s="46"/>
      <c r="AM94" s="46"/>
      <c r="AN94" s="47"/>
      <c r="AO94" s="47"/>
      <c r="AP94" s="47"/>
      <c r="AQ94" s="47"/>
      <c r="AR94" s="47"/>
      <c r="AS94" s="47"/>
      <c r="AU94" s="109"/>
      <c r="AV94" s="73"/>
      <c r="AW94" s="46"/>
    </row>
    <row r="95" spans="2:49" s="25" customFormat="1" ht="25.2" customHeight="1" x14ac:dyDescent="0.15">
      <c r="B95" s="47"/>
      <c r="C95" s="47"/>
      <c r="D95" s="47"/>
      <c r="E95" s="47"/>
      <c r="F95" s="47"/>
      <c r="G95" s="47"/>
      <c r="H95" s="47"/>
      <c r="I95" s="46"/>
      <c r="J95" s="111"/>
      <c r="K95" s="52"/>
      <c r="L95" s="148"/>
      <c r="M95" s="52"/>
      <c r="N95" s="148"/>
      <c r="O95" s="52"/>
      <c r="P95" s="148"/>
      <c r="Q95" s="52"/>
      <c r="R95" s="155"/>
      <c r="S95" s="47"/>
      <c r="T95" s="47"/>
      <c r="U95" s="47"/>
      <c r="V95" s="47"/>
      <c r="W95" s="47"/>
      <c r="Y95" s="47"/>
      <c r="Z95" s="47"/>
      <c r="AA95" s="47"/>
      <c r="AB95" s="47"/>
      <c r="AC95" s="52"/>
      <c r="AD95" s="52"/>
      <c r="AE95" s="52"/>
      <c r="AF95" s="52"/>
      <c r="AG95" s="52"/>
      <c r="AH95" s="47"/>
      <c r="AI95" s="115"/>
      <c r="AJ95" s="122"/>
      <c r="AK95" s="125"/>
      <c r="AL95" s="46"/>
      <c r="AM95" s="46"/>
      <c r="AN95" s="47"/>
      <c r="AO95" s="47"/>
      <c r="AP95" s="47"/>
      <c r="AQ95" s="47"/>
      <c r="AR95" s="47"/>
      <c r="AS95" s="47"/>
      <c r="AU95" s="109"/>
      <c r="AV95" s="73"/>
      <c r="AW95" s="46"/>
    </row>
    <row r="96" spans="2:49" s="25" customFormat="1" ht="25.2" customHeight="1" x14ac:dyDescent="0.15">
      <c r="B96" s="47"/>
      <c r="C96" s="47"/>
      <c r="D96" s="47"/>
      <c r="E96" s="47"/>
      <c r="F96" s="47"/>
      <c r="G96" s="47"/>
      <c r="H96" s="47"/>
      <c r="I96" s="46"/>
      <c r="J96" s="111"/>
      <c r="K96" s="52"/>
      <c r="L96" s="148"/>
      <c r="M96" s="52"/>
      <c r="N96" s="148"/>
      <c r="O96" s="52"/>
      <c r="P96" s="148"/>
      <c r="Q96" s="52"/>
      <c r="R96" s="155"/>
      <c r="S96" s="47"/>
      <c r="T96" s="47"/>
      <c r="U96" s="47"/>
      <c r="V96" s="47"/>
      <c r="W96" s="47"/>
      <c r="Y96" s="47"/>
      <c r="Z96" s="47"/>
      <c r="AA96" s="47"/>
      <c r="AB96" s="47"/>
      <c r="AC96" s="52"/>
      <c r="AD96" s="52"/>
      <c r="AE96" s="52"/>
      <c r="AF96" s="52"/>
      <c r="AG96" s="52"/>
      <c r="AH96" s="47"/>
      <c r="AI96" s="115"/>
      <c r="AJ96" s="122"/>
      <c r="AK96" s="125"/>
      <c r="AL96" s="46"/>
      <c r="AM96" s="46"/>
      <c r="AN96" s="47"/>
      <c r="AO96" s="47"/>
      <c r="AP96" s="47"/>
      <c r="AQ96" s="47"/>
      <c r="AR96" s="47"/>
      <c r="AS96" s="47"/>
      <c r="AU96" s="109"/>
      <c r="AV96" s="73"/>
      <c r="AW96" s="46"/>
    </row>
    <row r="97" spans="2:49" s="25" customFormat="1" ht="25.2" customHeight="1" x14ac:dyDescent="0.15">
      <c r="B97" s="47"/>
      <c r="C97" s="47"/>
      <c r="D97" s="47"/>
      <c r="E97" s="47"/>
      <c r="F97" s="47"/>
      <c r="G97" s="47"/>
      <c r="H97" s="47"/>
      <c r="I97" s="46"/>
      <c r="J97" s="111"/>
      <c r="K97" s="52"/>
      <c r="L97" s="148"/>
      <c r="M97" s="52"/>
      <c r="N97" s="148"/>
      <c r="O97" s="52"/>
      <c r="P97" s="148"/>
      <c r="Q97" s="52"/>
      <c r="R97" s="155"/>
      <c r="S97" s="47"/>
      <c r="T97" s="47"/>
      <c r="U97" s="47"/>
      <c r="V97" s="47"/>
      <c r="W97" s="47"/>
      <c r="Y97" s="47"/>
      <c r="Z97" s="47"/>
      <c r="AA97" s="47"/>
      <c r="AB97" s="47"/>
      <c r="AC97" s="52"/>
      <c r="AD97" s="52"/>
      <c r="AE97" s="52"/>
      <c r="AF97" s="52"/>
      <c r="AG97" s="52"/>
      <c r="AH97" s="47"/>
      <c r="AI97" s="115"/>
      <c r="AJ97" s="122"/>
      <c r="AK97" s="125"/>
      <c r="AL97" s="46"/>
      <c r="AM97" s="46"/>
      <c r="AN97" s="47"/>
      <c r="AO97" s="47"/>
      <c r="AP97" s="47"/>
      <c r="AQ97" s="47"/>
      <c r="AR97" s="47"/>
      <c r="AS97" s="47"/>
      <c r="AU97" s="109"/>
      <c r="AV97" s="73"/>
      <c r="AW97" s="46"/>
    </row>
    <row r="98" spans="2:49" s="25" customFormat="1" ht="25.2" customHeight="1" x14ac:dyDescent="0.15">
      <c r="B98" s="47"/>
      <c r="C98" s="47"/>
      <c r="D98" s="47"/>
      <c r="E98" s="47"/>
      <c r="F98" s="47"/>
      <c r="G98" s="47"/>
      <c r="H98" s="47"/>
      <c r="I98" s="46"/>
      <c r="J98" s="111"/>
      <c r="K98" s="52"/>
      <c r="L98" s="148"/>
      <c r="M98" s="52"/>
      <c r="N98" s="148"/>
      <c r="O98" s="52"/>
      <c r="P98" s="148"/>
      <c r="Q98" s="52"/>
      <c r="R98" s="155"/>
      <c r="S98" s="47"/>
      <c r="T98" s="47"/>
      <c r="U98" s="47"/>
      <c r="V98" s="47"/>
      <c r="W98" s="47"/>
      <c r="Y98" s="47"/>
      <c r="Z98" s="47"/>
      <c r="AA98" s="47"/>
      <c r="AB98" s="47"/>
      <c r="AC98" s="52"/>
      <c r="AD98" s="52"/>
      <c r="AE98" s="52"/>
      <c r="AF98" s="52"/>
      <c r="AG98" s="52"/>
      <c r="AH98" s="47"/>
      <c r="AI98" s="115"/>
      <c r="AJ98" s="122"/>
      <c r="AK98" s="125"/>
      <c r="AL98" s="46"/>
      <c r="AM98" s="46"/>
      <c r="AN98" s="47"/>
      <c r="AO98" s="47"/>
      <c r="AP98" s="47"/>
      <c r="AQ98" s="47"/>
      <c r="AR98" s="47"/>
      <c r="AS98" s="47"/>
      <c r="AU98" s="109"/>
      <c r="AV98" s="73"/>
      <c r="AW98" s="46"/>
    </row>
    <row r="99" spans="2:49" s="25" customFormat="1" ht="25.2" customHeight="1" x14ac:dyDescent="0.15">
      <c r="B99" s="47"/>
      <c r="C99" s="47"/>
      <c r="D99" s="47"/>
      <c r="E99" s="47"/>
      <c r="F99" s="47"/>
      <c r="G99" s="47"/>
      <c r="H99" s="47"/>
      <c r="I99" s="46"/>
      <c r="J99" s="111"/>
      <c r="K99" s="52"/>
      <c r="L99" s="148"/>
      <c r="M99" s="52"/>
      <c r="N99" s="148"/>
      <c r="O99" s="52"/>
      <c r="P99" s="148"/>
      <c r="Q99" s="52"/>
      <c r="R99" s="155"/>
      <c r="S99" s="47"/>
      <c r="T99" s="47"/>
      <c r="U99" s="47"/>
      <c r="V99" s="47"/>
      <c r="W99" s="47"/>
      <c r="Y99" s="47"/>
      <c r="Z99" s="47"/>
      <c r="AA99" s="47"/>
      <c r="AB99" s="47"/>
      <c r="AC99" s="52"/>
      <c r="AD99" s="52"/>
      <c r="AE99" s="52"/>
      <c r="AF99" s="52"/>
      <c r="AG99" s="52"/>
      <c r="AH99" s="47"/>
      <c r="AI99" s="115"/>
      <c r="AJ99" s="122"/>
      <c r="AK99" s="125"/>
      <c r="AL99" s="46"/>
      <c r="AM99" s="46"/>
      <c r="AN99" s="47"/>
      <c r="AO99" s="47"/>
      <c r="AP99" s="47"/>
      <c r="AQ99" s="47"/>
      <c r="AR99" s="47"/>
      <c r="AS99" s="47"/>
      <c r="AU99" s="109"/>
      <c r="AV99" s="73"/>
      <c r="AW99" s="46"/>
    </row>
    <row r="100" spans="2:49" s="25" customFormat="1" ht="25.2" customHeight="1" x14ac:dyDescent="0.15">
      <c r="B100" s="47"/>
      <c r="C100" s="47"/>
      <c r="D100" s="47"/>
      <c r="E100" s="47"/>
      <c r="F100" s="47"/>
      <c r="G100" s="47"/>
      <c r="H100" s="47"/>
      <c r="I100" s="46"/>
      <c r="J100" s="111"/>
      <c r="K100" s="52"/>
      <c r="L100" s="148"/>
      <c r="M100" s="52"/>
      <c r="N100" s="148"/>
      <c r="O100" s="52"/>
      <c r="P100" s="148"/>
      <c r="Q100" s="52"/>
      <c r="R100" s="155"/>
      <c r="S100" s="47"/>
      <c r="T100" s="47"/>
      <c r="U100" s="47"/>
      <c r="V100" s="47"/>
      <c r="W100" s="47"/>
      <c r="Y100" s="47"/>
      <c r="Z100" s="47"/>
      <c r="AA100" s="47"/>
      <c r="AB100" s="47"/>
      <c r="AC100" s="52"/>
      <c r="AD100" s="52"/>
      <c r="AE100" s="52"/>
      <c r="AF100" s="52"/>
      <c r="AG100" s="52"/>
      <c r="AH100" s="47"/>
      <c r="AI100" s="115"/>
      <c r="AJ100" s="122"/>
      <c r="AK100" s="125"/>
      <c r="AL100" s="46"/>
      <c r="AM100" s="46"/>
      <c r="AN100" s="47"/>
      <c r="AO100" s="47"/>
      <c r="AP100" s="47"/>
      <c r="AQ100" s="47"/>
      <c r="AR100" s="47"/>
      <c r="AS100" s="47"/>
      <c r="AU100" s="109"/>
      <c r="AV100" s="73"/>
      <c r="AW100" s="46"/>
    </row>
    <row r="101" spans="2:49" s="25" customFormat="1" ht="25.2" customHeight="1" x14ac:dyDescent="0.15">
      <c r="B101" s="47"/>
      <c r="C101" s="47"/>
      <c r="D101" s="47"/>
      <c r="E101" s="47"/>
      <c r="F101" s="47"/>
      <c r="G101" s="47"/>
      <c r="H101" s="47"/>
      <c r="I101" s="46"/>
      <c r="J101" s="111"/>
      <c r="K101" s="52"/>
      <c r="L101" s="148"/>
      <c r="M101" s="52"/>
      <c r="N101" s="148"/>
      <c r="O101" s="52"/>
      <c r="P101" s="148"/>
      <c r="Q101" s="52"/>
      <c r="R101" s="155"/>
      <c r="S101" s="47"/>
      <c r="T101" s="47"/>
      <c r="U101" s="47"/>
      <c r="V101" s="47"/>
      <c r="W101" s="47"/>
      <c r="Y101" s="47"/>
      <c r="Z101" s="47"/>
      <c r="AA101" s="47"/>
      <c r="AB101" s="47"/>
      <c r="AC101" s="52"/>
      <c r="AD101" s="52"/>
      <c r="AE101" s="52"/>
      <c r="AF101" s="52"/>
      <c r="AG101" s="52"/>
      <c r="AH101" s="47"/>
      <c r="AI101" s="115"/>
      <c r="AJ101" s="122"/>
      <c r="AK101" s="125"/>
      <c r="AL101" s="46"/>
      <c r="AM101" s="46"/>
      <c r="AN101" s="47"/>
      <c r="AO101" s="47"/>
      <c r="AP101" s="47"/>
      <c r="AQ101" s="47"/>
      <c r="AR101" s="47"/>
      <c r="AS101" s="47"/>
      <c r="AU101" s="109"/>
      <c r="AV101" s="73"/>
      <c r="AW101" s="46"/>
    </row>
    <row r="102" spans="2:49" s="25" customFormat="1" ht="25.2" customHeight="1" x14ac:dyDescent="0.15">
      <c r="B102" s="47"/>
      <c r="C102" s="47"/>
      <c r="D102" s="47"/>
      <c r="E102" s="47"/>
      <c r="F102" s="47"/>
      <c r="G102" s="47"/>
      <c r="H102" s="47"/>
      <c r="I102" s="46"/>
      <c r="J102" s="111"/>
      <c r="K102" s="52"/>
      <c r="L102" s="148"/>
      <c r="M102" s="52"/>
      <c r="N102" s="148"/>
      <c r="O102" s="52"/>
      <c r="P102" s="148"/>
      <c r="Q102" s="52"/>
      <c r="R102" s="155"/>
      <c r="S102" s="47"/>
      <c r="T102" s="47"/>
      <c r="U102" s="47"/>
      <c r="V102" s="47"/>
      <c r="W102" s="47"/>
      <c r="Y102" s="47"/>
      <c r="Z102" s="47"/>
      <c r="AA102" s="47"/>
      <c r="AB102" s="47"/>
      <c r="AC102" s="52"/>
      <c r="AD102" s="52"/>
      <c r="AE102" s="52"/>
      <c r="AF102" s="52"/>
      <c r="AG102" s="52"/>
      <c r="AH102" s="47"/>
      <c r="AI102" s="115"/>
      <c r="AJ102" s="122"/>
      <c r="AK102" s="125"/>
      <c r="AL102" s="46"/>
      <c r="AM102" s="46"/>
      <c r="AN102" s="47"/>
      <c r="AO102" s="47"/>
      <c r="AP102" s="47"/>
      <c r="AQ102" s="47"/>
      <c r="AR102" s="47"/>
      <c r="AS102" s="47"/>
      <c r="AU102" s="109"/>
      <c r="AV102" s="73"/>
      <c r="AW102" s="46"/>
    </row>
    <row r="103" spans="2:49" s="25" customFormat="1" ht="25.2" customHeight="1" x14ac:dyDescent="0.15">
      <c r="B103" s="47"/>
      <c r="C103" s="47"/>
      <c r="D103" s="47"/>
      <c r="E103" s="47"/>
      <c r="F103" s="47"/>
      <c r="G103" s="47"/>
      <c r="H103" s="47"/>
      <c r="I103" s="46"/>
      <c r="J103" s="111"/>
      <c r="K103" s="52"/>
      <c r="L103" s="148"/>
      <c r="M103" s="52"/>
      <c r="N103" s="148"/>
      <c r="O103" s="52"/>
      <c r="P103" s="148"/>
      <c r="Q103" s="52"/>
      <c r="R103" s="155"/>
      <c r="S103" s="47"/>
      <c r="T103" s="47"/>
      <c r="U103" s="47"/>
      <c r="V103" s="47"/>
      <c r="W103" s="47"/>
      <c r="Y103" s="47"/>
      <c r="Z103" s="47"/>
      <c r="AA103" s="47"/>
      <c r="AB103" s="47"/>
      <c r="AC103" s="52"/>
      <c r="AD103" s="52"/>
      <c r="AE103" s="52"/>
      <c r="AF103" s="52"/>
      <c r="AG103" s="52"/>
      <c r="AH103" s="47"/>
      <c r="AI103" s="115"/>
      <c r="AJ103" s="122"/>
      <c r="AK103" s="125"/>
      <c r="AL103" s="46"/>
      <c r="AM103" s="46"/>
      <c r="AN103" s="47"/>
      <c r="AO103" s="47"/>
      <c r="AP103" s="47"/>
      <c r="AQ103" s="47"/>
      <c r="AR103" s="47"/>
      <c r="AS103" s="47"/>
      <c r="AU103" s="109"/>
      <c r="AV103" s="73"/>
      <c r="AW103" s="46"/>
    </row>
    <row r="104" spans="2:49" s="25" customFormat="1" ht="25.2" customHeight="1" x14ac:dyDescent="0.15">
      <c r="B104" s="47"/>
      <c r="C104" s="47"/>
      <c r="D104" s="47"/>
      <c r="E104" s="47"/>
      <c r="F104" s="47"/>
      <c r="G104" s="47"/>
      <c r="H104" s="47"/>
      <c r="I104" s="46"/>
      <c r="J104" s="111"/>
      <c r="K104" s="52"/>
      <c r="L104" s="148"/>
      <c r="M104" s="52"/>
      <c r="N104" s="148"/>
      <c r="O104" s="52"/>
      <c r="P104" s="148"/>
      <c r="Q104" s="52"/>
      <c r="R104" s="155"/>
      <c r="S104" s="47"/>
      <c r="T104" s="47"/>
      <c r="U104" s="47"/>
      <c r="V104" s="47"/>
      <c r="W104" s="47"/>
      <c r="Y104" s="47"/>
      <c r="Z104" s="47"/>
      <c r="AA104" s="47"/>
      <c r="AB104" s="47"/>
      <c r="AC104" s="52"/>
      <c r="AD104" s="52"/>
      <c r="AE104" s="52"/>
      <c r="AF104" s="52"/>
      <c r="AG104" s="52"/>
      <c r="AH104" s="47"/>
      <c r="AI104" s="115"/>
      <c r="AJ104" s="122"/>
      <c r="AK104" s="125"/>
      <c r="AL104" s="46"/>
      <c r="AM104" s="46"/>
      <c r="AN104" s="47"/>
      <c r="AO104" s="47"/>
      <c r="AP104" s="47"/>
      <c r="AQ104" s="47"/>
      <c r="AR104" s="47"/>
      <c r="AS104" s="47"/>
      <c r="AU104" s="109"/>
      <c r="AV104" s="73"/>
      <c r="AW104" s="46"/>
    </row>
    <row r="105" spans="2:49" s="25" customFormat="1" ht="25.2" customHeight="1" x14ac:dyDescent="0.15">
      <c r="B105" s="47"/>
      <c r="C105" s="47"/>
      <c r="D105" s="47"/>
      <c r="E105" s="47"/>
      <c r="F105" s="47"/>
      <c r="G105" s="47"/>
      <c r="H105" s="47"/>
      <c r="I105" s="46"/>
      <c r="J105" s="111"/>
      <c r="K105" s="52"/>
      <c r="L105" s="148"/>
      <c r="M105" s="52"/>
      <c r="N105" s="148"/>
      <c r="O105" s="52"/>
      <c r="P105" s="148"/>
      <c r="Q105" s="52"/>
      <c r="R105" s="155"/>
      <c r="S105" s="47"/>
      <c r="T105" s="47"/>
      <c r="U105" s="47"/>
      <c r="V105" s="47"/>
      <c r="W105" s="47"/>
      <c r="Y105" s="47"/>
      <c r="Z105" s="47"/>
      <c r="AA105" s="47"/>
      <c r="AB105" s="47"/>
      <c r="AC105" s="52"/>
      <c r="AD105" s="52"/>
      <c r="AE105" s="52"/>
      <c r="AF105" s="52"/>
      <c r="AG105" s="52"/>
      <c r="AH105" s="47"/>
      <c r="AI105" s="115"/>
      <c r="AJ105" s="122"/>
      <c r="AK105" s="125"/>
      <c r="AL105" s="46"/>
      <c r="AM105" s="46"/>
      <c r="AN105" s="47"/>
      <c r="AO105" s="47"/>
      <c r="AP105" s="47"/>
      <c r="AQ105" s="47"/>
      <c r="AR105" s="47"/>
      <c r="AS105" s="47"/>
      <c r="AU105" s="109"/>
      <c r="AV105" s="73"/>
      <c r="AW105" s="46"/>
    </row>
    <row r="106" spans="2:49" s="25" customFormat="1" ht="25.2" customHeight="1" x14ac:dyDescent="0.15">
      <c r="B106" s="47"/>
      <c r="C106" s="47"/>
      <c r="D106" s="47"/>
      <c r="E106" s="47"/>
      <c r="F106" s="47"/>
      <c r="G106" s="47"/>
      <c r="H106" s="47"/>
      <c r="I106" s="46"/>
      <c r="J106" s="111"/>
      <c r="K106" s="52"/>
      <c r="L106" s="148"/>
      <c r="M106" s="52"/>
      <c r="N106" s="148"/>
      <c r="O106" s="52"/>
      <c r="P106" s="148"/>
      <c r="Q106" s="52"/>
      <c r="R106" s="155"/>
      <c r="S106" s="47"/>
      <c r="T106" s="47"/>
      <c r="U106" s="47"/>
      <c r="V106" s="47"/>
      <c r="W106" s="47"/>
      <c r="Y106" s="47"/>
      <c r="Z106" s="47"/>
      <c r="AA106" s="47"/>
      <c r="AB106" s="47"/>
      <c r="AC106" s="52"/>
      <c r="AD106" s="52"/>
      <c r="AE106" s="52"/>
      <c r="AF106" s="52"/>
      <c r="AG106" s="52"/>
      <c r="AH106" s="47"/>
      <c r="AI106" s="115"/>
      <c r="AJ106" s="122"/>
      <c r="AK106" s="125"/>
      <c r="AL106" s="46"/>
      <c r="AM106" s="46"/>
      <c r="AN106" s="47"/>
      <c r="AO106" s="47"/>
      <c r="AP106" s="47"/>
      <c r="AQ106" s="47"/>
      <c r="AR106" s="47"/>
      <c r="AS106" s="47"/>
      <c r="AU106" s="109"/>
      <c r="AV106" s="73"/>
      <c r="AW106" s="46"/>
    </row>
    <row r="107" spans="2:49" s="25" customFormat="1" ht="25.2" customHeight="1" x14ac:dyDescent="0.15">
      <c r="B107" s="47"/>
      <c r="C107" s="47"/>
      <c r="D107" s="47"/>
      <c r="E107" s="47"/>
      <c r="F107" s="47"/>
      <c r="G107" s="47"/>
      <c r="H107" s="47"/>
      <c r="I107" s="46"/>
      <c r="J107" s="111"/>
      <c r="K107" s="52"/>
      <c r="L107" s="148"/>
      <c r="M107" s="52"/>
      <c r="N107" s="148"/>
      <c r="O107" s="52"/>
      <c r="P107" s="148"/>
      <c r="Q107" s="52"/>
      <c r="R107" s="155"/>
      <c r="S107" s="47"/>
      <c r="T107" s="47"/>
      <c r="U107" s="47"/>
      <c r="V107" s="47"/>
      <c r="W107" s="47"/>
      <c r="Y107" s="47"/>
      <c r="Z107" s="47"/>
      <c r="AA107" s="47"/>
      <c r="AB107" s="47"/>
      <c r="AC107" s="52"/>
      <c r="AD107" s="52"/>
      <c r="AE107" s="52"/>
      <c r="AF107" s="52"/>
      <c r="AG107" s="52"/>
      <c r="AH107" s="47"/>
      <c r="AI107" s="115"/>
      <c r="AJ107" s="122"/>
      <c r="AK107" s="125"/>
      <c r="AL107" s="46"/>
      <c r="AM107" s="46"/>
      <c r="AN107" s="47"/>
      <c r="AO107" s="47"/>
      <c r="AP107" s="47"/>
      <c r="AQ107" s="47"/>
      <c r="AR107" s="47"/>
      <c r="AS107" s="47"/>
      <c r="AU107" s="109"/>
      <c r="AV107" s="73"/>
      <c r="AW107" s="46"/>
    </row>
    <row r="108" spans="2:49" s="25" customFormat="1" ht="25.2" customHeight="1" x14ac:dyDescent="0.15">
      <c r="B108" s="47"/>
      <c r="C108" s="47"/>
      <c r="D108" s="47"/>
      <c r="E108" s="47"/>
      <c r="F108" s="47"/>
      <c r="G108" s="47"/>
      <c r="H108" s="47"/>
      <c r="I108" s="46"/>
      <c r="J108" s="111"/>
      <c r="K108" s="52"/>
      <c r="L108" s="148"/>
      <c r="M108" s="52"/>
      <c r="N108" s="148"/>
      <c r="O108" s="52"/>
      <c r="P108" s="148"/>
      <c r="Q108" s="52"/>
      <c r="R108" s="155"/>
      <c r="S108" s="47"/>
      <c r="T108" s="47"/>
      <c r="U108" s="47"/>
      <c r="V108" s="47"/>
      <c r="W108" s="47"/>
      <c r="Y108" s="47"/>
      <c r="Z108" s="47"/>
      <c r="AA108" s="47"/>
      <c r="AB108" s="47"/>
      <c r="AC108" s="52"/>
      <c r="AD108" s="52"/>
      <c r="AE108" s="52"/>
      <c r="AF108" s="52"/>
      <c r="AG108" s="52"/>
      <c r="AH108" s="47"/>
      <c r="AI108" s="115"/>
      <c r="AJ108" s="122"/>
      <c r="AK108" s="125"/>
      <c r="AL108" s="46"/>
      <c r="AM108" s="46"/>
      <c r="AN108" s="47"/>
      <c r="AO108" s="47"/>
      <c r="AP108" s="47"/>
      <c r="AQ108" s="47"/>
      <c r="AR108" s="47"/>
      <c r="AS108" s="47"/>
      <c r="AU108" s="109"/>
      <c r="AV108" s="73"/>
      <c r="AW108" s="46"/>
    </row>
    <row r="109" spans="2:49" s="25" customFormat="1" ht="25.2" customHeight="1" x14ac:dyDescent="0.15">
      <c r="B109" s="47"/>
      <c r="C109" s="47"/>
      <c r="D109" s="47"/>
      <c r="E109" s="47"/>
      <c r="F109" s="47"/>
      <c r="G109" s="47"/>
      <c r="H109" s="47"/>
      <c r="I109" s="46"/>
      <c r="J109" s="111"/>
      <c r="K109" s="52"/>
      <c r="L109" s="148"/>
      <c r="M109" s="52"/>
      <c r="N109" s="148"/>
      <c r="O109" s="52"/>
      <c r="P109" s="148"/>
      <c r="Q109" s="52"/>
      <c r="R109" s="155"/>
      <c r="S109" s="47"/>
      <c r="T109" s="47"/>
      <c r="U109" s="47"/>
      <c r="V109" s="47"/>
      <c r="W109" s="47"/>
      <c r="Y109" s="47"/>
      <c r="Z109" s="47"/>
      <c r="AA109" s="47"/>
      <c r="AB109" s="47"/>
      <c r="AC109" s="52"/>
      <c r="AD109" s="52"/>
      <c r="AE109" s="52"/>
      <c r="AF109" s="52"/>
      <c r="AG109" s="52"/>
      <c r="AH109" s="47"/>
      <c r="AI109" s="115"/>
      <c r="AJ109" s="122"/>
      <c r="AK109" s="125"/>
      <c r="AL109" s="46"/>
      <c r="AM109" s="46"/>
      <c r="AN109" s="47"/>
      <c r="AO109" s="47"/>
      <c r="AP109" s="47"/>
      <c r="AQ109" s="47"/>
      <c r="AR109" s="47"/>
      <c r="AS109" s="47"/>
      <c r="AU109" s="109"/>
      <c r="AV109" s="73"/>
      <c r="AW109" s="46"/>
    </row>
    <row r="110" spans="2:49" s="25" customFormat="1" ht="25.2" customHeight="1" x14ac:dyDescent="0.15">
      <c r="B110" s="47"/>
      <c r="C110" s="47"/>
      <c r="D110" s="47"/>
      <c r="E110" s="47"/>
      <c r="F110" s="47"/>
      <c r="G110" s="47"/>
      <c r="H110" s="47"/>
      <c r="I110" s="46"/>
      <c r="J110" s="111"/>
      <c r="K110" s="52"/>
      <c r="L110" s="148"/>
      <c r="M110" s="52"/>
      <c r="N110" s="148"/>
      <c r="O110" s="52"/>
      <c r="P110" s="148"/>
      <c r="Q110" s="52"/>
      <c r="R110" s="155"/>
      <c r="S110" s="47"/>
      <c r="T110" s="47"/>
      <c r="U110" s="47"/>
      <c r="V110" s="47"/>
      <c r="W110" s="47"/>
      <c r="Y110" s="47"/>
      <c r="Z110" s="47"/>
      <c r="AA110" s="47"/>
      <c r="AB110" s="47"/>
      <c r="AC110" s="52"/>
      <c r="AD110" s="52"/>
      <c r="AE110" s="52"/>
      <c r="AF110" s="52"/>
      <c r="AG110" s="52"/>
      <c r="AH110" s="47"/>
      <c r="AI110" s="115"/>
      <c r="AJ110" s="122"/>
      <c r="AK110" s="125"/>
      <c r="AL110" s="46"/>
      <c r="AM110" s="46"/>
      <c r="AN110" s="47"/>
      <c r="AO110" s="47"/>
      <c r="AP110" s="47"/>
      <c r="AQ110" s="47"/>
      <c r="AR110" s="47"/>
      <c r="AS110" s="47"/>
      <c r="AU110" s="109"/>
      <c r="AV110" s="73"/>
      <c r="AW110" s="46"/>
    </row>
    <row r="111" spans="2:49" s="25" customFormat="1" ht="25.2" customHeight="1" x14ac:dyDescent="0.15">
      <c r="B111" s="47"/>
      <c r="C111" s="47"/>
      <c r="D111" s="47"/>
      <c r="E111" s="47"/>
      <c r="F111" s="47"/>
      <c r="G111" s="47"/>
      <c r="H111" s="47"/>
      <c r="I111" s="46"/>
      <c r="J111" s="111"/>
      <c r="K111" s="52"/>
      <c r="L111" s="148"/>
      <c r="M111" s="52"/>
      <c r="N111" s="148"/>
      <c r="O111" s="52"/>
      <c r="P111" s="148"/>
      <c r="Q111" s="52"/>
      <c r="R111" s="155"/>
      <c r="S111" s="47"/>
      <c r="T111" s="47"/>
      <c r="U111" s="47"/>
      <c r="V111" s="47"/>
      <c r="W111" s="47"/>
      <c r="Y111" s="47"/>
      <c r="Z111" s="47"/>
      <c r="AA111" s="47"/>
      <c r="AB111" s="47"/>
      <c r="AC111" s="52"/>
      <c r="AD111" s="52"/>
      <c r="AE111" s="52"/>
      <c r="AF111" s="52"/>
      <c r="AG111" s="52"/>
      <c r="AH111" s="47"/>
      <c r="AI111" s="115"/>
      <c r="AJ111" s="122"/>
      <c r="AK111" s="125"/>
      <c r="AL111" s="46"/>
      <c r="AM111" s="46"/>
      <c r="AN111" s="47"/>
      <c r="AO111" s="47"/>
      <c r="AP111" s="47"/>
      <c r="AQ111" s="47"/>
      <c r="AR111" s="47"/>
      <c r="AS111" s="47"/>
      <c r="AU111" s="109"/>
      <c r="AV111" s="73"/>
      <c r="AW111" s="46"/>
    </row>
    <row r="112" spans="2:49" s="25" customFormat="1" ht="25.2" customHeight="1" x14ac:dyDescent="0.15">
      <c r="B112" s="47"/>
      <c r="C112" s="47"/>
      <c r="D112" s="47"/>
      <c r="E112" s="47"/>
      <c r="F112" s="47"/>
      <c r="G112" s="47"/>
      <c r="H112" s="47"/>
      <c r="I112" s="46"/>
      <c r="J112" s="111"/>
      <c r="K112" s="52"/>
      <c r="L112" s="148"/>
      <c r="M112" s="52"/>
      <c r="N112" s="148"/>
      <c r="O112" s="52"/>
      <c r="P112" s="148"/>
      <c r="Q112" s="52"/>
      <c r="R112" s="155"/>
      <c r="S112" s="47"/>
      <c r="T112" s="47"/>
      <c r="U112" s="47"/>
      <c r="V112" s="47"/>
      <c r="W112" s="47"/>
      <c r="Y112" s="47"/>
      <c r="Z112" s="47"/>
      <c r="AA112" s="47"/>
      <c r="AB112" s="47"/>
      <c r="AC112" s="52"/>
      <c r="AD112" s="52"/>
      <c r="AE112" s="52"/>
      <c r="AF112" s="52"/>
      <c r="AG112" s="52"/>
      <c r="AH112" s="47"/>
      <c r="AI112" s="115"/>
      <c r="AJ112" s="122"/>
      <c r="AK112" s="125"/>
      <c r="AL112" s="46"/>
      <c r="AM112" s="46"/>
      <c r="AN112" s="47"/>
      <c r="AO112" s="47"/>
      <c r="AP112" s="47"/>
      <c r="AQ112" s="47"/>
      <c r="AR112" s="47"/>
      <c r="AS112" s="47"/>
      <c r="AU112" s="109"/>
      <c r="AV112" s="73"/>
      <c r="AW112" s="46"/>
    </row>
    <row r="113" spans="2:49" s="25" customFormat="1" ht="25.2" customHeight="1" x14ac:dyDescent="0.15">
      <c r="B113" s="47"/>
      <c r="C113" s="47"/>
      <c r="D113" s="47"/>
      <c r="E113" s="47"/>
      <c r="F113" s="47"/>
      <c r="G113" s="47"/>
      <c r="H113" s="47"/>
      <c r="I113" s="46"/>
      <c r="J113" s="111"/>
      <c r="K113" s="52"/>
      <c r="L113" s="148"/>
      <c r="M113" s="52"/>
      <c r="N113" s="148"/>
      <c r="O113" s="52"/>
      <c r="P113" s="148"/>
      <c r="Q113" s="52"/>
      <c r="R113" s="155"/>
      <c r="S113" s="47"/>
      <c r="T113" s="47"/>
      <c r="U113" s="47"/>
      <c r="V113" s="47"/>
      <c r="W113" s="47"/>
      <c r="Y113" s="47"/>
      <c r="Z113" s="47"/>
      <c r="AA113" s="47"/>
      <c r="AB113" s="47"/>
      <c r="AC113" s="52"/>
      <c r="AD113" s="52"/>
      <c r="AE113" s="52"/>
      <c r="AF113" s="52"/>
      <c r="AG113" s="52"/>
      <c r="AH113" s="47"/>
      <c r="AI113" s="115"/>
      <c r="AJ113" s="122"/>
      <c r="AK113" s="125"/>
      <c r="AL113" s="46"/>
      <c r="AM113" s="46"/>
      <c r="AN113" s="47"/>
      <c r="AO113" s="47"/>
      <c r="AP113" s="47"/>
      <c r="AQ113" s="47"/>
      <c r="AR113" s="47"/>
      <c r="AS113" s="47"/>
      <c r="AU113" s="109"/>
      <c r="AV113" s="73"/>
      <c r="AW113" s="46"/>
    </row>
    <row r="114" spans="2:49" s="25" customFormat="1" ht="25.2" customHeight="1" x14ac:dyDescent="0.15">
      <c r="B114" s="47"/>
      <c r="C114" s="47"/>
      <c r="D114" s="47"/>
      <c r="E114" s="47"/>
      <c r="F114" s="47"/>
      <c r="G114" s="47"/>
      <c r="H114" s="47"/>
      <c r="I114" s="46"/>
      <c r="J114" s="111"/>
      <c r="K114" s="52"/>
      <c r="L114" s="148"/>
      <c r="M114" s="52"/>
      <c r="N114" s="148"/>
      <c r="O114" s="52"/>
      <c r="P114" s="148"/>
      <c r="Q114" s="52"/>
      <c r="R114" s="155"/>
      <c r="S114" s="47"/>
      <c r="T114" s="47"/>
      <c r="U114" s="47"/>
      <c r="V114" s="47"/>
      <c r="W114" s="47"/>
      <c r="Y114" s="47"/>
      <c r="Z114" s="47"/>
      <c r="AA114" s="47"/>
      <c r="AB114" s="47"/>
      <c r="AC114" s="52"/>
      <c r="AD114" s="52"/>
      <c r="AE114" s="52"/>
      <c r="AF114" s="52"/>
      <c r="AG114" s="52"/>
      <c r="AH114" s="47"/>
      <c r="AI114" s="115"/>
      <c r="AJ114" s="122"/>
      <c r="AK114" s="125"/>
      <c r="AL114" s="46"/>
      <c r="AM114" s="46"/>
      <c r="AN114" s="47"/>
      <c r="AO114" s="47"/>
      <c r="AP114" s="47"/>
      <c r="AQ114" s="47"/>
      <c r="AR114" s="47"/>
      <c r="AS114" s="47"/>
      <c r="AU114" s="109"/>
      <c r="AV114" s="73"/>
      <c r="AW114" s="46"/>
    </row>
    <row r="115" spans="2:49" s="25" customFormat="1" ht="25.2" customHeight="1" x14ac:dyDescent="0.15">
      <c r="B115" s="47"/>
      <c r="C115" s="47"/>
      <c r="D115" s="47"/>
      <c r="E115" s="47"/>
      <c r="F115" s="47"/>
      <c r="G115" s="47"/>
      <c r="H115" s="47"/>
      <c r="I115" s="46"/>
      <c r="J115" s="111"/>
      <c r="K115" s="52"/>
      <c r="L115" s="148"/>
      <c r="M115" s="52"/>
      <c r="N115" s="148"/>
      <c r="O115" s="52"/>
      <c r="P115" s="148"/>
      <c r="Q115" s="52"/>
      <c r="R115" s="155"/>
      <c r="S115" s="47"/>
      <c r="T115" s="47"/>
      <c r="U115" s="47"/>
      <c r="V115" s="47"/>
      <c r="W115" s="47"/>
      <c r="Y115" s="47"/>
      <c r="Z115" s="47"/>
      <c r="AA115" s="47"/>
      <c r="AB115" s="47"/>
      <c r="AC115" s="52"/>
      <c r="AD115" s="52"/>
      <c r="AE115" s="52"/>
      <c r="AF115" s="52"/>
      <c r="AG115" s="52"/>
      <c r="AH115" s="47"/>
      <c r="AI115" s="115"/>
      <c r="AJ115" s="122"/>
      <c r="AK115" s="125"/>
      <c r="AL115" s="46"/>
      <c r="AM115" s="46"/>
      <c r="AN115" s="47"/>
      <c r="AO115" s="47"/>
      <c r="AP115" s="47"/>
      <c r="AQ115" s="47"/>
      <c r="AR115" s="47"/>
      <c r="AS115" s="47"/>
      <c r="AU115" s="109"/>
      <c r="AV115" s="73"/>
      <c r="AW115" s="46"/>
    </row>
    <row r="116" spans="2:49" s="25" customFormat="1" ht="25.2" customHeight="1" x14ac:dyDescent="0.15">
      <c r="B116" s="47"/>
      <c r="C116" s="47"/>
      <c r="D116" s="47"/>
      <c r="E116" s="47"/>
      <c r="F116" s="47"/>
      <c r="G116" s="47"/>
      <c r="H116" s="47"/>
      <c r="I116" s="46"/>
      <c r="J116" s="111"/>
      <c r="K116" s="52"/>
      <c r="L116" s="148"/>
      <c r="M116" s="52"/>
      <c r="N116" s="148"/>
      <c r="O116" s="52"/>
      <c r="P116" s="148"/>
      <c r="Q116" s="52"/>
      <c r="R116" s="155"/>
      <c r="S116" s="47"/>
      <c r="T116" s="47"/>
      <c r="U116" s="47"/>
      <c r="V116" s="47"/>
      <c r="W116" s="47"/>
      <c r="Y116" s="47"/>
      <c r="Z116" s="47"/>
      <c r="AA116" s="47"/>
      <c r="AB116" s="47"/>
      <c r="AC116" s="52"/>
      <c r="AD116" s="52"/>
      <c r="AE116" s="52"/>
      <c r="AF116" s="52"/>
      <c r="AG116" s="52"/>
      <c r="AH116" s="47"/>
      <c r="AI116" s="115"/>
      <c r="AJ116" s="122"/>
      <c r="AK116" s="125"/>
      <c r="AL116" s="46"/>
      <c r="AM116" s="46"/>
      <c r="AN116" s="47"/>
      <c r="AO116" s="47"/>
      <c r="AP116" s="47"/>
      <c r="AQ116" s="47"/>
      <c r="AR116" s="47"/>
      <c r="AS116" s="47"/>
      <c r="AU116" s="109"/>
      <c r="AV116" s="73"/>
      <c r="AW116" s="46"/>
    </row>
    <row r="117" spans="2:49" s="25" customFormat="1" ht="25.2" customHeight="1" x14ac:dyDescent="0.15">
      <c r="B117" s="47"/>
      <c r="C117" s="47"/>
      <c r="D117" s="47"/>
      <c r="E117" s="47"/>
      <c r="F117" s="47"/>
      <c r="G117" s="47"/>
      <c r="H117" s="47"/>
      <c r="I117" s="46"/>
      <c r="J117" s="111"/>
      <c r="K117" s="52"/>
      <c r="L117" s="148"/>
      <c r="M117" s="52"/>
      <c r="N117" s="148"/>
      <c r="O117" s="52"/>
      <c r="P117" s="148"/>
      <c r="Q117" s="52"/>
      <c r="R117" s="155"/>
      <c r="S117" s="47"/>
      <c r="T117" s="47"/>
      <c r="U117" s="47"/>
      <c r="V117" s="47"/>
      <c r="W117" s="47"/>
      <c r="Y117" s="47"/>
      <c r="Z117" s="47"/>
      <c r="AA117" s="47"/>
      <c r="AB117" s="47"/>
      <c r="AC117" s="52"/>
      <c r="AD117" s="52"/>
      <c r="AE117" s="52"/>
      <c r="AF117" s="52"/>
      <c r="AG117" s="52"/>
      <c r="AH117" s="47"/>
      <c r="AI117" s="115"/>
      <c r="AJ117" s="122"/>
      <c r="AK117" s="125"/>
      <c r="AL117" s="46"/>
      <c r="AM117" s="46"/>
      <c r="AN117" s="47"/>
      <c r="AO117" s="47"/>
      <c r="AP117" s="47"/>
      <c r="AQ117" s="47"/>
      <c r="AR117" s="47"/>
      <c r="AS117" s="47"/>
      <c r="AU117" s="109"/>
      <c r="AV117" s="73"/>
      <c r="AW117" s="46"/>
    </row>
    <row r="118" spans="2:49" s="25" customFormat="1" ht="25.2" customHeight="1" x14ac:dyDescent="0.15">
      <c r="B118" s="47"/>
      <c r="C118" s="47"/>
      <c r="D118" s="47"/>
      <c r="E118" s="47"/>
      <c r="F118" s="47"/>
      <c r="G118" s="47"/>
      <c r="H118" s="47"/>
      <c r="I118" s="46"/>
      <c r="J118" s="111"/>
      <c r="K118" s="52"/>
      <c r="L118" s="148"/>
      <c r="M118" s="52"/>
      <c r="N118" s="148"/>
      <c r="O118" s="52"/>
      <c r="P118" s="148"/>
      <c r="Q118" s="52"/>
      <c r="R118" s="155"/>
      <c r="S118" s="47"/>
      <c r="T118" s="47"/>
      <c r="U118" s="47"/>
      <c r="V118" s="47"/>
      <c r="W118" s="47"/>
      <c r="Y118" s="47"/>
      <c r="Z118" s="47"/>
      <c r="AA118" s="47"/>
      <c r="AB118" s="47"/>
      <c r="AC118" s="52"/>
      <c r="AD118" s="52"/>
      <c r="AE118" s="52"/>
      <c r="AF118" s="52"/>
      <c r="AG118" s="52"/>
      <c r="AH118" s="47"/>
      <c r="AI118" s="115"/>
      <c r="AJ118" s="122"/>
      <c r="AK118" s="125"/>
      <c r="AL118" s="46"/>
      <c r="AM118" s="46"/>
      <c r="AN118" s="47"/>
      <c r="AO118" s="47"/>
      <c r="AP118" s="47"/>
      <c r="AQ118" s="47"/>
      <c r="AR118" s="47"/>
      <c r="AS118" s="47"/>
      <c r="AU118" s="109"/>
      <c r="AV118" s="73"/>
      <c r="AW118" s="46"/>
    </row>
    <row r="119" spans="2:49" s="25" customFormat="1" ht="25.2" customHeight="1" x14ac:dyDescent="0.15">
      <c r="B119" s="47"/>
      <c r="C119" s="47"/>
      <c r="D119" s="47"/>
      <c r="E119" s="47"/>
      <c r="F119" s="47"/>
      <c r="G119" s="47"/>
      <c r="H119" s="47"/>
      <c r="I119" s="46"/>
      <c r="J119" s="111"/>
      <c r="K119" s="52"/>
      <c r="L119" s="148"/>
      <c r="M119" s="52"/>
      <c r="N119" s="148"/>
      <c r="O119" s="52"/>
      <c r="P119" s="148"/>
      <c r="Q119" s="52"/>
      <c r="R119" s="155"/>
      <c r="S119" s="47"/>
      <c r="T119" s="47"/>
      <c r="U119" s="47"/>
      <c r="V119" s="47"/>
      <c r="W119" s="47"/>
      <c r="Y119" s="47"/>
      <c r="Z119" s="47"/>
      <c r="AA119" s="47"/>
      <c r="AB119" s="47"/>
      <c r="AC119" s="52"/>
      <c r="AD119" s="52"/>
      <c r="AE119" s="52"/>
      <c r="AF119" s="52"/>
      <c r="AG119" s="52"/>
      <c r="AH119" s="47"/>
      <c r="AI119" s="115"/>
      <c r="AJ119" s="122"/>
      <c r="AK119" s="125"/>
      <c r="AL119" s="46"/>
      <c r="AM119" s="46"/>
      <c r="AN119" s="47"/>
      <c r="AO119" s="47"/>
      <c r="AP119" s="47"/>
      <c r="AQ119" s="47"/>
      <c r="AR119" s="47"/>
      <c r="AS119" s="47"/>
      <c r="AU119" s="109"/>
      <c r="AV119" s="73"/>
      <c r="AW119" s="46"/>
    </row>
    <row r="120" spans="2:49" s="25" customFormat="1" ht="25.2" customHeight="1" x14ac:dyDescent="0.15">
      <c r="B120" s="47"/>
      <c r="C120" s="47"/>
      <c r="D120" s="47"/>
      <c r="E120" s="47"/>
      <c r="F120" s="47"/>
      <c r="G120" s="47"/>
      <c r="H120" s="47"/>
      <c r="I120" s="46"/>
      <c r="J120" s="111"/>
      <c r="K120" s="52"/>
      <c r="L120" s="148"/>
      <c r="M120" s="52"/>
      <c r="N120" s="148"/>
      <c r="O120" s="52"/>
      <c r="P120" s="148"/>
      <c r="Q120" s="52"/>
      <c r="R120" s="155"/>
      <c r="S120" s="47"/>
      <c r="T120" s="47"/>
      <c r="U120" s="47"/>
      <c r="V120" s="47"/>
      <c r="W120" s="47"/>
      <c r="Y120" s="47"/>
      <c r="Z120" s="47"/>
      <c r="AA120" s="47"/>
      <c r="AB120" s="47"/>
      <c r="AC120" s="52"/>
      <c r="AD120" s="52"/>
      <c r="AE120" s="52"/>
      <c r="AF120" s="52"/>
      <c r="AG120" s="52"/>
      <c r="AH120" s="47"/>
      <c r="AI120" s="115"/>
      <c r="AJ120" s="122"/>
      <c r="AK120" s="125"/>
      <c r="AL120" s="46"/>
      <c r="AM120" s="46"/>
      <c r="AN120" s="47"/>
      <c r="AO120" s="47"/>
      <c r="AP120" s="47"/>
      <c r="AQ120" s="47"/>
      <c r="AR120" s="47"/>
      <c r="AS120" s="47"/>
      <c r="AU120" s="109"/>
      <c r="AV120" s="73"/>
      <c r="AW120" s="46"/>
    </row>
    <row r="121" spans="2:49" s="25" customFormat="1" ht="25.2" customHeight="1" x14ac:dyDescent="0.15">
      <c r="B121" s="47"/>
      <c r="C121" s="47"/>
      <c r="D121" s="47"/>
      <c r="E121" s="47"/>
      <c r="F121" s="47"/>
      <c r="G121" s="47"/>
      <c r="H121" s="47"/>
      <c r="I121" s="46"/>
      <c r="J121" s="111"/>
      <c r="K121" s="52"/>
      <c r="L121" s="148"/>
      <c r="M121" s="52"/>
      <c r="N121" s="148"/>
      <c r="O121" s="52"/>
      <c r="P121" s="148"/>
      <c r="Q121" s="52"/>
      <c r="R121" s="155"/>
      <c r="S121" s="47"/>
      <c r="T121" s="47"/>
      <c r="U121" s="47"/>
      <c r="V121" s="47"/>
      <c r="W121" s="47"/>
      <c r="Y121" s="47"/>
      <c r="Z121" s="47"/>
      <c r="AA121" s="47"/>
      <c r="AB121" s="47"/>
      <c r="AC121" s="52"/>
      <c r="AD121" s="52"/>
      <c r="AE121" s="52"/>
      <c r="AF121" s="52"/>
      <c r="AG121" s="52"/>
      <c r="AH121" s="47"/>
      <c r="AI121" s="115"/>
      <c r="AJ121" s="122"/>
      <c r="AK121" s="125"/>
      <c r="AL121" s="46"/>
      <c r="AM121" s="46"/>
      <c r="AN121" s="47"/>
      <c r="AO121" s="47"/>
      <c r="AP121" s="47"/>
      <c r="AQ121" s="47"/>
      <c r="AR121" s="47"/>
      <c r="AS121" s="47"/>
      <c r="AU121" s="109"/>
      <c r="AV121" s="73"/>
      <c r="AW121" s="46"/>
    </row>
    <row r="122" spans="2:49" s="25" customFormat="1" ht="25.2" customHeight="1" x14ac:dyDescent="0.15">
      <c r="B122" s="47"/>
      <c r="C122" s="47"/>
      <c r="D122" s="47"/>
      <c r="E122" s="47"/>
      <c r="F122" s="47"/>
      <c r="G122" s="47"/>
      <c r="H122" s="47"/>
      <c r="I122" s="46"/>
      <c r="J122" s="111"/>
      <c r="K122" s="52"/>
      <c r="L122" s="148"/>
      <c r="M122" s="52"/>
      <c r="N122" s="148"/>
      <c r="O122" s="52"/>
      <c r="P122" s="148"/>
      <c r="Q122" s="52"/>
      <c r="R122" s="155"/>
      <c r="S122" s="47"/>
      <c r="T122" s="47"/>
      <c r="U122" s="47"/>
      <c r="V122" s="47"/>
      <c r="W122" s="47"/>
      <c r="Y122" s="47"/>
      <c r="Z122" s="47"/>
      <c r="AA122" s="47"/>
      <c r="AB122" s="47"/>
      <c r="AC122" s="52"/>
      <c r="AD122" s="52"/>
      <c r="AE122" s="52"/>
      <c r="AF122" s="52"/>
      <c r="AG122" s="52"/>
      <c r="AH122" s="47"/>
      <c r="AI122" s="115"/>
      <c r="AJ122" s="122"/>
      <c r="AK122" s="125"/>
      <c r="AL122" s="46"/>
      <c r="AM122" s="46"/>
      <c r="AN122" s="47"/>
      <c r="AO122" s="47"/>
      <c r="AP122" s="47"/>
      <c r="AQ122" s="47"/>
      <c r="AR122" s="47"/>
      <c r="AS122" s="47"/>
      <c r="AU122" s="109"/>
      <c r="AV122" s="73"/>
      <c r="AW122" s="46"/>
    </row>
    <row r="123" spans="2:49" s="25" customFormat="1" ht="25.2" customHeight="1" x14ac:dyDescent="0.15">
      <c r="B123" s="47"/>
      <c r="C123" s="47"/>
      <c r="D123" s="47"/>
      <c r="E123" s="47"/>
      <c r="F123" s="47"/>
      <c r="G123" s="47"/>
      <c r="H123" s="47"/>
      <c r="I123" s="46"/>
      <c r="J123" s="111"/>
      <c r="K123" s="52"/>
      <c r="L123" s="148"/>
      <c r="M123" s="52"/>
      <c r="N123" s="148"/>
      <c r="O123" s="52"/>
      <c r="P123" s="148"/>
      <c r="Q123" s="52"/>
      <c r="R123" s="155"/>
      <c r="S123" s="47"/>
      <c r="T123" s="47"/>
      <c r="U123" s="47"/>
      <c r="V123" s="47"/>
      <c r="W123" s="47"/>
      <c r="Y123" s="47"/>
      <c r="Z123" s="47"/>
      <c r="AA123" s="47"/>
      <c r="AB123" s="47"/>
      <c r="AC123" s="52"/>
      <c r="AD123" s="52"/>
      <c r="AE123" s="52"/>
      <c r="AF123" s="52"/>
      <c r="AG123" s="52"/>
      <c r="AH123" s="47"/>
      <c r="AI123" s="115"/>
      <c r="AJ123" s="122"/>
      <c r="AK123" s="125"/>
      <c r="AL123" s="46"/>
      <c r="AM123" s="46"/>
      <c r="AN123" s="47"/>
      <c r="AO123" s="47"/>
      <c r="AP123" s="47"/>
      <c r="AQ123" s="47"/>
      <c r="AR123" s="47"/>
      <c r="AS123" s="47"/>
      <c r="AU123" s="109"/>
      <c r="AV123" s="73"/>
      <c r="AW123" s="46"/>
    </row>
    <row r="124" spans="2:49" s="25" customFormat="1" ht="25.2" customHeight="1" x14ac:dyDescent="0.15">
      <c r="B124" s="47"/>
      <c r="C124" s="47"/>
      <c r="D124" s="47"/>
      <c r="E124" s="47"/>
      <c r="F124" s="47"/>
      <c r="G124" s="47"/>
      <c r="H124" s="47"/>
      <c r="I124" s="46"/>
      <c r="J124" s="111"/>
      <c r="K124" s="52"/>
      <c r="L124" s="148"/>
      <c r="M124" s="52"/>
      <c r="N124" s="148"/>
      <c r="O124" s="52"/>
      <c r="P124" s="148"/>
      <c r="Q124" s="52"/>
      <c r="R124" s="155"/>
      <c r="S124" s="47"/>
      <c r="T124" s="47"/>
      <c r="U124" s="47"/>
      <c r="V124" s="47"/>
      <c r="W124" s="47"/>
      <c r="Y124" s="47"/>
      <c r="Z124" s="47"/>
      <c r="AA124" s="47"/>
      <c r="AB124" s="47"/>
      <c r="AC124" s="52"/>
      <c r="AD124" s="52"/>
      <c r="AE124" s="52"/>
      <c r="AF124" s="52"/>
      <c r="AG124" s="52"/>
      <c r="AH124" s="47"/>
      <c r="AI124" s="115"/>
      <c r="AJ124" s="122"/>
      <c r="AK124" s="125"/>
      <c r="AL124" s="46"/>
      <c r="AM124" s="46"/>
      <c r="AN124" s="47"/>
      <c r="AO124" s="47"/>
      <c r="AP124" s="47"/>
      <c r="AQ124" s="47"/>
      <c r="AR124" s="47"/>
      <c r="AS124" s="47"/>
      <c r="AU124" s="109"/>
      <c r="AV124" s="73"/>
      <c r="AW124" s="46"/>
    </row>
    <row r="125" spans="2:49" s="25" customFormat="1" ht="25.2" customHeight="1" x14ac:dyDescent="0.15">
      <c r="B125" s="47"/>
      <c r="C125" s="47"/>
      <c r="D125" s="47"/>
      <c r="E125" s="47"/>
      <c r="F125" s="47"/>
      <c r="G125" s="47"/>
      <c r="H125" s="47"/>
      <c r="I125" s="46"/>
      <c r="J125" s="111"/>
      <c r="K125" s="52"/>
      <c r="L125" s="148"/>
      <c r="M125" s="52"/>
      <c r="N125" s="148"/>
      <c r="O125" s="52"/>
      <c r="P125" s="148"/>
      <c r="Q125" s="52"/>
      <c r="R125" s="155"/>
      <c r="S125" s="47"/>
      <c r="T125" s="47"/>
      <c r="U125" s="47"/>
      <c r="V125" s="47"/>
      <c r="W125" s="47"/>
      <c r="Y125" s="47"/>
      <c r="Z125" s="47"/>
      <c r="AA125" s="47"/>
      <c r="AB125" s="47"/>
      <c r="AC125" s="52"/>
      <c r="AD125" s="52"/>
      <c r="AE125" s="52"/>
      <c r="AF125" s="52"/>
      <c r="AG125" s="52"/>
      <c r="AH125" s="47"/>
      <c r="AI125" s="115"/>
      <c r="AJ125" s="122"/>
      <c r="AK125" s="125"/>
      <c r="AL125" s="46"/>
      <c r="AM125" s="46"/>
      <c r="AN125" s="47"/>
      <c r="AO125" s="47"/>
      <c r="AP125" s="47"/>
      <c r="AQ125" s="47"/>
      <c r="AR125" s="47"/>
      <c r="AS125" s="47"/>
      <c r="AU125" s="109"/>
      <c r="AV125" s="73"/>
      <c r="AW125" s="46"/>
    </row>
    <row r="126" spans="2:49" s="25" customFormat="1" ht="25.2" customHeight="1" x14ac:dyDescent="0.15">
      <c r="B126" s="47"/>
      <c r="C126" s="47"/>
      <c r="D126" s="47"/>
      <c r="E126" s="47"/>
      <c r="F126" s="47"/>
      <c r="G126" s="47"/>
      <c r="H126" s="47"/>
      <c r="I126" s="46"/>
      <c r="J126" s="111"/>
      <c r="K126" s="52"/>
      <c r="L126" s="148"/>
      <c r="M126" s="52"/>
      <c r="N126" s="148"/>
      <c r="O126" s="52"/>
      <c r="P126" s="148"/>
      <c r="Q126" s="52"/>
      <c r="R126" s="155"/>
      <c r="S126" s="47"/>
      <c r="T126" s="47"/>
      <c r="U126" s="47"/>
      <c r="V126" s="47"/>
      <c r="W126" s="47"/>
      <c r="Y126" s="47"/>
      <c r="Z126" s="47"/>
      <c r="AA126" s="47"/>
      <c r="AB126" s="47"/>
      <c r="AC126" s="52"/>
      <c r="AD126" s="52"/>
      <c r="AE126" s="52"/>
      <c r="AF126" s="52"/>
      <c r="AG126" s="52"/>
      <c r="AH126" s="47"/>
      <c r="AI126" s="115"/>
      <c r="AJ126" s="122"/>
      <c r="AK126" s="125"/>
      <c r="AL126" s="46"/>
      <c r="AM126" s="46"/>
      <c r="AN126" s="47"/>
      <c r="AO126" s="47"/>
      <c r="AP126" s="47"/>
      <c r="AQ126" s="47"/>
      <c r="AR126" s="47"/>
      <c r="AS126" s="47"/>
      <c r="AU126" s="109"/>
      <c r="AV126" s="73"/>
      <c r="AW126" s="46"/>
    </row>
    <row r="127" spans="2:49" s="25" customFormat="1" ht="25.2" customHeight="1" x14ac:dyDescent="0.15">
      <c r="B127" s="47"/>
      <c r="C127" s="47"/>
      <c r="D127" s="47"/>
      <c r="E127" s="47"/>
      <c r="F127" s="47"/>
      <c r="G127" s="47"/>
      <c r="H127" s="47"/>
      <c r="I127" s="46"/>
      <c r="J127" s="111"/>
      <c r="K127" s="52"/>
      <c r="L127" s="148"/>
      <c r="M127" s="52"/>
      <c r="N127" s="148"/>
      <c r="O127" s="52"/>
      <c r="P127" s="148"/>
      <c r="Q127" s="52"/>
      <c r="R127" s="155"/>
      <c r="S127" s="47"/>
      <c r="T127" s="47"/>
      <c r="U127" s="47"/>
      <c r="V127" s="47"/>
      <c r="W127" s="47"/>
      <c r="Y127" s="47"/>
      <c r="Z127" s="47"/>
      <c r="AA127" s="47"/>
      <c r="AB127" s="47"/>
      <c r="AC127" s="52"/>
      <c r="AD127" s="52"/>
      <c r="AE127" s="52"/>
      <c r="AF127" s="52"/>
      <c r="AG127" s="52"/>
      <c r="AH127" s="47"/>
      <c r="AI127" s="115"/>
      <c r="AJ127" s="122"/>
      <c r="AK127" s="125"/>
      <c r="AL127" s="46"/>
      <c r="AM127" s="46"/>
      <c r="AN127" s="47"/>
      <c r="AO127" s="47"/>
      <c r="AP127" s="47"/>
      <c r="AQ127" s="47"/>
      <c r="AR127" s="47"/>
      <c r="AS127" s="47"/>
      <c r="AU127" s="109"/>
      <c r="AV127" s="73"/>
      <c r="AW127" s="46"/>
    </row>
    <row r="128" spans="2:49" s="25" customFormat="1" ht="25.2" customHeight="1" x14ac:dyDescent="0.15">
      <c r="B128" s="47"/>
      <c r="C128" s="47"/>
      <c r="D128" s="47"/>
      <c r="E128" s="47"/>
      <c r="F128" s="47"/>
      <c r="G128" s="47"/>
      <c r="H128" s="47"/>
      <c r="I128" s="46"/>
      <c r="J128" s="111"/>
      <c r="K128" s="52"/>
      <c r="L128" s="148"/>
      <c r="M128" s="52"/>
      <c r="N128" s="148"/>
      <c r="O128" s="52"/>
      <c r="P128" s="148"/>
      <c r="Q128" s="52"/>
      <c r="R128" s="155"/>
      <c r="S128" s="47"/>
      <c r="T128" s="47"/>
      <c r="U128" s="47"/>
      <c r="V128" s="47"/>
      <c r="W128" s="47"/>
      <c r="Y128" s="47"/>
      <c r="Z128" s="47"/>
      <c r="AA128" s="47"/>
      <c r="AB128" s="47"/>
      <c r="AC128" s="52"/>
      <c r="AD128" s="52"/>
      <c r="AE128" s="52"/>
      <c r="AF128" s="52"/>
      <c r="AG128" s="52"/>
      <c r="AH128" s="47"/>
      <c r="AI128" s="115"/>
      <c r="AJ128" s="122"/>
      <c r="AK128" s="125"/>
      <c r="AL128" s="46"/>
      <c r="AM128" s="46"/>
      <c r="AN128" s="47"/>
      <c r="AO128" s="47"/>
      <c r="AP128" s="47"/>
      <c r="AQ128" s="47"/>
      <c r="AR128" s="47"/>
      <c r="AS128" s="47"/>
      <c r="AU128" s="109"/>
      <c r="AV128" s="73"/>
      <c r="AW128" s="46"/>
    </row>
    <row r="129" spans="2:49" s="25" customFormat="1" ht="25.2" customHeight="1" x14ac:dyDescent="0.15">
      <c r="B129" s="47"/>
      <c r="C129" s="47"/>
      <c r="D129" s="47"/>
      <c r="E129" s="47"/>
      <c r="F129" s="47"/>
      <c r="G129" s="47"/>
      <c r="H129" s="47"/>
      <c r="I129" s="46"/>
      <c r="J129" s="111"/>
      <c r="K129" s="52"/>
      <c r="L129" s="148"/>
      <c r="M129" s="52"/>
      <c r="N129" s="148"/>
      <c r="O129" s="52"/>
      <c r="P129" s="148"/>
      <c r="Q129" s="52"/>
      <c r="R129" s="155"/>
      <c r="S129" s="47"/>
      <c r="T129" s="47"/>
      <c r="U129" s="47"/>
      <c r="V129" s="47"/>
      <c r="W129" s="47"/>
      <c r="Y129" s="47"/>
      <c r="Z129" s="47"/>
      <c r="AA129" s="47"/>
      <c r="AB129" s="47"/>
      <c r="AC129" s="52"/>
      <c r="AD129" s="52"/>
      <c r="AE129" s="52"/>
      <c r="AF129" s="52"/>
      <c r="AG129" s="52"/>
      <c r="AH129" s="47"/>
      <c r="AI129" s="115"/>
      <c r="AJ129" s="122"/>
      <c r="AK129" s="125"/>
      <c r="AL129" s="46"/>
      <c r="AM129" s="46"/>
      <c r="AN129" s="47"/>
      <c r="AO129" s="47"/>
      <c r="AP129" s="47"/>
      <c r="AQ129" s="47"/>
      <c r="AR129" s="47"/>
      <c r="AS129" s="47"/>
      <c r="AU129" s="109"/>
      <c r="AV129" s="73"/>
      <c r="AW129" s="46"/>
    </row>
    <row r="130" spans="2:49" s="25" customFormat="1" ht="25.2" customHeight="1" x14ac:dyDescent="0.15">
      <c r="B130" s="47"/>
      <c r="C130" s="47"/>
      <c r="D130" s="47"/>
      <c r="E130" s="47"/>
      <c r="F130" s="47"/>
      <c r="G130" s="47"/>
      <c r="H130" s="47"/>
      <c r="I130" s="46"/>
      <c r="J130" s="111"/>
      <c r="K130" s="52"/>
      <c r="L130" s="148"/>
      <c r="M130" s="52"/>
      <c r="N130" s="148"/>
      <c r="O130" s="52"/>
      <c r="P130" s="148"/>
      <c r="Q130" s="52"/>
      <c r="R130" s="155"/>
      <c r="S130" s="47"/>
      <c r="T130" s="47"/>
      <c r="U130" s="47"/>
      <c r="V130" s="47"/>
      <c r="W130" s="47"/>
      <c r="Y130" s="47"/>
      <c r="Z130" s="47"/>
      <c r="AA130" s="47"/>
      <c r="AB130" s="47"/>
      <c r="AC130" s="52"/>
      <c r="AD130" s="52"/>
      <c r="AE130" s="52"/>
      <c r="AF130" s="52"/>
      <c r="AG130" s="52"/>
      <c r="AH130" s="47"/>
      <c r="AI130" s="115"/>
      <c r="AJ130" s="122"/>
      <c r="AK130" s="125"/>
      <c r="AL130" s="46"/>
      <c r="AM130" s="46"/>
      <c r="AN130" s="47"/>
      <c r="AO130" s="47"/>
      <c r="AP130" s="47"/>
      <c r="AQ130" s="47"/>
      <c r="AR130" s="47"/>
      <c r="AS130" s="47"/>
      <c r="AU130" s="109"/>
      <c r="AV130" s="73"/>
      <c r="AW130" s="46"/>
    </row>
    <row r="131" spans="2:49" s="25" customFormat="1" ht="25.2" customHeight="1" x14ac:dyDescent="0.15">
      <c r="B131" s="47"/>
      <c r="C131" s="47"/>
      <c r="D131" s="47"/>
      <c r="E131" s="47"/>
      <c r="F131" s="47"/>
      <c r="G131" s="47"/>
      <c r="H131" s="47"/>
      <c r="I131" s="46"/>
      <c r="J131" s="111"/>
      <c r="K131" s="52"/>
      <c r="L131" s="148"/>
      <c r="M131" s="52"/>
      <c r="N131" s="148"/>
      <c r="O131" s="52"/>
      <c r="P131" s="148"/>
      <c r="Q131" s="52"/>
      <c r="R131" s="155"/>
      <c r="S131" s="47"/>
      <c r="T131" s="47"/>
      <c r="U131" s="47"/>
      <c r="V131" s="47"/>
      <c r="W131" s="47"/>
      <c r="Y131" s="47"/>
      <c r="Z131" s="47"/>
      <c r="AA131" s="47"/>
      <c r="AB131" s="47"/>
      <c r="AC131" s="52"/>
      <c r="AD131" s="52"/>
      <c r="AE131" s="52"/>
      <c r="AF131" s="52"/>
      <c r="AG131" s="52"/>
      <c r="AH131" s="47"/>
      <c r="AI131" s="115"/>
      <c r="AJ131" s="122"/>
      <c r="AK131" s="125"/>
      <c r="AL131" s="46"/>
      <c r="AM131" s="46"/>
      <c r="AN131" s="47"/>
      <c r="AO131" s="47"/>
      <c r="AP131" s="47"/>
      <c r="AQ131" s="47"/>
      <c r="AR131" s="47"/>
      <c r="AS131" s="47"/>
      <c r="AU131" s="109"/>
      <c r="AV131" s="73"/>
      <c r="AW131" s="46"/>
    </row>
    <row r="132" spans="2:49" s="25" customFormat="1" ht="25.2" customHeight="1" x14ac:dyDescent="0.15">
      <c r="B132" s="47"/>
      <c r="C132" s="47"/>
      <c r="D132" s="47"/>
      <c r="E132" s="47"/>
      <c r="F132" s="47"/>
      <c r="G132" s="47"/>
      <c r="H132" s="47"/>
      <c r="I132" s="46"/>
      <c r="J132" s="111"/>
      <c r="K132" s="52"/>
      <c r="L132" s="148"/>
      <c r="M132" s="52"/>
      <c r="N132" s="148"/>
      <c r="O132" s="52"/>
      <c r="P132" s="148"/>
      <c r="Q132" s="52"/>
      <c r="R132" s="155"/>
      <c r="S132" s="47"/>
      <c r="T132" s="47"/>
      <c r="U132" s="47"/>
      <c r="V132" s="47"/>
      <c r="W132" s="47"/>
      <c r="Y132" s="47"/>
      <c r="Z132" s="47"/>
      <c r="AA132" s="47"/>
      <c r="AB132" s="47"/>
      <c r="AC132" s="52"/>
      <c r="AD132" s="52"/>
      <c r="AE132" s="52"/>
      <c r="AF132" s="52"/>
      <c r="AG132" s="52"/>
      <c r="AH132" s="47"/>
      <c r="AI132" s="115"/>
      <c r="AJ132" s="122"/>
      <c r="AK132" s="125"/>
      <c r="AL132" s="46"/>
      <c r="AM132" s="46"/>
      <c r="AN132" s="47"/>
      <c r="AO132" s="47"/>
      <c r="AP132" s="47"/>
      <c r="AQ132" s="47"/>
      <c r="AR132" s="47"/>
      <c r="AS132" s="47"/>
      <c r="AU132" s="109"/>
      <c r="AV132" s="73"/>
      <c r="AW132" s="46"/>
    </row>
    <row r="133" spans="2:49" s="25" customFormat="1" ht="25.2" customHeight="1" x14ac:dyDescent="0.15">
      <c r="B133" s="47"/>
      <c r="C133" s="47"/>
      <c r="D133" s="47"/>
      <c r="E133" s="47"/>
      <c r="F133" s="47"/>
      <c r="G133" s="47"/>
      <c r="H133" s="47"/>
      <c r="I133" s="46"/>
      <c r="J133" s="111"/>
      <c r="K133" s="52"/>
      <c r="L133" s="148"/>
      <c r="M133" s="52"/>
      <c r="N133" s="148"/>
      <c r="O133" s="52"/>
      <c r="P133" s="148"/>
      <c r="Q133" s="52"/>
      <c r="R133" s="155"/>
      <c r="S133" s="47"/>
      <c r="T133" s="47"/>
      <c r="U133" s="47"/>
      <c r="V133" s="47"/>
      <c r="W133" s="47"/>
      <c r="Y133" s="47"/>
      <c r="Z133" s="47"/>
      <c r="AA133" s="47"/>
      <c r="AB133" s="47"/>
      <c r="AC133" s="52"/>
      <c r="AD133" s="52"/>
      <c r="AE133" s="52"/>
      <c r="AF133" s="52"/>
      <c r="AG133" s="52"/>
      <c r="AH133" s="47"/>
      <c r="AI133" s="115"/>
      <c r="AJ133" s="122"/>
      <c r="AK133" s="125"/>
      <c r="AL133" s="46"/>
      <c r="AM133" s="46"/>
      <c r="AN133" s="47"/>
      <c r="AO133" s="47"/>
      <c r="AP133" s="47"/>
      <c r="AQ133" s="47"/>
      <c r="AR133" s="47"/>
      <c r="AS133" s="47"/>
      <c r="AU133" s="109"/>
      <c r="AV133" s="73"/>
      <c r="AW133" s="46"/>
    </row>
    <row r="134" spans="2:49" s="25" customFormat="1" ht="25.2" customHeight="1" x14ac:dyDescent="0.15">
      <c r="B134" s="47"/>
      <c r="C134" s="47"/>
      <c r="D134" s="47"/>
      <c r="E134" s="47"/>
      <c r="F134" s="47"/>
      <c r="G134" s="47"/>
      <c r="H134" s="47"/>
      <c r="I134" s="46"/>
      <c r="J134" s="111"/>
      <c r="K134" s="52"/>
      <c r="L134" s="148"/>
      <c r="M134" s="52"/>
      <c r="N134" s="148"/>
      <c r="O134" s="52"/>
      <c r="P134" s="148"/>
      <c r="Q134" s="52"/>
      <c r="R134" s="155"/>
      <c r="S134" s="47"/>
      <c r="T134" s="47"/>
      <c r="U134" s="47"/>
      <c r="V134" s="47"/>
      <c r="W134" s="47"/>
      <c r="Y134" s="47"/>
      <c r="Z134" s="47"/>
      <c r="AA134" s="47"/>
      <c r="AB134" s="47"/>
      <c r="AC134" s="52"/>
      <c r="AD134" s="52"/>
      <c r="AE134" s="52"/>
      <c r="AF134" s="52"/>
      <c r="AG134" s="52"/>
      <c r="AH134" s="47"/>
      <c r="AI134" s="115"/>
      <c r="AJ134" s="122"/>
      <c r="AK134" s="125"/>
      <c r="AL134" s="46"/>
      <c r="AM134" s="46"/>
      <c r="AN134" s="47"/>
      <c r="AO134" s="47"/>
      <c r="AP134" s="47"/>
      <c r="AQ134" s="47"/>
      <c r="AR134" s="47"/>
      <c r="AS134" s="47"/>
      <c r="AU134" s="109"/>
      <c r="AV134" s="73"/>
      <c r="AW134" s="46"/>
    </row>
    <row r="135" spans="2:49" s="25" customFormat="1" ht="25.2" customHeight="1" x14ac:dyDescent="0.15">
      <c r="B135" s="47"/>
      <c r="C135" s="47"/>
      <c r="D135" s="47"/>
      <c r="E135" s="47"/>
      <c r="F135" s="47"/>
      <c r="G135" s="47"/>
      <c r="H135" s="47"/>
      <c r="I135" s="46"/>
      <c r="J135" s="111"/>
      <c r="K135" s="52"/>
      <c r="L135" s="148"/>
      <c r="M135" s="52"/>
      <c r="N135" s="148"/>
      <c r="O135" s="52"/>
      <c r="P135" s="148"/>
      <c r="Q135" s="52"/>
      <c r="R135" s="155"/>
      <c r="S135" s="47"/>
      <c r="T135" s="47"/>
      <c r="U135" s="47"/>
      <c r="V135" s="47"/>
      <c r="W135" s="47"/>
      <c r="Y135" s="47"/>
      <c r="Z135" s="47"/>
      <c r="AA135" s="47"/>
      <c r="AB135" s="47"/>
      <c r="AC135" s="52"/>
      <c r="AD135" s="52"/>
      <c r="AE135" s="52"/>
      <c r="AF135" s="52"/>
      <c r="AG135" s="52"/>
      <c r="AH135" s="47"/>
      <c r="AI135" s="115"/>
      <c r="AJ135" s="122"/>
      <c r="AK135" s="125"/>
      <c r="AL135" s="46"/>
      <c r="AM135" s="46"/>
      <c r="AN135" s="47"/>
      <c r="AO135" s="47"/>
      <c r="AP135" s="47"/>
      <c r="AQ135" s="47"/>
      <c r="AR135" s="47"/>
      <c r="AS135" s="47"/>
      <c r="AU135" s="109"/>
      <c r="AV135" s="73"/>
      <c r="AW135" s="46"/>
    </row>
    <row r="136" spans="2:49" s="25" customFormat="1" ht="25.2" customHeight="1" x14ac:dyDescent="0.15">
      <c r="B136" s="47"/>
      <c r="C136" s="47"/>
      <c r="D136" s="47"/>
      <c r="E136" s="47"/>
      <c r="F136" s="47"/>
      <c r="G136" s="47"/>
      <c r="H136" s="47"/>
      <c r="I136" s="46"/>
      <c r="J136" s="111"/>
      <c r="K136" s="52"/>
      <c r="L136" s="148"/>
      <c r="M136" s="52"/>
      <c r="N136" s="148"/>
      <c r="O136" s="52"/>
      <c r="P136" s="148"/>
      <c r="Q136" s="52"/>
      <c r="R136" s="155"/>
      <c r="S136" s="47"/>
      <c r="T136" s="47"/>
      <c r="U136" s="47"/>
      <c r="V136" s="47"/>
      <c r="W136" s="47"/>
      <c r="Y136" s="47"/>
      <c r="Z136" s="47"/>
      <c r="AA136" s="47"/>
      <c r="AB136" s="47"/>
      <c r="AC136" s="52"/>
      <c r="AD136" s="52"/>
      <c r="AE136" s="52"/>
      <c r="AF136" s="52"/>
      <c r="AG136" s="52"/>
      <c r="AH136" s="47"/>
      <c r="AI136" s="115"/>
      <c r="AJ136" s="122"/>
      <c r="AK136" s="125"/>
      <c r="AL136" s="46"/>
      <c r="AM136" s="46"/>
      <c r="AN136" s="47"/>
      <c r="AO136" s="47"/>
      <c r="AP136" s="47"/>
      <c r="AQ136" s="47"/>
      <c r="AR136" s="47"/>
      <c r="AS136" s="47"/>
      <c r="AU136" s="109"/>
      <c r="AV136" s="73"/>
      <c r="AW136" s="46"/>
    </row>
    <row r="137" spans="2:49" s="25" customFormat="1" ht="25.2" customHeight="1" x14ac:dyDescent="0.15">
      <c r="B137" s="47"/>
      <c r="C137" s="47"/>
      <c r="D137" s="47"/>
      <c r="E137" s="47"/>
      <c r="F137" s="47"/>
      <c r="G137" s="47"/>
      <c r="H137" s="47"/>
      <c r="I137" s="46"/>
      <c r="J137" s="111"/>
      <c r="K137" s="52"/>
      <c r="L137" s="148"/>
      <c r="M137" s="52"/>
      <c r="N137" s="148"/>
      <c r="O137" s="52"/>
      <c r="P137" s="148"/>
      <c r="Q137" s="52"/>
      <c r="R137" s="155"/>
      <c r="S137" s="47"/>
      <c r="T137" s="47"/>
      <c r="U137" s="47"/>
      <c r="V137" s="47"/>
      <c r="W137" s="47"/>
      <c r="Y137" s="47"/>
      <c r="Z137" s="47"/>
      <c r="AA137" s="47"/>
      <c r="AB137" s="47"/>
      <c r="AC137" s="52"/>
      <c r="AD137" s="52"/>
      <c r="AE137" s="52"/>
      <c r="AF137" s="52"/>
      <c r="AG137" s="52"/>
      <c r="AH137" s="47"/>
      <c r="AI137" s="115"/>
      <c r="AJ137" s="122"/>
      <c r="AK137" s="125"/>
      <c r="AL137" s="46"/>
      <c r="AM137" s="46"/>
      <c r="AN137" s="47"/>
      <c r="AO137" s="47"/>
      <c r="AP137" s="47"/>
      <c r="AQ137" s="47"/>
      <c r="AR137" s="47"/>
      <c r="AS137" s="47"/>
      <c r="AU137" s="109"/>
      <c r="AV137" s="73"/>
      <c r="AW137" s="46"/>
    </row>
    <row r="138" spans="2:49" s="25" customFormat="1" ht="25.2" customHeight="1" x14ac:dyDescent="0.15">
      <c r="B138" s="47"/>
      <c r="C138" s="47"/>
      <c r="D138" s="47"/>
      <c r="E138" s="47"/>
      <c r="F138" s="47"/>
      <c r="G138" s="47"/>
      <c r="H138" s="47"/>
      <c r="I138" s="46"/>
      <c r="J138" s="111"/>
      <c r="K138" s="52"/>
      <c r="L138" s="148"/>
      <c r="M138" s="52"/>
      <c r="N138" s="148"/>
      <c r="O138" s="52"/>
      <c r="P138" s="148"/>
      <c r="Q138" s="52"/>
      <c r="R138" s="155"/>
      <c r="S138" s="47"/>
      <c r="T138" s="47"/>
      <c r="U138" s="47"/>
      <c r="V138" s="47"/>
      <c r="W138" s="47"/>
      <c r="Y138" s="47"/>
      <c r="Z138" s="47"/>
      <c r="AA138" s="47"/>
      <c r="AB138" s="47"/>
      <c r="AC138" s="52"/>
      <c r="AD138" s="52"/>
      <c r="AE138" s="52"/>
      <c r="AF138" s="52"/>
      <c r="AG138" s="52"/>
      <c r="AH138" s="47"/>
      <c r="AI138" s="115"/>
      <c r="AJ138" s="122"/>
      <c r="AK138" s="125"/>
      <c r="AL138" s="46"/>
      <c r="AM138" s="46"/>
      <c r="AN138" s="47"/>
      <c r="AO138" s="47"/>
      <c r="AP138" s="47"/>
      <c r="AQ138" s="47"/>
      <c r="AR138" s="47"/>
      <c r="AS138" s="47"/>
      <c r="AU138" s="109"/>
      <c r="AV138" s="73"/>
      <c r="AW138" s="46"/>
    </row>
    <row r="139" spans="2:49" s="25" customFormat="1" ht="25.2" customHeight="1" x14ac:dyDescent="0.15">
      <c r="B139" s="47"/>
      <c r="C139" s="47"/>
      <c r="D139" s="47"/>
      <c r="E139" s="47"/>
      <c r="F139" s="47"/>
      <c r="G139" s="47"/>
      <c r="H139" s="47"/>
      <c r="I139" s="46"/>
      <c r="J139" s="111"/>
      <c r="K139" s="52"/>
      <c r="L139" s="148"/>
      <c r="M139" s="52"/>
      <c r="N139" s="148"/>
      <c r="O139" s="52"/>
      <c r="P139" s="148"/>
      <c r="Q139" s="52"/>
      <c r="R139" s="155"/>
      <c r="S139" s="47"/>
      <c r="T139" s="47"/>
      <c r="U139" s="47"/>
      <c r="V139" s="47"/>
      <c r="W139" s="47"/>
      <c r="Y139" s="47"/>
      <c r="Z139" s="47"/>
      <c r="AA139" s="47"/>
      <c r="AB139" s="47"/>
      <c r="AC139" s="52"/>
      <c r="AD139" s="52"/>
      <c r="AE139" s="52"/>
      <c r="AF139" s="52"/>
      <c r="AG139" s="52"/>
      <c r="AH139" s="47"/>
      <c r="AI139" s="115"/>
      <c r="AJ139" s="122"/>
      <c r="AK139" s="125"/>
      <c r="AL139" s="46"/>
      <c r="AM139" s="46"/>
      <c r="AN139" s="47"/>
      <c r="AO139" s="47"/>
      <c r="AP139" s="47"/>
      <c r="AQ139" s="47"/>
      <c r="AR139" s="47"/>
      <c r="AS139" s="47"/>
      <c r="AU139" s="109"/>
      <c r="AV139" s="73"/>
      <c r="AW139" s="46"/>
    </row>
    <row r="140" spans="2:49" s="25" customFormat="1" ht="25.2" customHeight="1" x14ac:dyDescent="0.15">
      <c r="B140" s="47"/>
      <c r="C140" s="47"/>
      <c r="D140" s="47"/>
      <c r="E140" s="47"/>
      <c r="F140" s="47"/>
      <c r="G140" s="47"/>
      <c r="H140" s="47"/>
      <c r="I140" s="46"/>
      <c r="J140" s="111"/>
      <c r="K140" s="52"/>
      <c r="L140" s="148"/>
      <c r="M140" s="52"/>
      <c r="N140" s="148"/>
      <c r="O140" s="52"/>
      <c r="P140" s="148"/>
      <c r="Q140" s="52"/>
      <c r="R140" s="155"/>
      <c r="S140" s="47"/>
      <c r="T140" s="47"/>
      <c r="U140" s="47"/>
      <c r="V140" s="47"/>
      <c r="W140" s="47"/>
      <c r="Y140" s="47"/>
      <c r="Z140" s="47"/>
      <c r="AA140" s="47"/>
      <c r="AB140" s="47"/>
      <c r="AC140" s="52"/>
      <c r="AD140" s="52"/>
      <c r="AE140" s="52"/>
      <c r="AF140" s="52"/>
      <c r="AG140" s="52"/>
      <c r="AH140" s="47"/>
      <c r="AI140" s="115"/>
      <c r="AJ140" s="122"/>
      <c r="AK140" s="125"/>
      <c r="AL140" s="46"/>
      <c r="AM140" s="46"/>
      <c r="AN140" s="47"/>
      <c r="AO140" s="47"/>
      <c r="AP140" s="47"/>
      <c r="AQ140" s="47"/>
      <c r="AR140" s="47"/>
      <c r="AS140" s="47"/>
      <c r="AU140" s="109"/>
      <c r="AV140" s="73"/>
      <c r="AW140" s="46"/>
    </row>
    <row r="141" spans="2:49" s="25" customFormat="1" ht="25.2" customHeight="1" x14ac:dyDescent="0.15">
      <c r="B141" s="47"/>
      <c r="C141" s="47"/>
      <c r="D141" s="47"/>
      <c r="E141" s="47"/>
      <c r="F141" s="47"/>
      <c r="G141" s="47"/>
      <c r="H141" s="47"/>
      <c r="I141" s="46"/>
      <c r="J141" s="111"/>
      <c r="K141" s="52"/>
      <c r="L141" s="148"/>
      <c r="M141" s="52"/>
      <c r="N141" s="148"/>
      <c r="O141" s="52"/>
      <c r="P141" s="148"/>
      <c r="Q141" s="52"/>
      <c r="R141" s="155"/>
      <c r="S141" s="47"/>
      <c r="T141" s="47"/>
      <c r="U141" s="47"/>
      <c r="V141" s="47"/>
      <c r="W141" s="47"/>
      <c r="Y141" s="47"/>
      <c r="Z141" s="47"/>
      <c r="AA141" s="47"/>
      <c r="AB141" s="47"/>
      <c r="AC141" s="52"/>
      <c r="AD141" s="52"/>
      <c r="AE141" s="52"/>
      <c r="AF141" s="52"/>
      <c r="AG141" s="52"/>
      <c r="AH141" s="47"/>
      <c r="AI141" s="115"/>
      <c r="AJ141" s="122"/>
      <c r="AK141" s="125"/>
      <c r="AL141" s="46"/>
      <c r="AM141" s="46"/>
      <c r="AN141" s="47"/>
      <c r="AO141" s="47"/>
      <c r="AP141" s="47"/>
      <c r="AQ141" s="47"/>
      <c r="AR141" s="47"/>
      <c r="AS141" s="47"/>
      <c r="AU141" s="109"/>
      <c r="AV141" s="73"/>
      <c r="AW141" s="46"/>
    </row>
    <row r="142" spans="2:49" ht="12.75" customHeight="1" x14ac:dyDescent="0.15">
      <c r="B142" s="40"/>
      <c r="C142" s="40"/>
      <c r="D142" s="40"/>
      <c r="E142" s="40"/>
      <c r="F142" s="40"/>
      <c r="G142" s="40"/>
      <c r="H142" s="40"/>
      <c r="I142" s="53"/>
      <c r="S142" s="40"/>
      <c r="T142" s="40"/>
      <c r="U142" s="40"/>
      <c r="V142" s="40"/>
      <c r="W142" s="40"/>
      <c r="Y142" s="40"/>
      <c r="Z142" s="40"/>
      <c r="AA142" s="40"/>
      <c r="AB142" s="40"/>
      <c r="AC142" s="41"/>
      <c r="AD142" s="41"/>
      <c r="AE142" s="41"/>
      <c r="AF142" s="41"/>
      <c r="AG142" s="41"/>
      <c r="AH142" s="40"/>
      <c r="AI142" s="40"/>
      <c r="AJ142" s="5"/>
      <c r="AK142" s="5"/>
      <c r="AL142" s="40"/>
      <c r="AM142" s="40"/>
      <c r="AN142" s="40"/>
      <c r="AO142" s="40"/>
      <c r="AP142" s="40"/>
      <c r="AQ142" s="40"/>
      <c r="AR142" s="40"/>
      <c r="AS142" s="40"/>
      <c r="AU142" s="40"/>
      <c r="AW142" s="40"/>
    </row>
    <row r="143" spans="2:49" ht="12.75" customHeight="1" x14ac:dyDescent="0.15">
      <c r="B143" s="40"/>
      <c r="C143" s="40"/>
      <c r="D143" s="40"/>
      <c r="E143" s="40"/>
      <c r="F143" s="40"/>
      <c r="G143" s="40"/>
      <c r="H143" s="40"/>
      <c r="I143" s="53"/>
      <c r="S143" s="40"/>
      <c r="T143" s="40"/>
      <c r="U143" s="40"/>
      <c r="V143" s="40"/>
      <c r="W143" s="40"/>
      <c r="Y143" s="40"/>
      <c r="Z143" s="40"/>
      <c r="AA143" s="40"/>
      <c r="AB143" s="40"/>
      <c r="AC143" s="41"/>
      <c r="AD143" s="41"/>
      <c r="AE143" s="41"/>
      <c r="AF143" s="41"/>
      <c r="AG143" s="41"/>
      <c r="AH143" s="40"/>
      <c r="AI143" s="40"/>
      <c r="AJ143" s="5"/>
      <c r="AK143" s="5"/>
      <c r="AL143" s="40"/>
      <c r="AM143" s="40"/>
      <c r="AN143" s="40"/>
      <c r="AO143" s="40"/>
      <c r="AP143" s="40"/>
      <c r="AQ143" s="40"/>
      <c r="AR143" s="40"/>
      <c r="AS143" s="40"/>
      <c r="AU143" s="40"/>
      <c r="AW143" s="40"/>
    </row>
    <row r="144" spans="2:49" ht="12.75" customHeight="1" x14ac:dyDescent="0.15">
      <c r="B144" s="40"/>
      <c r="C144" s="40"/>
      <c r="D144" s="40"/>
      <c r="E144" s="40"/>
      <c r="F144" s="40"/>
      <c r="G144" s="40"/>
      <c r="H144" s="40"/>
      <c r="I144" s="53"/>
      <c r="S144" s="40"/>
      <c r="T144" s="40"/>
      <c r="U144" s="40"/>
      <c r="V144" s="40"/>
      <c r="W144" s="40"/>
      <c r="Y144" s="40"/>
      <c r="Z144" s="40"/>
      <c r="AA144" s="40"/>
      <c r="AB144" s="40"/>
      <c r="AC144" s="41"/>
      <c r="AD144" s="41"/>
      <c r="AE144" s="41"/>
      <c r="AF144" s="41"/>
      <c r="AG144" s="41"/>
      <c r="AH144" s="40"/>
      <c r="AI144" s="40"/>
      <c r="AJ144" s="5"/>
      <c r="AK144" s="5"/>
      <c r="AL144" s="40"/>
      <c r="AM144" s="40"/>
      <c r="AN144" s="40"/>
      <c r="AO144" s="40"/>
      <c r="AP144" s="40"/>
      <c r="AQ144" s="40"/>
      <c r="AR144" s="40"/>
      <c r="AS144" s="40"/>
      <c r="AU144" s="40"/>
      <c r="AW144" s="40"/>
    </row>
    <row r="145" spans="2:49" ht="12.75" customHeight="1" x14ac:dyDescent="0.15">
      <c r="B145" s="40"/>
      <c r="C145" s="40"/>
      <c r="D145" s="40"/>
      <c r="E145" s="40"/>
      <c r="F145" s="40"/>
      <c r="G145" s="40"/>
      <c r="H145" s="40"/>
      <c r="I145" s="53"/>
      <c r="S145" s="40"/>
      <c r="T145" s="40"/>
      <c r="U145" s="40"/>
      <c r="V145" s="40"/>
      <c r="W145" s="40"/>
      <c r="Y145" s="40"/>
      <c r="Z145" s="40"/>
      <c r="AA145" s="40"/>
      <c r="AB145" s="40"/>
      <c r="AC145" s="41"/>
      <c r="AD145" s="41"/>
      <c r="AE145" s="41"/>
      <c r="AF145" s="41"/>
      <c r="AG145" s="41"/>
      <c r="AH145" s="40"/>
      <c r="AI145" s="40"/>
      <c r="AJ145" s="5"/>
      <c r="AK145" s="5"/>
      <c r="AL145" s="40"/>
      <c r="AM145" s="40"/>
      <c r="AN145" s="40"/>
      <c r="AO145" s="40"/>
      <c r="AP145" s="40"/>
      <c r="AQ145" s="40"/>
      <c r="AR145" s="40"/>
      <c r="AS145" s="40"/>
      <c r="AU145" s="40"/>
      <c r="AW145" s="40"/>
    </row>
    <row r="146" spans="2:49" ht="12.75" customHeight="1" x14ac:dyDescent="0.15">
      <c r="B146" s="40"/>
      <c r="C146" s="40"/>
      <c r="D146" s="40"/>
      <c r="E146" s="40"/>
      <c r="F146" s="40"/>
      <c r="G146" s="40"/>
      <c r="H146" s="40"/>
      <c r="I146" s="53"/>
      <c r="S146" s="40"/>
      <c r="T146" s="40"/>
      <c r="U146" s="40"/>
      <c r="V146" s="40"/>
      <c r="W146" s="40"/>
      <c r="Y146" s="40"/>
      <c r="Z146" s="40"/>
      <c r="AA146" s="40"/>
      <c r="AB146" s="40"/>
      <c r="AC146" s="41"/>
      <c r="AD146" s="41"/>
      <c r="AE146" s="41"/>
      <c r="AF146" s="41"/>
      <c r="AG146" s="41"/>
      <c r="AH146" s="40"/>
      <c r="AI146" s="40"/>
      <c r="AJ146" s="5"/>
      <c r="AK146" s="5"/>
      <c r="AL146" s="40"/>
      <c r="AM146" s="40"/>
      <c r="AN146" s="40"/>
      <c r="AO146" s="40"/>
      <c r="AP146" s="40"/>
      <c r="AQ146" s="40"/>
      <c r="AR146" s="40"/>
      <c r="AS146" s="40"/>
      <c r="AU146" s="40"/>
      <c r="AW146" s="40"/>
    </row>
    <row r="147" spans="2:49" ht="12.75" customHeight="1" x14ac:dyDescent="0.15">
      <c r="B147" s="40"/>
      <c r="C147" s="40"/>
      <c r="D147" s="40"/>
      <c r="E147" s="40"/>
      <c r="F147" s="40"/>
      <c r="G147" s="40"/>
      <c r="H147" s="40"/>
      <c r="I147" s="53"/>
      <c r="S147" s="40"/>
      <c r="T147" s="40"/>
      <c r="U147" s="40"/>
      <c r="V147" s="40"/>
      <c r="W147" s="40"/>
      <c r="Y147" s="40"/>
      <c r="Z147" s="40"/>
      <c r="AA147" s="40"/>
      <c r="AB147" s="40"/>
      <c r="AC147" s="41"/>
      <c r="AD147" s="41"/>
      <c r="AE147" s="41"/>
      <c r="AF147" s="41"/>
      <c r="AG147" s="41"/>
      <c r="AH147" s="40"/>
      <c r="AI147" s="40"/>
      <c r="AJ147" s="5"/>
      <c r="AK147" s="5"/>
      <c r="AL147" s="40"/>
      <c r="AM147" s="40"/>
      <c r="AN147" s="40"/>
      <c r="AO147" s="40"/>
      <c r="AP147" s="40"/>
      <c r="AQ147" s="40"/>
      <c r="AR147" s="40"/>
      <c r="AS147" s="40"/>
      <c r="AU147" s="40"/>
      <c r="AW147" s="40"/>
    </row>
    <row r="148" spans="2:49" ht="12.75" customHeight="1" x14ac:dyDescent="0.15">
      <c r="B148" s="40"/>
      <c r="C148" s="40"/>
      <c r="D148" s="40"/>
      <c r="E148" s="40"/>
      <c r="F148" s="40"/>
      <c r="G148" s="40"/>
      <c r="H148" s="40"/>
      <c r="I148" s="53"/>
      <c r="S148" s="40"/>
      <c r="T148" s="40"/>
      <c r="U148" s="40"/>
      <c r="V148" s="40"/>
      <c r="W148" s="40"/>
      <c r="Y148" s="40"/>
      <c r="Z148" s="40"/>
      <c r="AA148" s="40"/>
      <c r="AB148" s="40"/>
      <c r="AC148" s="41"/>
      <c r="AD148" s="41"/>
      <c r="AE148" s="41"/>
      <c r="AF148" s="41"/>
      <c r="AG148" s="41"/>
      <c r="AH148" s="40"/>
      <c r="AI148" s="40"/>
      <c r="AJ148" s="5"/>
      <c r="AK148" s="5"/>
      <c r="AL148" s="40"/>
      <c r="AM148" s="40"/>
      <c r="AN148" s="40"/>
      <c r="AO148" s="40"/>
      <c r="AP148" s="40"/>
      <c r="AQ148" s="40"/>
      <c r="AR148" s="40"/>
      <c r="AS148" s="40"/>
      <c r="AU148" s="40"/>
      <c r="AW148" s="40"/>
    </row>
    <row r="149" spans="2:49" ht="12.75" customHeight="1" x14ac:dyDescent="0.15">
      <c r="B149" s="40"/>
      <c r="C149" s="40"/>
      <c r="D149" s="40"/>
      <c r="E149" s="40"/>
      <c r="F149" s="40"/>
      <c r="G149" s="40"/>
      <c r="H149" s="40"/>
      <c r="I149" s="53"/>
      <c r="S149" s="40"/>
      <c r="T149" s="40"/>
      <c r="U149" s="40"/>
      <c r="V149" s="40"/>
      <c r="W149" s="40"/>
      <c r="Y149" s="40"/>
      <c r="Z149" s="40"/>
      <c r="AA149" s="40"/>
      <c r="AB149" s="40"/>
      <c r="AC149" s="41"/>
      <c r="AD149" s="41"/>
      <c r="AE149" s="41"/>
      <c r="AF149" s="41"/>
      <c r="AG149" s="41"/>
      <c r="AH149" s="40"/>
      <c r="AI149" s="40"/>
      <c r="AJ149" s="5"/>
      <c r="AK149" s="5"/>
      <c r="AL149" s="40"/>
      <c r="AM149" s="40"/>
      <c r="AN149" s="40"/>
      <c r="AO149" s="40"/>
      <c r="AP149" s="40"/>
      <c r="AQ149" s="40"/>
      <c r="AR149" s="40"/>
      <c r="AS149" s="40"/>
      <c r="AU149" s="40"/>
      <c r="AW149" s="40"/>
    </row>
    <row r="150" spans="2:49" ht="12.75" customHeight="1" x14ac:dyDescent="0.15">
      <c r="B150" s="40"/>
      <c r="C150" s="40"/>
      <c r="D150" s="40"/>
      <c r="E150" s="40"/>
      <c r="F150" s="40"/>
      <c r="G150" s="40"/>
      <c r="H150" s="40"/>
      <c r="I150" s="53"/>
      <c r="S150" s="40"/>
      <c r="T150" s="40"/>
      <c r="U150" s="40"/>
      <c r="V150" s="40"/>
      <c r="W150" s="40"/>
      <c r="Y150" s="40"/>
      <c r="Z150" s="40"/>
      <c r="AA150" s="40"/>
      <c r="AB150" s="40"/>
      <c r="AC150" s="41"/>
      <c r="AD150" s="41"/>
      <c r="AE150" s="41"/>
      <c r="AF150" s="41"/>
      <c r="AG150" s="41"/>
      <c r="AH150" s="40"/>
      <c r="AI150" s="40"/>
      <c r="AJ150" s="5"/>
      <c r="AK150" s="5"/>
      <c r="AL150" s="40"/>
      <c r="AM150" s="40"/>
      <c r="AN150" s="40"/>
      <c r="AO150" s="40"/>
      <c r="AP150" s="40"/>
      <c r="AQ150" s="40"/>
      <c r="AR150" s="40"/>
      <c r="AS150" s="40"/>
      <c r="AU150" s="40"/>
      <c r="AW150" s="40"/>
    </row>
    <row r="151" spans="2:49" ht="12.75" customHeight="1" x14ac:dyDescent="0.15">
      <c r="B151" s="40"/>
      <c r="C151" s="40"/>
      <c r="D151" s="40"/>
      <c r="E151" s="40"/>
      <c r="F151" s="40"/>
      <c r="G151" s="40"/>
      <c r="H151" s="40"/>
      <c r="I151" s="53"/>
      <c r="S151" s="40"/>
      <c r="T151" s="40"/>
      <c r="U151" s="40"/>
      <c r="V151" s="40"/>
      <c r="W151" s="40"/>
      <c r="Y151" s="40"/>
      <c r="Z151" s="40"/>
      <c r="AA151" s="40"/>
      <c r="AB151" s="40"/>
      <c r="AC151" s="41"/>
      <c r="AD151" s="41"/>
      <c r="AE151" s="41"/>
      <c r="AF151" s="41"/>
      <c r="AG151" s="41"/>
      <c r="AH151" s="40"/>
      <c r="AI151" s="40"/>
      <c r="AJ151" s="5"/>
      <c r="AK151" s="5"/>
      <c r="AL151" s="40"/>
      <c r="AM151" s="40"/>
      <c r="AN151" s="40"/>
      <c r="AO151" s="40"/>
      <c r="AP151" s="40"/>
      <c r="AQ151" s="40"/>
      <c r="AR151" s="40"/>
      <c r="AS151" s="40"/>
      <c r="AU151" s="40"/>
      <c r="AW151" s="40"/>
    </row>
    <row r="152" spans="2:49" ht="12.75" customHeight="1" x14ac:dyDescent="0.15">
      <c r="B152" s="40"/>
      <c r="C152" s="40"/>
      <c r="D152" s="40"/>
      <c r="E152" s="40"/>
      <c r="F152" s="40"/>
      <c r="G152" s="40"/>
      <c r="H152" s="40"/>
      <c r="I152" s="53"/>
      <c r="S152" s="40"/>
      <c r="T152" s="40"/>
      <c r="U152" s="40"/>
      <c r="V152" s="40"/>
      <c r="W152" s="40"/>
      <c r="Y152" s="40"/>
      <c r="Z152" s="40"/>
      <c r="AA152" s="40"/>
      <c r="AB152" s="40"/>
      <c r="AC152" s="41"/>
      <c r="AD152" s="41"/>
      <c r="AE152" s="41"/>
      <c r="AF152" s="41"/>
      <c r="AG152" s="41"/>
      <c r="AH152" s="40"/>
      <c r="AI152" s="40"/>
      <c r="AJ152" s="5"/>
      <c r="AK152" s="5"/>
      <c r="AL152" s="40"/>
      <c r="AM152" s="40"/>
      <c r="AN152" s="40"/>
      <c r="AO152" s="40"/>
      <c r="AP152" s="40"/>
      <c r="AQ152" s="40"/>
      <c r="AR152" s="40"/>
      <c r="AS152" s="40"/>
      <c r="AU152" s="40"/>
      <c r="AW152" s="40"/>
    </row>
    <row r="153" spans="2:49" ht="12.75" customHeight="1" x14ac:dyDescent="0.15">
      <c r="B153" s="40"/>
      <c r="C153" s="40"/>
      <c r="D153" s="40"/>
      <c r="E153" s="40"/>
      <c r="F153" s="40"/>
      <c r="G153" s="40"/>
      <c r="H153" s="40"/>
      <c r="I153" s="53"/>
      <c r="S153" s="40"/>
      <c r="T153" s="40"/>
      <c r="U153" s="40"/>
      <c r="V153" s="40"/>
      <c r="W153" s="40"/>
      <c r="Y153" s="40"/>
      <c r="Z153" s="40"/>
      <c r="AA153" s="40"/>
      <c r="AB153" s="40"/>
      <c r="AC153" s="41"/>
      <c r="AD153" s="41"/>
      <c r="AE153" s="41"/>
      <c r="AF153" s="41"/>
      <c r="AG153" s="41"/>
      <c r="AH153" s="40"/>
      <c r="AI153" s="40"/>
      <c r="AJ153" s="5"/>
      <c r="AK153" s="5"/>
      <c r="AL153" s="40"/>
      <c r="AM153" s="40"/>
      <c r="AN153" s="40"/>
      <c r="AO153" s="40"/>
      <c r="AP153" s="40"/>
      <c r="AQ153" s="40"/>
      <c r="AR153" s="40"/>
      <c r="AS153" s="40"/>
      <c r="AU153" s="40"/>
      <c r="AW153" s="40"/>
    </row>
    <row r="154" spans="2:49" ht="12.75" customHeight="1" x14ac:dyDescent="0.15">
      <c r="B154" s="40"/>
      <c r="C154" s="40"/>
      <c r="D154" s="40"/>
      <c r="E154" s="40"/>
      <c r="F154" s="40"/>
      <c r="G154" s="40"/>
      <c r="H154" s="40"/>
      <c r="I154" s="53"/>
      <c r="S154" s="40"/>
      <c r="T154" s="40"/>
      <c r="U154" s="40"/>
      <c r="V154" s="40"/>
      <c r="W154" s="40"/>
      <c r="Y154" s="40"/>
      <c r="Z154" s="40"/>
      <c r="AA154" s="40"/>
      <c r="AB154" s="40"/>
      <c r="AC154" s="41"/>
      <c r="AD154" s="41"/>
      <c r="AE154" s="41"/>
      <c r="AF154" s="41"/>
      <c r="AG154" s="41"/>
      <c r="AH154" s="40"/>
      <c r="AI154" s="40"/>
      <c r="AJ154" s="5"/>
      <c r="AK154" s="5"/>
      <c r="AL154" s="40"/>
      <c r="AM154" s="40"/>
      <c r="AN154" s="40"/>
      <c r="AO154" s="40"/>
      <c r="AP154" s="40"/>
      <c r="AQ154" s="40"/>
      <c r="AR154" s="40"/>
      <c r="AS154" s="40"/>
      <c r="AU154" s="40"/>
      <c r="AW154" s="40"/>
    </row>
    <row r="155" spans="2:49" ht="12.75" customHeight="1" x14ac:dyDescent="0.15">
      <c r="B155" s="40"/>
      <c r="C155" s="40"/>
      <c r="D155" s="40"/>
      <c r="E155" s="40"/>
      <c r="F155" s="40"/>
      <c r="G155" s="40"/>
      <c r="H155" s="40"/>
      <c r="I155" s="53"/>
      <c r="S155" s="40"/>
      <c r="T155" s="40"/>
      <c r="U155" s="40"/>
      <c r="V155" s="40"/>
      <c r="W155" s="40"/>
      <c r="Y155" s="40"/>
      <c r="Z155" s="40"/>
      <c r="AA155" s="40"/>
      <c r="AB155" s="40"/>
      <c r="AC155" s="41"/>
      <c r="AD155" s="41"/>
      <c r="AE155" s="41"/>
      <c r="AF155" s="41"/>
      <c r="AG155" s="41"/>
      <c r="AH155" s="40"/>
      <c r="AI155" s="40"/>
      <c r="AJ155" s="5"/>
      <c r="AK155" s="5"/>
      <c r="AL155" s="40"/>
      <c r="AM155" s="40"/>
      <c r="AN155" s="40"/>
      <c r="AO155" s="40"/>
      <c r="AP155" s="40"/>
      <c r="AQ155" s="40"/>
      <c r="AR155" s="40"/>
      <c r="AS155" s="40"/>
      <c r="AU155" s="40"/>
      <c r="AW155" s="40"/>
    </row>
    <row r="156" spans="2:49" ht="12.75" customHeight="1" x14ac:dyDescent="0.15">
      <c r="B156" s="40"/>
      <c r="C156" s="40"/>
      <c r="D156" s="40"/>
      <c r="E156" s="40"/>
      <c r="F156" s="40"/>
      <c r="G156" s="40"/>
      <c r="H156" s="40"/>
      <c r="I156" s="53"/>
      <c r="S156" s="40"/>
      <c r="T156" s="40"/>
      <c r="U156" s="40"/>
      <c r="V156" s="40"/>
      <c r="W156" s="40"/>
      <c r="Y156" s="40"/>
      <c r="Z156" s="40"/>
      <c r="AA156" s="40"/>
      <c r="AB156" s="40"/>
      <c r="AC156" s="41"/>
      <c r="AD156" s="41"/>
      <c r="AE156" s="41"/>
      <c r="AF156" s="41"/>
      <c r="AG156" s="41"/>
      <c r="AH156" s="40"/>
      <c r="AI156" s="40"/>
      <c r="AJ156" s="5"/>
      <c r="AK156" s="5"/>
      <c r="AL156" s="40"/>
      <c r="AM156" s="40"/>
      <c r="AN156" s="40"/>
      <c r="AO156" s="40"/>
      <c r="AP156" s="40"/>
      <c r="AQ156" s="40"/>
      <c r="AR156" s="40"/>
      <c r="AS156" s="40"/>
      <c r="AU156" s="40"/>
      <c r="AW156" s="40"/>
    </row>
    <row r="157" spans="2:49" ht="12.75" customHeight="1" x14ac:dyDescent="0.15">
      <c r="B157" s="40"/>
      <c r="C157" s="40"/>
      <c r="D157" s="40"/>
      <c r="E157" s="40"/>
      <c r="F157" s="40"/>
      <c r="G157" s="40"/>
      <c r="H157" s="40"/>
      <c r="I157" s="53"/>
      <c r="S157" s="40"/>
      <c r="T157" s="40"/>
      <c r="U157" s="40"/>
      <c r="V157" s="40"/>
      <c r="W157" s="40"/>
      <c r="Y157" s="40"/>
      <c r="Z157" s="40"/>
      <c r="AA157" s="40"/>
      <c r="AB157" s="40"/>
      <c r="AC157" s="41"/>
      <c r="AD157" s="41"/>
      <c r="AE157" s="41"/>
      <c r="AF157" s="41"/>
      <c r="AG157" s="41"/>
      <c r="AH157" s="40"/>
      <c r="AI157" s="40"/>
      <c r="AJ157" s="5"/>
      <c r="AK157" s="5"/>
      <c r="AL157" s="40"/>
      <c r="AM157" s="40"/>
      <c r="AN157" s="40"/>
      <c r="AO157" s="40"/>
      <c r="AP157" s="40"/>
      <c r="AQ157" s="40"/>
      <c r="AR157" s="40"/>
      <c r="AS157" s="40"/>
      <c r="AU157" s="40"/>
      <c r="AW157" s="40"/>
    </row>
    <row r="158" spans="2:49" ht="12.75" customHeight="1" x14ac:dyDescent="0.15">
      <c r="B158" s="40"/>
      <c r="C158" s="40"/>
      <c r="D158" s="40"/>
      <c r="E158" s="40"/>
      <c r="F158" s="40"/>
      <c r="G158" s="40"/>
      <c r="H158" s="40"/>
      <c r="I158" s="53"/>
      <c r="S158" s="40"/>
      <c r="T158" s="40"/>
      <c r="U158" s="40"/>
      <c r="V158" s="40"/>
      <c r="W158" s="40"/>
      <c r="Y158" s="40"/>
      <c r="Z158" s="40"/>
      <c r="AA158" s="40"/>
      <c r="AB158" s="40"/>
      <c r="AC158" s="41"/>
      <c r="AD158" s="41"/>
      <c r="AE158" s="41"/>
      <c r="AF158" s="41"/>
      <c r="AG158" s="41"/>
      <c r="AH158" s="40"/>
      <c r="AI158" s="40"/>
      <c r="AJ158" s="5"/>
      <c r="AK158" s="5"/>
      <c r="AL158" s="40"/>
      <c r="AM158" s="40"/>
      <c r="AN158" s="40"/>
      <c r="AO158" s="40"/>
      <c r="AP158" s="40"/>
      <c r="AQ158" s="40"/>
      <c r="AR158" s="40"/>
      <c r="AS158" s="40"/>
      <c r="AU158" s="40"/>
      <c r="AW158" s="40"/>
    </row>
    <row r="159" spans="2:49" ht="12.75" customHeight="1" x14ac:dyDescent="0.15">
      <c r="B159" s="40"/>
      <c r="C159" s="40"/>
      <c r="D159" s="40"/>
      <c r="E159" s="40"/>
      <c r="F159" s="40"/>
      <c r="G159" s="40"/>
      <c r="H159" s="40"/>
      <c r="I159" s="53"/>
      <c r="S159" s="40"/>
      <c r="T159" s="40"/>
      <c r="U159" s="40"/>
      <c r="V159" s="40"/>
      <c r="W159" s="40"/>
      <c r="Y159" s="40"/>
      <c r="Z159" s="40"/>
      <c r="AA159" s="40"/>
      <c r="AB159" s="40"/>
      <c r="AC159" s="41"/>
      <c r="AD159" s="41"/>
      <c r="AE159" s="41"/>
      <c r="AF159" s="41"/>
      <c r="AG159" s="41"/>
      <c r="AH159" s="40"/>
      <c r="AI159" s="40"/>
      <c r="AJ159" s="5"/>
      <c r="AK159" s="5"/>
      <c r="AL159" s="40"/>
      <c r="AM159" s="40"/>
      <c r="AN159" s="40"/>
      <c r="AO159" s="40"/>
      <c r="AP159" s="40"/>
      <c r="AQ159" s="40"/>
      <c r="AR159" s="40"/>
      <c r="AS159" s="40"/>
      <c r="AU159" s="40"/>
      <c r="AW159" s="40"/>
    </row>
    <row r="160" spans="2:49" ht="12.75" customHeight="1" x14ac:dyDescent="0.15">
      <c r="B160" s="40"/>
      <c r="C160" s="40"/>
      <c r="D160" s="40"/>
      <c r="E160" s="40"/>
      <c r="F160" s="40"/>
      <c r="G160" s="40"/>
      <c r="H160" s="40"/>
      <c r="I160" s="53"/>
      <c r="S160" s="40"/>
      <c r="T160" s="40"/>
      <c r="U160" s="40"/>
      <c r="V160" s="40"/>
      <c r="W160" s="40"/>
      <c r="Y160" s="40"/>
      <c r="Z160" s="40"/>
      <c r="AA160" s="40"/>
      <c r="AB160" s="40"/>
      <c r="AC160" s="41"/>
      <c r="AD160" s="41"/>
      <c r="AE160" s="41"/>
      <c r="AF160" s="41"/>
      <c r="AG160" s="41"/>
      <c r="AH160" s="40"/>
      <c r="AI160" s="40"/>
      <c r="AJ160" s="5"/>
      <c r="AK160" s="5"/>
      <c r="AL160" s="40"/>
      <c r="AM160" s="40"/>
      <c r="AN160" s="40"/>
      <c r="AO160" s="40"/>
      <c r="AP160" s="40"/>
      <c r="AQ160" s="40"/>
      <c r="AR160" s="40"/>
      <c r="AS160" s="40"/>
      <c r="AU160" s="40"/>
      <c r="AW160" s="40"/>
    </row>
    <row r="161" spans="2:49" ht="12.75" customHeight="1" x14ac:dyDescent="0.15">
      <c r="B161" s="40"/>
      <c r="C161" s="40"/>
      <c r="D161" s="40"/>
      <c r="E161" s="40"/>
      <c r="F161" s="40"/>
      <c r="G161" s="40"/>
      <c r="H161" s="40"/>
      <c r="I161" s="53"/>
      <c r="S161" s="40"/>
      <c r="T161" s="40"/>
      <c r="U161" s="40"/>
      <c r="V161" s="40"/>
      <c r="W161" s="40"/>
      <c r="Y161" s="40"/>
      <c r="Z161" s="40"/>
      <c r="AA161" s="40"/>
      <c r="AB161" s="40"/>
      <c r="AC161" s="41"/>
      <c r="AD161" s="41"/>
      <c r="AE161" s="41"/>
      <c r="AF161" s="41"/>
      <c r="AG161" s="41"/>
      <c r="AH161" s="40"/>
      <c r="AI161" s="40"/>
      <c r="AJ161" s="5"/>
      <c r="AK161" s="5"/>
      <c r="AL161" s="40"/>
      <c r="AM161" s="40"/>
      <c r="AN161" s="40"/>
      <c r="AO161" s="40"/>
      <c r="AP161" s="40"/>
      <c r="AQ161" s="40"/>
      <c r="AR161" s="40"/>
      <c r="AS161" s="40"/>
      <c r="AU161" s="40"/>
      <c r="AW161" s="40"/>
    </row>
    <row r="162" spans="2:49" ht="12.75" customHeight="1" x14ac:dyDescent="0.15">
      <c r="B162" s="40"/>
      <c r="C162" s="40"/>
      <c r="D162" s="40"/>
      <c r="E162" s="40"/>
      <c r="F162" s="40"/>
      <c r="G162" s="40"/>
      <c r="H162" s="40"/>
      <c r="I162" s="53"/>
      <c r="S162" s="40"/>
      <c r="T162" s="40"/>
      <c r="U162" s="40"/>
      <c r="V162" s="40"/>
      <c r="W162" s="40"/>
      <c r="Y162" s="40"/>
      <c r="Z162" s="40"/>
      <c r="AA162" s="40"/>
      <c r="AB162" s="40"/>
      <c r="AC162" s="41"/>
      <c r="AD162" s="41"/>
      <c r="AE162" s="41"/>
      <c r="AF162" s="41"/>
      <c r="AG162" s="41"/>
      <c r="AH162" s="40"/>
      <c r="AI162" s="40"/>
      <c r="AJ162" s="5"/>
      <c r="AK162" s="5"/>
      <c r="AL162" s="40"/>
      <c r="AM162" s="40"/>
      <c r="AN162" s="40"/>
      <c r="AO162" s="40"/>
      <c r="AP162" s="40"/>
      <c r="AQ162" s="40"/>
      <c r="AR162" s="40"/>
      <c r="AS162" s="40"/>
      <c r="AU162" s="40"/>
      <c r="AW162" s="40"/>
    </row>
    <row r="163" spans="2:49" ht="12.75" customHeight="1" x14ac:dyDescent="0.15">
      <c r="B163" s="40"/>
      <c r="C163" s="40"/>
      <c r="D163" s="40"/>
      <c r="E163" s="40"/>
      <c r="F163" s="40"/>
      <c r="G163" s="40"/>
      <c r="H163" s="40"/>
      <c r="I163" s="53"/>
      <c r="S163" s="40"/>
      <c r="T163" s="40"/>
      <c r="U163" s="40"/>
      <c r="V163" s="40"/>
      <c r="W163" s="40"/>
      <c r="Y163" s="40"/>
      <c r="Z163" s="40"/>
      <c r="AA163" s="40"/>
      <c r="AB163" s="40"/>
      <c r="AC163" s="41"/>
      <c r="AD163" s="41"/>
      <c r="AE163" s="41"/>
      <c r="AF163" s="41"/>
      <c r="AG163" s="41"/>
      <c r="AH163" s="40"/>
      <c r="AI163" s="40"/>
      <c r="AJ163" s="5"/>
      <c r="AK163" s="5"/>
      <c r="AL163" s="40"/>
      <c r="AM163" s="40"/>
      <c r="AN163" s="40"/>
      <c r="AO163" s="40"/>
      <c r="AP163" s="40"/>
      <c r="AQ163" s="40"/>
      <c r="AR163" s="40"/>
      <c r="AS163" s="40"/>
      <c r="AU163" s="40"/>
      <c r="AW163" s="40"/>
    </row>
    <row r="164" spans="2:49" ht="12.75" customHeight="1" x14ac:dyDescent="0.15">
      <c r="B164" s="40"/>
      <c r="C164" s="40"/>
      <c r="D164" s="40"/>
      <c r="E164" s="40"/>
      <c r="F164" s="40"/>
      <c r="G164" s="40"/>
      <c r="H164" s="40"/>
      <c r="I164" s="53"/>
      <c r="S164" s="40"/>
      <c r="T164" s="40"/>
      <c r="U164" s="40"/>
      <c r="V164" s="40"/>
      <c r="W164" s="40"/>
      <c r="Y164" s="40"/>
      <c r="Z164" s="40"/>
      <c r="AA164" s="40"/>
      <c r="AB164" s="40"/>
      <c r="AC164" s="41"/>
      <c r="AD164" s="41"/>
      <c r="AE164" s="41"/>
      <c r="AF164" s="41"/>
      <c r="AG164" s="41"/>
      <c r="AH164" s="40"/>
      <c r="AI164" s="40"/>
      <c r="AJ164" s="5"/>
      <c r="AK164" s="5"/>
      <c r="AL164" s="40"/>
      <c r="AM164" s="40"/>
      <c r="AN164" s="40"/>
      <c r="AO164" s="40"/>
      <c r="AP164" s="40"/>
      <c r="AQ164" s="40"/>
      <c r="AR164" s="40"/>
      <c r="AS164" s="40"/>
      <c r="AU164" s="40"/>
      <c r="AW164" s="40"/>
    </row>
    <row r="165" spans="2:49" ht="12.75" customHeight="1" x14ac:dyDescent="0.15">
      <c r="B165" s="40"/>
      <c r="C165" s="40"/>
      <c r="D165" s="40"/>
      <c r="E165" s="40"/>
      <c r="F165" s="40"/>
      <c r="G165" s="40"/>
      <c r="H165" s="40"/>
      <c r="I165" s="53"/>
      <c r="S165" s="40"/>
      <c r="T165" s="40"/>
      <c r="U165" s="40"/>
      <c r="V165" s="40"/>
      <c r="W165" s="40"/>
      <c r="Y165" s="40"/>
      <c r="Z165" s="40"/>
      <c r="AA165" s="40"/>
      <c r="AB165" s="40"/>
      <c r="AC165" s="41"/>
      <c r="AD165" s="41"/>
      <c r="AE165" s="41"/>
      <c r="AF165" s="41"/>
      <c r="AG165" s="41"/>
      <c r="AH165" s="40"/>
      <c r="AI165" s="40"/>
      <c r="AJ165" s="5"/>
      <c r="AK165" s="5"/>
      <c r="AL165" s="40"/>
      <c r="AM165" s="40"/>
      <c r="AN165" s="40"/>
      <c r="AO165" s="40"/>
      <c r="AP165" s="40"/>
      <c r="AQ165" s="40"/>
      <c r="AR165" s="40"/>
      <c r="AS165" s="40"/>
      <c r="AU165" s="40"/>
      <c r="AW165" s="40"/>
    </row>
    <row r="166" spans="2:49" ht="12.75" customHeight="1" x14ac:dyDescent="0.15">
      <c r="B166" s="40"/>
      <c r="C166" s="40"/>
      <c r="D166" s="40"/>
      <c r="E166" s="40"/>
      <c r="F166" s="40"/>
      <c r="G166" s="40"/>
      <c r="H166" s="40"/>
      <c r="I166" s="53"/>
      <c r="S166" s="40"/>
      <c r="T166" s="40"/>
      <c r="U166" s="40"/>
      <c r="V166" s="40"/>
      <c r="W166" s="40"/>
      <c r="Y166" s="40"/>
      <c r="Z166" s="40"/>
      <c r="AA166" s="40"/>
      <c r="AB166" s="40"/>
      <c r="AC166" s="41"/>
      <c r="AD166" s="41"/>
      <c r="AE166" s="41"/>
      <c r="AF166" s="41"/>
      <c r="AG166" s="41"/>
      <c r="AH166" s="40"/>
      <c r="AI166" s="40"/>
      <c r="AJ166" s="5"/>
      <c r="AK166" s="5"/>
      <c r="AL166" s="40"/>
      <c r="AM166" s="40"/>
      <c r="AN166" s="40"/>
      <c r="AO166" s="40"/>
      <c r="AP166" s="40"/>
      <c r="AQ166" s="40"/>
      <c r="AR166" s="40"/>
      <c r="AS166" s="40"/>
      <c r="AU166" s="40"/>
      <c r="AW166" s="40"/>
    </row>
    <row r="167" spans="2:49" ht="12.75" customHeight="1" x14ac:dyDescent="0.15">
      <c r="B167" s="40"/>
      <c r="C167" s="40"/>
      <c r="D167" s="40"/>
      <c r="E167" s="40"/>
      <c r="F167" s="40"/>
      <c r="G167" s="40"/>
      <c r="H167" s="40"/>
      <c r="I167" s="53"/>
      <c r="S167" s="40"/>
      <c r="T167" s="40"/>
      <c r="U167" s="40"/>
      <c r="V167" s="40"/>
      <c r="W167" s="40"/>
      <c r="Y167" s="40"/>
      <c r="Z167" s="40"/>
      <c r="AA167" s="40"/>
      <c r="AB167" s="40"/>
      <c r="AC167" s="41"/>
      <c r="AD167" s="41"/>
      <c r="AE167" s="41"/>
      <c r="AF167" s="41"/>
      <c r="AG167" s="41"/>
      <c r="AH167" s="40"/>
      <c r="AI167" s="40"/>
      <c r="AJ167" s="5"/>
      <c r="AK167" s="5"/>
      <c r="AL167" s="40"/>
      <c r="AM167" s="40"/>
      <c r="AN167" s="40"/>
      <c r="AO167" s="40"/>
      <c r="AP167" s="40"/>
      <c r="AQ167" s="40"/>
      <c r="AR167" s="40"/>
      <c r="AS167" s="40"/>
      <c r="AU167" s="40"/>
      <c r="AW167" s="40"/>
    </row>
    <row r="168" spans="2:49" ht="12.75" customHeight="1" x14ac:dyDescent="0.15">
      <c r="B168" s="40"/>
      <c r="C168" s="40"/>
      <c r="D168" s="40"/>
      <c r="E168" s="40"/>
      <c r="F168" s="40"/>
      <c r="G168" s="40"/>
      <c r="H168" s="40"/>
      <c r="I168" s="53"/>
      <c r="S168" s="40"/>
      <c r="T168" s="40"/>
      <c r="U168" s="40"/>
      <c r="V168" s="40"/>
      <c r="W168" s="40"/>
      <c r="Y168" s="40"/>
      <c r="Z168" s="40"/>
      <c r="AA168" s="40"/>
      <c r="AB168" s="40"/>
      <c r="AC168" s="41"/>
      <c r="AD168" s="41"/>
      <c r="AE168" s="41"/>
      <c r="AF168" s="41"/>
      <c r="AG168" s="41"/>
      <c r="AH168" s="40"/>
      <c r="AI168" s="40"/>
      <c r="AJ168" s="5"/>
      <c r="AK168" s="5"/>
      <c r="AL168" s="40"/>
      <c r="AM168" s="40"/>
      <c r="AN168" s="40"/>
      <c r="AO168" s="40"/>
      <c r="AP168" s="40"/>
      <c r="AQ168" s="40"/>
      <c r="AR168" s="40"/>
      <c r="AS168" s="40"/>
      <c r="AU168" s="40"/>
      <c r="AW168" s="40"/>
    </row>
    <row r="169" spans="2:49" ht="12.75" customHeight="1" x14ac:dyDescent="0.15">
      <c r="B169" s="40"/>
      <c r="C169" s="40"/>
      <c r="D169" s="40"/>
      <c r="E169" s="40"/>
      <c r="F169" s="40"/>
      <c r="G169" s="40"/>
      <c r="H169" s="40"/>
      <c r="I169" s="53"/>
      <c r="S169" s="40"/>
      <c r="T169" s="40"/>
      <c r="U169" s="40"/>
      <c r="V169" s="40"/>
      <c r="W169" s="40"/>
      <c r="Y169" s="40"/>
      <c r="Z169" s="40"/>
      <c r="AA169" s="40"/>
      <c r="AB169" s="40"/>
      <c r="AC169" s="41"/>
      <c r="AD169" s="41"/>
      <c r="AE169" s="41"/>
      <c r="AF169" s="41"/>
      <c r="AG169" s="41"/>
      <c r="AH169" s="40"/>
      <c r="AI169" s="40"/>
      <c r="AJ169" s="5"/>
      <c r="AK169" s="5"/>
      <c r="AL169" s="40"/>
      <c r="AM169" s="40"/>
      <c r="AN169" s="40"/>
      <c r="AO169" s="40"/>
      <c r="AP169" s="40"/>
      <c r="AQ169" s="40"/>
      <c r="AR169" s="40"/>
      <c r="AS169" s="40"/>
      <c r="AU169" s="40"/>
      <c r="AW169" s="40"/>
    </row>
    <row r="170" spans="2:49" ht="12.75" customHeight="1" x14ac:dyDescent="0.15">
      <c r="B170" s="40"/>
      <c r="C170" s="40"/>
      <c r="D170" s="40"/>
      <c r="E170" s="40"/>
      <c r="F170" s="40"/>
      <c r="G170" s="40"/>
      <c r="H170" s="40"/>
      <c r="I170" s="53"/>
      <c r="S170" s="40"/>
      <c r="T170" s="40"/>
      <c r="U170" s="40"/>
      <c r="V170" s="40"/>
      <c r="W170" s="40"/>
      <c r="Y170" s="40"/>
      <c r="Z170" s="40"/>
      <c r="AA170" s="40"/>
      <c r="AB170" s="40"/>
      <c r="AC170" s="41"/>
      <c r="AD170" s="41"/>
      <c r="AE170" s="41"/>
      <c r="AF170" s="41"/>
      <c r="AG170" s="41"/>
      <c r="AH170" s="40"/>
      <c r="AI170" s="40"/>
      <c r="AJ170" s="5"/>
      <c r="AK170" s="5"/>
      <c r="AL170" s="40"/>
      <c r="AM170" s="40"/>
      <c r="AN170" s="40"/>
      <c r="AO170" s="40"/>
      <c r="AP170" s="40"/>
      <c r="AQ170" s="40"/>
      <c r="AR170" s="40"/>
      <c r="AS170" s="40"/>
      <c r="AU170" s="40"/>
      <c r="AW170" s="40"/>
    </row>
    <row r="171" spans="2:49" ht="12.75" customHeight="1" x14ac:dyDescent="0.15">
      <c r="B171" s="40"/>
      <c r="C171" s="40"/>
      <c r="D171" s="40"/>
      <c r="E171" s="40"/>
      <c r="F171" s="40"/>
      <c r="G171" s="40"/>
      <c r="H171" s="40"/>
      <c r="I171" s="53"/>
      <c r="S171" s="40"/>
      <c r="T171" s="40"/>
      <c r="U171" s="40"/>
      <c r="V171" s="40"/>
      <c r="W171" s="40"/>
      <c r="Y171" s="40"/>
      <c r="Z171" s="40"/>
      <c r="AA171" s="40"/>
      <c r="AB171" s="40"/>
      <c r="AC171" s="41"/>
      <c r="AD171" s="41"/>
      <c r="AE171" s="41"/>
      <c r="AF171" s="41"/>
      <c r="AG171" s="41"/>
      <c r="AH171" s="40"/>
      <c r="AI171" s="40"/>
      <c r="AJ171" s="5"/>
      <c r="AK171" s="5"/>
      <c r="AL171" s="40"/>
      <c r="AM171" s="40"/>
      <c r="AN171" s="40"/>
      <c r="AO171" s="40"/>
      <c r="AP171" s="40"/>
      <c r="AQ171" s="40"/>
      <c r="AR171" s="40"/>
      <c r="AS171" s="40"/>
      <c r="AU171" s="40"/>
      <c r="AW171" s="40"/>
    </row>
    <row r="172" spans="2:49" ht="12.75" customHeight="1" x14ac:dyDescent="0.15">
      <c r="B172" s="40"/>
      <c r="C172" s="40"/>
      <c r="D172" s="40"/>
      <c r="E172" s="40"/>
      <c r="F172" s="40"/>
      <c r="G172" s="40"/>
      <c r="H172" s="40"/>
      <c r="I172" s="53"/>
      <c r="S172" s="40"/>
      <c r="T172" s="40"/>
      <c r="U172" s="40"/>
      <c r="V172" s="40"/>
      <c r="W172" s="40"/>
      <c r="Y172" s="40"/>
      <c r="Z172" s="40"/>
      <c r="AA172" s="40"/>
      <c r="AB172" s="40"/>
      <c r="AC172" s="41"/>
      <c r="AD172" s="41"/>
      <c r="AE172" s="41"/>
      <c r="AF172" s="41"/>
      <c r="AG172" s="41"/>
      <c r="AH172" s="40"/>
      <c r="AI172" s="40"/>
      <c r="AJ172" s="5"/>
      <c r="AK172" s="5"/>
      <c r="AL172" s="40"/>
      <c r="AM172" s="40"/>
      <c r="AN172" s="40"/>
      <c r="AO172" s="40"/>
      <c r="AP172" s="40"/>
      <c r="AQ172" s="40"/>
      <c r="AR172" s="40"/>
      <c r="AS172" s="40"/>
      <c r="AU172" s="40"/>
      <c r="AW172" s="40"/>
    </row>
    <row r="173" spans="2:49" ht="12.75" customHeight="1" x14ac:dyDescent="0.15">
      <c r="B173" s="40"/>
      <c r="C173" s="40"/>
      <c r="D173" s="40"/>
      <c r="E173" s="40"/>
      <c r="F173" s="40"/>
      <c r="G173" s="40"/>
      <c r="H173" s="40"/>
      <c r="I173" s="53"/>
      <c r="S173" s="40"/>
      <c r="T173" s="40"/>
      <c r="U173" s="40"/>
      <c r="V173" s="40"/>
      <c r="W173" s="40"/>
      <c r="Y173" s="40"/>
      <c r="Z173" s="40"/>
      <c r="AA173" s="40"/>
      <c r="AB173" s="40"/>
      <c r="AC173" s="41"/>
      <c r="AD173" s="41"/>
      <c r="AE173" s="41"/>
      <c r="AF173" s="41"/>
      <c r="AG173" s="41"/>
      <c r="AH173" s="40"/>
      <c r="AI173" s="40"/>
      <c r="AJ173" s="5"/>
      <c r="AK173" s="5"/>
      <c r="AL173" s="40"/>
      <c r="AM173" s="40"/>
      <c r="AN173" s="40"/>
      <c r="AO173" s="40"/>
      <c r="AP173" s="40"/>
      <c r="AQ173" s="40"/>
      <c r="AR173" s="40"/>
      <c r="AS173" s="40"/>
      <c r="AU173" s="40"/>
      <c r="AW173" s="40"/>
    </row>
    <row r="174" spans="2:49" ht="12.75" customHeight="1" x14ac:dyDescent="0.15">
      <c r="B174" s="40"/>
      <c r="C174" s="40"/>
      <c r="D174" s="40"/>
      <c r="E174" s="40"/>
      <c r="F174" s="40"/>
      <c r="G174" s="40"/>
      <c r="H174" s="40"/>
      <c r="I174" s="53"/>
      <c r="S174" s="40"/>
      <c r="T174" s="40"/>
      <c r="U174" s="40"/>
      <c r="V174" s="40"/>
      <c r="W174" s="40"/>
      <c r="Y174" s="40"/>
      <c r="Z174" s="40"/>
      <c r="AA174" s="40"/>
      <c r="AB174" s="40"/>
      <c r="AC174" s="41"/>
      <c r="AD174" s="41"/>
      <c r="AE174" s="41"/>
      <c r="AF174" s="41"/>
      <c r="AG174" s="41"/>
      <c r="AH174" s="40"/>
      <c r="AI174" s="40"/>
      <c r="AJ174" s="5"/>
      <c r="AK174" s="5"/>
      <c r="AL174" s="40"/>
      <c r="AM174" s="40"/>
      <c r="AN174" s="40"/>
      <c r="AO174" s="40"/>
      <c r="AP174" s="40"/>
      <c r="AQ174" s="40"/>
      <c r="AR174" s="40"/>
      <c r="AS174" s="40"/>
      <c r="AU174" s="40"/>
      <c r="AW174" s="40"/>
    </row>
    <row r="175" spans="2:49" ht="12.75" customHeight="1" x14ac:dyDescent="0.15">
      <c r="B175" s="40"/>
      <c r="C175" s="40"/>
      <c r="D175" s="40"/>
      <c r="E175" s="40"/>
      <c r="F175" s="40"/>
      <c r="G175" s="40"/>
      <c r="H175" s="40"/>
      <c r="I175" s="53"/>
      <c r="S175" s="40"/>
      <c r="T175" s="40"/>
      <c r="U175" s="40"/>
      <c r="V175" s="40"/>
      <c r="W175" s="40"/>
      <c r="Y175" s="40"/>
      <c r="Z175" s="40"/>
      <c r="AA175" s="40"/>
      <c r="AB175" s="40"/>
      <c r="AC175" s="41"/>
      <c r="AD175" s="41"/>
      <c r="AE175" s="41"/>
      <c r="AF175" s="41"/>
      <c r="AG175" s="41"/>
      <c r="AH175" s="40"/>
      <c r="AI175" s="40"/>
      <c r="AJ175" s="5"/>
      <c r="AK175" s="5"/>
      <c r="AL175" s="40"/>
      <c r="AM175" s="40"/>
      <c r="AN175" s="40"/>
      <c r="AO175" s="40"/>
      <c r="AP175" s="40"/>
      <c r="AQ175" s="40"/>
      <c r="AR175" s="40"/>
      <c r="AS175" s="40"/>
      <c r="AU175" s="40"/>
      <c r="AW175" s="40"/>
    </row>
    <row r="176" spans="2:49" ht="12.75" customHeight="1" x14ac:dyDescent="0.15">
      <c r="B176" s="40"/>
      <c r="C176" s="40"/>
      <c r="D176" s="40"/>
      <c r="E176" s="40"/>
      <c r="F176" s="40"/>
      <c r="G176" s="40"/>
      <c r="H176" s="40"/>
      <c r="I176" s="53"/>
      <c r="S176" s="40"/>
      <c r="T176" s="40"/>
      <c r="U176" s="40"/>
      <c r="V176" s="40"/>
      <c r="W176" s="40"/>
      <c r="Y176" s="40"/>
      <c r="Z176" s="40"/>
      <c r="AA176" s="40"/>
      <c r="AB176" s="40"/>
      <c r="AC176" s="41"/>
      <c r="AD176" s="41"/>
      <c r="AE176" s="41"/>
      <c r="AF176" s="41"/>
      <c r="AG176" s="41"/>
      <c r="AH176" s="40"/>
      <c r="AI176" s="40"/>
      <c r="AJ176" s="5"/>
      <c r="AK176" s="5"/>
      <c r="AL176" s="40"/>
      <c r="AM176" s="40"/>
      <c r="AN176" s="40"/>
      <c r="AO176" s="40"/>
      <c r="AP176" s="40"/>
      <c r="AQ176" s="40"/>
      <c r="AR176" s="40"/>
      <c r="AS176" s="40"/>
      <c r="AU176" s="40"/>
      <c r="AW176" s="40"/>
    </row>
    <row r="177" spans="2:49" ht="12.75" customHeight="1" x14ac:dyDescent="0.15">
      <c r="B177" s="40"/>
      <c r="C177" s="40"/>
      <c r="D177" s="40"/>
      <c r="E177" s="40"/>
      <c r="F177" s="40"/>
      <c r="G177" s="40"/>
      <c r="H177" s="40"/>
      <c r="I177" s="53"/>
      <c r="S177" s="40"/>
      <c r="T177" s="40"/>
      <c r="U177" s="40"/>
      <c r="V177" s="40"/>
      <c r="W177" s="40"/>
      <c r="Y177" s="40"/>
      <c r="Z177" s="40"/>
      <c r="AA177" s="40"/>
      <c r="AB177" s="40"/>
      <c r="AC177" s="41"/>
      <c r="AD177" s="41"/>
      <c r="AE177" s="41"/>
      <c r="AF177" s="41"/>
      <c r="AG177" s="41"/>
      <c r="AH177" s="40"/>
      <c r="AI177" s="40"/>
      <c r="AJ177" s="5"/>
      <c r="AK177" s="5"/>
      <c r="AL177" s="40"/>
      <c r="AM177" s="40"/>
      <c r="AN177" s="40"/>
      <c r="AO177" s="40"/>
      <c r="AP177" s="40"/>
      <c r="AQ177" s="40"/>
      <c r="AR177" s="40"/>
      <c r="AS177" s="40"/>
      <c r="AU177" s="40"/>
      <c r="AW177" s="40"/>
    </row>
    <row r="178" spans="2:49" ht="12.75" customHeight="1" x14ac:dyDescent="0.15">
      <c r="B178" s="40"/>
      <c r="C178" s="40"/>
      <c r="D178" s="40"/>
      <c r="E178" s="40"/>
      <c r="F178" s="40"/>
      <c r="G178" s="40"/>
      <c r="H178" s="40"/>
      <c r="I178" s="53"/>
      <c r="S178" s="40"/>
      <c r="T178" s="40"/>
      <c r="U178" s="40"/>
      <c r="V178" s="40"/>
      <c r="W178" s="40"/>
      <c r="Y178" s="40"/>
      <c r="Z178" s="40"/>
      <c r="AA178" s="40"/>
      <c r="AB178" s="40"/>
      <c r="AC178" s="41"/>
      <c r="AD178" s="41"/>
      <c r="AE178" s="41"/>
      <c r="AF178" s="41"/>
      <c r="AG178" s="41"/>
      <c r="AH178" s="40"/>
      <c r="AI178" s="40"/>
      <c r="AJ178" s="5"/>
      <c r="AK178" s="5"/>
      <c r="AL178" s="40"/>
      <c r="AM178" s="40"/>
      <c r="AN178" s="40"/>
      <c r="AO178" s="40"/>
      <c r="AP178" s="40"/>
      <c r="AQ178" s="40"/>
      <c r="AR178" s="40"/>
      <c r="AS178" s="40"/>
      <c r="AU178" s="40"/>
      <c r="AW178" s="40"/>
    </row>
    <row r="179" spans="2:49" ht="12.75" customHeight="1" x14ac:dyDescent="0.15">
      <c r="B179" s="40"/>
      <c r="C179" s="40"/>
      <c r="D179" s="40"/>
      <c r="E179" s="40"/>
      <c r="F179" s="40"/>
      <c r="G179" s="40"/>
      <c r="H179" s="40"/>
      <c r="I179" s="53"/>
      <c r="S179" s="40"/>
      <c r="T179" s="40"/>
      <c r="U179" s="40"/>
      <c r="V179" s="40"/>
      <c r="W179" s="40"/>
      <c r="Y179" s="40"/>
      <c r="Z179" s="40"/>
      <c r="AA179" s="40"/>
      <c r="AB179" s="40"/>
      <c r="AC179" s="41"/>
      <c r="AD179" s="41"/>
      <c r="AE179" s="41"/>
      <c r="AF179" s="41"/>
      <c r="AG179" s="41"/>
      <c r="AH179" s="40"/>
      <c r="AI179" s="40"/>
      <c r="AJ179" s="5"/>
      <c r="AK179" s="5"/>
      <c r="AL179" s="40"/>
      <c r="AM179" s="40"/>
      <c r="AN179" s="40"/>
      <c r="AO179" s="40"/>
      <c r="AP179" s="40"/>
      <c r="AQ179" s="40"/>
      <c r="AR179" s="40"/>
      <c r="AS179" s="40"/>
      <c r="AU179" s="40"/>
      <c r="AW179" s="40"/>
    </row>
    <row r="180" spans="2:49" ht="12.75" customHeight="1" x14ac:dyDescent="0.15">
      <c r="B180" s="40"/>
      <c r="C180" s="40"/>
      <c r="D180" s="40"/>
      <c r="E180" s="40"/>
      <c r="F180" s="40"/>
      <c r="G180" s="40"/>
      <c r="H180" s="40"/>
      <c r="I180" s="53"/>
      <c r="S180" s="40"/>
      <c r="T180" s="40"/>
      <c r="U180" s="40"/>
      <c r="V180" s="40"/>
      <c r="W180" s="40"/>
      <c r="Y180" s="40"/>
      <c r="Z180" s="40"/>
      <c r="AA180" s="40"/>
      <c r="AB180" s="40"/>
      <c r="AC180" s="41"/>
      <c r="AD180" s="41"/>
      <c r="AE180" s="41"/>
      <c r="AF180" s="41"/>
      <c r="AG180" s="41"/>
      <c r="AH180" s="40"/>
      <c r="AI180" s="40"/>
      <c r="AJ180" s="5"/>
      <c r="AK180" s="5"/>
      <c r="AL180" s="40"/>
      <c r="AM180" s="40"/>
      <c r="AN180" s="40"/>
      <c r="AO180" s="40"/>
      <c r="AP180" s="40"/>
      <c r="AQ180" s="40"/>
      <c r="AR180" s="40"/>
      <c r="AS180" s="40"/>
      <c r="AU180" s="40"/>
      <c r="AW180" s="40"/>
    </row>
    <row r="181" spans="2:49" ht="12.75" customHeight="1" x14ac:dyDescent="0.15">
      <c r="B181" s="40"/>
      <c r="C181" s="40"/>
      <c r="D181" s="40"/>
      <c r="E181" s="40"/>
      <c r="F181" s="40"/>
      <c r="G181" s="40"/>
      <c r="H181" s="40"/>
      <c r="I181" s="53"/>
      <c r="S181" s="40"/>
      <c r="T181" s="40"/>
      <c r="U181" s="40"/>
      <c r="V181" s="40"/>
      <c r="W181" s="40"/>
      <c r="Y181" s="40"/>
      <c r="Z181" s="40"/>
      <c r="AA181" s="40"/>
      <c r="AB181" s="40"/>
      <c r="AC181" s="41"/>
      <c r="AD181" s="41"/>
      <c r="AE181" s="41"/>
      <c r="AF181" s="41"/>
      <c r="AG181" s="41"/>
      <c r="AH181" s="40"/>
      <c r="AI181" s="40"/>
      <c r="AJ181" s="5"/>
      <c r="AK181" s="5"/>
      <c r="AL181" s="40"/>
      <c r="AM181" s="40"/>
      <c r="AN181" s="40"/>
      <c r="AO181" s="40"/>
      <c r="AP181" s="40"/>
      <c r="AQ181" s="40"/>
      <c r="AR181" s="40"/>
      <c r="AS181" s="40"/>
      <c r="AU181" s="40"/>
      <c r="AW181" s="40"/>
    </row>
    <row r="182" spans="2:49" ht="12.75" customHeight="1" x14ac:dyDescent="0.15">
      <c r="B182" s="40"/>
      <c r="C182" s="40"/>
      <c r="D182" s="40"/>
      <c r="E182" s="40"/>
      <c r="F182" s="40"/>
      <c r="G182" s="40"/>
      <c r="H182" s="40"/>
      <c r="I182" s="53"/>
      <c r="S182" s="40"/>
      <c r="T182" s="40"/>
      <c r="U182" s="40"/>
      <c r="V182" s="40"/>
      <c r="W182" s="40"/>
      <c r="Y182" s="40"/>
      <c r="Z182" s="40"/>
      <c r="AA182" s="40"/>
      <c r="AB182" s="40"/>
      <c r="AC182" s="41"/>
      <c r="AD182" s="41"/>
      <c r="AE182" s="41"/>
      <c r="AF182" s="41"/>
      <c r="AG182" s="41"/>
      <c r="AH182" s="40"/>
      <c r="AI182" s="40"/>
      <c r="AJ182" s="5"/>
      <c r="AK182" s="5"/>
      <c r="AL182" s="40"/>
      <c r="AM182" s="40"/>
      <c r="AN182" s="40"/>
      <c r="AO182" s="40"/>
      <c r="AP182" s="40"/>
      <c r="AQ182" s="40"/>
      <c r="AR182" s="40"/>
      <c r="AS182" s="40"/>
      <c r="AU182" s="40"/>
      <c r="AW182" s="40"/>
    </row>
    <row r="183" spans="2:49" ht="12.75" customHeight="1" x14ac:dyDescent="0.15">
      <c r="B183" s="40"/>
      <c r="C183" s="40"/>
      <c r="D183" s="40"/>
      <c r="E183" s="40"/>
      <c r="F183" s="40"/>
      <c r="G183" s="40"/>
      <c r="H183" s="40"/>
      <c r="I183" s="53"/>
      <c r="S183" s="40"/>
      <c r="T183" s="40"/>
      <c r="U183" s="40"/>
      <c r="V183" s="40"/>
      <c r="W183" s="40"/>
      <c r="Y183" s="40"/>
      <c r="Z183" s="40"/>
      <c r="AA183" s="40"/>
      <c r="AB183" s="40"/>
      <c r="AC183" s="41"/>
      <c r="AD183" s="41"/>
      <c r="AE183" s="41"/>
      <c r="AF183" s="41"/>
      <c r="AG183" s="41"/>
      <c r="AH183" s="40"/>
      <c r="AI183" s="40"/>
      <c r="AJ183" s="5"/>
      <c r="AK183" s="5"/>
      <c r="AL183" s="40"/>
      <c r="AM183" s="40"/>
      <c r="AN183" s="40"/>
      <c r="AO183" s="40"/>
      <c r="AP183" s="40"/>
      <c r="AQ183" s="40"/>
      <c r="AR183" s="40"/>
      <c r="AS183" s="40"/>
      <c r="AU183" s="40"/>
      <c r="AW183" s="40"/>
    </row>
    <row r="184" spans="2:49" ht="12.75" customHeight="1" x14ac:dyDescent="0.15">
      <c r="B184" s="40"/>
      <c r="C184" s="40"/>
      <c r="D184" s="40"/>
      <c r="E184" s="40"/>
      <c r="F184" s="40"/>
      <c r="G184" s="40"/>
      <c r="H184" s="40"/>
      <c r="I184" s="53"/>
      <c r="S184" s="40"/>
      <c r="T184" s="40"/>
      <c r="U184" s="40"/>
      <c r="V184" s="40"/>
      <c r="W184" s="40"/>
      <c r="Y184" s="40"/>
      <c r="Z184" s="40"/>
      <c r="AA184" s="40"/>
      <c r="AB184" s="40"/>
      <c r="AC184" s="41"/>
      <c r="AD184" s="41"/>
      <c r="AE184" s="41"/>
      <c r="AF184" s="41"/>
      <c r="AG184" s="41"/>
      <c r="AH184" s="40"/>
      <c r="AI184" s="40"/>
      <c r="AJ184" s="5"/>
      <c r="AK184" s="5"/>
      <c r="AL184" s="40"/>
      <c r="AM184" s="40"/>
      <c r="AN184" s="40"/>
      <c r="AO184" s="40"/>
      <c r="AP184" s="40"/>
      <c r="AQ184" s="40"/>
      <c r="AR184" s="40"/>
      <c r="AS184" s="40"/>
      <c r="AU184" s="40"/>
      <c r="AW184" s="40"/>
    </row>
    <row r="185" spans="2:49" ht="12.75" customHeight="1" x14ac:dyDescent="0.15">
      <c r="B185" s="40"/>
      <c r="C185" s="40"/>
      <c r="D185" s="40"/>
      <c r="E185" s="40"/>
      <c r="F185" s="40"/>
      <c r="G185" s="40"/>
      <c r="H185" s="40"/>
      <c r="I185" s="53"/>
      <c r="S185" s="40"/>
      <c r="T185" s="40"/>
      <c r="U185" s="40"/>
      <c r="V185" s="40"/>
      <c r="W185" s="40"/>
      <c r="Y185" s="40"/>
      <c r="Z185" s="40"/>
      <c r="AA185" s="40"/>
      <c r="AB185" s="40"/>
      <c r="AC185" s="41"/>
      <c r="AD185" s="41"/>
      <c r="AE185" s="41"/>
      <c r="AF185" s="41"/>
      <c r="AG185" s="41"/>
      <c r="AH185" s="40"/>
      <c r="AI185" s="40"/>
      <c r="AJ185" s="5"/>
      <c r="AK185" s="5"/>
      <c r="AL185" s="40"/>
      <c r="AM185" s="40"/>
      <c r="AN185" s="40"/>
      <c r="AO185" s="40"/>
      <c r="AP185" s="40"/>
      <c r="AQ185" s="40"/>
      <c r="AR185" s="40"/>
      <c r="AS185" s="40"/>
      <c r="AU185" s="40"/>
      <c r="AW185" s="40"/>
    </row>
    <row r="186" spans="2:49" ht="12.75" customHeight="1" x14ac:dyDescent="0.15">
      <c r="B186" s="40"/>
      <c r="C186" s="40"/>
      <c r="D186" s="40"/>
      <c r="E186" s="40"/>
      <c r="F186" s="40"/>
      <c r="G186" s="40"/>
      <c r="H186" s="40"/>
      <c r="I186" s="53"/>
      <c r="S186" s="40"/>
      <c r="T186" s="40"/>
      <c r="U186" s="40"/>
      <c r="V186" s="40"/>
      <c r="W186" s="40"/>
      <c r="Y186" s="40"/>
      <c r="Z186" s="40"/>
      <c r="AA186" s="40"/>
      <c r="AB186" s="40"/>
      <c r="AC186" s="41"/>
      <c r="AD186" s="41"/>
      <c r="AE186" s="41"/>
      <c r="AF186" s="41"/>
      <c r="AG186" s="41"/>
      <c r="AH186" s="40"/>
      <c r="AI186" s="40"/>
      <c r="AJ186" s="5"/>
      <c r="AK186" s="5"/>
      <c r="AL186" s="40"/>
      <c r="AM186" s="40"/>
      <c r="AN186" s="40"/>
      <c r="AO186" s="40"/>
      <c r="AP186" s="40"/>
      <c r="AQ186" s="40"/>
      <c r="AR186" s="40"/>
      <c r="AS186" s="40"/>
      <c r="AU186" s="40"/>
      <c r="AW186" s="40"/>
    </row>
    <row r="187" spans="2:49" ht="12.75" customHeight="1" x14ac:dyDescent="0.15">
      <c r="B187" s="40"/>
      <c r="C187" s="40"/>
      <c r="D187" s="40"/>
      <c r="E187" s="40"/>
      <c r="F187" s="40"/>
      <c r="G187" s="40"/>
      <c r="H187" s="40"/>
      <c r="I187" s="53"/>
      <c r="S187" s="40"/>
      <c r="T187" s="40"/>
      <c r="U187" s="40"/>
      <c r="V187" s="40"/>
      <c r="W187" s="40"/>
      <c r="Y187" s="40"/>
      <c r="Z187" s="40"/>
      <c r="AA187" s="40"/>
      <c r="AB187" s="40"/>
      <c r="AC187" s="41"/>
      <c r="AD187" s="41"/>
      <c r="AE187" s="41"/>
      <c r="AF187" s="41"/>
      <c r="AG187" s="41"/>
      <c r="AH187" s="40"/>
      <c r="AI187" s="40"/>
      <c r="AJ187" s="5"/>
      <c r="AK187" s="5"/>
      <c r="AL187" s="40"/>
      <c r="AM187" s="40"/>
      <c r="AN187" s="40"/>
      <c r="AO187" s="40"/>
      <c r="AP187" s="40"/>
      <c r="AQ187" s="40"/>
      <c r="AR187" s="40"/>
      <c r="AS187" s="40"/>
      <c r="AU187" s="40"/>
      <c r="AW187" s="40"/>
    </row>
    <row r="188" spans="2:49" ht="12.75" customHeight="1" x14ac:dyDescent="0.15">
      <c r="B188" s="40"/>
      <c r="C188" s="40"/>
      <c r="D188" s="40"/>
      <c r="E188" s="40"/>
      <c r="F188" s="40"/>
      <c r="G188" s="40"/>
      <c r="H188" s="40"/>
      <c r="I188" s="53"/>
      <c r="S188" s="40"/>
      <c r="T188" s="40"/>
      <c r="U188" s="40"/>
      <c r="V188" s="40"/>
      <c r="W188" s="40"/>
      <c r="Y188" s="40"/>
      <c r="Z188" s="40"/>
      <c r="AA188" s="40"/>
      <c r="AB188" s="40"/>
      <c r="AC188" s="41"/>
      <c r="AD188" s="41"/>
      <c r="AE188" s="41"/>
      <c r="AF188" s="41"/>
      <c r="AG188" s="41"/>
      <c r="AH188" s="40"/>
      <c r="AI188" s="40"/>
      <c r="AJ188" s="5"/>
      <c r="AK188" s="5"/>
      <c r="AL188" s="40"/>
      <c r="AM188" s="40"/>
      <c r="AN188" s="40"/>
      <c r="AO188" s="40"/>
      <c r="AP188" s="40"/>
      <c r="AQ188" s="40"/>
      <c r="AR188" s="40"/>
      <c r="AS188" s="40"/>
      <c r="AU188" s="40"/>
      <c r="AW188" s="40"/>
    </row>
    <row r="189" spans="2:49" ht="12.75" customHeight="1" x14ac:dyDescent="0.15">
      <c r="B189" s="40"/>
      <c r="C189" s="40"/>
      <c r="D189" s="40"/>
      <c r="E189" s="40"/>
      <c r="F189" s="40"/>
      <c r="G189" s="40"/>
      <c r="H189" s="40"/>
      <c r="I189" s="53"/>
      <c r="S189" s="40"/>
      <c r="T189" s="40"/>
      <c r="U189" s="40"/>
      <c r="V189" s="40"/>
      <c r="W189" s="40"/>
      <c r="Y189" s="40"/>
      <c r="Z189" s="40"/>
      <c r="AA189" s="40"/>
      <c r="AB189" s="40"/>
      <c r="AC189" s="41"/>
      <c r="AD189" s="41"/>
      <c r="AE189" s="41"/>
      <c r="AF189" s="41"/>
      <c r="AG189" s="41"/>
      <c r="AH189" s="40"/>
      <c r="AI189" s="40"/>
      <c r="AJ189" s="5"/>
      <c r="AK189" s="5"/>
      <c r="AL189" s="40"/>
      <c r="AM189" s="40"/>
      <c r="AN189" s="40"/>
      <c r="AO189" s="40"/>
      <c r="AP189" s="40"/>
      <c r="AQ189" s="40"/>
      <c r="AR189" s="40"/>
      <c r="AS189" s="40"/>
      <c r="AU189" s="40"/>
      <c r="AW189" s="40"/>
    </row>
    <row r="190" spans="2:49" ht="12.75" customHeight="1" x14ac:dyDescent="0.15">
      <c r="B190" s="40"/>
      <c r="C190" s="40"/>
      <c r="D190" s="40"/>
      <c r="E190" s="40"/>
      <c r="F190" s="40"/>
      <c r="G190" s="40"/>
      <c r="H190" s="40"/>
      <c r="I190" s="53"/>
      <c r="S190" s="40"/>
      <c r="T190" s="40"/>
      <c r="U190" s="40"/>
      <c r="V190" s="40"/>
      <c r="W190" s="40"/>
      <c r="Y190" s="40"/>
      <c r="Z190" s="40"/>
      <c r="AA190" s="40"/>
      <c r="AB190" s="40"/>
      <c r="AC190" s="41"/>
      <c r="AD190" s="41"/>
      <c r="AE190" s="41"/>
      <c r="AF190" s="41"/>
      <c r="AG190" s="41"/>
      <c r="AH190" s="40"/>
      <c r="AI190" s="40"/>
      <c r="AJ190" s="5"/>
      <c r="AK190" s="5"/>
      <c r="AL190" s="40"/>
      <c r="AM190" s="40"/>
      <c r="AN190" s="40"/>
      <c r="AO190" s="40"/>
      <c r="AP190" s="40"/>
      <c r="AQ190" s="40"/>
      <c r="AR190" s="40"/>
      <c r="AS190" s="40"/>
      <c r="AU190" s="40"/>
      <c r="AW190" s="40"/>
    </row>
    <row r="191" spans="2:49" ht="12.75" customHeight="1" x14ac:dyDescent="0.15">
      <c r="B191" s="40"/>
      <c r="C191" s="40"/>
      <c r="D191" s="40"/>
      <c r="E191" s="40"/>
      <c r="F191" s="40"/>
      <c r="G191" s="40"/>
      <c r="H191" s="40"/>
      <c r="I191" s="53"/>
      <c r="S191" s="40"/>
      <c r="T191" s="40"/>
      <c r="U191" s="40"/>
      <c r="V191" s="40"/>
      <c r="W191" s="40"/>
      <c r="Y191" s="40"/>
      <c r="Z191" s="40"/>
      <c r="AA191" s="40"/>
      <c r="AB191" s="40"/>
      <c r="AC191" s="41"/>
      <c r="AD191" s="41"/>
      <c r="AE191" s="41"/>
      <c r="AF191" s="41"/>
      <c r="AG191" s="41"/>
      <c r="AH191" s="40"/>
      <c r="AI191" s="40"/>
      <c r="AJ191" s="5"/>
      <c r="AK191" s="5"/>
      <c r="AL191" s="40"/>
      <c r="AM191" s="40"/>
      <c r="AN191" s="40"/>
      <c r="AO191" s="40"/>
      <c r="AP191" s="40"/>
      <c r="AQ191" s="40"/>
      <c r="AR191" s="40"/>
      <c r="AS191" s="40"/>
      <c r="AU191" s="40"/>
      <c r="AW191" s="40"/>
    </row>
    <row r="192" spans="2:49" ht="12.75" customHeight="1" x14ac:dyDescent="0.15">
      <c r="B192" s="40"/>
      <c r="C192" s="40"/>
      <c r="D192" s="40"/>
      <c r="E192" s="40"/>
      <c r="F192" s="40"/>
      <c r="G192" s="40"/>
      <c r="H192" s="40"/>
      <c r="I192" s="53"/>
      <c r="S192" s="40"/>
      <c r="T192" s="40"/>
      <c r="U192" s="40"/>
      <c r="V192" s="40"/>
      <c r="W192" s="40"/>
      <c r="Y192" s="40"/>
      <c r="Z192" s="40"/>
      <c r="AA192" s="40"/>
      <c r="AB192" s="40"/>
      <c r="AC192" s="41"/>
      <c r="AD192" s="41"/>
      <c r="AE192" s="41"/>
      <c r="AF192" s="41"/>
      <c r="AG192" s="41"/>
      <c r="AH192" s="40"/>
      <c r="AI192" s="40"/>
      <c r="AJ192" s="5"/>
      <c r="AK192" s="5"/>
      <c r="AL192" s="40"/>
      <c r="AM192" s="40"/>
      <c r="AN192" s="40"/>
      <c r="AO192" s="40"/>
      <c r="AP192" s="40"/>
      <c r="AQ192" s="40"/>
      <c r="AR192" s="40"/>
      <c r="AS192" s="40"/>
      <c r="AU192" s="40"/>
      <c r="AW192" s="40"/>
    </row>
    <row r="193" spans="2:49" ht="12.75" customHeight="1" x14ac:dyDescent="0.15">
      <c r="B193" s="40"/>
      <c r="C193" s="40"/>
      <c r="D193" s="40"/>
      <c r="E193" s="40"/>
      <c r="F193" s="40"/>
      <c r="G193" s="40"/>
      <c r="H193" s="40"/>
      <c r="I193" s="53"/>
      <c r="S193" s="40"/>
      <c r="T193" s="40"/>
      <c r="U193" s="40"/>
      <c r="V193" s="40"/>
      <c r="W193" s="40"/>
      <c r="Y193" s="40"/>
      <c r="Z193" s="40"/>
      <c r="AA193" s="40"/>
      <c r="AB193" s="40"/>
      <c r="AC193" s="41"/>
      <c r="AD193" s="41"/>
      <c r="AE193" s="41"/>
      <c r="AF193" s="41"/>
      <c r="AG193" s="41"/>
      <c r="AH193" s="40"/>
      <c r="AI193" s="40"/>
      <c r="AJ193" s="5"/>
      <c r="AK193" s="5"/>
      <c r="AL193" s="40"/>
      <c r="AM193" s="40"/>
      <c r="AN193" s="40"/>
      <c r="AO193" s="40"/>
      <c r="AP193" s="40"/>
      <c r="AQ193" s="40"/>
      <c r="AR193" s="40"/>
      <c r="AS193" s="40"/>
      <c r="AU193" s="40"/>
      <c r="AW193" s="40"/>
    </row>
    <row r="194" spans="2:49" ht="12.75" customHeight="1" x14ac:dyDescent="0.15">
      <c r="B194" s="40"/>
      <c r="C194" s="40"/>
      <c r="D194" s="40"/>
      <c r="E194" s="40"/>
      <c r="F194" s="40"/>
      <c r="G194" s="40"/>
      <c r="H194" s="40"/>
      <c r="I194" s="53"/>
      <c r="S194" s="40"/>
      <c r="T194" s="40"/>
      <c r="U194" s="40"/>
      <c r="V194" s="40"/>
      <c r="W194" s="40"/>
      <c r="Y194" s="40"/>
      <c r="Z194" s="40"/>
      <c r="AA194" s="40"/>
      <c r="AB194" s="40"/>
      <c r="AC194" s="41"/>
      <c r="AD194" s="41"/>
      <c r="AE194" s="41"/>
      <c r="AF194" s="41"/>
      <c r="AG194" s="41"/>
      <c r="AH194" s="40"/>
      <c r="AI194" s="40"/>
      <c r="AJ194" s="5"/>
      <c r="AK194" s="5"/>
      <c r="AL194" s="40"/>
      <c r="AM194" s="40"/>
      <c r="AN194" s="40"/>
      <c r="AO194" s="40"/>
      <c r="AP194" s="40"/>
      <c r="AQ194" s="40"/>
      <c r="AR194" s="40"/>
      <c r="AS194" s="40"/>
      <c r="AU194" s="40"/>
      <c r="AW194" s="40"/>
    </row>
    <row r="195" spans="2:49" ht="12.75" customHeight="1" x14ac:dyDescent="0.15">
      <c r="B195" s="40"/>
      <c r="C195" s="40"/>
      <c r="D195" s="40"/>
      <c r="E195" s="40"/>
      <c r="F195" s="40"/>
      <c r="G195" s="40"/>
      <c r="H195" s="40"/>
      <c r="I195" s="53"/>
      <c r="S195" s="40"/>
      <c r="T195" s="40"/>
      <c r="U195" s="40"/>
      <c r="V195" s="40"/>
      <c r="W195" s="40"/>
      <c r="Y195" s="40"/>
      <c r="Z195" s="40"/>
      <c r="AA195" s="40"/>
      <c r="AB195" s="40"/>
      <c r="AC195" s="41"/>
      <c r="AD195" s="41"/>
      <c r="AE195" s="41"/>
      <c r="AF195" s="41"/>
      <c r="AG195" s="41"/>
      <c r="AH195" s="40"/>
      <c r="AI195" s="40"/>
      <c r="AJ195" s="5"/>
      <c r="AK195" s="5"/>
      <c r="AL195" s="40"/>
      <c r="AM195" s="40"/>
      <c r="AN195" s="40"/>
      <c r="AO195" s="40"/>
      <c r="AP195" s="40"/>
      <c r="AQ195" s="40"/>
      <c r="AR195" s="40"/>
      <c r="AS195" s="40"/>
      <c r="AU195" s="40"/>
      <c r="AW195" s="40"/>
    </row>
    <row r="196" spans="2:49" ht="12.75" customHeight="1" x14ac:dyDescent="0.15">
      <c r="B196" s="40"/>
      <c r="C196" s="40"/>
      <c r="D196" s="40"/>
      <c r="E196" s="40"/>
      <c r="F196" s="40"/>
      <c r="G196" s="40"/>
      <c r="H196" s="40"/>
      <c r="I196" s="53"/>
      <c r="S196" s="40"/>
      <c r="T196" s="40"/>
      <c r="U196" s="40"/>
      <c r="V196" s="40"/>
      <c r="W196" s="40"/>
      <c r="Y196" s="40"/>
      <c r="Z196" s="40"/>
      <c r="AA196" s="40"/>
      <c r="AB196" s="40"/>
      <c r="AC196" s="41"/>
      <c r="AD196" s="41"/>
      <c r="AE196" s="41"/>
      <c r="AF196" s="41"/>
      <c r="AG196" s="41"/>
      <c r="AH196" s="40"/>
      <c r="AI196" s="40"/>
      <c r="AJ196" s="5"/>
      <c r="AK196" s="5"/>
      <c r="AL196" s="40"/>
      <c r="AM196" s="40"/>
      <c r="AN196" s="40"/>
      <c r="AO196" s="40"/>
      <c r="AP196" s="40"/>
      <c r="AQ196" s="40"/>
      <c r="AR196" s="40"/>
      <c r="AS196" s="40"/>
      <c r="AU196" s="40"/>
      <c r="AW196" s="40"/>
    </row>
    <row r="197" spans="2:49" ht="12.75" customHeight="1" x14ac:dyDescent="0.15">
      <c r="B197" s="40"/>
      <c r="C197" s="40"/>
      <c r="D197" s="40"/>
      <c r="E197" s="40"/>
      <c r="F197" s="40"/>
      <c r="G197" s="40"/>
      <c r="H197" s="40"/>
      <c r="I197" s="53"/>
      <c r="S197" s="40"/>
      <c r="T197" s="40"/>
      <c r="U197" s="40"/>
      <c r="V197" s="40"/>
      <c r="W197" s="40"/>
      <c r="Y197" s="40"/>
      <c r="Z197" s="40"/>
      <c r="AA197" s="40"/>
      <c r="AB197" s="40"/>
      <c r="AC197" s="41"/>
      <c r="AD197" s="41"/>
      <c r="AE197" s="41"/>
      <c r="AF197" s="41"/>
      <c r="AG197" s="41"/>
      <c r="AH197" s="40"/>
      <c r="AI197" s="40"/>
      <c r="AJ197" s="5"/>
      <c r="AK197" s="5"/>
      <c r="AL197" s="40"/>
      <c r="AM197" s="40"/>
      <c r="AN197" s="40"/>
      <c r="AO197" s="40"/>
      <c r="AP197" s="40"/>
      <c r="AQ197" s="40"/>
      <c r="AR197" s="40"/>
      <c r="AS197" s="40"/>
      <c r="AU197" s="40"/>
      <c r="AW197" s="40"/>
    </row>
    <row r="198" spans="2:49" ht="12.75" customHeight="1" x14ac:dyDescent="0.15">
      <c r="B198" s="40"/>
      <c r="C198" s="40"/>
      <c r="D198" s="40"/>
      <c r="E198" s="40"/>
      <c r="F198" s="40"/>
      <c r="G198" s="40"/>
      <c r="H198" s="40"/>
      <c r="I198" s="53"/>
      <c r="S198" s="40"/>
      <c r="T198" s="40"/>
      <c r="U198" s="40"/>
      <c r="V198" s="40"/>
      <c r="W198" s="40"/>
      <c r="Y198" s="40"/>
      <c r="Z198" s="40"/>
      <c r="AA198" s="40"/>
      <c r="AB198" s="40"/>
      <c r="AC198" s="41"/>
      <c r="AD198" s="41"/>
      <c r="AE198" s="41"/>
      <c r="AF198" s="41"/>
      <c r="AG198" s="41"/>
      <c r="AH198" s="40"/>
      <c r="AI198" s="40"/>
      <c r="AJ198" s="5"/>
      <c r="AK198" s="5"/>
      <c r="AL198" s="40"/>
      <c r="AM198" s="40"/>
      <c r="AN198" s="40"/>
      <c r="AO198" s="40"/>
      <c r="AP198" s="40"/>
      <c r="AQ198" s="40"/>
      <c r="AR198" s="40"/>
      <c r="AS198" s="40"/>
      <c r="AU198" s="40"/>
      <c r="AW198" s="40"/>
    </row>
    <row r="199" spans="2:49" ht="12.75" customHeight="1" x14ac:dyDescent="0.15">
      <c r="B199" s="40"/>
      <c r="C199" s="40"/>
      <c r="D199" s="40"/>
      <c r="E199" s="40"/>
      <c r="F199" s="40"/>
      <c r="G199" s="40"/>
      <c r="H199" s="40"/>
      <c r="I199" s="53"/>
      <c r="S199" s="40"/>
      <c r="T199" s="40"/>
      <c r="U199" s="40"/>
      <c r="V199" s="40"/>
      <c r="W199" s="40"/>
      <c r="Y199" s="40"/>
      <c r="Z199" s="40"/>
      <c r="AA199" s="40"/>
      <c r="AB199" s="40"/>
      <c r="AC199" s="41"/>
      <c r="AD199" s="41"/>
      <c r="AE199" s="41"/>
      <c r="AF199" s="41"/>
      <c r="AG199" s="41"/>
      <c r="AH199" s="40"/>
      <c r="AI199" s="40"/>
      <c r="AJ199" s="5"/>
      <c r="AK199" s="5"/>
      <c r="AL199" s="40"/>
      <c r="AM199" s="40"/>
      <c r="AN199" s="40"/>
      <c r="AO199" s="40"/>
      <c r="AP199" s="40"/>
      <c r="AQ199" s="40"/>
      <c r="AR199" s="40"/>
      <c r="AS199" s="40"/>
      <c r="AU199" s="40"/>
      <c r="AW199" s="40"/>
    </row>
    <row r="200" spans="2:49" ht="12.75" customHeight="1" x14ac:dyDescent="0.15">
      <c r="B200" s="40"/>
      <c r="C200" s="40"/>
      <c r="D200" s="40"/>
      <c r="E200" s="40"/>
      <c r="F200" s="40"/>
      <c r="G200" s="40"/>
      <c r="H200" s="40"/>
      <c r="I200" s="53"/>
      <c r="S200" s="40"/>
      <c r="T200" s="40"/>
      <c r="U200" s="40"/>
      <c r="V200" s="40"/>
      <c r="W200" s="40"/>
      <c r="Y200" s="40"/>
      <c r="Z200" s="40"/>
      <c r="AA200" s="40"/>
      <c r="AB200" s="40"/>
      <c r="AC200" s="41"/>
      <c r="AD200" s="41"/>
      <c r="AE200" s="41"/>
      <c r="AF200" s="41"/>
      <c r="AG200" s="41"/>
      <c r="AH200" s="40"/>
      <c r="AI200" s="40"/>
      <c r="AJ200" s="5"/>
      <c r="AK200" s="5"/>
      <c r="AL200" s="40"/>
      <c r="AM200" s="40"/>
      <c r="AN200" s="40"/>
      <c r="AO200" s="40"/>
      <c r="AP200" s="40"/>
      <c r="AQ200" s="40"/>
      <c r="AR200" s="40"/>
      <c r="AS200" s="40"/>
      <c r="AU200" s="40"/>
      <c r="AW200" s="40"/>
    </row>
    <row r="201" spans="2:49" ht="12.75" customHeight="1" x14ac:dyDescent="0.15">
      <c r="B201" s="40"/>
      <c r="C201" s="40"/>
      <c r="D201" s="40"/>
      <c r="E201" s="40"/>
      <c r="F201" s="40"/>
      <c r="G201" s="40"/>
      <c r="H201" s="40"/>
      <c r="I201" s="53"/>
      <c r="S201" s="40"/>
      <c r="T201" s="40"/>
      <c r="U201" s="40"/>
      <c r="V201" s="40"/>
      <c r="W201" s="40"/>
      <c r="Y201" s="40"/>
      <c r="Z201" s="40"/>
      <c r="AA201" s="40"/>
      <c r="AB201" s="40"/>
      <c r="AC201" s="41"/>
      <c r="AD201" s="41"/>
      <c r="AE201" s="41"/>
      <c r="AF201" s="41"/>
      <c r="AG201" s="41"/>
      <c r="AH201" s="40"/>
      <c r="AI201" s="40"/>
      <c r="AJ201" s="5"/>
      <c r="AK201" s="5"/>
      <c r="AL201" s="40"/>
      <c r="AM201" s="40"/>
      <c r="AN201" s="40"/>
      <c r="AO201" s="40"/>
      <c r="AP201" s="40"/>
      <c r="AQ201" s="40"/>
      <c r="AR201" s="40"/>
      <c r="AS201" s="40"/>
      <c r="AU201" s="40"/>
      <c r="AW201" s="40"/>
    </row>
    <row r="202" spans="2:49" ht="12.75" customHeight="1" x14ac:dyDescent="0.15">
      <c r="B202" s="40"/>
      <c r="C202" s="40"/>
      <c r="D202" s="40"/>
      <c r="E202" s="40"/>
      <c r="F202" s="40"/>
      <c r="G202" s="40"/>
      <c r="H202" s="40"/>
      <c r="I202" s="53"/>
      <c r="S202" s="40"/>
      <c r="T202" s="40"/>
      <c r="U202" s="40"/>
      <c r="V202" s="40"/>
      <c r="W202" s="40"/>
      <c r="Y202" s="40"/>
      <c r="Z202" s="40"/>
      <c r="AA202" s="40"/>
      <c r="AB202" s="40"/>
      <c r="AC202" s="41"/>
      <c r="AD202" s="41"/>
      <c r="AE202" s="41"/>
      <c r="AF202" s="41"/>
      <c r="AG202" s="41"/>
      <c r="AH202" s="40"/>
      <c r="AI202" s="40"/>
      <c r="AJ202" s="5"/>
      <c r="AK202" s="5"/>
      <c r="AL202" s="40"/>
      <c r="AM202" s="40"/>
      <c r="AN202" s="40"/>
      <c r="AO202" s="40"/>
      <c r="AP202" s="40"/>
      <c r="AQ202" s="40"/>
      <c r="AR202" s="40"/>
      <c r="AS202" s="40"/>
      <c r="AU202" s="40"/>
      <c r="AW202" s="40"/>
    </row>
    <row r="203" spans="2:49" ht="12.75" customHeight="1" x14ac:dyDescent="0.15">
      <c r="B203" s="40"/>
      <c r="C203" s="40"/>
      <c r="D203" s="40"/>
      <c r="E203" s="40"/>
      <c r="F203" s="40"/>
      <c r="G203" s="40"/>
      <c r="H203" s="40"/>
      <c r="I203" s="53"/>
      <c r="S203" s="40"/>
      <c r="T203" s="40"/>
      <c r="U203" s="40"/>
      <c r="V203" s="40"/>
      <c r="W203" s="40"/>
      <c r="Y203" s="40"/>
      <c r="Z203" s="40"/>
      <c r="AA203" s="40"/>
      <c r="AB203" s="40"/>
      <c r="AC203" s="41"/>
      <c r="AD203" s="41"/>
      <c r="AE203" s="41"/>
      <c r="AF203" s="41"/>
      <c r="AG203" s="41"/>
      <c r="AH203" s="40"/>
      <c r="AI203" s="40"/>
      <c r="AJ203" s="5"/>
      <c r="AK203" s="5"/>
      <c r="AL203" s="40"/>
      <c r="AM203" s="40"/>
      <c r="AN203" s="40"/>
      <c r="AO203" s="40"/>
      <c r="AP203" s="40"/>
      <c r="AQ203" s="40"/>
      <c r="AR203" s="40"/>
      <c r="AS203" s="40"/>
      <c r="AU203" s="40"/>
      <c r="AW203" s="40"/>
    </row>
    <row r="204" spans="2:49" ht="12.75" customHeight="1" x14ac:dyDescent="0.15">
      <c r="B204" s="40"/>
      <c r="C204" s="40"/>
      <c r="D204" s="40"/>
      <c r="E204" s="40"/>
      <c r="F204" s="40"/>
      <c r="G204" s="40"/>
      <c r="H204" s="40"/>
      <c r="I204" s="53"/>
      <c r="S204" s="40"/>
      <c r="T204" s="40"/>
      <c r="U204" s="40"/>
      <c r="V204" s="40"/>
      <c r="W204" s="40"/>
      <c r="Y204" s="40"/>
      <c r="Z204" s="40"/>
      <c r="AA204" s="40"/>
      <c r="AB204" s="40"/>
      <c r="AC204" s="41"/>
      <c r="AD204" s="41"/>
      <c r="AE204" s="41"/>
      <c r="AF204" s="41"/>
      <c r="AG204" s="41"/>
      <c r="AH204" s="40"/>
      <c r="AI204" s="40"/>
      <c r="AJ204" s="5"/>
      <c r="AK204" s="5"/>
      <c r="AL204" s="40"/>
      <c r="AM204" s="40"/>
      <c r="AN204" s="40"/>
      <c r="AO204" s="40"/>
      <c r="AP204" s="40"/>
      <c r="AQ204" s="40"/>
      <c r="AR204" s="40"/>
      <c r="AS204" s="40"/>
      <c r="AU204" s="40"/>
      <c r="AW204" s="40"/>
    </row>
    <row r="205" spans="2:49" ht="12.75" customHeight="1" x14ac:dyDescent="0.15">
      <c r="B205" s="40"/>
      <c r="C205" s="40"/>
      <c r="D205" s="40"/>
      <c r="E205" s="40"/>
      <c r="F205" s="40"/>
      <c r="G205" s="40"/>
      <c r="H205" s="40"/>
      <c r="I205" s="53"/>
      <c r="S205" s="40"/>
      <c r="T205" s="40"/>
      <c r="U205" s="40"/>
      <c r="V205" s="40"/>
      <c r="W205" s="40"/>
      <c r="Y205" s="40"/>
      <c r="Z205" s="40"/>
      <c r="AA205" s="40"/>
      <c r="AB205" s="40"/>
      <c r="AC205" s="41"/>
      <c r="AD205" s="41"/>
      <c r="AE205" s="41"/>
      <c r="AF205" s="41"/>
      <c r="AG205" s="41"/>
      <c r="AH205" s="40"/>
      <c r="AI205" s="40"/>
      <c r="AJ205" s="5"/>
      <c r="AK205" s="5"/>
      <c r="AL205" s="40"/>
      <c r="AM205" s="40"/>
      <c r="AN205" s="40"/>
      <c r="AO205" s="40"/>
      <c r="AP205" s="40"/>
      <c r="AQ205" s="40"/>
      <c r="AR205" s="40"/>
      <c r="AS205" s="40"/>
      <c r="AU205" s="40"/>
      <c r="AW205" s="40"/>
    </row>
    <row r="206" spans="2:49" ht="12.75" customHeight="1" x14ac:dyDescent="0.15">
      <c r="B206" s="40"/>
      <c r="C206" s="40"/>
      <c r="D206" s="40"/>
      <c r="E206" s="40"/>
      <c r="F206" s="40"/>
      <c r="G206" s="40"/>
      <c r="H206" s="40"/>
      <c r="I206" s="53"/>
      <c r="S206" s="40"/>
      <c r="T206" s="40"/>
      <c r="U206" s="40"/>
      <c r="V206" s="40"/>
      <c r="W206" s="40"/>
      <c r="Y206" s="40"/>
      <c r="Z206" s="40"/>
      <c r="AA206" s="40"/>
      <c r="AB206" s="40"/>
      <c r="AC206" s="41"/>
      <c r="AD206" s="41"/>
      <c r="AE206" s="41"/>
      <c r="AF206" s="41"/>
      <c r="AG206" s="41"/>
      <c r="AH206" s="40"/>
      <c r="AI206" s="40"/>
      <c r="AJ206" s="5"/>
      <c r="AK206" s="5"/>
      <c r="AL206" s="40"/>
      <c r="AM206" s="40"/>
      <c r="AN206" s="40"/>
      <c r="AO206" s="40"/>
      <c r="AP206" s="40"/>
      <c r="AQ206" s="40"/>
      <c r="AR206" s="40"/>
      <c r="AS206" s="40"/>
      <c r="AU206" s="40"/>
      <c r="AW206" s="40"/>
    </row>
    <row r="207" spans="2:49" ht="12.75" customHeight="1" x14ac:dyDescent="0.15">
      <c r="B207" s="40"/>
      <c r="C207" s="40"/>
      <c r="D207" s="40"/>
      <c r="E207" s="40"/>
      <c r="F207" s="40"/>
      <c r="G207" s="40"/>
      <c r="H207" s="40"/>
      <c r="I207" s="53"/>
      <c r="S207" s="40"/>
      <c r="T207" s="40"/>
      <c r="U207" s="40"/>
      <c r="V207" s="40"/>
      <c r="W207" s="40"/>
      <c r="Y207" s="40"/>
      <c r="Z207" s="40"/>
      <c r="AA207" s="40"/>
      <c r="AB207" s="40"/>
      <c r="AC207" s="41"/>
      <c r="AD207" s="41"/>
      <c r="AE207" s="41"/>
      <c r="AF207" s="41"/>
      <c r="AG207" s="41"/>
      <c r="AH207" s="40"/>
      <c r="AI207" s="40"/>
      <c r="AJ207" s="5"/>
      <c r="AK207" s="5"/>
      <c r="AL207" s="40"/>
      <c r="AM207" s="40"/>
      <c r="AN207" s="40"/>
      <c r="AO207" s="40"/>
      <c r="AP207" s="40"/>
      <c r="AQ207" s="40"/>
      <c r="AR207" s="40"/>
      <c r="AS207" s="40"/>
      <c r="AU207" s="40"/>
      <c r="AW207" s="40"/>
    </row>
    <row r="208" spans="2:49" ht="12.75" customHeight="1" x14ac:dyDescent="0.15">
      <c r="B208" s="40"/>
      <c r="C208" s="40"/>
      <c r="D208" s="40"/>
      <c r="E208" s="40"/>
      <c r="F208" s="40"/>
      <c r="G208" s="40"/>
      <c r="H208" s="40"/>
      <c r="I208" s="53"/>
      <c r="S208" s="40"/>
      <c r="T208" s="40"/>
      <c r="U208" s="40"/>
      <c r="V208" s="40"/>
      <c r="W208" s="40"/>
      <c r="Y208" s="40"/>
      <c r="Z208" s="40"/>
      <c r="AA208" s="40"/>
      <c r="AB208" s="40"/>
      <c r="AC208" s="41"/>
      <c r="AD208" s="41"/>
      <c r="AE208" s="41"/>
      <c r="AF208" s="41"/>
      <c r="AG208" s="41"/>
      <c r="AH208" s="40"/>
      <c r="AI208" s="40"/>
      <c r="AJ208" s="5"/>
      <c r="AK208" s="5"/>
      <c r="AL208" s="40"/>
      <c r="AM208" s="40"/>
      <c r="AN208" s="40"/>
      <c r="AO208" s="40"/>
      <c r="AP208" s="40"/>
      <c r="AQ208" s="40"/>
      <c r="AR208" s="40"/>
      <c r="AS208" s="40"/>
      <c r="AU208" s="40"/>
      <c r="AW208" s="40"/>
    </row>
    <row r="209" spans="2:49" ht="12.75" customHeight="1" x14ac:dyDescent="0.15">
      <c r="B209" s="40"/>
      <c r="C209" s="40"/>
      <c r="D209" s="40"/>
      <c r="E209" s="40"/>
      <c r="F209" s="40"/>
      <c r="G209" s="40"/>
      <c r="H209" s="40"/>
      <c r="I209" s="53"/>
      <c r="S209" s="40"/>
      <c r="T209" s="40"/>
      <c r="U209" s="40"/>
      <c r="V209" s="40"/>
      <c r="W209" s="40"/>
      <c r="Y209" s="40"/>
      <c r="Z209" s="40"/>
      <c r="AA209" s="40"/>
      <c r="AB209" s="40"/>
      <c r="AC209" s="41"/>
      <c r="AD209" s="41"/>
      <c r="AE209" s="41"/>
      <c r="AF209" s="41"/>
      <c r="AG209" s="41"/>
      <c r="AH209" s="40"/>
      <c r="AI209" s="40"/>
      <c r="AJ209" s="5"/>
      <c r="AK209" s="5"/>
      <c r="AL209" s="40"/>
      <c r="AM209" s="40"/>
      <c r="AN209" s="40"/>
      <c r="AO209" s="40"/>
      <c r="AP209" s="40"/>
      <c r="AQ209" s="40"/>
      <c r="AR209" s="40"/>
      <c r="AS209" s="40"/>
      <c r="AU209" s="40"/>
      <c r="AW209" s="40"/>
    </row>
    <row r="210" spans="2:49" ht="12.75" customHeight="1" x14ac:dyDescent="0.15">
      <c r="B210" s="40"/>
      <c r="C210" s="40"/>
      <c r="D210" s="40"/>
      <c r="E210" s="40"/>
      <c r="F210" s="40"/>
      <c r="G210" s="40"/>
      <c r="H210" s="40"/>
      <c r="I210" s="53"/>
      <c r="S210" s="40"/>
      <c r="T210" s="40"/>
      <c r="U210" s="40"/>
      <c r="V210" s="40"/>
      <c r="W210" s="40"/>
      <c r="Y210" s="40"/>
      <c r="Z210" s="40"/>
      <c r="AA210" s="40"/>
      <c r="AB210" s="40"/>
      <c r="AC210" s="41"/>
      <c r="AD210" s="41"/>
      <c r="AE210" s="41"/>
      <c r="AF210" s="41"/>
      <c r="AG210" s="41"/>
      <c r="AH210" s="40"/>
      <c r="AI210" s="40"/>
      <c r="AJ210" s="5"/>
      <c r="AK210" s="5"/>
      <c r="AL210" s="40"/>
      <c r="AM210" s="40"/>
      <c r="AN210" s="40"/>
      <c r="AO210" s="40"/>
      <c r="AP210" s="40"/>
      <c r="AQ210" s="40"/>
      <c r="AR210" s="40"/>
      <c r="AS210" s="40"/>
      <c r="AU210" s="40"/>
      <c r="AW210" s="40"/>
    </row>
    <row r="211" spans="2:49" ht="12.75" customHeight="1" x14ac:dyDescent="0.15">
      <c r="B211" s="40"/>
      <c r="C211" s="40"/>
      <c r="D211" s="40"/>
      <c r="E211" s="40"/>
      <c r="F211" s="40"/>
      <c r="G211" s="40"/>
      <c r="H211" s="40"/>
      <c r="I211" s="53"/>
      <c r="S211" s="40"/>
      <c r="T211" s="40"/>
      <c r="U211" s="40"/>
      <c r="V211" s="40"/>
      <c r="W211" s="40"/>
      <c r="Y211" s="40"/>
      <c r="Z211" s="40"/>
      <c r="AA211" s="40"/>
      <c r="AB211" s="40"/>
      <c r="AC211" s="41"/>
      <c r="AD211" s="41"/>
      <c r="AE211" s="41"/>
      <c r="AF211" s="41"/>
      <c r="AG211" s="41"/>
      <c r="AH211" s="40"/>
      <c r="AI211" s="40"/>
      <c r="AJ211" s="5"/>
      <c r="AK211" s="5"/>
      <c r="AL211" s="40"/>
      <c r="AM211" s="40"/>
      <c r="AN211" s="40"/>
      <c r="AO211" s="40"/>
      <c r="AP211" s="40"/>
      <c r="AQ211" s="40"/>
      <c r="AR211" s="40"/>
      <c r="AS211" s="40"/>
      <c r="AU211" s="40"/>
      <c r="AW211" s="40"/>
    </row>
    <row r="212" spans="2:49" ht="12.75" customHeight="1" x14ac:dyDescent="0.15">
      <c r="B212" s="40"/>
      <c r="C212" s="40"/>
      <c r="D212" s="40"/>
      <c r="E212" s="40"/>
      <c r="F212" s="40"/>
      <c r="G212" s="40"/>
      <c r="H212" s="40"/>
      <c r="I212" s="53"/>
      <c r="S212" s="40"/>
      <c r="T212" s="40"/>
      <c r="U212" s="40"/>
      <c r="V212" s="40"/>
      <c r="W212" s="40"/>
      <c r="Y212" s="40"/>
      <c r="Z212" s="40"/>
      <c r="AA212" s="40"/>
      <c r="AB212" s="40"/>
      <c r="AC212" s="41"/>
      <c r="AD212" s="41"/>
      <c r="AE212" s="41"/>
      <c r="AF212" s="41"/>
      <c r="AG212" s="41"/>
      <c r="AH212" s="40"/>
      <c r="AI212" s="40"/>
      <c r="AJ212" s="5"/>
      <c r="AK212" s="5"/>
      <c r="AL212" s="40"/>
      <c r="AM212" s="40"/>
      <c r="AN212" s="40"/>
      <c r="AO212" s="40"/>
      <c r="AP212" s="40"/>
      <c r="AQ212" s="40"/>
      <c r="AR212" s="40"/>
      <c r="AS212" s="40"/>
      <c r="AU212" s="40"/>
      <c r="AW212" s="40"/>
    </row>
    <row r="213" spans="2:49" ht="12.75" customHeight="1" x14ac:dyDescent="0.15">
      <c r="B213" s="40"/>
      <c r="C213" s="40"/>
      <c r="D213" s="40"/>
      <c r="E213" s="40"/>
      <c r="F213" s="40"/>
      <c r="G213" s="40"/>
      <c r="H213" s="40"/>
      <c r="I213" s="53"/>
      <c r="S213" s="40"/>
      <c r="T213" s="40"/>
      <c r="U213" s="40"/>
      <c r="V213" s="40"/>
      <c r="W213" s="40"/>
      <c r="Y213" s="40"/>
      <c r="Z213" s="40"/>
      <c r="AA213" s="40"/>
      <c r="AB213" s="40"/>
      <c r="AC213" s="41"/>
      <c r="AD213" s="41"/>
      <c r="AE213" s="41"/>
      <c r="AF213" s="41"/>
      <c r="AG213" s="41"/>
      <c r="AH213" s="40"/>
      <c r="AI213" s="40"/>
      <c r="AJ213" s="5"/>
      <c r="AK213" s="5"/>
      <c r="AL213" s="40"/>
      <c r="AM213" s="40"/>
      <c r="AN213" s="40"/>
      <c r="AO213" s="40"/>
      <c r="AP213" s="40"/>
      <c r="AQ213" s="40"/>
      <c r="AR213" s="40"/>
      <c r="AS213" s="40"/>
      <c r="AU213" s="40"/>
      <c r="AW213" s="40"/>
    </row>
    <row r="214" spans="2:49" ht="12.75" customHeight="1" x14ac:dyDescent="0.15">
      <c r="B214" s="40"/>
      <c r="C214" s="40"/>
      <c r="D214" s="40"/>
      <c r="E214" s="40"/>
      <c r="F214" s="40"/>
      <c r="G214" s="40"/>
      <c r="H214" s="40"/>
      <c r="I214" s="53"/>
      <c r="S214" s="40"/>
      <c r="T214" s="40"/>
      <c r="U214" s="40"/>
      <c r="V214" s="40"/>
      <c r="W214" s="40"/>
      <c r="Y214" s="40"/>
      <c r="Z214" s="40"/>
      <c r="AA214" s="40"/>
      <c r="AB214" s="40"/>
      <c r="AC214" s="41"/>
      <c r="AD214" s="41"/>
      <c r="AE214" s="41"/>
      <c r="AF214" s="41"/>
      <c r="AG214" s="41"/>
      <c r="AH214" s="40"/>
      <c r="AI214" s="40"/>
      <c r="AJ214" s="5"/>
      <c r="AK214" s="5"/>
      <c r="AL214" s="40"/>
      <c r="AM214" s="40"/>
      <c r="AN214" s="40"/>
      <c r="AO214" s="40"/>
      <c r="AP214" s="40"/>
      <c r="AQ214" s="40"/>
      <c r="AR214" s="40"/>
      <c r="AS214" s="40"/>
      <c r="AU214" s="40"/>
      <c r="AW214" s="40"/>
    </row>
    <row r="215" spans="2:49" ht="12.75" customHeight="1" x14ac:dyDescent="0.15">
      <c r="B215" s="40"/>
      <c r="C215" s="40"/>
      <c r="D215" s="40"/>
      <c r="E215" s="40"/>
      <c r="F215" s="40"/>
      <c r="G215" s="40"/>
      <c r="H215" s="40"/>
      <c r="I215" s="53"/>
      <c r="S215" s="40"/>
      <c r="T215" s="40"/>
      <c r="U215" s="40"/>
      <c r="V215" s="40"/>
      <c r="W215" s="40"/>
      <c r="Y215" s="40"/>
      <c r="Z215" s="40"/>
      <c r="AA215" s="40"/>
      <c r="AB215" s="40"/>
      <c r="AC215" s="41"/>
      <c r="AD215" s="41"/>
      <c r="AE215" s="41"/>
      <c r="AF215" s="41"/>
      <c r="AG215" s="41"/>
      <c r="AH215" s="40"/>
      <c r="AI215" s="40"/>
      <c r="AJ215" s="5"/>
      <c r="AK215" s="5"/>
      <c r="AL215" s="40"/>
      <c r="AM215" s="40"/>
      <c r="AN215" s="40"/>
      <c r="AO215" s="40"/>
      <c r="AP215" s="40"/>
      <c r="AQ215" s="40"/>
      <c r="AR215" s="40"/>
      <c r="AS215" s="40"/>
      <c r="AU215" s="40"/>
      <c r="AW215" s="40"/>
    </row>
    <row r="216" spans="2:49" ht="12.75" customHeight="1" x14ac:dyDescent="0.15">
      <c r="B216" s="40"/>
      <c r="C216" s="40"/>
      <c r="D216" s="40"/>
      <c r="E216" s="40"/>
      <c r="F216" s="40"/>
      <c r="G216" s="40"/>
      <c r="H216" s="40"/>
      <c r="I216" s="53"/>
      <c r="S216" s="40"/>
      <c r="T216" s="40"/>
      <c r="U216" s="40"/>
      <c r="V216" s="40"/>
      <c r="W216" s="40"/>
      <c r="Y216" s="40"/>
      <c r="Z216" s="40"/>
      <c r="AA216" s="40"/>
      <c r="AB216" s="40"/>
      <c r="AC216" s="41"/>
      <c r="AD216" s="41"/>
      <c r="AE216" s="41"/>
      <c r="AF216" s="41"/>
      <c r="AG216" s="41"/>
      <c r="AH216" s="40"/>
      <c r="AI216" s="40"/>
      <c r="AJ216" s="5"/>
      <c r="AK216" s="5"/>
      <c r="AL216" s="40"/>
      <c r="AM216" s="40"/>
      <c r="AN216" s="40"/>
      <c r="AO216" s="40"/>
      <c r="AP216" s="40"/>
      <c r="AQ216" s="40"/>
      <c r="AR216" s="40"/>
      <c r="AS216" s="40"/>
      <c r="AU216" s="40"/>
      <c r="AW216" s="40"/>
    </row>
    <row r="217" spans="2:49" ht="12.75" customHeight="1" x14ac:dyDescent="0.15">
      <c r="B217" s="40"/>
      <c r="C217" s="40"/>
      <c r="D217" s="40"/>
      <c r="E217" s="40"/>
      <c r="F217" s="40"/>
      <c r="G217" s="40"/>
      <c r="H217" s="40"/>
      <c r="I217" s="53"/>
      <c r="S217" s="40"/>
      <c r="T217" s="40"/>
      <c r="U217" s="40"/>
      <c r="V217" s="40"/>
      <c r="W217" s="40"/>
      <c r="Y217" s="40"/>
      <c r="Z217" s="40"/>
      <c r="AA217" s="40"/>
      <c r="AB217" s="40"/>
      <c r="AC217" s="41"/>
      <c r="AD217" s="41"/>
      <c r="AE217" s="41"/>
      <c r="AF217" s="41"/>
      <c r="AG217" s="41"/>
      <c r="AH217" s="40"/>
      <c r="AI217" s="40"/>
      <c r="AJ217" s="5"/>
      <c r="AK217" s="5"/>
      <c r="AL217" s="40"/>
      <c r="AM217" s="40"/>
      <c r="AN217" s="40"/>
      <c r="AO217" s="40"/>
      <c r="AP217" s="40"/>
      <c r="AQ217" s="40"/>
      <c r="AR217" s="40"/>
      <c r="AS217" s="40"/>
      <c r="AU217" s="40"/>
      <c r="AW217" s="40"/>
    </row>
    <row r="218" spans="2:49" ht="12.75" customHeight="1" x14ac:dyDescent="0.15">
      <c r="B218" s="40"/>
      <c r="C218" s="40"/>
      <c r="D218" s="40"/>
      <c r="E218" s="40"/>
      <c r="F218" s="40"/>
      <c r="G218" s="40"/>
      <c r="H218" s="40"/>
      <c r="I218" s="53"/>
      <c r="S218" s="40"/>
      <c r="T218" s="40"/>
      <c r="U218" s="40"/>
      <c r="V218" s="40"/>
      <c r="W218" s="40"/>
      <c r="Y218" s="40"/>
      <c r="Z218" s="40"/>
      <c r="AA218" s="40"/>
      <c r="AB218" s="40"/>
      <c r="AC218" s="41"/>
      <c r="AD218" s="41"/>
      <c r="AE218" s="41"/>
      <c r="AF218" s="41"/>
      <c r="AG218" s="41"/>
      <c r="AH218" s="40"/>
      <c r="AI218" s="40"/>
      <c r="AJ218" s="5"/>
      <c r="AK218" s="5"/>
      <c r="AL218" s="40"/>
      <c r="AM218" s="40"/>
      <c r="AN218" s="40"/>
      <c r="AO218" s="40"/>
      <c r="AP218" s="40"/>
      <c r="AQ218" s="40"/>
      <c r="AR218" s="40"/>
      <c r="AS218" s="40"/>
      <c r="AU218" s="40"/>
      <c r="AW218" s="40"/>
    </row>
    <row r="219" spans="2:49" ht="12.75" customHeight="1" x14ac:dyDescent="0.15">
      <c r="B219" s="40"/>
      <c r="C219" s="40"/>
      <c r="D219" s="40"/>
      <c r="E219" s="40"/>
      <c r="F219" s="40"/>
      <c r="G219" s="40"/>
      <c r="H219" s="40"/>
      <c r="I219" s="53"/>
      <c r="S219" s="40"/>
      <c r="T219" s="40"/>
      <c r="U219" s="40"/>
      <c r="V219" s="40"/>
      <c r="W219" s="40"/>
      <c r="Y219" s="40"/>
      <c r="Z219" s="40"/>
      <c r="AA219" s="40"/>
      <c r="AB219" s="40"/>
      <c r="AC219" s="41"/>
      <c r="AD219" s="41"/>
      <c r="AE219" s="41"/>
      <c r="AF219" s="41"/>
      <c r="AG219" s="41"/>
      <c r="AH219" s="40"/>
      <c r="AI219" s="40"/>
      <c r="AJ219" s="5"/>
      <c r="AK219" s="5"/>
      <c r="AL219" s="40"/>
      <c r="AM219" s="40"/>
      <c r="AN219" s="40"/>
      <c r="AO219" s="40"/>
      <c r="AP219" s="40"/>
      <c r="AQ219" s="40"/>
      <c r="AR219" s="40"/>
      <c r="AS219" s="40"/>
      <c r="AU219" s="40"/>
      <c r="AW219" s="40"/>
    </row>
    <row r="220" spans="2:49" ht="12.75" customHeight="1" x14ac:dyDescent="0.15">
      <c r="B220" s="40"/>
      <c r="C220" s="40"/>
      <c r="D220" s="40"/>
      <c r="E220" s="40"/>
      <c r="F220" s="40"/>
      <c r="G220" s="40"/>
      <c r="H220" s="40"/>
      <c r="I220" s="53"/>
      <c r="S220" s="40"/>
      <c r="T220" s="40"/>
      <c r="U220" s="40"/>
      <c r="V220" s="40"/>
      <c r="W220" s="40"/>
      <c r="Y220" s="40"/>
      <c r="Z220" s="40"/>
      <c r="AA220" s="40"/>
      <c r="AB220" s="40"/>
      <c r="AC220" s="41"/>
      <c r="AD220" s="41"/>
      <c r="AE220" s="41"/>
      <c r="AF220" s="41"/>
      <c r="AG220" s="41"/>
      <c r="AH220" s="40"/>
      <c r="AI220" s="40"/>
      <c r="AJ220" s="5"/>
      <c r="AK220" s="5"/>
      <c r="AL220" s="40"/>
      <c r="AM220" s="40"/>
      <c r="AN220" s="40"/>
      <c r="AO220" s="40"/>
      <c r="AP220" s="40"/>
      <c r="AQ220" s="40"/>
      <c r="AR220" s="40"/>
      <c r="AS220" s="40"/>
      <c r="AU220" s="40"/>
      <c r="AW220" s="40"/>
    </row>
    <row r="221" spans="2:49" ht="12.75" customHeight="1" x14ac:dyDescent="0.15">
      <c r="B221" s="40"/>
      <c r="C221" s="40"/>
      <c r="D221" s="40"/>
      <c r="E221" s="40"/>
      <c r="F221" s="40"/>
      <c r="G221" s="40"/>
      <c r="H221" s="40"/>
      <c r="I221" s="53"/>
      <c r="S221" s="40"/>
      <c r="T221" s="40"/>
      <c r="U221" s="40"/>
      <c r="V221" s="40"/>
      <c r="W221" s="40"/>
      <c r="Y221" s="40"/>
      <c r="Z221" s="40"/>
      <c r="AA221" s="40"/>
      <c r="AB221" s="40"/>
      <c r="AC221" s="41"/>
      <c r="AD221" s="41"/>
      <c r="AE221" s="41"/>
      <c r="AF221" s="41"/>
      <c r="AG221" s="41"/>
      <c r="AH221" s="40"/>
      <c r="AI221" s="40"/>
      <c r="AJ221" s="5"/>
      <c r="AK221" s="5"/>
      <c r="AL221" s="40"/>
      <c r="AM221" s="40"/>
      <c r="AN221" s="40"/>
      <c r="AO221" s="40"/>
      <c r="AP221" s="40"/>
      <c r="AQ221" s="40"/>
      <c r="AR221" s="40"/>
      <c r="AS221" s="40"/>
      <c r="AU221" s="40"/>
      <c r="AW221" s="40"/>
    </row>
    <row r="222" spans="2:49" ht="12.75" customHeight="1" x14ac:dyDescent="0.15">
      <c r="B222" s="40"/>
      <c r="C222" s="40"/>
      <c r="D222" s="40"/>
      <c r="E222" s="40"/>
      <c r="F222" s="40"/>
      <c r="G222" s="40"/>
      <c r="H222" s="40"/>
      <c r="I222" s="53"/>
      <c r="S222" s="40"/>
      <c r="T222" s="40"/>
      <c r="U222" s="40"/>
      <c r="V222" s="40"/>
      <c r="W222" s="40"/>
      <c r="Y222" s="40"/>
      <c r="Z222" s="40"/>
      <c r="AA222" s="40"/>
      <c r="AB222" s="40"/>
      <c r="AC222" s="41"/>
      <c r="AD222" s="41"/>
      <c r="AE222" s="41"/>
      <c r="AF222" s="41"/>
      <c r="AG222" s="41"/>
      <c r="AH222" s="40"/>
      <c r="AI222" s="40"/>
      <c r="AJ222" s="5"/>
      <c r="AK222" s="5"/>
      <c r="AL222" s="40"/>
      <c r="AM222" s="40"/>
      <c r="AN222" s="40"/>
      <c r="AO222" s="40"/>
      <c r="AP222" s="40"/>
      <c r="AQ222" s="40"/>
      <c r="AR222" s="40"/>
      <c r="AS222" s="40"/>
      <c r="AU222" s="40"/>
      <c r="AW222" s="40"/>
    </row>
    <row r="223" spans="2:49" ht="12.75" customHeight="1" x14ac:dyDescent="0.15">
      <c r="B223" s="40"/>
      <c r="C223" s="40"/>
      <c r="D223" s="40"/>
      <c r="E223" s="40"/>
      <c r="F223" s="40"/>
      <c r="G223" s="40"/>
      <c r="H223" s="40"/>
      <c r="I223" s="53"/>
      <c r="S223" s="40"/>
      <c r="T223" s="40"/>
      <c r="U223" s="40"/>
      <c r="V223" s="40"/>
      <c r="W223" s="40"/>
      <c r="Y223" s="40"/>
      <c r="Z223" s="40"/>
      <c r="AA223" s="40"/>
      <c r="AB223" s="40"/>
      <c r="AC223" s="41"/>
      <c r="AD223" s="41"/>
      <c r="AE223" s="41"/>
      <c r="AF223" s="41"/>
      <c r="AG223" s="41"/>
      <c r="AH223" s="40"/>
      <c r="AI223" s="40"/>
      <c r="AJ223" s="5"/>
      <c r="AK223" s="5"/>
      <c r="AL223" s="40"/>
      <c r="AM223" s="40"/>
      <c r="AN223" s="40"/>
      <c r="AO223" s="40"/>
      <c r="AP223" s="40"/>
      <c r="AQ223" s="40"/>
      <c r="AR223" s="40"/>
      <c r="AS223" s="40"/>
      <c r="AU223" s="40"/>
      <c r="AW223" s="40"/>
    </row>
    <row r="224" spans="2:49" ht="12.75" customHeight="1" x14ac:dyDescent="0.15">
      <c r="B224" s="40"/>
      <c r="C224" s="40"/>
      <c r="D224" s="40"/>
      <c r="E224" s="40"/>
      <c r="F224" s="40"/>
      <c r="G224" s="40"/>
      <c r="H224" s="40"/>
      <c r="I224" s="53"/>
      <c r="S224" s="40"/>
      <c r="T224" s="40"/>
      <c r="U224" s="40"/>
      <c r="V224" s="40"/>
      <c r="W224" s="40"/>
      <c r="Y224" s="40"/>
      <c r="Z224" s="40"/>
      <c r="AA224" s="40"/>
      <c r="AB224" s="40"/>
      <c r="AC224" s="41"/>
      <c r="AD224" s="41"/>
      <c r="AE224" s="41"/>
      <c r="AF224" s="41"/>
      <c r="AG224" s="41"/>
      <c r="AH224" s="40"/>
      <c r="AI224" s="40"/>
      <c r="AJ224" s="5"/>
      <c r="AK224" s="5"/>
      <c r="AL224" s="40"/>
      <c r="AM224" s="40"/>
      <c r="AN224" s="40"/>
      <c r="AO224" s="40"/>
      <c r="AP224" s="40"/>
      <c r="AQ224" s="40"/>
      <c r="AR224" s="40"/>
      <c r="AS224" s="40"/>
      <c r="AU224" s="40"/>
      <c r="AW224" s="40"/>
    </row>
    <row r="225" spans="2:49" ht="12.75" customHeight="1" x14ac:dyDescent="0.15">
      <c r="B225" s="40"/>
      <c r="C225" s="40"/>
      <c r="D225" s="40"/>
      <c r="E225" s="40"/>
      <c r="F225" s="40"/>
      <c r="G225" s="40"/>
      <c r="H225" s="40"/>
      <c r="I225" s="53"/>
      <c r="S225" s="40"/>
      <c r="T225" s="40"/>
      <c r="U225" s="40"/>
      <c r="V225" s="40"/>
      <c r="W225" s="40"/>
      <c r="Y225" s="40"/>
      <c r="Z225" s="40"/>
      <c r="AA225" s="40"/>
      <c r="AB225" s="40"/>
      <c r="AC225" s="41"/>
      <c r="AD225" s="41"/>
      <c r="AE225" s="41"/>
      <c r="AF225" s="41"/>
      <c r="AG225" s="41"/>
      <c r="AH225" s="40"/>
      <c r="AI225" s="40"/>
      <c r="AJ225" s="5"/>
      <c r="AK225" s="5"/>
      <c r="AL225" s="40"/>
      <c r="AM225" s="40"/>
      <c r="AN225" s="40"/>
      <c r="AO225" s="40"/>
      <c r="AP225" s="40"/>
      <c r="AQ225" s="40"/>
      <c r="AR225" s="40"/>
      <c r="AS225" s="40"/>
      <c r="AU225" s="40"/>
      <c r="AW225" s="40"/>
    </row>
    <row r="226" spans="2:49" ht="12.75" customHeight="1" x14ac:dyDescent="0.15">
      <c r="B226" s="40"/>
      <c r="C226" s="40"/>
      <c r="D226" s="40"/>
      <c r="E226" s="40"/>
      <c r="F226" s="40"/>
      <c r="G226" s="40"/>
      <c r="H226" s="40"/>
      <c r="I226" s="53"/>
      <c r="S226" s="40"/>
      <c r="T226" s="40"/>
      <c r="U226" s="40"/>
      <c r="V226" s="40"/>
      <c r="W226" s="40"/>
      <c r="Y226" s="40"/>
      <c r="Z226" s="40"/>
      <c r="AA226" s="40"/>
      <c r="AB226" s="40"/>
      <c r="AC226" s="41"/>
      <c r="AD226" s="41"/>
      <c r="AE226" s="41"/>
      <c r="AF226" s="41"/>
      <c r="AG226" s="41"/>
      <c r="AH226" s="40"/>
      <c r="AI226" s="40"/>
      <c r="AJ226" s="5"/>
      <c r="AK226" s="5"/>
      <c r="AL226" s="40"/>
      <c r="AM226" s="40"/>
      <c r="AN226" s="40"/>
      <c r="AO226" s="40"/>
      <c r="AP226" s="40"/>
      <c r="AQ226" s="40"/>
      <c r="AR226" s="40"/>
      <c r="AS226" s="40"/>
      <c r="AU226" s="40"/>
      <c r="AW226" s="40"/>
    </row>
    <row r="227" spans="2:49" ht="12.75" customHeight="1" x14ac:dyDescent="0.15">
      <c r="B227" s="40"/>
      <c r="C227" s="40"/>
      <c r="D227" s="40"/>
      <c r="E227" s="40"/>
      <c r="F227" s="40"/>
      <c r="G227" s="40"/>
      <c r="H227" s="40"/>
      <c r="I227" s="53"/>
      <c r="S227" s="40"/>
      <c r="T227" s="40"/>
      <c r="U227" s="40"/>
      <c r="V227" s="40"/>
      <c r="W227" s="40"/>
      <c r="Y227" s="40"/>
      <c r="Z227" s="40"/>
      <c r="AA227" s="40"/>
      <c r="AB227" s="40"/>
      <c r="AC227" s="41"/>
      <c r="AD227" s="41"/>
      <c r="AE227" s="41"/>
      <c r="AF227" s="41"/>
      <c r="AG227" s="41"/>
      <c r="AH227" s="40"/>
      <c r="AI227" s="40"/>
      <c r="AJ227" s="5"/>
      <c r="AK227" s="5"/>
      <c r="AL227" s="40"/>
      <c r="AM227" s="40"/>
      <c r="AN227" s="40"/>
      <c r="AO227" s="40"/>
      <c r="AP227" s="40"/>
      <c r="AQ227" s="40"/>
      <c r="AR227" s="40"/>
      <c r="AS227" s="40"/>
      <c r="AU227" s="40"/>
      <c r="AW227" s="40"/>
    </row>
    <row r="228" spans="2:49" ht="12.75" customHeight="1" x14ac:dyDescent="0.15">
      <c r="B228" s="40"/>
      <c r="C228" s="40"/>
      <c r="D228" s="40"/>
      <c r="E228" s="40"/>
      <c r="F228" s="40"/>
      <c r="G228" s="40"/>
      <c r="H228" s="40"/>
      <c r="I228" s="53"/>
      <c r="S228" s="40"/>
      <c r="T228" s="40"/>
      <c r="U228" s="40"/>
      <c r="V228" s="40"/>
      <c r="W228" s="40"/>
      <c r="Y228" s="40"/>
      <c r="Z228" s="40"/>
      <c r="AA228" s="40"/>
      <c r="AB228" s="40"/>
      <c r="AC228" s="41"/>
      <c r="AD228" s="41"/>
      <c r="AE228" s="41"/>
      <c r="AF228" s="41"/>
      <c r="AG228" s="41"/>
      <c r="AH228" s="40"/>
      <c r="AI228" s="40"/>
      <c r="AJ228" s="5"/>
      <c r="AK228" s="5"/>
      <c r="AL228" s="40"/>
      <c r="AM228" s="40"/>
      <c r="AN228" s="40"/>
      <c r="AO228" s="40"/>
      <c r="AP228" s="40"/>
      <c r="AQ228" s="40"/>
      <c r="AR228" s="40"/>
      <c r="AS228" s="40"/>
      <c r="AU228" s="40"/>
      <c r="AW228" s="40"/>
    </row>
    <row r="229" spans="2:49" ht="12.75" customHeight="1" x14ac:dyDescent="0.15">
      <c r="B229" s="40"/>
      <c r="C229" s="40"/>
      <c r="D229" s="40"/>
      <c r="E229" s="40"/>
      <c r="F229" s="40"/>
      <c r="G229" s="40"/>
      <c r="H229" s="40"/>
      <c r="I229" s="53"/>
      <c r="S229" s="40"/>
      <c r="T229" s="40"/>
      <c r="U229" s="40"/>
      <c r="V229" s="40"/>
      <c r="W229" s="40"/>
      <c r="Y229" s="40"/>
      <c r="Z229" s="40"/>
      <c r="AA229" s="40"/>
      <c r="AB229" s="40"/>
      <c r="AC229" s="41"/>
      <c r="AD229" s="41"/>
      <c r="AE229" s="41"/>
      <c r="AF229" s="41"/>
      <c r="AG229" s="41"/>
      <c r="AH229" s="40"/>
      <c r="AI229" s="40"/>
      <c r="AJ229" s="5"/>
      <c r="AK229" s="5"/>
      <c r="AL229" s="40"/>
      <c r="AM229" s="40"/>
      <c r="AN229" s="40"/>
      <c r="AO229" s="40"/>
      <c r="AP229" s="40"/>
      <c r="AQ229" s="40"/>
      <c r="AR229" s="40"/>
      <c r="AS229" s="40"/>
      <c r="AU229" s="40"/>
      <c r="AW229" s="40"/>
    </row>
    <row r="230" spans="2:49" ht="12.75" customHeight="1" x14ac:dyDescent="0.15">
      <c r="B230" s="40"/>
      <c r="C230" s="40"/>
      <c r="D230" s="40"/>
      <c r="E230" s="40"/>
      <c r="F230" s="40"/>
      <c r="G230" s="40"/>
      <c r="H230" s="40"/>
      <c r="I230" s="53"/>
      <c r="S230" s="40"/>
      <c r="T230" s="40"/>
      <c r="U230" s="40"/>
      <c r="V230" s="40"/>
      <c r="W230" s="40"/>
      <c r="Y230" s="40"/>
      <c r="Z230" s="40"/>
      <c r="AA230" s="40"/>
      <c r="AB230" s="40"/>
      <c r="AC230" s="41"/>
      <c r="AD230" s="41"/>
      <c r="AE230" s="41"/>
      <c r="AF230" s="41"/>
      <c r="AG230" s="41"/>
      <c r="AH230" s="40"/>
      <c r="AI230" s="40"/>
      <c r="AJ230" s="5"/>
      <c r="AK230" s="5"/>
      <c r="AL230" s="40"/>
      <c r="AM230" s="40"/>
      <c r="AN230" s="40"/>
      <c r="AO230" s="40"/>
      <c r="AP230" s="40"/>
      <c r="AQ230" s="40"/>
      <c r="AR230" s="40"/>
      <c r="AS230" s="40"/>
      <c r="AU230" s="40"/>
      <c r="AW230" s="40"/>
    </row>
    <row r="231" spans="2:49" ht="12.75" customHeight="1" x14ac:dyDescent="0.15">
      <c r="B231" s="40"/>
      <c r="C231" s="40"/>
      <c r="D231" s="40"/>
      <c r="E231" s="40"/>
      <c r="F231" s="40"/>
      <c r="G231" s="40"/>
      <c r="H231" s="40"/>
      <c r="I231" s="53"/>
      <c r="S231" s="40"/>
      <c r="T231" s="40"/>
      <c r="U231" s="40"/>
      <c r="V231" s="40"/>
      <c r="W231" s="40"/>
      <c r="Y231" s="40"/>
      <c r="Z231" s="40"/>
      <c r="AA231" s="40"/>
      <c r="AB231" s="40"/>
      <c r="AC231" s="41"/>
      <c r="AD231" s="41"/>
      <c r="AE231" s="41"/>
      <c r="AF231" s="41"/>
      <c r="AG231" s="41"/>
      <c r="AH231" s="40"/>
      <c r="AI231" s="40"/>
      <c r="AJ231" s="5"/>
      <c r="AK231" s="5"/>
      <c r="AL231" s="40"/>
      <c r="AM231" s="40"/>
      <c r="AN231" s="40"/>
      <c r="AO231" s="40"/>
      <c r="AP231" s="40"/>
      <c r="AQ231" s="40"/>
      <c r="AR231" s="40"/>
      <c r="AS231" s="40"/>
      <c r="AU231" s="40"/>
      <c r="AW231" s="40"/>
    </row>
    <row r="232" spans="2:49" ht="12.75" customHeight="1" x14ac:dyDescent="0.15">
      <c r="B232" s="40"/>
      <c r="C232" s="40"/>
      <c r="D232" s="40"/>
      <c r="E232" s="40"/>
      <c r="F232" s="40"/>
      <c r="G232" s="40"/>
      <c r="H232" s="40"/>
      <c r="I232" s="53"/>
      <c r="S232" s="40"/>
      <c r="T232" s="40"/>
      <c r="U232" s="40"/>
      <c r="V232" s="40"/>
      <c r="W232" s="40"/>
      <c r="Y232" s="40"/>
      <c r="Z232" s="40"/>
      <c r="AA232" s="40"/>
      <c r="AB232" s="40"/>
      <c r="AC232" s="41"/>
      <c r="AD232" s="41"/>
      <c r="AE232" s="41"/>
      <c r="AF232" s="41"/>
      <c r="AG232" s="41"/>
      <c r="AH232" s="40"/>
      <c r="AI232" s="40"/>
      <c r="AJ232" s="5"/>
      <c r="AK232" s="5"/>
      <c r="AL232" s="40"/>
      <c r="AM232" s="40"/>
      <c r="AN232" s="40"/>
      <c r="AO232" s="40"/>
      <c r="AP232" s="40"/>
      <c r="AQ232" s="40"/>
      <c r="AR232" s="40"/>
      <c r="AS232" s="40"/>
      <c r="AU232" s="40"/>
      <c r="AW232" s="40"/>
    </row>
    <row r="233" spans="2:49" ht="12.75" customHeight="1" x14ac:dyDescent="0.15">
      <c r="B233" s="40"/>
      <c r="C233" s="40"/>
      <c r="D233" s="40"/>
      <c r="E233" s="40"/>
      <c r="F233" s="40"/>
      <c r="G233" s="40"/>
      <c r="H233" s="40"/>
      <c r="I233" s="53"/>
      <c r="S233" s="40"/>
      <c r="T233" s="40"/>
      <c r="U233" s="40"/>
      <c r="V233" s="40"/>
      <c r="W233" s="40"/>
      <c r="Y233" s="40"/>
      <c r="Z233" s="40"/>
      <c r="AA233" s="40"/>
      <c r="AB233" s="40"/>
      <c r="AC233" s="41"/>
      <c r="AD233" s="41"/>
      <c r="AE233" s="41"/>
      <c r="AF233" s="41"/>
      <c r="AG233" s="41"/>
      <c r="AH233" s="40"/>
      <c r="AI233" s="40"/>
      <c r="AJ233" s="5"/>
      <c r="AK233" s="5"/>
      <c r="AL233" s="40"/>
      <c r="AM233" s="40"/>
      <c r="AN233" s="40"/>
      <c r="AO233" s="40"/>
      <c r="AP233" s="40"/>
      <c r="AQ233" s="40"/>
      <c r="AR233" s="40"/>
      <c r="AS233" s="40"/>
      <c r="AU233" s="40"/>
      <c r="AW233" s="40"/>
    </row>
    <row r="234" spans="2:49" ht="12.75" customHeight="1" x14ac:dyDescent="0.15">
      <c r="B234" s="40"/>
      <c r="C234" s="40"/>
      <c r="D234" s="40"/>
      <c r="E234" s="40"/>
      <c r="F234" s="40"/>
      <c r="G234" s="40"/>
      <c r="H234" s="40"/>
      <c r="I234" s="53"/>
      <c r="S234" s="40"/>
      <c r="T234" s="40"/>
      <c r="U234" s="40"/>
      <c r="V234" s="40"/>
      <c r="W234" s="40"/>
      <c r="Y234" s="40"/>
      <c r="Z234" s="40"/>
      <c r="AA234" s="40"/>
      <c r="AB234" s="40"/>
      <c r="AC234" s="41"/>
      <c r="AD234" s="41"/>
      <c r="AE234" s="41"/>
      <c r="AF234" s="41"/>
      <c r="AG234" s="41"/>
      <c r="AH234" s="40"/>
      <c r="AI234" s="40"/>
      <c r="AJ234" s="5"/>
      <c r="AK234" s="5"/>
      <c r="AL234" s="40"/>
      <c r="AM234" s="40"/>
      <c r="AN234" s="40"/>
      <c r="AO234" s="40"/>
      <c r="AP234" s="40"/>
      <c r="AQ234" s="40"/>
      <c r="AR234" s="40"/>
      <c r="AS234" s="40"/>
      <c r="AU234" s="40"/>
      <c r="AW234" s="40"/>
    </row>
    <row r="235" spans="2:49" ht="12.75" customHeight="1" x14ac:dyDescent="0.15">
      <c r="B235" s="40"/>
      <c r="C235" s="40"/>
      <c r="D235" s="40"/>
      <c r="E235" s="40"/>
      <c r="F235" s="40"/>
      <c r="G235" s="40"/>
      <c r="H235" s="40"/>
      <c r="I235" s="53"/>
      <c r="S235" s="40"/>
      <c r="T235" s="40"/>
      <c r="U235" s="40"/>
      <c r="V235" s="40"/>
      <c r="W235" s="40"/>
      <c r="Y235" s="40"/>
      <c r="Z235" s="40"/>
      <c r="AA235" s="40"/>
      <c r="AB235" s="40"/>
      <c r="AC235" s="41"/>
      <c r="AD235" s="41"/>
      <c r="AE235" s="41"/>
      <c r="AF235" s="41"/>
      <c r="AG235" s="41"/>
      <c r="AH235" s="40"/>
      <c r="AI235" s="40"/>
      <c r="AJ235" s="5"/>
      <c r="AK235" s="5"/>
      <c r="AL235" s="40"/>
      <c r="AM235" s="40"/>
      <c r="AN235" s="40"/>
      <c r="AO235" s="40"/>
      <c r="AP235" s="40"/>
      <c r="AQ235" s="40"/>
      <c r="AR235" s="40"/>
      <c r="AS235" s="40"/>
      <c r="AU235" s="40"/>
      <c r="AW235" s="40"/>
    </row>
    <row r="236" spans="2:49" ht="12.75" customHeight="1" x14ac:dyDescent="0.15">
      <c r="B236" s="40"/>
      <c r="C236" s="40"/>
      <c r="D236" s="40"/>
      <c r="E236" s="40"/>
      <c r="F236" s="40"/>
      <c r="G236" s="40"/>
      <c r="H236" s="40"/>
      <c r="I236" s="53"/>
      <c r="S236" s="40"/>
      <c r="T236" s="40"/>
      <c r="U236" s="40"/>
      <c r="V236" s="40"/>
      <c r="W236" s="40"/>
      <c r="Y236" s="40"/>
      <c r="Z236" s="40"/>
      <c r="AA236" s="40"/>
      <c r="AB236" s="40"/>
      <c r="AC236" s="41"/>
      <c r="AD236" s="41"/>
      <c r="AE236" s="41"/>
      <c r="AF236" s="41"/>
      <c r="AG236" s="41"/>
      <c r="AH236" s="40"/>
      <c r="AI236" s="40"/>
      <c r="AJ236" s="5"/>
      <c r="AK236" s="5"/>
      <c r="AL236" s="40"/>
      <c r="AM236" s="40"/>
      <c r="AN236" s="40"/>
      <c r="AO236" s="40"/>
      <c r="AP236" s="40"/>
      <c r="AQ236" s="40"/>
      <c r="AR236" s="40"/>
      <c r="AS236" s="40"/>
      <c r="AU236" s="40"/>
      <c r="AW236" s="40"/>
    </row>
    <row r="237" spans="2:49" ht="12.75" customHeight="1" x14ac:dyDescent="0.15">
      <c r="B237" s="40"/>
      <c r="C237" s="40"/>
      <c r="D237" s="40"/>
      <c r="E237" s="40"/>
      <c r="F237" s="40"/>
      <c r="G237" s="40"/>
      <c r="H237" s="40"/>
      <c r="I237" s="53"/>
      <c r="S237" s="40"/>
      <c r="T237" s="40"/>
      <c r="U237" s="40"/>
      <c r="V237" s="40"/>
      <c r="W237" s="40"/>
      <c r="Y237" s="40"/>
      <c r="Z237" s="40"/>
      <c r="AA237" s="40"/>
      <c r="AB237" s="40"/>
      <c r="AC237" s="41"/>
      <c r="AD237" s="41"/>
      <c r="AE237" s="41"/>
      <c r="AF237" s="41"/>
      <c r="AG237" s="41"/>
      <c r="AH237" s="40"/>
      <c r="AI237" s="40"/>
      <c r="AJ237" s="5"/>
      <c r="AK237" s="5"/>
      <c r="AL237" s="40"/>
      <c r="AM237" s="40"/>
      <c r="AN237" s="40"/>
      <c r="AO237" s="40"/>
      <c r="AP237" s="40"/>
      <c r="AQ237" s="40"/>
      <c r="AR237" s="40"/>
      <c r="AS237" s="40"/>
      <c r="AU237" s="40"/>
      <c r="AW237" s="40"/>
    </row>
    <row r="238" spans="2:49" ht="12.75" customHeight="1" x14ac:dyDescent="0.15">
      <c r="B238" s="40"/>
      <c r="C238" s="40"/>
      <c r="D238" s="40"/>
      <c r="E238" s="40"/>
      <c r="F238" s="40"/>
      <c r="G238" s="40"/>
      <c r="H238" s="40"/>
      <c r="I238" s="53"/>
      <c r="S238" s="40"/>
      <c r="T238" s="40"/>
      <c r="U238" s="40"/>
      <c r="V238" s="40"/>
      <c r="W238" s="40"/>
      <c r="Y238" s="40"/>
      <c r="Z238" s="40"/>
      <c r="AA238" s="40"/>
      <c r="AB238" s="40"/>
      <c r="AC238" s="41"/>
      <c r="AD238" s="41"/>
      <c r="AE238" s="41"/>
      <c r="AF238" s="41"/>
      <c r="AG238" s="41"/>
      <c r="AH238" s="40"/>
      <c r="AI238" s="40"/>
      <c r="AJ238" s="5"/>
      <c r="AK238" s="5"/>
      <c r="AL238" s="40"/>
      <c r="AM238" s="40"/>
      <c r="AN238" s="40"/>
      <c r="AO238" s="40"/>
      <c r="AP238" s="40"/>
      <c r="AQ238" s="40"/>
      <c r="AR238" s="40"/>
      <c r="AS238" s="40"/>
      <c r="AU238" s="40"/>
      <c r="AW238" s="40"/>
    </row>
    <row r="239" spans="2:49" ht="12.75" customHeight="1" x14ac:dyDescent="0.15">
      <c r="B239" s="40"/>
      <c r="C239" s="40"/>
      <c r="D239" s="40"/>
      <c r="E239" s="40"/>
      <c r="F239" s="40"/>
      <c r="G239" s="40"/>
      <c r="H239" s="40"/>
      <c r="I239" s="53"/>
      <c r="S239" s="40"/>
      <c r="T239" s="40"/>
      <c r="U239" s="40"/>
      <c r="V239" s="40"/>
      <c r="W239" s="40"/>
      <c r="Y239" s="40"/>
      <c r="Z239" s="40"/>
      <c r="AA239" s="40"/>
      <c r="AB239" s="40"/>
      <c r="AC239" s="41"/>
      <c r="AD239" s="41"/>
      <c r="AE239" s="41"/>
      <c r="AF239" s="41"/>
      <c r="AG239" s="41"/>
      <c r="AH239" s="40"/>
      <c r="AI239" s="40"/>
      <c r="AJ239" s="5"/>
      <c r="AK239" s="5"/>
      <c r="AL239" s="40"/>
      <c r="AM239" s="40"/>
      <c r="AN239" s="40"/>
      <c r="AO239" s="40"/>
      <c r="AP239" s="40"/>
      <c r="AQ239" s="40"/>
      <c r="AR239" s="40"/>
      <c r="AS239" s="40"/>
      <c r="AU239" s="40"/>
      <c r="AW239" s="40"/>
    </row>
    <row r="240" spans="2:49" ht="12.75" customHeight="1" x14ac:dyDescent="0.15">
      <c r="B240" s="40"/>
      <c r="C240" s="40"/>
      <c r="D240" s="40"/>
      <c r="E240" s="40"/>
      <c r="F240" s="40"/>
      <c r="G240" s="40"/>
      <c r="H240" s="40"/>
      <c r="I240" s="53"/>
      <c r="S240" s="40"/>
      <c r="T240" s="40"/>
      <c r="U240" s="40"/>
      <c r="V240" s="40"/>
      <c r="W240" s="40"/>
      <c r="Y240" s="40"/>
      <c r="Z240" s="40"/>
      <c r="AA240" s="40"/>
      <c r="AB240" s="40"/>
      <c r="AC240" s="41"/>
      <c r="AD240" s="41"/>
      <c r="AE240" s="41"/>
      <c r="AF240" s="41"/>
      <c r="AG240" s="41"/>
      <c r="AH240" s="40"/>
      <c r="AI240" s="40"/>
      <c r="AJ240" s="5"/>
      <c r="AK240" s="5"/>
      <c r="AL240" s="40"/>
      <c r="AM240" s="40"/>
      <c r="AN240" s="40"/>
      <c r="AO240" s="40"/>
      <c r="AP240" s="40"/>
      <c r="AQ240" s="40"/>
      <c r="AR240" s="40"/>
      <c r="AS240" s="40"/>
      <c r="AU240" s="40"/>
      <c r="AW240" s="40"/>
    </row>
    <row r="241" spans="2:49" ht="12.75" customHeight="1" x14ac:dyDescent="0.15">
      <c r="B241" s="40"/>
      <c r="C241" s="40"/>
      <c r="D241" s="40"/>
      <c r="E241" s="40"/>
      <c r="F241" s="40"/>
      <c r="G241" s="40"/>
      <c r="H241" s="40"/>
      <c r="I241" s="53"/>
      <c r="S241" s="40"/>
      <c r="T241" s="40"/>
      <c r="U241" s="40"/>
      <c r="V241" s="40"/>
      <c r="W241" s="40"/>
      <c r="Y241" s="40"/>
      <c r="Z241" s="40"/>
      <c r="AA241" s="40"/>
      <c r="AB241" s="40"/>
      <c r="AC241" s="41"/>
      <c r="AD241" s="41"/>
      <c r="AE241" s="41"/>
      <c r="AF241" s="41"/>
      <c r="AG241" s="41"/>
      <c r="AH241" s="40"/>
      <c r="AI241" s="40"/>
      <c r="AJ241" s="5"/>
      <c r="AK241" s="5"/>
      <c r="AL241" s="40"/>
      <c r="AM241" s="40"/>
      <c r="AN241" s="40"/>
      <c r="AO241" s="40"/>
      <c r="AP241" s="40"/>
      <c r="AQ241" s="40"/>
      <c r="AR241" s="40"/>
      <c r="AS241" s="40"/>
      <c r="AU241" s="40"/>
      <c r="AW241" s="40"/>
    </row>
    <row r="242" spans="2:49" ht="12.75" customHeight="1" x14ac:dyDescent="0.15">
      <c r="B242" s="40"/>
      <c r="C242" s="40"/>
      <c r="D242" s="40"/>
      <c r="E242" s="40"/>
      <c r="F242" s="40"/>
      <c r="G242" s="40"/>
      <c r="H242" s="40"/>
      <c r="I242" s="53"/>
      <c r="S242" s="40"/>
      <c r="T242" s="40"/>
      <c r="U242" s="40"/>
      <c r="V242" s="40"/>
      <c r="W242" s="40"/>
      <c r="Y242" s="40"/>
      <c r="Z242" s="40"/>
      <c r="AA242" s="40"/>
      <c r="AB242" s="40"/>
      <c r="AC242" s="41"/>
      <c r="AD242" s="41"/>
      <c r="AE242" s="41"/>
      <c r="AF242" s="41"/>
      <c r="AG242" s="41"/>
      <c r="AH242" s="40"/>
      <c r="AI242" s="40"/>
      <c r="AJ242" s="5"/>
      <c r="AK242" s="5"/>
      <c r="AL242" s="40"/>
      <c r="AM242" s="40"/>
      <c r="AN242" s="40"/>
      <c r="AO242" s="40"/>
      <c r="AP242" s="40"/>
      <c r="AQ242" s="40"/>
      <c r="AR242" s="40"/>
      <c r="AS242" s="40"/>
      <c r="AU242" s="40"/>
      <c r="AW242" s="40"/>
    </row>
    <row r="243" spans="2:49" ht="12.75" customHeight="1" x14ac:dyDescent="0.15">
      <c r="B243" s="40"/>
      <c r="C243" s="40"/>
      <c r="D243" s="40"/>
      <c r="E243" s="40"/>
      <c r="F243" s="40"/>
      <c r="G243" s="40"/>
      <c r="H243" s="40"/>
      <c r="I243" s="53"/>
      <c r="S243" s="40"/>
      <c r="T243" s="40"/>
      <c r="U243" s="40"/>
      <c r="V243" s="40"/>
      <c r="W243" s="40"/>
      <c r="Y243" s="40"/>
      <c r="Z243" s="40"/>
      <c r="AA243" s="40"/>
      <c r="AB243" s="40"/>
      <c r="AC243" s="41"/>
      <c r="AD243" s="41"/>
      <c r="AE243" s="41"/>
      <c r="AF243" s="41"/>
      <c r="AG243" s="41"/>
      <c r="AH243" s="40"/>
      <c r="AI243" s="40"/>
      <c r="AJ243" s="5"/>
      <c r="AK243" s="5"/>
      <c r="AL243" s="40"/>
      <c r="AM243" s="40"/>
      <c r="AN243" s="40"/>
      <c r="AO243" s="40"/>
      <c r="AP243" s="40"/>
      <c r="AQ243" s="40"/>
      <c r="AR243" s="40"/>
      <c r="AS243" s="40"/>
      <c r="AU243" s="40"/>
      <c r="AW243" s="40"/>
    </row>
    <row r="244" spans="2:49" ht="12.75" customHeight="1" x14ac:dyDescent="0.15">
      <c r="B244" s="40"/>
      <c r="C244" s="40"/>
      <c r="D244" s="40"/>
      <c r="E244" s="40"/>
      <c r="F244" s="40"/>
      <c r="G244" s="40"/>
      <c r="H244" s="40"/>
      <c r="I244" s="53"/>
      <c r="S244" s="40"/>
      <c r="T244" s="40"/>
      <c r="U244" s="40"/>
      <c r="V244" s="40"/>
      <c r="W244" s="40"/>
      <c r="Y244" s="40"/>
      <c r="Z244" s="40"/>
      <c r="AA244" s="40"/>
      <c r="AB244" s="40"/>
      <c r="AC244" s="41"/>
      <c r="AD244" s="41"/>
      <c r="AE244" s="41"/>
      <c r="AF244" s="41"/>
      <c r="AG244" s="41"/>
      <c r="AH244" s="40"/>
      <c r="AI244" s="40"/>
      <c r="AJ244" s="5"/>
      <c r="AK244" s="5"/>
      <c r="AL244" s="40"/>
      <c r="AM244" s="40"/>
      <c r="AN244" s="40"/>
      <c r="AO244" s="40"/>
      <c r="AP244" s="40"/>
      <c r="AQ244" s="40"/>
      <c r="AR244" s="40"/>
      <c r="AS244" s="40"/>
      <c r="AU244" s="40"/>
      <c r="AW244" s="40"/>
    </row>
    <row r="245" spans="2:49" ht="12.75" customHeight="1" x14ac:dyDescent="0.15">
      <c r="B245" s="40"/>
      <c r="C245" s="40"/>
      <c r="D245" s="40"/>
      <c r="E245" s="40"/>
      <c r="F245" s="40"/>
      <c r="G245" s="40"/>
      <c r="H245" s="40"/>
      <c r="I245" s="53"/>
      <c r="S245" s="40"/>
      <c r="T245" s="40"/>
      <c r="U245" s="40"/>
      <c r="V245" s="40"/>
      <c r="W245" s="40"/>
      <c r="Y245" s="40"/>
      <c r="Z245" s="40"/>
      <c r="AA245" s="40"/>
      <c r="AB245" s="40"/>
      <c r="AC245" s="41"/>
      <c r="AD245" s="41"/>
      <c r="AE245" s="41"/>
      <c r="AF245" s="41"/>
      <c r="AG245" s="41"/>
      <c r="AH245" s="40"/>
      <c r="AI245" s="40"/>
      <c r="AJ245" s="5"/>
      <c r="AK245" s="5"/>
      <c r="AL245" s="40"/>
      <c r="AM245" s="40"/>
      <c r="AN245" s="40"/>
      <c r="AO245" s="40"/>
      <c r="AP245" s="40"/>
      <c r="AQ245" s="40"/>
      <c r="AR245" s="40"/>
      <c r="AS245" s="40"/>
      <c r="AU245" s="40"/>
      <c r="AW245" s="40"/>
    </row>
    <row r="246" spans="2:49" ht="12.75" customHeight="1" x14ac:dyDescent="0.15">
      <c r="B246" s="40"/>
      <c r="C246" s="40"/>
      <c r="D246" s="40"/>
      <c r="E246" s="40"/>
      <c r="F246" s="40"/>
      <c r="G246" s="40"/>
      <c r="H246" s="40"/>
      <c r="I246" s="53"/>
      <c r="S246" s="40"/>
      <c r="T246" s="40"/>
      <c r="U246" s="40"/>
      <c r="V246" s="40"/>
      <c r="W246" s="40"/>
      <c r="Y246" s="40"/>
      <c r="Z246" s="40"/>
      <c r="AA246" s="40"/>
      <c r="AB246" s="40"/>
      <c r="AC246" s="41"/>
      <c r="AD246" s="41"/>
      <c r="AE246" s="41"/>
      <c r="AF246" s="41"/>
      <c r="AG246" s="41"/>
      <c r="AH246" s="40"/>
      <c r="AI246" s="40"/>
      <c r="AJ246" s="5"/>
      <c r="AK246" s="5"/>
      <c r="AL246" s="40"/>
      <c r="AM246" s="40"/>
      <c r="AN246" s="40"/>
      <c r="AO246" s="40"/>
      <c r="AP246" s="40"/>
      <c r="AQ246" s="40"/>
      <c r="AR246" s="40"/>
      <c r="AS246" s="40"/>
      <c r="AU246" s="40"/>
      <c r="AW246" s="40"/>
    </row>
    <row r="247" spans="2:49" ht="12.75" customHeight="1" x14ac:dyDescent="0.15">
      <c r="B247" s="40"/>
      <c r="C247" s="40"/>
      <c r="D247" s="40"/>
      <c r="E247" s="40"/>
      <c r="F247" s="40"/>
      <c r="G247" s="40"/>
      <c r="H247" s="40"/>
      <c r="I247" s="53"/>
      <c r="S247" s="40"/>
      <c r="T247" s="40"/>
      <c r="U247" s="40"/>
      <c r="V247" s="40"/>
      <c r="W247" s="40"/>
      <c r="Y247" s="40"/>
      <c r="Z247" s="40"/>
      <c r="AA247" s="40"/>
      <c r="AB247" s="40"/>
      <c r="AC247" s="41"/>
      <c r="AD247" s="41"/>
      <c r="AE247" s="41"/>
      <c r="AF247" s="41"/>
      <c r="AG247" s="41"/>
      <c r="AH247" s="40"/>
      <c r="AI247" s="40"/>
      <c r="AJ247" s="5"/>
      <c r="AK247" s="5"/>
      <c r="AL247" s="40"/>
      <c r="AM247" s="40"/>
      <c r="AN247" s="40"/>
      <c r="AO247" s="40"/>
      <c r="AP247" s="40"/>
      <c r="AQ247" s="40"/>
      <c r="AR247" s="40"/>
      <c r="AS247" s="40"/>
      <c r="AU247" s="40"/>
      <c r="AW247" s="40"/>
    </row>
    <row r="248" spans="2:49" ht="12.75" customHeight="1" x14ac:dyDescent="0.15">
      <c r="B248" s="40"/>
      <c r="C248" s="40"/>
      <c r="D248" s="40"/>
      <c r="E248" s="40"/>
      <c r="F248" s="40"/>
      <c r="G248" s="40"/>
      <c r="H248" s="40"/>
      <c r="I248" s="53"/>
      <c r="S248" s="40"/>
      <c r="T248" s="40"/>
      <c r="U248" s="40"/>
      <c r="V248" s="40"/>
      <c r="W248" s="40"/>
      <c r="Y248" s="40"/>
      <c r="Z248" s="40"/>
      <c r="AA248" s="40"/>
      <c r="AB248" s="40"/>
      <c r="AC248" s="41"/>
      <c r="AD248" s="41"/>
      <c r="AE248" s="41"/>
      <c r="AF248" s="41"/>
      <c r="AG248" s="41"/>
      <c r="AH248" s="40"/>
      <c r="AI248" s="40"/>
      <c r="AJ248" s="5"/>
      <c r="AK248" s="5"/>
      <c r="AL248" s="40"/>
      <c r="AM248" s="40"/>
      <c r="AN248" s="40"/>
      <c r="AO248" s="40"/>
      <c r="AP248" s="40"/>
      <c r="AQ248" s="40"/>
      <c r="AR248" s="40"/>
      <c r="AS248" s="40"/>
      <c r="AU248" s="40"/>
      <c r="AW248" s="40"/>
    </row>
    <row r="249" spans="2:49" ht="12.75" customHeight="1" x14ac:dyDescent="0.15">
      <c r="B249" s="40"/>
      <c r="C249" s="40"/>
      <c r="D249" s="40"/>
      <c r="E249" s="40"/>
      <c r="F249" s="40"/>
      <c r="G249" s="40"/>
      <c r="H249" s="40"/>
      <c r="I249" s="53"/>
      <c r="S249" s="40"/>
      <c r="T249" s="40"/>
      <c r="U249" s="40"/>
      <c r="V249" s="40"/>
      <c r="W249" s="40"/>
      <c r="Y249" s="40"/>
      <c r="Z249" s="40"/>
      <c r="AA249" s="40"/>
      <c r="AB249" s="40"/>
      <c r="AC249" s="41"/>
      <c r="AD249" s="41"/>
      <c r="AE249" s="41"/>
      <c r="AF249" s="41"/>
      <c r="AG249" s="41"/>
      <c r="AH249" s="40"/>
      <c r="AI249" s="40"/>
      <c r="AJ249" s="5"/>
      <c r="AK249" s="5"/>
      <c r="AL249" s="40"/>
      <c r="AM249" s="40"/>
      <c r="AN249" s="40"/>
      <c r="AO249" s="40"/>
      <c r="AP249" s="40"/>
      <c r="AQ249" s="40"/>
      <c r="AR249" s="40"/>
      <c r="AS249" s="40"/>
      <c r="AU249" s="40"/>
      <c r="AW249" s="40"/>
    </row>
    <row r="250" spans="2:49" ht="12.75" customHeight="1" x14ac:dyDescent="0.15">
      <c r="B250" s="40"/>
      <c r="C250" s="40"/>
      <c r="D250" s="40"/>
      <c r="E250" s="40"/>
      <c r="F250" s="40"/>
      <c r="G250" s="40"/>
      <c r="H250" s="40"/>
      <c r="I250" s="53"/>
      <c r="S250" s="40"/>
      <c r="T250" s="40"/>
      <c r="U250" s="40"/>
      <c r="V250" s="40"/>
      <c r="W250" s="40"/>
      <c r="Y250" s="40"/>
      <c r="Z250" s="40"/>
      <c r="AA250" s="40"/>
      <c r="AB250" s="40"/>
      <c r="AC250" s="41"/>
      <c r="AD250" s="41"/>
      <c r="AE250" s="41"/>
      <c r="AF250" s="41"/>
      <c r="AG250" s="41"/>
      <c r="AH250" s="40"/>
      <c r="AI250" s="40"/>
      <c r="AJ250" s="5"/>
      <c r="AK250" s="5"/>
      <c r="AL250" s="40"/>
      <c r="AM250" s="40"/>
      <c r="AN250" s="40"/>
      <c r="AO250" s="40"/>
      <c r="AP250" s="40"/>
      <c r="AQ250" s="40"/>
      <c r="AR250" s="40"/>
      <c r="AS250" s="40"/>
      <c r="AU250" s="40"/>
      <c r="AW250" s="40"/>
    </row>
    <row r="251" spans="2:49" ht="12.75" customHeight="1" x14ac:dyDescent="0.15">
      <c r="B251" s="40"/>
      <c r="C251" s="40"/>
      <c r="D251" s="40"/>
      <c r="E251" s="40"/>
      <c r="F251" s="40"/>
      <c r="G251" s="40"/>
      <c r="H251" s="40"/>
      <c r="I251" s="53"/>
      <c r="S251" s="40"/>
      <c r="T251" s="40"/>
      <c r="U251" s="40"/>
      <c r="V251" s="40"/>
      <c r="W251" s="40"/>
      <c r="Y251" s="40"/>
      <c r="Z251" s="40"/>
      <c r="AA251" s="40"/>
      <c r="AB251" s="40"/>
      <c r="AC251" s="41"/>
      <c r="AD251" s="41"/>
      <c r="AE251" s="41"/>
      <c r="AF251" s="41"/>
      <c r="AG251" s="41"/>
      <c r="AH251" s="40"/>
      <c r="AI251" s="40"/>
      <c r="AJ251" s="5"/>
      <c r="AK251" s="5"/>
      <c r="AL251" s="40"/>
      <c r="AM251" s="40"/>
      <c r="AN251" s="40"/>
      <c r="AO251" s="40"/>
      <c r="AP251" s="40"/>
      <c r="AQ251" s="40"/>
      <c r="AR251" s="40"/>
      <c r="AS251" s="40"/>
      <c r="AU251" s="40"/>
      <c r="AW251" s="40"/>
    </row>
    <row r="252" spans="2:49" ht="12.75" customHeight="1" x14ac:dyDescent="0.15">
      <c r="B252" s="40"/>
      <c r="C252" s="40"/>
      <c r="D252" s="40"/>
      <c r="E252" s="40"/>
      <c r="F252" s="40"/>
      <c r="G252" s="40"/>
      <c r="H252" s="40"/>
      <c r="I252" s="53"/>
      <c r="S252" s="40"/>
      <c r="T252" s="40"/>
      <c r="U252" s="40"/>
      <c r="V252" s="40"/>
      <c r="W252" s="40"/>
      <c r="Y252" s="40"/>
      <c r="Z252" s="40"/>
      <c r="AA252" s="40"/>
      <c r="AB252" s="40"/>
      <c r="AC252" s="41"/>
      <c r="AD252" s="41"/>
      <c r="AE252" s="41"/>
      <c r="AF252" s="41"/>
      <c r="AG252" s="41"/>
      <c r="AH252" s="40"/>
      <c r="AI252" s="40"/>
      <c r="AJ252" s="5"/>
      <c r="AK252" s="5"/>
      <c r="AL252" s="40"/>
      <c r="AM252" s="40"/>
      <c r="AN252" s="40"/>
      <c r="AO252" s="40"/>
      <c r="AP252" s="40"/>
      <c r="AQ252" s="40"/>
      <c r="AR252" s="40"/>
      <c r="AS252" s="40"/>
      <c r="AU252" s="40"/>
      <c r="AW252" s="40"/>
    </row>
    <row r="253" spans="2:49" ht="12.75" customHeight="1" x14ac:dyDescent="0.15">
      <c r="B253" s="40"/>
      <c r="C253" s="40"/>
      <c r="D253" s="40"/>
      <c r="E253" s="40"/>
      <c r="F253" s="40"/>
      <c r="G253" s="40"/>
      <c r="H253" s="40"/>
      <c r="I253" s="53"/>
      <c r="S253" s="40"/>
      <c r="T253" s="40"/>
      <c r="U253" s="40"/>
      <c r="V253" s="40"/>
      <c r="W253" s="40"/>
      <c r="Y253" s="40"/>
      <c r="Z253" s="40"/>
      <c r="AA253" s="40"/>
      <c r="AB253" s="40"/>
      <c r="AC253" s="41"/>
      <c r="AD253" s="41"/>
      <c r="AE253" s="41"/>
      <c r="AF253" s="41"/>
      <c r="AG253" s="41"/>
      <c r="AH253" s="40"/>
      <c r="AI253" s="40"/>
      <c r="AJ253" s="5"/>
      <c r="AK253" s="5"/>
      <c r="AL253" s="40"/>
      <c r="AM253" s="40"/>
      <c r="AN253" s="40"/>
      <c r="AO253" s="40"/>
      <c r="AP253" s="40"/>
      <c r="AQ253" s="40"/>
      <c r="AR253" s="40"/>
      <c r="AS253" s="40"/>
      <c r="AU253" s="40"/>
      <c r="AW253" s="40"/>
    </row>
    <row r="254" spans="2:49" ht="12.75" customHeight="1" x14ac:dyDescent="0.15">
      <c r="B254" s="40"/>
      <c r="C254" s="40"/>
      <c r="D254" s="40"/>
      <c r="E254" s="40"/>
      <c r="F254" s="40"/>
      <c r="G254" s="40"/>
      <c r="H254" s="40"/>
      <c r="I254" s="53"/>
      <c r="S254" s="40"/>
      <c r="T254" s="40"/>
      <c r="U254" s="40"/>
      <c r="V254" s="40"/>
      <c r="W254" s="40"/>
      <c r="Y254" s="40"/>
      <c r="Z254" s="40"/>
      <c r="AA254" s="40"/>
      <c r="AB254" s="40"/>
      <c r="AC254" s="41"/>
      <c r="AD254" s="41"/>
      <c r="AE254" s="41"/>
      <c r="AF254" s="41"/>
      <c r="AG254" s="41"/>
      <c r="AH254" s="40"/>
      <c r="AI254" s="40"/>
      <c r="AJ254" s="5"/>
      <c r="AK254" s="5"/>
      <c r="AL254" s="40"/>
      <c r="AM254" s="40"/>
      <c r="AN254" s="40"/>
      <c r="AO254" s="40"/>
      <c r="AP254" s="40"/>
      <c r="AQ254" s="40"/>
      <c r="AR254" s="40"/>
      <c r="AS254" s="40"/>
      <c r="AU254" s="40"/>
      <c r="AW254" s="40"/>
    </row>
    <row r="255" spans="2:49" ht="12.75" customHeight="1" x14ac:dyDescent="0.15">
      <c r="B255" s="40"/>
      <c r="C255" s="40"/>
      <c r="D255" s="40"/>
      <c r="E255" s="40"/>
      <c r="F255" s="40"/>
      <c r="G255" s="40"/>
      <c r="H255" s="40"/>
      <c r="I255" s="53"/>
      <c r="S255" s="40"/>
      <c r="T255" s="40"/>
      <c r="U255" s="40"/>
      <c r="V255" s="40"/>
      <c r="W255" s="40"/>
      <c r="Y255" s="40"/>
      <c r="Z255" s="40"/>
      <c r="AA255" s="40"/>
      <c r="AB255" s="40"/>
      <c r="AC255" s="41"/>
      <c r="AD255" s="41"/>
      <c r="AE255" s="41"/>
      <c r="AF255" s="41"/>
      <c r="AG255" s="41"/>
      <c r="AH255" s="40"/>
      <c r="AI255" s="40"/>
      <c r="AJ255" s="5"/>
      <c r="AK255" s="5"/>
      <c r="AL255" s="40"/>
      <c r="AM255" s="40"/>
      <c r="AN255" s="40"/>
      <c r="AO255" s="40"/>
      <c r="AP255" s="40"/>
      <c r="AQ255" s="40"/>
      <c r="AR255" s="40"/>
      <c r="AS255" s="40"/>
      <c r="AU255" s="40"/>
      <c r="AW255" s="40"/>
    </row>
    <row r="256" spans="2:49" ht="12.75" customHeight="1" x14ac:dyDescent="0.15">
      <c r="B256" s="40"/>
      <c r="C256" s="40"/>
      <c r="D256" s="40"/>
      <c r="E256" s="40"/>
      <c r="F256" s="40"/>
      <c r="G256" s="40"/>
      <c r="H256" s="40"/>
      <c r="I256" s="53"/>
      <c r="S256" s="40"/>
      <c r="T256" s="40"/>
      <c r="U256" s="40"/>
      <c r="V256" s="40"/>
      <c r="W256" s="40"/>
      <c r="Y256" s="40"/>
      <c r="Z256" s="40"/>
      <c r="AA256" s="40"/>
      <c r="AB256" s="40"/>
      <c r="AC256" s="41"/>
      <c r="AD256" s="41"/>
      <c r="AE256" s="41"/>
      <c r="AF256" s="41"/>
      <c r="AG256" s="41"/>
      <c r="AH256" s="40"/>
      <c r="AI256" s="40"/>
      <c r="AJ256" s="5"/>
      <c r="AK256" s="5"/>
      <c r="AL256" s="40"/>
      <c r="AM256" s="40"/>
      <c r="AN256" s="40"/>
      <c r="AO256" s="40"/>
      <c r="AP256" s="40"/>
      <c r="AQ256" s="40"/>
      <c r="AR256" s="40"/>
      <c r="AS256" s="40"/>
      <c r="AU256" s="40"/>
      <c r="AW256" s="40"/>
    </row>
    <row r="257" spans="2:49" ht="12.75" customHeight="1" x14ac:dyDescent="0.15">
      <c r="B257" s="40"/>
      <c r="C257" s="40"/>
      <c r="D257" s="40"/>
      <c r="E257" s="40"/>
      <c r="F257" s="40"/>
      <c r="G257" s="40"/>
      <c r="H257" s="40"/>
      <c r="I257" s="53"/>
      <c r="S257" s="40"/>
      <c r="T257" s="40"/>
      <c r="U257" s="40"/>
      <c r="V257" s="40"/>
      <c r="W257" s="40"/>
      <c r="Y257" s="40"/>
      <c r="Z257" s="40"/>
      <c r="AA257" s="40"/>
      <c r="AB257" s="40"/>
      <c r="AC257" s="41"/>
      <c r="AD257" s="41"/>
      <c r="AE257" s="41"/>
      <c r="AF257" s="41"/>
      <c r="AG257" s="41"/>
      <c r="AH257" s="40"/>
      <c r="AI257" s="40"/>
      <c r="AJ257" s="5"/>
      <c r="AK257" s="5"/>
      <c r="AL257" s="40"/>
      <c r="AM257" s="40"/>
      <c r="AN257" s="40"/>
      <c r="AO257" s="40"/>
      <c r="AP257" s="40"/>
      <c r="AQ257" s="40"/>
      <c r="AR257" s="40"/>
      <c r="AS257" s="40"/>
      <c r="AU257" s="40"/>
      <c r="AW257" s="40"/>
    </row>
    <row r="258" spans="2:49" ht="12.75" customHeight="1" x14ac:dyDescent="0.15">
      <c r="B258" s="40"/>
      <c r="C258" s="40"/>
      <c r="D258" s="40"/>
      <c r="E258" s="40"/>
      <c r="F258" s="40"/>
      <c r="G258" s="40"/>
      <c r="H258" s="40"/>
      <c r="I258" s="53"/>
      <c r="S258" s="40"/>
      <c r="T258" s="40"/>
      <c r="U258" s="40"/>
      <c r="V258" s="40"/>
      <c r="W258" s="40"/>
      <c r="Y258" s="40"/>
      <c r="Z258" s="40"/>
      <c r="AA258" s="40"/>
      <c r="AB258" s="40"/>
      <c r="AC258" s="41"/>
      <c r="AD258" s="41"/>
      <c r="AE258" s="41"/>
      <c r="AF258" s="41"/>
      <c r="AG258" s="41"/>
      <c r="AH258" s="40"/>
      <c r="AI258" s="40"/>
      <c r="AJ258" s="5"/>
      <c r="AK258" s="5"/>
      <c r="AL258" s="40"/>
      <c r="AM258" s="40"/>
      <c r="AN258" s="40"/>
      <c r="AO258" s="40"/>
      <c r="AP258" s="40"/>
      <c r="AQ258" s="40"/>
      <c r="AR258" s="40"/>
      <c r="AS258" s="40"/>
      <c r="AU258" s="40"/>
      <c r="AW258" s="40"/>
    </row>
    <row r="259" spans="2:49" ht="12.75" customHeight="1" x14ac:dyDescent="0.15">
      <c r="B259" s="40"/>
      <c r="C259" s="40"/>
      <c r="D259" s="40"/>
      <c r="E259" s="40"/>
      <c r="F259" s="40"/>
      <c r="G259" s="40"/>
      <c r="H259" s="40"/>
      <c r="I259" s="53"/>
      <c r="S259" s="40"/>
      <c r="T259" s="40"/>
      <c r="U259" s="40"/>
      <c r="V259" s="40"/>
      <c r="W259" s="40"/>
      <c r="Y259" s="40"/>
      <c r="Z259" s="40"/>
      <c r="AA259" s="40"/>
      <c r="AB259" s="40"/>
      <c r="AC259" s="41"/>
      <c r="AD259" s="41"/>
      <c r="AE259" s="41"/>
      <c r="AF259" s="41"/>
      <c r="AG259" s="41"/>
      <c r="AH259" s="40"/>
      <c r="AI259" s="40"/>
      <c r="AJ259" s="5"/>
      <c r="AK259" s="5"/>
      <c r="AL259" s="40"/>
      <c r="AM259" s="40"/>
      <c r="AN259" s="40"/>
      <c r="AO259" s="40"/>
      <c r="AP259" s="40"/>
      <c r="AQ259" s="40"/>
      <c r="AR259" s="40"/>
      <c r="AS259" s="40"/>
      <c r="AU259" s="40"/>
      <c r="AW259" s="40"/>
    </row>
    <row r="260" spans="2:49" ht="12.75" customHeight="1" x14ac:dyDescent="0.15">
      <c r="B260" s="40"/>
      <c r="C260" s="40"/>
      <c r="D260" s="40"/>
      <c r="E260" s="40"/>
      <c r="F260" s="40"/>
      <c r="G260" s="40"/>
      <c r="H260" s="40"/>
      <c r="I260" s="53"/>
      <c r="S260" s="40"/>
      <c r="T260" s="40"/>
      <c r="U260" s="40"/>
      <c r="V260" s="40"/>
      <c r="W260" s="40"/>
      <c r="Y260" s="40"/>
      <c r="Z260" s="40"/>
      <c r="AA260" s="40"/>
      <c r="AB260" s="40"/>
      <c r="AC260" s="41"/>
      <c r="AD260" s="41"/>
      <c r="AE260" s="41"/>
      <c r="AF260" s="41"/>
      <c r="AG260" s="41"/>
      <c r="AH260" s="40"/>
      <c r="AI260" s="40"/>
      <c r="AJ260" s="5"/>
      <c r="AK260" s="5"/>
      <c r="AL260" s="40"/>
      <c r="AM260" s="40"/>
      <c r="AN260" s="40"/>
      <c r="AO260" s="40"/>
      <c r="AP260" s="40"/>
      <c r="AQ260" s="40"/>
      <c r="AR260" s="40"/>
      <c r="AS260" s="40"/>
      <c r="AU260" s="40"/>
      <c r="AW260" s="40"/>
    </row>
    <row r="261" spans="2:49" ht="12.75" customHeight="1" x14ac:dyDescent="0.15">
      <c r="B261" s="40"/>
      <c r="C261" s="40"/>
      <c r="D261" s="40"/>
      <c r="E261" s="40"/>
      <c r="F261" s="40"/>
      <c r="G261" s="40"/>
      <c r="H261" s="40"/>
      <c r="I261" s="53"/>
      <c r="S261" s="40"/>
      <c r="T261" s="40"/>
      <c r="U261" s="40"/>
      <c r="V261" s="40"/>
      <c r="W261" s="40"/>
      <c r="Y261" s="40"/>
      <c r="Z261" s="40"/>
      <c r="AA261" s="40"/>
      <c r="AB261" s="40"/>
      <c r="AC261" s="41"/>
      <c r="AD261" s="41"/>
      <c r="AE261" s="41"/>
      <c r="AF261" s="41"/>
      <c r="AG261" s="41"/>
      <c r="AH261" s="40"/>
      <c r="AI261" s="40"/>
      <c r="AJ261" s="5"/>
      <c r="AK261" s="5"/>
      <c r="AL261" s="40"/>
      <c r="AM261" s="40"/>
      <c r="AN261" s="40"/>
      <c r="AO261" s="40"/>
      <c r="AP261" s="40"/>
      <c r="AQ261" s="40"/>
      <c r="AR261" s="40"/>
      <c r="AS261" s="40"/>
      <c r="AU261" s="40"/>
      <c r="AW261" s="40"/>
    </row>
    <row r="262" spans="2:49" ht="12.75" customHeight="1" x14ac:dyDescent="0.15">
      <c r="B262" s="40"/>
      <c r="C262" s="40"/>
      <c r="D262" s="40"/>
      <c r="E262" s="40"/>
      <c r="F262" s="40"/>
      <c r="G262" s="40"/>
      <c r="H262" s="40"/>
      <c r="I262" s="53"/>
      <c r="S262" s="40"/>
      <c r="T262" s="40"/>
      <c r="U262" s="40"/>
      <c r="V262" s="40"/>
      <c r="W262" s="40"/>
      <c r="Y262" s="40"/>
      <c r="Z262" s="40"/>
      <c r="AA262" s="40"/>
      <c r="AB262" s="40"/>
      <c r="AC262" s="41"/>
      <c r="AD262" s="41"/>
      <c r="AE262" s="41"/>
      <c r="AF262" s="41"/>
      <c r="AG262" s="41"/>
      <c r="AH262" s="40"/>
      <c r="AI262" s="40"/>
      <c r="AJ262" s="5"/>
      <c r="AK262" s="5"/>
      <c r="AL262" s="40"/>
      <c r="AM262" s="40"/>
      <c r="AN262" s="40"/>
      <c r="AO262" s="40"/>
      <c r="AP262" s="40"/>
      <c r="AQ262" s="40"/>
      <c r="AR262" s="40"/>
      <c r="AS262" s="40"/>
      <c r="AU262" s="40"/>
      <c r="AW262" s="40"/>
    </row>
    <row r="263" spans="2:49" ht="12.75" customHeight="1" x14ac:dyDescent="0.15">
      <c r="B263" s="40"/>
      <c r="C263" s="40"/>
      <c r="D263" s="40"/>
      <c r="E263" s="40"/>
      <c r="F263" s="40"/>
      <c r="G263" s="40"/>
      <c r="H263" s="40"/>
      <c r="I263" s="53"/>
      <c r="S263" s="40"/>
      <c r="T263" s="40"/>
      <c r="U263" s="40"/>
      <c r="V263" s="40"/>
      <c r="W263" s="40"/>
      <c r="Y263" s="40"/>
      <c r="Z263" s="40"/>
      <c r="AA263" s="40"/>
      <c r="AB263" s="40"/>
      <c r="AC263" s="41"/>
      <c r="AD263" s="41"/>
      <c r="AE263" s="41"/>
      <c r="AF263" s="41"/>
      <c r="AG263" s="41"/>
      <c r="AH263" s="40"/>
      <c r="AI263" s="40"/>
      <c r="AJ263" s="5"/>
      <c r="AK263" s="5"/>
      <c r="AL263" s="40"/>
      <c r="AM263" s="40"/>
      <c r="AN263" s="40"/>
      <c r="AO263" s="40"/>
      <c r="AP263" s="40"/>
      <c r="AQ263" s="40"/>
      <c r="AR263" s="40"/>
      <c r="AS263" s="40"/>
      <c r="AU263" s="40"/>
      <c r="AW263" s="40"/>
    </row>
    <row r="264" spans="2:49" ht="12.75" customHeight="1" x14ac:dyDescent="0.15">
      <c r="B264" s="40"/>
      <c r="C264" s="40"/>
      <c r="D264" s="40"/>
      <c r="E264" s="40"/>
      <c r="F264" s="40"/>
      <c r="G264" s="40"/>
      <c r="H264" s="40"/>
      <c r="I264" s="53"/>
      <c r="S264" s="40"/>
      <c r="T264" s="40"/>
      <c r="U264" s="40"/>
      <c r="V264" s="40"/>
      <c r="W264" s="40"/>
      <c r="Y264" s="40"/>
      <c r="Z264" s="40"/>
      <c r="AA264" s="40"/>
      <c r="AB264" s="40"/>
      <c r="AC264" s="41"/>
      <c r="AD264" s="41"/>
      <c r="AE264" s="41"/>
      <c r="AF264" s="41"/>
      <c r="AG264" s="41"/>
      <c r="AH264" s="40"/>
      <c r="AI264" s="40"/>
      <c r="AJ264" s="5"/>
      <c r="AK264" s="5"/>
      <c r="AL264" s="40"/>
      <c r="AM264" s="40"/>
      <c r="AN264" s="40"/>
      <c r="AO264" s="40"/>
      <c r="AP264" s="40"/>
      <c r="AQ264" s="40"/>
      <c r="AR264" s="40"/>
      <c r="AS264" s="40"/>
      <c r="AU264" s="40"/>
      <c r="AW264" s="40"/>
    </row>
    <row r="265" spans="2:49" ht="12.75" customHeight="1" x14ac:dyDescent="0.15">
      <c r="B265" s="40"/>
      <c r="C265" s="40"/>
      <c r="D265" s="40"/>
      <c r="E265" s="40"/>
      <c r="F265" s="40"/>
      <c r="G265" s="40"/>
      <c r="H265" s="40"/>
      <c r="I265" s="53"/>
      <c r="S265" s="40"/>
      <c r="T265" s="40"/>
      <c r="U265" s="40"/>
      <c r="V265" s="40"/>
      <c r="W265" s="40"/>
      <c r="Y265" s="40"/>
      <c r="Z265" s="40"/>
      <c r="AA265" s="40"/>
      <c r="AB265" s="40"/>
      <c r="AC265" s="41"/>
      <c r="AD265" s="41"/>
      <c r="AE265" s="41"/>
      <c r="AF265" s="41"/>
      <c r="AG265" s="41"/>
      <c r="AH265" s="40"/>
      <c r="AI265" s="40"/>
      <c r="AJ265" s="5"/>
      <c r="AK265" s="5"/>
      <c r="AL265" s="40"/>
      <c r="AM265" s="40"/>
      <c r="AN265" s="40"/>
      <c r="AO265" s="40"/>
      <c r="AP265" s="40"/>
      <c r="AQ265" s="40"/>
      <c r="AR265" s="40"/>
      <c r="AS265" s="40"/>
      <c r="AU265" s="40"/>
      <c r="AW265" s="40"/>
    </row>
    <row r="266" spans="2:49" ht="12.75" customHeight="1" x14ac:dyDescent="0.15">
      <c r="B266" s="40"/>
      <c r="C266" s="40"/>
      <c r="D266" s="40"/>
      <c r="E266" s="40"/>
      <c r="F266" s="40"/>
      <c r="G266" s="40"/>
      <c r="H266" s="40"/>
      <c r="I266" s="53"/>
      <c r="S266" s="40"/>
      <c r="T266" s="40"/>
      <c r="U266" s="40"/>
      <c r="V266" s="40"/>
      <c r="W266" s="40"/>
      <c r="Y266" s="40"/>
      <c r="Z266" s="40"/>
      <c r="AA266" s="40"/>
      <c r="AB266" s="40"/>
      <c r="AC266" s="41"/>
      <c r="AD266" s="41"/>
      <c r="AE266" s="41"/>
      <c r="AF266" s="41"/>
      <c r="AG266" s="41"/>
      <c r="AH266" s="40"/>
      <c r="AI266" s="40"/>
      <c r="AJ266" s="5"/>
      <c r="AK266" s="5"/>
      <c r="AL266" s="40"/>
      <c r="AM266" s="40"/>
      <c r="AN266" s="40"/>
      <c r="AO266" s="40"/>
      <c r="AP266" s="40"/>
      <c r="AQ266" s="40"/>
      <c r="AR266" s="40"/>
      <c r="AS266" s="40"/>
      <c r="AU266" s="40"/>
      <c r="AW266" s="40"/>
    </row>
    <row r="267" spans="2:49" ht="12.75" customHeight="1" x14ac:dyDescent="0.15">
      <c r="B267" s="40"/>
      <c r="C267" s="40"/>
      <c r="D267" s="40"/>
      <c r="E267" s="40"/>
      <c r="F267" s="40"/>
      <c r="G267" s="40"/>
      <c r="H267" s="40"/>
      <c r="I267" s="53"/>
      <c r="S267" s="40"/>
      <c r="T267" s="40"/>
      <c r="U267" s="40"/>
      <c r="V267" s="40"/>
      <c r="W267" s="40"/>
      <c r="Y267" s="40"/>
      <c r="Z267" s="40"/>
      <c r="AA267" s="40"/>
      <c r="AB267" s="40"/>
      <c r="AC267" s="41"/>
      <c r="AD267" s="41"/>
      <c r="AE267" s="41"/>
      <c r="AF267" s="41"/>
      <c r="AG267" s="41"/>
      <c r="AH267" s="40"/>
      <c r="AI267" s="40"/>
      <c r="AJ267" s="5"/>
      <c r="AK267" s="5"/>
      <c r="AL267" s="40"/>
      <c r="AM267" s="40"/>
      <c r="AN267" s="40"/>
      <c r="AO267" s="40"/>
      <c r="AP267" s="40"/>
      <c r="AQ267" s="40"/>
      <c r="AR267" s="40"/>
      <c r="AS267" s="40"/>
      <c r="AU267" s="40"/>
      <c r="AW267" s="40"/>
    </row>
    <row r="268" spans="2:49" ht="12.75" customHeight="1" x14ac:dyDescent="0.15">
      <c r="B268" s="40"/>
      <c r="C268" s="40"/>
      <c r="D268" s="40"/>
      <c r="E268" s="40"/>
      <c r="F268" s="40"/>
      <c r="G268" s="40"/>
      <c r="H268" s="40"/>
      <c r="I268" s="53"/>
      <c r="S268" s="40"/>
      <c r="T268" s="40"/>
      <c r="U268" s="40"/>
      <c r="V268" s="40"/>
      <c r="W268" s="40"/>
      <c r="Y268" s="40"/>
      <c r="Z268" s="40"/>
      <c r="AA268" s="40"/>
      <c r="AB268" s="40"/>
      <c r="AC268" s="41"/>
      <c r="AD268" s="41"/>
      <c r="AE268" s="41"/>
      <c r="AF268" s="41"/>
      <c r="AG268" s="41"/>
      <c r="AH268" s="40"/>
      <c r="AI268" s="40"/>
      <c r="AJ268" s="5"/>
      <c r="AK268" s="5"/>
      <c r="AL268" s="40"/>
      <c r="AM268" s="40"/>
      <c r="AN268" s="40"/>
      <c r="AO268" s="40"/>
      <c r="AP268" s="40"/>
      <c r="AQ268" s="40"/>
      <c r="AR268" s="40"/>
      <c r="AS268" s="40"/>
      <c r="AU268" s="40"/>
      <c r="AW268" s="40"/>
    </row>
    <row r="269" spans="2:49" ht="12.75" customHeight="1" x14ac:dyDescent="0.15">
      <c r="B269" s="40"/>
      <c r="C269" s="40"/>
      <c r="D269" s="40"/>
      <c r="E269" s="40"/>
      <c r="F269" s="40"/>
      <c r="G269" s="40"/>
      <c r="H269" s="40"/>
      <c r="I269" s="53"/>
      <c r="S269" s="40"/>
      <c r="T269" s="40"/>
      <c r="U269" s="40"/>
      <c r="V269" s="40"/>
      <c r="W269" s="40"/>
      <c r="Y269" s="40"/>
      <c r="Z269" s="40"/>
      <c r="AA269" s="40"/>
      <c r="AB269" s="40"/>
      <c r="AC269" s="41"/>
      <c r="AD269" s="41"/>
      <c r="AE269" s="41"/>
      <c r="AF269" s="41"/>
      <c r="AG269" s="41"/>
      <c r="AH269" s="40"/>
      <c r="AI269" s="40"/>
      <c r="AJ269" s="5"/>
      <c r="AK269" s="5"/>
      <c r="AL269" s="40"/>
      <c r="AM269" s="40"/>
      <c r="AN269" s="40"/>
      <c r="AO269" s="40"/>
      <c r="AP269" s="40"/>
      <c r="AQ269" s="40"/>
      <c r="AR269" s="40"/>
      <c r="AS269" s="40"/>
      <c r="AU269" s="40"/>
      <c r="AW269" s="40"/>
    </row>
    <row r="270" spans="2:49" ht="12.75" customHeight="1" x14ac:dyDescent="0.15">
      <c r="B270" s="40"/>
      <c r="C270" s="40"/>
      <c r="D270" s="40"/>
      <c r="E270" s="40"/>
      <c r="F270" s="40"/>
      <c r="G270" s="40"/>
      <c r="H270" s="40"/>
      <c r="I270" s="53"/>
      <c r="S270" s="40"/>
      <c r="T270" s="40"/>
      <c r="U270" s="40"/>
      <c r="V270" s="40"/>
      <c r="W270" s="40"/>
      <c r="Y270" s="40"/>
      <c r="Z270" s="40"/>
      <c r="AA270" s="40"/>
      <c r="AB270" s="40"/>
      <c r="AC270" s="41"/>
      <c r="AD270" s="41"/>
      <c r="AE270" s="41"/>
      <c r="AF270" s="41"/>
      <c r="AG270" s="41"/>
      <c r="AH270" s="40"/>
      <c r="AI270" s="40"/>
      <c r="AJ270" s="5"/>
      <c r="AK270" s="5"/>
      <c r="AL270" s="40"/>
      <c r="AM270" s="40"/>
      <c r="AN270" s="40"/>
      <c r="AO270" s="40"/>
      <c r="AP270" s="40"/>
      <c r="AQ270" s="40"/>
      <c r="AR270" s="40"/>
      <c r="AS270" s="40"/>
      <c r="AU270" s="40"/>
      <c r="AW270" s="40"/>
    </row>
    <row r="271" spans="2:49" ht="12.75" customHeight="1" x14ac:dyDescent="0.15">
      <c r="B271" s="40"/>
      <c r="C271" s="40"/>
      <c r="D271" s="40"/>
      <c r="E271" s="40"/>
      <c r="F271" s="40"/>
      <c r="G271" s="40"/>
      <c r="H271" s="40"/>
      <c r="I271" s="53"/>
      <c r="S271" s="40"/>
      <c r="T271" s="40"/>
      <c r="U271" s="40"/>
      <c r="V271" s="40"/>
      <c r="W271" s="40"/>
      <c r="Y271" s="40"/>
      <c r="Z271" s="40"/>
      <c r="AA271" s="40"/>
      <c r="AB271" s="40"/>
      <c r="AC271" s="41"/>
      <c r="AD271" s="41"/>
      <c r="AE271" s="41"/>
      <c r="AF271" s="41"/>
      <c r="AG271" s="41"/>
      <c r="AH271" s="40"/>
      <c r="AI271" s="40"/>
      <c r="AJ271" s="5"/>
      <c r="AK271" s="5"/>
      <c r="AL271" s="40"/>
      <c r="AM271" s="40"/>
      <c r="AN271" s="40"/>
      <c r="AO271" s="40"/>
      <c r="AP271" s="40"/>
      <c r="AQ271" s="40"/>
      <c r="AR271" s="40"/>
      <c r="AS271" s="40"/>
      <c r="AU271" s="40"/>
      <c r="AW271" s="40"/>
    </row>
    <row r="272" spans="2:49" ht="12.75" customHeight="1" x14ac:dyDescent="0.15">
      <c r="B272" s="40"/>
      <c r="C272" s="40"/>
      <c r="D272" s="40"/>
      <c r="E272" s="40"/>
      <c r="F272" s="40"/>
      <c r="G272" s="40"/>
      <c r="H272" s="40"/>
      <c r="I272" s="53"/>
      <c r="S272" s="40"/>
      <c r="T272" s="40"/>
      <c r="U272" s="40"/>
      <c r="V272" s="40"/>
      <c r="W272" s="40"/>
      <c r="Y272" s="40"/>
      <c r="Z272" s="40"/>
      <c r="AA272" s="40"/>
      <c r="AB272" s="40"/>
      <c r="AC272" s="41"/>
      <c r="AD272" s="41"/>
      <c r="AE272" s="41"/>
      <c r="AF272" s="41"/>
      <c r="AG272" s="41"/>
      <c r="AH272" s="40"/>
      <c r="AI272" s="40"/>
      <c r="AJ272" s="5"/>
      <c r="AK272" s="5"/>
      <c r="AL272" s="40"/>
      <c r="AM272" s="40"/>
      <c r="AN272" s="40"/>
      <c r="AO272" s="40"/>
      <c r="AP272" s="40"/>
      <c r="AQ272" s="40"/>
      <c r="AR272" s="40"/>
      <c r="AS272" s="40"/>
      <c r="AU272" s="40"/>
      <c r="AW272" s="40"/>
    </row>
    <row r="273" spans="2:49" ht="12.75" customHeight="1" x14ac:dyDescent="0.15">
      <c r="B273" s="40"/>
      <c r="C273" s="40"/>
      <c r="D273" s="40"/>
      <c r="E273" s="40"/>
      <c r="F273" s="40"/>
      <c r="G273" s="40"/>
      <c r="H273" s="40"/>
      <c r="I273" s="53"/>
      <c r="S273" s="40"/>
      <c r="T273" s="40"/>
      <c r="U273" s="40"/>
      <c r="V273" s="40"/>
      <c r="W273" s="40"/>
      <c r="Y273" s="40"/>
      <c r="Z273" s="40"/>
      <c r="AA273" s="40"/>
      <c r="AB273" s="40"/>
      <c r="AC273" s="41"/>
      <c r="AD273" s="41"/>
      <c r="AE273" s="41"/>
      <c r="AF273" s="41"/>
      <c r="AG273" s="41"/>
      <c r="AH273" s="40"/>
      <c r="AI273" s="40"/>
      <c r="AJ273" s="5"/>
      <c r="AK273" s="5"/>
      <c r="AL273" s="40"/>
      <c r="AM273" s="40"/>
      <c r="AN273" s="40"/>
      <c r="AO273" s="40"/>
      <c r="AP273" s="40"/>
      <c r="AQ273" s="40"/>
      <c r="AR273" s="40"/>
      <c r="AS273" s="40"/>
      <c r="AU273" s="40"/>
      <c r="AW273" s="40"/>
    </row>
    <row r="274" spans="2:49" ht="12.75" customHeight="1" x14ac:dyDescent="0.15">
      <c r="B274" s="40"/>
      <c r="C274" s="40"/>
      <c r="D274" s="40"/>
      <c r="E274" s="40"/>
      <c r="F274" s="40"/>
      <c r="G274" s="40"/>
      <c r="H274" s="40"/>
      <c r="I274" s="53"/>
      <c r="S274" s="40"/>
      <c r="T274" s="40"/>
      <c r="U274" s="40"/>
      <c r="V274" s="40"/>
      <c r="W274" s="40"/>
      <c r="Y274" s="40"/>
      <c r="Z274" s="40"/>
      <c r="AA274" s="40"/>
      <c r="AB274" s="40"/>
      <c r="AC274" s="41"/>
      <c r="AD274" s="41"/>
      <c r="AE274" s="41"/>
      <c r="AF274" s="41"/>
      <c r="AG274" s="41"/>
      <c r="AH274" s="40"/>
      <c r="AI274" s="40"/>
      <c r="AJ274" s="5"/>
      <c r="AK274" s="5"/>
      <c r="AL274" s="40"/>
      <c r="AM274" s="40"/>
      <c r="AN274" s="40"/>
      <c r="AO274" s="40"/>
      <c r="AP274" s="40"/>
      <c r="AQ274" s="40"/>
      <c r="AR274" s="40"/>
      <c r="AS274" s="40"/>
      <c r="AU274" s="40"/>
      <c r="AW274" s="40"/>
    </row>
    <row r="275" spans="2:49" ht="12.75" customHeight="1" x14ac:dyDescent="0.15">
      <c r="B275" s="40"/>
      <c r="C275" s="40"/>
      <c r="D275" s="40"/>
      <c r="E275" s="40"/>
      <c r="F275" s="40"/>
      <c r="G275" s="40"/>
      <c r="H275" s="40"/>
      <c r="I275" s="53"/>
      <c r="S275" s="40"/>
      <c r="T275" s="40"/>
      <c r="U275" s="40"/>
      <c r="V275" s="40"/>
      <c r="W275" s="40"/>
      <c r="Y275" s="40"/>
      <c r="Z275" s="40"/>
      <c r="AA275" s="40"/>
      <c r="AB275" s="40"/>
      <c r="AC275" s="41"/>
      <c r="AD275" s="41"/>
      <c r="AE275" s="41"/>
      <c r="AF275" s="41"/>
      <c r="AG275" s="41"/>
      <c r="AH275" s="40"/>
      <c r="AI275" s="40"/>
      <c r="AJ275" s="5"/>
      <c r="AK275" s="5"/>
      <c r="AL275" s="40"/>
      <c r="AM275" s="40"/>
      <c r="AN275" s="40"/>
      <c r="AO275" s="40"/>
      <c r="AP275" s="40"/>
      <c r="AQ275" s="40"/>
      <c r="AR275" s="40"/>
      <c r="AS275" s="40"/>
      <c r="AU275" s="40"/>
      <c r="AW275" s="40"/>
    </row>
    <row r="276" spans="2:49" ht="12.75" customHeight="1" x14ac:dyDescent="0.15">
      <c r="B276" s="40"/>
      <c r="C276" s="40"/>
      <c r="D276" s="40"/>
      <c r="E276" s="40"/>
      <c r="F276" s="40"/>
      <c r="G276" s="40"/>
      <c r="H276" s="40"/>
      <c r="I276" s="53"/>
      <c r="S276" s="40"/>
      <c r="T276" s="40"/>
      <c r="U276" s="40"/>
      <c r="V276" s="40"/>
      <c r="W276" s="40"/>
      <c r="Y276" s="40"/>
      <c r="Z276" s="40"/>
      <c r="AA276" s="40"/>
      <c r="AB276" s="40"/>
      <c r="AC276" s="41"/>
      <c r="AD276" s="41"/>
      <c r="AE276" s="41"/>
      <c r="AF276" s="41"/>
      <c r="AG276" s="41"/>
      <c r="AH276" s="40"/>
      <c r="AI276" s="40"/>
      <c r="AJ276" s="5"/>
      <c r="AK276" s="5"/>
      <c r="AL276" s="40"/>
      <c r="AM276" s="40"/>
      <c r="AN276" s="40"/>
      <c r="AO276" s="40"/>
      <c r="AP276" s="40"/>
      <c r="AQ276" s="40"/>
      <c r="AR276" s="40"/>
      <c r="AS276" s="40"/>
      <c r="AU276" s="40"/>
      <c r="AW276" s="40"/>
    </row>
    <row r="277" spans="2:49" ht="12.75" customHeight="1" x14ac:dyDescent="0.15">
      <c r="B277" s="40"/>
      <c r="C277" s="40"/>
      <c r="D277" s="40"/>
      <c r="E277" s="40"/>
      <c r="F277" s="40"/>
      <c r="G277" s="40"/>
      <c r="H277" s="40"/>
      <c r="I277" s="53"/>
      <c r="S277" s="40"/>
      <c r="T277" s="40"/>
      <c r="U277" s="40"/>
      <c r="V277" s="40"/>
      <c r="W277" s="40"/>
      <c r="Y277" s="40"/>
      <c r="Z277" s="40"/>
      <c r="AA277" s="40"/>
      <c r="AB277" s="40"/>
      <c r="AC277" s="41"/>
      <c r="AD277" s="41"/>
      <c r="AE277" s="41"/>
      <c r="AF277" s="41"/>
      <c r="AG277" s="41"/>
      <c r="AH277" s="40"/>
      <c r="AI277" s="40"/>
      <c r="AJ277" s="5"/>
      <c r="AK277" s="5"/>
      <c r="AL277" s="40"/>
      <c r="AM277" s="40"/>
      <c r="AN277" s="40"/>
      <c r="AO277" s="40"/>
      <c r="AP277" s="40"/>
      <c r="AQ277" s="40"/>
      <c r="AR277" s="40"/>
      <c r="AS277" s="40"/>
      <c r="AU277" s="40"/>
      <c r="AW277" s="40"/>
    </row>
    <row r="278" spans="2:49" ht="12.75" customHeight="1" x14ac:dyDescent="0.15">
      <c r="B278" s="40"/>
      <c r="C278" s="40"/>
      <c r="D278" s="40"/>
      <c r="E278" s="40"/>
      <c r="F278" s="40"/>
      <c r="G278" s="40"/>
      <c r="H278" s="40"/>
      <c r="I278" s="53"/>
      <c r="S278" s="40"/>
      <c r="T278" s="40"/>
      <c r="U278" s="40"/>
      <c r="V278" s="40"/>
      <c r="W278" s="40"/>
      <c r="Y278" s="40"/>
      <c r="Z278" s="40"/>
      <c r="AA278" s="40"/>
      <c r="AB278" s="40"/>
      <c r="AC278" s="41"/>
      <c r="AD278" s="41"/>
      <c r="AE278" s="41"/>
      <c r="AF278" s="41"/>
      <c r="AG278" s="41"/>
      <c r="AH278" s="40"/>
      <c r="AI278" s="40"/>
      <c r="AJ278" s="5"/>
      <c r="AK278" s="5"/>
      <c r="AL278" s="40"/>
      <c r="AM278" s="40"/>
      <c r="AN278" s="40"/>
      <c r="AO278" s="40"/>
      <c r="AP278" s="40"/>
      <c r="AQ278" s="40"/>
      <c r="AR278" s="40"/>
      <c r="AS278" s="40"/>
      <c r="AU278" s="40"/>
      <c r="AW278" s="40"/>
    </row>
    <row r="279" spans="2:49" ht="12.75" customHeight="1" x14ac:dyDescent="0.15">
      <c r="B279" s="40"/>
      <c r="C279" s="40"/>
      <c r="D279" s="40"/>
      <c r="E279" s="40"/>
      <c r="F279" s="40"/>
      <c r="G279" s="40"/>
      <c r="H279" s="40"/>
      <c r="I279" s="53"/>
      <c r="S279" s="40"/>
      <c r="T279" s="40"/>
      <c r="U279" s="40"/>
      <c r="V279" s="40"/>
      <c r="W279" s="40"/>
      <c r="Y279" s="40"/>
      <c r="Z279" s="40"/>
      <c r="AA279" s="40"/>
      <c r="AB279" s="40"/>
      <c r="AC279" s="41"/>
      <c r="AD279" s="41"/>
      <c r="AE279" s="41"/>
      <c r="AF279" s="41"/>
      <c r="AG279" s="41"/>
      <c r="AH279" s="40"/>
      <c r="AI279" s="40"/>
      <c r="AJ279" s="5"/>
      <c r="AK279" s="5"/>
      <c r="AL279" s="40"/>
      <c r="AM279" s="40"/>
      <c r="AN279" s="40"/>
      <c r="AO279" s="40"/>
      <c r="AP279" s="40"/>
      <c r="AQ279" s="40"/>
      <c r="AR279" s="40"/>
      <c r="AS279" s="40"/>
      <c r="AU279" s="40"/>
      <c r="AW279" s="40"/>
    </row>
    <row r="280" spans="2:49" ht="12.75" customHeight="1" x14ac:dyDescent="0.15">
      <c r="B280" s="40"/>
      <c r="C280" s="40"/>
      <c r="D280" s="40"/>
      <c r="E280" s="40"/>
      <c r="F280" s="40"/>
      <c r="G280" s="40"/>
      <c r="H280" s="40"/>
      <c r="I280" s="53"/>
      <c r="S280" s="40"/>
      <c r="T280" s="40"/>
      <c r="U280" s="40"/>
      <c r="V280" s="40"/>
      <c r="W280" s="40"/>
      <c r="Y280" s="40"/>
      <c r="Z280" s="40"/>
      <c r="AA280" s="40"/>
      <c r="AB280" s="40"/>
      <c r="AC280" s="41"/>
      <c r="AD280" s="41"/>
      <c r="AE280" s="41"/>
      <c r="AF280" s="41"/>
      <c r="AG280" s="41"/>
      <c r="AH280" s="40"/>
      <c r="AI280" s="40"/>
      <c r="AJ280" s="5"/>
      <c r="AK280" s="5"/>
      <c r="AL280" s="40"/>
      <c r="AM280" s="40"/>
      <c r="AN280" s="40"/>
      <c r="AO280" s="40"/>
      <c r="AP280" s="40"/>
      <c r="AQ280" s="40"/>
      <c r="AR280" s="40"/>
      <c r="AS280" s="40"/>
      <c r="AU280" s="40"/>
      <c r="AW280" s="40"/>
    </row>
    <row r="281" spans="2:49" ht="12.75" customHeight="1" x14ac:dyDescent="0.15">
      <c r="B281" s="40"/>
      <c r="C281" s="40"/>
      <c r="D281" s="40"/>
      <c r="E281" s="40"/>
      <c r="F281" s="40"/>
      <c r="G281" s="40"/>
      <c r="H281" s="40"/>
      <c r="I281" s="53"/>
      <c r="S281" s="40"/>
      <c r="T281" s="40"/>
      <c r="U281" s="40"/>
      <c r="V281" s="40"/>
      <c r="W281" s="40"/>
      <c r="Y281" s="40"/>
      <c r="Z281" s="40"/>
      <c r="AA281" s="40"/>
      <c r="AB281" s="40"/>
      <c r="AC281" s="41"/>
      <c r="AD281" s="41"/>
      <c r="AE281" s="41"/>
      <c r="AF281" s="41"/>
      <c r="AG281" s="41"/>
      <c r="AH281" s="40"/>
      <c r="AI281" s="40"/>
      <c r="AJ281" s="5"/>
      <c r="AK281" s="5"/>
      <c r="AL281" s="40"/>
      <c r="AM281" s="40"/>
      <c r="AN281" s="40"/>
      <c r="AO281" s="40"/>
      <c r="AP281" s="40"/>
      <c r="AQ281" s="40"/>
      <c r="AR281" s="40"/>
      <c r="AS281" s="40"/>
      <c r="AU281" s="40"/>
      <c r="AW281" s="40"/>
    </row>
    <row r="282" spans="2:49" ht="12.75" customHeight="1" x14ac:dyDescent="0.15">
      <c r="B282" s="40"/>
      <c r="C282" s="40"/>
      <c r="D282" s="40"/>
      <c r="E282" s="40"/>
      <c r="F282" s="40"/>
      <c r="G282" s="40"/>
      <c r="H282" s="40"/>
      <c r="I282" s="53"/>
      <c r="S282" s="40"/>
      <c r="T282" s="40"/>
      <c r="U282" s="40"/>
      <c r="V282" s="40"/>
      <c r="W282" s="40"/>
      <c r="Y282" s="40"/>
      <c r="Z282" s="40"/>
      <c r="AA282" s="40"/>
      <c r="AB282" s="40"/>
      <c r="AC282" s="41"/>
      <c r="AD282" s="41"/>
      <c r="AE282" s="41"/>
      <c r="AF282" s="41"/>
      <c r="AG282" s="41"/>
      <c r="AH282" s="40"/>
      <c r="AI282" s="40"/>
      <c r="AJ282" s="5"/>
      <c r="AK282" s="5"/>
      <c r="AL282" s="40"/>
      <c r="AM282" s="40"/>
      <c r="AN282" s="40"/>
      <c r="AO282" s="40"/>
      <c r="AP282" s="40"/>
      <c r="AQ282" s="40"/>
      <c r="AR282" s="40"/>
      <c r="AS282" s="40"/>
      <c r="AU282" s="40"/>
      <c r="AW282" s="40"/>
    </row>
    <row r="283" spans="2:49" ht="12.75" customHeight="1" x14ac:dyDescent="0.15">
      <c r="B283" s="40"/>
      <c r="C283" s="40"/>
      <c r="D283" s="40"/>
      <c r="E283" s="40"/>
      <c r="F283" s="40"/>
      <c r="G283" s="40"/>
      <c r="H283" s="40"/>
      <c r="I283" s="53"/>
      <c r="S283" s="40"/>
      <c r="T283" s="40"/>
      <c r="U283" s="40"/>
      <c r="V283" s="40"/>
      <c r="W283" s="40"/>
      <c r="Y283" s="40"/>
      <c r="Z283" s="40"/>
      <c r="AA283" s="40"/>
      <c r="AB283" s="40"/>
      <c r="AC283" s="41"/>
      <c r="AD283" s="41"/>
      <c r="AE283" s="41"/>
      <c r="AF283" s="41"/>
      <c r="AG283" s="41"/>
      <c r="AH283" s="40"/>
      <c r="AI283" s="40"/>
      <c r="AJ283" s="5"/>
      <c r="AK283" s="5"/>
      <c r="AL283" s="40"/>
      <c r="AM283" s="40"/>
      <c r="AN283" s="40"/>
      <c r="AO283" s="40"/>
      <c r="AP283" s="40"/>
      <c r="AQ283" s="40"/>
      <c r="AR283" s="40"/>
      <c r="AS283" s="40"/>
      <c r="AU283" s="40"/>
      <c r="AW283" s="40"/>
    </row>
    <row r="284" spans="2:49" ht="12.75" customHeight="1" x14ac:dyDescent="0.15">
      <c r="B284" s="40"/>
      <c r="C284" s="40"/>
      <c r="D284" s="40"/>
      <c r="E284" s="40"/>
      <c r="F284" s="40"/>
      <c r="G284" s="40"/>
      <c r="H284" s="40"/>
      <c r="I284" s="53"/>
      <c r="S284" s="40"/>
      <c r="T284" s="40"/>
      <c r="U284" s="40"/>
      <c r="V284" s="40"/>
      <c r="W284" s="40"/>
      <c r="Y284" s="40"/>
      <c r="Z284" s="40"/>
      <c r="AA284" s="40"/>
      <c r="AB284" s="40"/>
      <c r="AC284" s="41"/>
      <c r="AD284" s="41"/>
      <c r="AE284" s="41"/>
      <c r="AF284" s="41"/>
      <c r="AG284" s="41"/>
      <c r="AH284" s="40"/>
      <c r="AI284" s="40"/>
      <c r="AJ284" s="5"/>
      <c r="AK284" s="5"/>
      <c r="AL284" s="40"/>
      <c r="AM284" s="40"/>
      <c r="AN284" s="40"/>
      <c r="AO284" s="40"/>
      <c r="AP284" s="40"/>
      <c r="AQ284" s="40"/>
      <c r="AR284" s="40"/>
      <c r="AS284" s="40"/>
      <c r="AU284" s="40"/>
      <c r="AW284" s="40"/>
    </row>
    <row r="285" spans="2:49" ht="12.75" customHeight="1" x14ac:dyDescent="0.15">
      <c r="B285" s="40"/>
      <c r="C285" s="40"/>
      <c r="D285" s="40"/>
      <c r="E285" s="40"/>
      <c r="F285" s="40"/>
      <c r="G285" s="40"/>
      <c r="H285" s="40"/>
      <c r="I285" s="53"/>
      <c r="S285" s="40"/>
      <c r="T285" s="40"/>
      <c r="U285" s="40"/>
      <c r="V285" s="40"/>
      <c r="W285" s="40"/>
      <c r="Y285" s="40"/>
      <c r="Z285" s="40"/>
      <c r="AA285" s="40"/>
      <c r="AB285" s="40"/>
      <c r="AC285" s="41"/>
      <c r="AD285" s="41"/>
      <c r="AE285" s="41"/>
      <c r="AF285" s="41"/>
      <c r="AG285" s="41"/>
      <c r="AH285" s="40"/>
      <c r="AI285" s="40"/>
      <c r="AJ285" s="5"/>
      <c r="AK285" s="5"/>
      <c r="AL285" s="40"/>
      <c r="AM285" s="40"/>
      <c r="AN285" s="40"/>
      <c r="AO285" s="40"/>
      <c r="AP285" s="40"/>
      <c r="AQ285" s="40"/>
      <c r="AR285" s="40"/>
      <c r="AS285" s="40"/>
      <c r="AU285" s="40"/>
      <c r="AW285" s="40"/>
    </row>
    <row r="286" spans="2:49" ht="12.75" customHeight="1" x14ac:dyDescent="0.15">
      <c r="B286" s="40"/>
      <c r="C286" s="40"/>
      <c r="D286" s="40"/>
      <c r="E286" s="40"/>
      <c r="F286" s="40"/>
      <c r="G286" s="40"/>
      <c r="H286" s="40"/>
      <c r="I286" s="53"/>
      <c r="S286" s="40"/>
      <c r="T286" s="40"/>
      <c r="U286" s="40"/>
      <c r="V286" s="40"/>
      <c r="W286" s="40"/>
      <c r="Y286" s="40"/>
      <c r="Z286" s="40"/>
      <c r="AA286" s="40"/>
      <c r="AB286" s="40"/>
      <c r="AC286" s="41"/>
      <c r="AD286" s="41"/>
      <c r="AE286" s="41"/>
      <c r="AF286" s="41"/>
      <c r="AG286" s="41"/>
      <c r="AH286" s="40"/>
      <c r="AI286" s="40"/>
      <c r="AJ286" s="5"/>
      <c r="AK286" s="5"/>
      <c r="AL286" s="40"/>
      <c r="AM286" s="40"/>
      <c r="AN286" s="40"/>
      <c r="AO286" s="40"/>
      <c r="AP286" s="40"/>
      <c r="AQ286" s="40"/>
      <c r="AR286" s="40"/>
      <c r="AS286" s="40"/>
      <c r="AU286" s="40"/>
      <c r="AW286" s="40"/>
    </row>
    <row r="287" spans="2:49" ht="12.75" customHeight="1" x14ac:dyDescent="0.15">
      <c r="B287" s="40"/>
      <c r="C287" s="40"/>
      <c r="D287" s="40"/>
      <c r="E287" s="40"/>
      <c r="F287" s="40"/>
      <c r="G287" s="40"/>
      <c r="H287" s="40"/>
      <c r="I287" s="53"/>
      <c r="S287" s="40"/>
      <c r="T287" s="40"/>
      <c r="U287" s="40"/>
      <c r="V287" s="40"/>
      <c r="W287" s="40"/>
      <c r="Y287" s="40"/>
      <c r="Z287" s="40"/>
      <c r="AA287" s="40"/>
      <c r="AB287" s="40"/>
      <c r="AC287" s="41"/>
      <c r="AD287" s="41"/>
      <c r="AE287" s="41"/>
      <c r="AF287" s="41"/>
      <c r="AG287" s="41"/>
      <c r="AH287" s="40"/>
      <c r="AI287" s="40"/>
      <c r="AJ287" s="5"/>
      <c r="AK287" s="5"/>
      <c r="AL287" s="40"/>
      <c r="AM287" s="40"/>
      <c r="AN287" s="40"/>
      <c r="AO287" s="40"/>
      <c r="AP287" s="40"/>
      <c r="AQ287" s="40"/>
      <c r="AR287" s="40"/>
      <c r="AS287" s="40"/>
      <c r="AU287" s="40"/>
      <c r="AW287" s="40"/>
    </row>
    <row r="288" spans="2:49" ht="12.75" customHeight="1" x14ac:dyDescent="0.15">
      <c r="B288" s="40"/>
      <c r="C288" s="40"/>
      <c r="D288" s="40"/>
      <c r="E288" s="40"/>
      <c r="F288" s="40"/>
      <c r="G288" s="40"/>
      <c r="H288" s="40"/>
      <c r="I288" s="53"/>
      <c r="S288" s="40"/>
      <c r="T288" s="40"/>
      <c r="U288" s="40"/>
      <c r="V288" s="40"/>
      <c r="W288" s="40"/>
      <c r="Y288" s="40"/>
      <c r="Z288" s="40"/>
      <c r="AA288" s="40"/>
      <c r="AB288" s="40"/>
      <c r="AC288" s="41"/>
      <c r="AD288" s="41"/>
      <c r="AE288" s="41"/>
      <c r="AF288" s="41"/>
      <c r="AG288" s="41"/>
      <c r="AH288" s="40"/>
      <c r="AI288" s="40"/>
      <c r="AJ288" s="5"/>
      <c r="AK288" s="5"/>
      <c r="AL288" s="40"/>
      <c r="AM288" s="40"/>
      <c r="AN288" s="40"/>
      <c r="AO288" s="40"/>
      <c r="AP288" s="40"/>
      <c r="AQ288" s="40"/>
      <c r="AR288" s="40"/>
      <c r="AS288" s="40"/>
      <c r="AU288" s="40"/>
      <c r="AW288" s="40"/>
    </row>
    <row r="289" spans="2:49" ht="12.75" customHeight="1" x14ac:dyDescent="0.15">
      <c r="B289" s="40"/>
      <c r="C289" s="40"/>
      <c r="D289" s="40"/>
      <c r="E289" s="40"/>
      <c r="F289" s="40"/>
      <c r="G289" s="40"/>
      <c r="H289" s="40"/>
      <c r="I289" s="53"/>
      <c r="S289" s="40"/>
      <c r="T289" s="40"/>
      <c r="U289" s="40"/>
      <c r="V289" s="40"/>
      <c r="W289" s="40"/>
      <c r="Y289" s="40"/>
      <c r="Z289" s="40"/>
      <c r="AA289" s="40"/>
      <c r="AB289" s="40"/>
      <c r="AC289" s="41"/>
      <c r="AD289" s="41"/>
      <c r="AE289" s="41"/>
      <c r="AF289" s="41"/>
      <c r="AG289" s="41"/>
      <c r="AH289" s="40"/>
      <c r="AI289" s="40"/>
      <c r="AJ289" s="5"/>
      <c r="AK289" s="5"/>
      <c r="AL289" s="40"/>
      <c r="AM289" s="40"/>
      <c r="AN289" s="40"/>
      <c r="AO289" s="40"/>
      <c r="AP289" s="40"/>
      <c r="AQ289" s="40"/>
      <c r="AR289" s="40"/>
      <c r="AS289" s="40"/>
      <c r="AU289" s="40"/>
      <c r="AW289" s="40"/>
    </row>
    <row r="290" spans="2:49" ht="12.75" customHeight="1" x14ac:dyDescent="0.15">
      <c r="B290" s="40"/>
      <c r="C290" s="40"/>
      <c r="D290" s="40"/>
      <c r="E290" s="40"/>
      <c r="F290" s="40"/>
      <c r="G290" s="40"/>
      <c r="H290" s="40"/>
      <c r="I290" s="53"/>
      <c r="S290" s="40"/>
      <c r="T290" s="40"/>
      <c r="U290" s="40"/>
      <c r="V290" s="40"/>
      <c r="W290" s="40"/>
      <c r="Y290" s="40"/>
      <c r="Z290" s="40"/>
      <c r="AA290" s="40"/>
      <c r="AB290" s="40"/>
      <c r="AC290" s="41"/>
      <c r="AD290" s="41"/>
      <c r="AE290" s="41"/>
      <c r="AF290" s="41"/>
      <c r="AG290" s="41"/>
      <c r="AH290" s="40"/>
      <c r="AI290" s="40"/>
      <c r="AJ290" s="5"/>
      <c r="AK290" s="5"/>
      <c r="AL290" s="40"/>
      <c r="AM290" s="40"/>
      <c r="AN290" s="40"/>
      <c r="AO290" s="40"/>
      <c r="AP290" s="40"/>
      <c r="AQ290" s="40"/>
      <c r="AR290" s="40"/>
      <c r="AS290" s="40"/>
      <c r="AU290" s="40"/>
      <c r="AW290" s="40"/>
    </row>
    <row r="291" spans="2:49" ht="12.75" customHeight="1" x14ac:dyDescent="0.15">
      <c r="B291" s="40"/>
      <c r="C291" s="40"/>
      <c r="D291" s="40"/>
      <c r="E291" s="40"/>
      <c r="F291" s="40"/>
      <c r="G291" s="40"/>
      <c r="H291" s="40"/>
      <c r="I291" s="53"/>
      <c r="S291" s="40"/>
      <c r="T291" s="40"/>
      <c r="U291" s="40"/>
      <c r="V291" s="40"/>
      <c r="W291" s="40"/>
      <c r="Y291" s="40"/>
      <c r="Z291" s="40"/>
      <c r="AA291" s="40"/>
      <c r="AB291" s="40"/>
      <c r="AC291" s="41"/>
      <c r="AD291" s="41"/>
      <c r="AE291" s="41"/>
      <c r="AF291" s="41"/>
      <c r="AG291" s="41"/>
      <c r="AH291" s="40"/>
      <c r="AI291" s="40"/>
      <c r="AJ291" s="5"/>
      <c r="AK291" s="5"/>
      <c r="AL291" s="40"/>
      <c r="AM291" s="40"/>
      <c r="AN291" s="40"/>
      <c r="AO291" s="40"/>
      <c r="AP291" s="40"/>
      <c r="AQ291" s="40"/>
      <c r="AR291" s="40"/>
      <c r="AS291" s="40"/>
      <c r="AU291" s="40"/>
      <c r="AW291" s="40"/>
    </row>
    <row r="292" spans="2:49" ht="12.75" customHeight="1" x14ac:dyDescent="0.15">
      <c r="B292" s="40"/>
      <c r="C292" s="40"/>
      <c r="D292" s="40"/>
      <c r="E292" s="40"/>
      <c r="F292" s="40"/>
      <c r="G292" s="40"/>
      <c r="H292" s="40"/>
      <c r="I292" s="53"/>
      <c r="S292" s="40"/>
      <c r="T292" s="40"/>
      <c r="U292" s="40"/>
      <c r="V292" s="40"/>
      <c r="W292" s="40"/>
      <c r="Y292" s="40"/>
      <c r="Z292" s="40"/>
      <c r="AA292" s="40"/>
      <c r="AB292" s="40"/>
      <c r="AC292" s="41"/>
      <c r="AD292" s="41"/>
      <c r="AE292" s="41"/>
      <c r="AF292" s="41"/>
      <c r="AG292" s="41"/>
      <c r="AH292" s="40"/>
      <c r="AI292" s="40"/>
      <c r="AJ292" s="5"/>
      <c r="AK292" s="5"/>
      <c r="AL292" s="40"/>
      <c r="AM292" s="40"/>
      <c r="AN292" s="40"/>
      <c r="AO292" s="40"/>
      <c r="AP292" s="40"/>
      <c r="AQ292" s="40"/>
      <c r="AR292" s="40"/>
      <c r="AS292" s="40"/>
      <c r="AU292" s="40"/>
      <c r="AW292" s="40"/>
    </row>
    <row r="293" spans="2:49" ht="12.75" customHeight="1" x14ac:dyDescent="0.15">
      <c r="B293" s="40"/>
      <c r="C293" s="40"/>
      <c r="D293" s="40"/>
      <c r="E293" s="40"/>
      <c r="F293" s="40"/>
      <c r="G293" s="40"/>
      <c r="H293" s="40"/>
      <c r="I293" s="53"/>
      <c r="S293" s="40"/>
      <c r="T293" s="40"/>
      <c r="U293" s="40"/>
      <c r="V293" s="40"/>
      <c r="W293" s="40"/>
      <c r="Y293" s="40"/>
      <c r="Z293" s="40"/>
      <c r="AA293" s="40"/>
      <c r="AB293" s="40"/>
      <c r="AC293" s="41"/>
      <c r="AD293" s="41"/>
      <c r="AE293" s="41"/>
      <c r="AF293" s="41"/>
      <c r="AG293" s="41"/>
      <c r="AH293" s="40"/>
      <c r="AI293" s="40"/>
      <c r="AJ293" s="5"/>
      <c r="AK293" s="5"/>
      <c r="AL293" s="40"/>
      <c r="AM293" s="40"/>
      <c r="AN293" s="40"/>
      <c r="AO293" s="40"/>
      <c r="AP293" s="40"/>
      <c r="AQ293" s="40"/>
      <c r="AR293" s="40"/>
      <c r="AS293" s="40"/>
      <c r="AU293" s="40"/>
      <c r="AW293" s="40"/>
    </row>
    <row r="294" spans="2:49" ht="12.75" customHeight="1" x14ac:dyDescent="0.15">
      <c r="B294" s="40"/>
      <c r="C294" s="40"/>
      <c r="D294" s="40"/>
      <c r="E294" s="40"/>
      <c r="F294" s="40"/>
      <c r="G294" s="40"/>
      <c r="H294" s="40"/>
      <c r="I294" s="53"/>
      <c r="S294" s="40"/>
      <c r="T294" s="40"/>
      <c r="U294" s="40"/>
      <c r="V294" s="40"/>
      <c r="W294" s="40"/>
      <c r="Y294" s="40"/>
      <c r="Z294" s="40"/>
      <c r="AA294" s="40"/>
      <c r="AB294" s="40"/>
      <c r="AC294" s="41"/>
      <c r="AD294" s="41"/>
      <c r="AE294" s="41"/>
      <c r="AF294" s="41"/>
      <c r="AG294" s="41"/>
      <c r="AH294" s="40"/>
      <c r="AI294" s="40"/>
      <c r="AJ294" s="5"/>
      <c r="AK294" s="5"/>
      <c r="AL294" s="40"/>
      <c r="AM294" s="40"/>
      <c r="AN294" s="40"/>
      <c r="AO294" s="40"/>
      <c r="AP294" s="40"/>
      <c r="AQ294" s="40"/>
      <c r="AR294" s="40"/>
      <c r="AS294" s="40"/>
      <c r="AU294" s="40"/>
      <c r="AW294" s="40"/>
    </row>
    <row r="295" spans="2:49" ht="12.75" customHeight="1" x14ac:dyDescent="0.15">
      <c r="B295" s="40"/>
      <c r="C295" s="40"/>
      <c r="D295" s="40"/>
      <c r="E295" s="40"/>
      <c r="F295" s="40"/>
      <c r="G295" s="40"/>
      <c r="H295" s="40"/>
      <c r="I295" s="53"/>
      <c r="S295" s="40"/>
      <c r="T295" s="40"/>
      <c r="U295" s="40"/>
      <c r="V295" s="40"/>
      <c r="W295" s="40"/>
      <c r="Y295" s="40"/>
      <c r="Z295" s="40"/>
      <c r="AA295" s="40"/>
      <c r="AB295" s="40"/>
      <c r="AC295" s="41"/>
      <c r="AD295" s="41"/>
      <c r="AE295" s="41"/>
      <c r="AF295" s="41"/>
      <c r="AG295" s="41"/>
      <c r="AH295" s="40"/>
      <c r="AI295" s="40"/>
      <c r="AJ295" s="5"/>
      <c r="AK295" s="5"/>
      <c r="AL295" s="40"/>
      <c r="AM295" s="40"/>
      <c r="AN295" s="40"/>
      <c r="AO295" s="40"/>
      <c r="AP295" s="40"/>
      <c r="AQ295" s="40"/>
      <c r="AR295" s="40"/>
      <c r="AS295" s="40"/>
      <c r="AU295" s="40"/>
      <c r="AW295" s="40"/>
    </row>
    <row r="296" spans="2:49" ht="12.75" customHeight="1" x14ac:dyDescent="0.15">
      <c r="B296" s="40"/>
      <c r="C296" s="40"/>
      <c r="D296" s="40"/>
      <c r="E296" s="40"/>
      <c r="F296" s="40"/>
      <c r="G296" s="40"/>
      <c r="H296" s="40"/>
      <c r="I296" s="53"/>
      <c r="S296" s="40"/>
      <c r="T296" s="40"/>
      <c r="U296" s="40"/>
      <c r="V296" s="40"/>
      <c r="W296" s="40"/>
      <c r="Y296" s="40"/>
      <c r="Z296" s="40"/>
      <c r="AA296" s="40"/>
      <c r="AB296" s="40"/>
      <c r="AC296" s="41"/>
      <c r="AD296" s="41"/>
      <c r="AE296" s="41"/>
      <c r="AF296" s="41"/>
      <c r="AG296" s="41"/>
      <c r="AH296" s="40"/>
      <c r="AI296" s="40"/>
      <c r="AJ296" s="5"/>
      <c r="AK296" s="5"/>
      <c r="AL296" s="40"/>
      <c r="AM296" s="40"/>
      <c r="AN296" s="40"/>
      <c r="AO296" s="40"/>
      <c r="AP296" s="40"/>
      <c r="AQ296" s="40"/>
      <c r="AR296" s="40"/>
      <c r="AS296" s="40"/>
      <c r="AU296" s="40"/>
      <c r="AW296" s="40"/>
    </row>
    <row r="297" spans="2:49" ht="12.75" customHeight="1" x14ac:dyDescent="0.15">
      <c r="B297" s="40"/>
      <c r="C297" s="40"/>
      <c r="D297" s="40"/>
      <c r="E297" s="40"/>
      <c r="F297" s="40"/>
      <c r="G297" s="40"/>
      <c r="H297" s="40"/>
      <c r="I297" s="53"/>
      <c r="S297" s="40"/>
      <c r="T297" s="40"/>
      <c r="U297" s="40"/>
      <c r="V297" s="40"/>
      <c r="W297" s="40"/>
      <c r="Y297" s="40"/>
      <c r="Z297" s="40"/>
      <c r="AA297" s="40"/>
      <c r="AB297" s="40"/>
      <c r="AC297" s="41"/>
      <c r="AD297" s="41"/>
      <c r="AE297" s="41"/>
      <c r="AF297" s="41"/>
      <c r="AG297" s="41"/>
      <c r="AH297" s="40"/>
      <c r="AI297" s="40"/>
      <c r="AJ297" s="5"/>
      <c r="AK297" s="5"/>
      <c r="AL297" s="40"/>
      <c r="AM297" s="40"/>
      <c r="AN297" s="40"/>
      <c r="AO297" s="40"/>
      <c r="AP297" s="40"/>
      <c r="AQ297" s="40"/>
      <c r="AR297" s="40"/>
      <c r="AS297" s="40"/>
      <c r="AU297" s="40"/>
      <c r="AW297" s="40"/>
    </row>
    <row r="298" spans="2:49" ht="12.75" customHeight="1" x14ac:dyDescent="0.15">
      <c r="B298" s="40"/>
      <c r="C298" s="40"/>
      <c r="D298" s="40"/>
      <c r="E298" s="40"/>
      <c r="F298" s="40"/>
      <c r="G298" s="40"/>
      <c r="H298" s="40"/>
      <c r="I298" s="53"/>
      <c r="S298" s="40"/>
      <c r="T298" s="40"/>
      <c r="U298" s="40"/>
      <c r="V298" s="40"/>
      <c r="W298" s="40"/>
      <c r="Y298" s="40"/>
      <c r="Z298" s="40"/>
      <c r="AA298" s="40"/>
      <c r="AB298" s="40"/>
      <c r="AC298" s="41"/>
      <c r="AD298" s="41"/>
      <c r="AE298" s="41"/>
      <c r="AF298" s="41"/>
      <c r="AG298" s="41"/>
      <c r="AH298" s="40"/>
      <c r="AI298" s="40"/>
      <c r="AJ298" s="5"/>
      <c r="AK298" s="5"/>
      <c r="AL298" s="40"/>
      <c r="AM298" s="40"/>
      <c r="AN298" s="40"/>
      <c r="AO298" s="40"/>
      <c r="AP298" s="40"/>
      <c r="AQ298" s="40"/>
      <c r="AR298" s="40"/>
      <c r="AS298" s="40"/>
      <c r="AU298" s="40"/>
      <c r="AW298" s="40"/>
    </row>
    <row r="299" spans="2:49" ht="12.75" customHeight="1" x14ac:dyDescent="0.15">
      <c r="B299" s="40"/>
      <c r="C299" s="40"/>
      <c r="D299" s="40"/>
      <c r="E299" s="40"/>
      <c r="F299" s="40"/>
      <c r="G299" s="40"/>
      <c r="H299" s="40"/>
      <c r="I299" s="53"/>
      <c r="S299" s="40"/>
      <c r="T299" s="40"/>
      <c r="U299" s="40"/>
      <c r="V299" s="40"/>
      <c r="W299" s="40"/>
      <c r="Y299" s="40"/>
      <c r="Z299" s="40"/>
      <c r="AA299" s="40"/>
      <c r="AB299" s="40"/>
      <c r="AC299" s="41"/>
      <c r="AD299" s="41"/>
      <c r="AE299" s="41"/>
      <c r="AF299" s="41"/>
      <c r="AG299" s="41"/>
      <c r="AH299" s="40"/>
      <c r="AI299" s="40"/>
      <c r="AJ299" s="5"/>
      <c r="AK299" s="5"/>
      <c r="AL299" s="40"/>
      <c r="AM299" s="40"/>
      <c r="AN299" s="40"/>
      <c r="AO299" s="40"/>
      <c r="AP299" s="40"/>
      <c r="AQ299" s="40"/>
      <c r="AR299" s="40"/>
      <c r="AS299" s="40"/>
      <c r="AU299" s="40"/>
      <c r="AW299" s="40"/>
    </row>
    <row r="300" spans="2:49" ht="12.75" customHeight="1" x14ac:dyDescent="0.15">
      <c r="B300" s="40"/>
      <c r="C300" s="40"/>
      <c r="D300" s="40"/>
      <c r="E300" s="40"/>
      <c r="F300" s="40"/>
      <c r="G300" s="40"/>
      <c r="H300" s="40"/>
      <c r="I300" s="53"/>
      <c r="S300" s="40"/>
      <c r="T300" s="40"/>
      <c r="U300" s="40"/>
      <c r="V300" s="40"/>
      <c r="W300" s="40"/>
      <c r="Y300" s="40"/>
      <c r="Z300" s="40"/>
      <c r="AA300" s="40"/>
      <c r="AB300" s="40"/>
      <c r="AC300" s="41"/>
      <c r="AD300" s="41"/>
      <c r="AE300" s="41"/>
      <c r="AF300" s="41"/>
      <c r="AG300" s="41"/>
      <c r="AH300" s="40"/>
      <c r="AI300" s="40"/>
      <c r="AJ300" s="5"/>
      <c r="AK300" s="5"/>
      <c r="AL300" s="40"/>
      <c r="AM300" s="40"/>
      <c r="AN300" s="40"/>
      <c r="AO300" s="40"/>
      <c r="AP300" s="40"/>
      <c r="AQ300" s="40"/>
      <c r="AR300" s="40"/>
      <c r="AS300" s="40"/>
      <c r="AU300" s="40"/>
      <c r="AW300" s="40"/>
    </row>
    <row r="301" spans="2:49" ht="12.75" customHeight="1" x14ac:dyDescent="0.15">
      <c r="B301" s="40"/>
      <c r="C301" s="40"/>
      <c r="D301" s="40"/>
      <c r="E301" s="40"/>
      <c r="F301" s="40"/>
      <c r="G301" s="40"/>
      <c r="H301" s="40"/>
      <c r="I301" s="53"/>
      <c r="S301" s="40"/>
      <c r="T301" s="40"/>
      <c r="U301" s="40"/>
      <c r="V301" s="40"/>
      <c r="W301" s="40"/>
      <c r="Y301" s="40"/>
      <c r="Z301" s="40"/>
      <c r="AA301" s="40"/>
      <c r="AB301" s="40"/>
      <c r="AC301" s="41"/>
      <c r="AD301" s="41"/>
      <c r="AE301" s="41"/>
      <c r="AF301" s="41"/>
      <c r="AG301" s="41"/>
      <c r="AH301" s="40"/>
      <c r="AI301" s="40"/>
      <c r="AJ301" s="5"/>
      <c r="AK301" s="5"/>
      <c r="AL301" s="40"/>
      <c r="AM301" s="40"/>
      <c r="AN301" s="40"/>
      <c r="AO301" s="40"/>
      <c r="AP301" s="40"/>
      <c r="AQ301" s="40"/>
      <c r="AR301" s="40"/>
      <c r="AS301" s="40"/>
      <c r="AU301" s="40"/>
      <c r="AW301" s="40"/>
    </row>
    <row r="302" spans="2:49" ht="12.75" customHeight="1" x14ac:dyDescent="0.15">
      <c r="B302" s="40"/>
      <c r="C302" s="40"/>
      <c r="D302" s="40"/>
      <c r="E302" s="40"/>
      <c r="F302" s="40"/>
      <c r="G302" s="40"/>
      <c r="H302" s="40"/>
      <c r="I302" s="53"/>
      <c r="S302" s="40"/>
      <c r="T302" s="40"/>
      <c r="U302" s="40"/>
      <c r="V302" s="40"/>
      <c r="W302" s="40"/>
      <c r="Y302" s="40"/>
      <c r="Z302" s="40"/>
      <c r="AA302" s="40"/>
      <c r="AB302" s="40"/>
      <c r="AC302" s="41"/>
      <c r="AD302" s="41"/>
      <c r="AE302" s="41"/>
      <c r="AF302" s="41"/>
      <c r="AG302" s="41"/>
      <c r="AH302" s="40"/>
      <c r="AI302" s="40"/>
      <c r="AJ302" s="5"/>
      <c r="AK302" s="5"/>
      <c r="AL302" s="40"/>
      <c r="AM302" s="40"/>
      <c r="AN302" s="40"/>
      <c r="AO302" s="40"/>
      <c r="AP302" s="40"/>
      <c r="AQ302" s="40"/>
      <c r="AR302" s="40"/>
      <c r="AS302" s="40"/>
      <c r="AU302" s="40"/>
      <c r="AW302" s="40"/>
    </row>
    <row r="303" spans="2:49" ht="12.75" customHeight="1" x14ac:dyDescent="0.15">
      <c r="B303" s="40"/>
      <c r="C303" s="40"/>
      <c r="D303" s="40"/>
      <c r="E303" s="40"/>
      <c r="F303" s="40"/>
      <c r="G303" s="40"/>
      <c r="H303" s="40"/>
      <c r="I303" s="53"/>
      <c r="S303" s="40"/>
      <c r="T303" s="40"/>
      <c r="U303" s="40"/>
      <c r="V303" s="40"/>
      <c r="W303" s="40"/>
      <c r="Y303" s="40"/>
      <c r="Z303" s="40"/>
      <c r="AA303" s="40"/>
      <c r="AB303" s="40"/>
      <c r="AC303" s="41"/>
      <c r="AD303" s="41"/>
      <c r="AE303" s="41"/>
      <c r="AF303" s="41"/>
      <c r="AG303" s="41"/>
      <c r="AH303" s="40"/>
      <c r="AI303" s="40"/>
      <c r="AJ303" s="5"/>
      <c r="AK303" s="5"/>
      <c r="AL303" s="40"/>
      <c r="AM303" s="40"/>
      <c r="AN303" s="40"/>
      <c r="AO303" s="40"/>
      <c r="AP303" s="40"/>
      <c r="AQ303" s="40"/>
      <c r="AR303" s="40"/>
      <c r="AS303" s="40"/>
      <c r="AU303" s="40"/>
      <c r="AW303" s="40"/>
    </row>
    <row r="304" spans="2:49" ht="12.75" customHeight="1" x14ac:dyDescent="0.15">
      <c r="B304" s="40"/>
      <c r="C304" s="40"/>
      <c r="D304" s="40"/>
      <c r="E304" s="40"/>
      <c r="F304" s="40"/>
      <c r="G304" s="40"/>
      <c r="H304" s="40"/>
      <c r="I304" s="53"/>
      <c r="S304" s="40"/>
      <c r="T304" s="40"/>
      <c r="U304" s="40"/>
      <c r="V304" s="40"/>
      <c r="W304" s="40"/>
      <c r="Y304" s="40"/>
      <c r="Z304" s="40"/>
      <c r="AA304" s="40"/>
      <c r="AB304" s="40"/>
      <c r="AC304" s="41"/>
      <c r="AD304" s="41"/>
      <c r="AE304" s="41"/>
      <c r="AF304" s="41"/>
      <c r="AG304" s="41"/>
      <c r="AH304" s="40"/>
      <c r="AI304" s="40"/>
      <c r="AJ304" s="5"/>
      <c r="AK304" s="5"/>
      <c r="AL304" s="40"/>
      <c r="AM304" s="40"/>
      <c r="AN304" s="40"/>
      <c r="AO304" s="40"/>
      <c r="AP304" s="40"/>
      <c r="AQ304" s="40"/>
      <c r="AR304" s="40"/>
      <c r="AS304" s="40"/>
      <c r="AU304" s="40"/>
      <c r="AW304" s="40"/>
    </row>
    <row r="305" spans="2:49" ht="12.75" customHeight="1" x14ac:dyDescent="0.15">
      <c r="B305" s="40"/>
      <c r="C305" s="40"/>
      <c r="D305" s="40"/>
      <c r="E305" s="40"/>
      <c r="F305" s="40"/>
      <c r="G305" s="40"/>
      <c r="H305" s="40"/>
      <c r="I305" s="53"/>
      <c r="S305" s="40"/>
      <c r="T305" s="40"/>
      <c r="U305" s="40"/>
      <c r="V305" s="40"/>
      <c r="W305" s="40"/>
      <c r="Y305" s="40"/>
      <c r="Z305" s="40"/>
      <c r="AA305" s="40"/>
      <c r="AB305" s="40"/>
      <c r="AC305" s="41"/>
      <c r="AD305" s="41"/>
      <c r="AE305" s="41"/>
      <c r="AF305" s="41"/>
      <c r="AG305" s="41"/>
      <c r="AH305" s="40"/>
      <c r="AI305" s="40"/>
      <c r="AJ305" s="5"/>
      <c r="AK305" s="5"/>
      <c r="AL305" s="40"/>
      <c r="AM305" s="40"/>
      <c r="AN305" s="40"/>
      <c r="AO305" s="40"/>
      <c r="AP305" s="40"/>
      <c r="AQ305" s="40"/>
      <c r="AR305" s="40"/>
      <c r="AS305" s="40"/>
      <c r="AU305" s="40"/>
      <c r="AW305" s="40"/>
    </row>
    <row r="306" spans="2:49" ht="12.75" customHeight="1" x14ac:dyDescent="0.15">
      <c r="B306" s="40"/>
      <c r="C306" s="40"/>
      <c r="D306" s="40"/>
      <c r="E306" s="40"/>
      <c r="F306" s="40"/>
      <c r="G306" s="40"/>
      <c r="H306" s="40"/>
      <c r="I306" s="53"/>
      <c r="S306" s="40"/>
      <c r="T306" s="40"/>
      <c r="U306" s="40"/>
      <c r="V306" s="40"/>
      <c r="W306" s="40"/>
      <c r="Y306" s="40"/>
      <c r="Z306" s="40"/>
      <c r="AA306" s="40"/>
      <c r="AB306" s="40"/>
      <c r="AC306" s="41"/>
      <c r="AD306" s="41"/>
      <c r="AE306" s="41"/>
      <c r="AF306" s="41"/>
      <c r="AG306" s="41"/>
      <c r="AH306" s="40"/>
      <c r="AI306" s="40"/>
      <c r="AJ306" s="5"/>
      <c r="AK306" s="5"/>
      <c r="AL306" s="40"/>
      <c r="AM306" s="40"/>
      <c r="AN306" s="40"/>
      <c r="AO306" s="40"/>
      <c r="AP306" s="40"/>
      <c r="AQ306" s="40"/>
      <c r="AR306" s="40"/>
      <c r="AS306" s="40"/>
      <c r="AU306" s="40"/>
      <c r="AW306" s="40"/>
    </row>
    <row r="307" spans="2:49" ht="12.75" customHeight="1" x14ac:dyDescent="0.15">
      <c r="B307" s="40"/>
      <c r="C307" s="40"/>
      <c r="D307" s="40"/>
      <c r="E307" s="40"/>
      <c r="F307" s="40"/>
      <c r="G307" s="40"/>
      <c r="H307" s="40"/>
      <c r="I307" s="53"/>
      <c r="S307" s="40"/>
      <c r="T307" s="40"/>
      <c r="U307" s="40"/>
      <c r="V307" s="40"/>
      <c r="W307" s="40"/>
      <c r="Y307" s="40"/>
      <c r="Z307" s="40"/>
      <c r="AA307" s="40"/>
      <c r="AB307" s="40"/>
      <c r="AC307" s="41"/>
      <c r="AD307" s="41"/>
      <c r="AE307" s="41"/>
      <c r="AF307" s="41"/>
      <c r="AG307" s="41"/>
      <c r="AH307" s="40"/>
      <c r="AI307" s="40"/>
      <c r="AJ307" s="5"/>
      <c r="AK307" s="5"/>
      <c r="AL307" s="40"/>
      <c r="AM307" s="40"/>
      <c r="AN307" s="40"/>
      <c r="AO307" s="40"/>
      <c r="AP307" s="40"/>
      <c r="AQ307" s="40"/>
      <c r="AR307" s="40"/>
      <c r="AS307" s="40"/>
      <c r="AU307" s="40"/>
      <c r="AW307" s="40"/>
    </row>
    <row r="308" spans="2:49" ht="12.75" customHeight="1" x14ac:dyDescent="0.15">
      <c r="B308" s="40"/>
      <c r="C308" s="40"/>
      <c r="D308" s="40"/>
      <c r="E308" s="40"/>
      <c r="F308" s="40"/>
      <c r="G308" s="40"/>
      <c r="H308" s="40"/>
      <c r="I308" s="53"/>
      <c r="S308" s="40"/>
      <c r="T308" s="40"/>
      <c r="U308" s="40"/>
      <c r="V308" s="40"/>
      <c r="W308" s="40"/>
      <c r="Y308" s="40"/>
      <c r="Z308" s="40"/>
      <c r="AA308" s="40"/>
      <c r="AB308" s="40"/>
      <c r="AC308" s="41"/>
      <c r="AD308" s="41"/>
      <c r="AE308" s="41"/>
      <c r="AF308" s="41"/>
      <c r="AG308" s="41"/>
      <c r="AH308" s="40"/>
      <c r="AI308" s="40"/>
      <c r="AJ308" s="5"/>
      <c r="AK308" s="5"/>
      <c r="AL308" s="40"/>
      <c r="AM308" s="40"/>
      <c r="AN308" s="40"/>
      <c r="AO308" s="40"/>
      <c r="AP308" s="40"/>
      <c r="AQ308" s="40"/>
      <c r="AR308" s="40"/>
      <c r="AS308" s="40"/>
      <c r="AU308" s="40"/>
      <c r="AW308" s="40"/>
    </row>
    <row r="309" spans="2:49" ht="12.75" customHeight="1" x14ac:dyDescent="0.15">
      <c r="B309" s="40"/>
      <c r="C309" s="40"/>
      <c r="D309" s="40"/>
      <c r="E309" s="40"/>
      <c r="F309" s="40"/>
      <c r="G309" s="40"/>
      <c r="H309" s="40"/>
      <c r="I309" s="53"/>
      <c r="S309" s="40"/>
      <c r="T309" s="40"/>
      <c r="U309" s="40"/>
      <c r="V309" s="40"/>
      <c r="W309" s="40"/>
      <c r="Y309" s="40"/>
      <c r="Z309" s="40"/>
      <c r="AA309" s="40"/>
      <c r="AB309" s="40"/>
      <c r="AC309" s="41"/>
      <c r="AD309" s="41"/>
      <c r="AE309" s="41"/>
      <c r="AF309" s="41"/>
      <c r="AG309" s="41"/>
      <c r="AH309" s="40"/>
      <c r="AI309" s="40"/>
      <c r="AJ309" s="5"/>
      <c r="AK309" s="5"/>
      <c r="AL309" s="40"/>
      <c r="AM309" s="40"/>
      <c r="AN309" s="40"/>
      <c r="AO309" s="40"/>
      <c r="AP309" s="40"/>
      <c r="AQ309" s="40"/>
      <c r="AR309" s="40"/>
      <c r="AS309" s="40"/>
      <c r="AU309" s="40"/>
      <c r="AW309" s="40"/>
    </row>
    <row r="310" spans="2:49" ht="12.75" customHeight="1" x14ac:dyDescent="0.15">
      <c r="B310" s="40"/>
      <c r="C310" s="40"/>
      <c r="D310" s="40"/>
      <c r="E310" s="40"/>
      <c r="F310" s="40"/>
      <c r="G310" s="40"/>
      <c r="H310" s="40"/>
      <c r="I310" s="53"/>
      <c r="S310" s="40"/>
      <c r="T310" s="40"/>
      <c r="U310" s="40"/>
      <c r="V310" s="40"/>
      <c r="W310" s="40"/>
      <c r="Y310" s="40"/>
      <c r="Z310" s="40"/>
      <c r="AA310" s="40"/>
      <c r="AB310" s="40"/>
      <c r="AC310" s="41"/>
      <c r="AD310" s="41"/>
      <c r="AE310" s="41"/>
      <c r="AF310" s="41"/>
      <c r="AG310" s="41"/>
      <c r="AH310" s="40"/>
      <c r="AI310" s="40"/>
      <c r="AJ310" s="5"/>
      <c r="AK310" s="5"/>
      <c r="AL310" s="40"/>
      <c r="AM310" s="40"/>
      <c r="AN310" s="40"/>
      <c r="AO310" s="40"/>
      <c r="AP310" s="40"/>
      <c r="AQ310" s="40"/>
      <c r="AR310" s="40"/>
      <c r="AS310" s="40"/>
      <c r="AU310" s="40"/>
      <c r="AW310" s="40"/>
    </row>
    <row r="311" spans="2:49" ht="12.75" customHeight="1" x14ac:dyDescent="0.15">
      <c r="B311" s="40"/>
      <c r="C311" s="40"/>
      <c r="D311" s="40"/>
      <c r="E311" s="40"/>
      <c r="F311" s="40"/>
      <c r="G311" s="40"/>
      <c r="H311" s="40"/>
      <c r="I311" s="53"/>
      <c r="S311" s="40"/>
      <c r="T311" s="40"/>
      <c r="U311" s="40"/>
      <c r="V311" s="40"/>
      <c r="W311" s="40"/>
      <c r="Y311" s="40"/>
      <c r="Z311" s="40"/>
      <c r="AA311" s="40"/>
      <c r="AB311" s="40"/>
      <c r="AC311" s="41"/>
      <c r="AD311" s="41"/>
      <c r="AE311" s="41"/>
      <c r="AF311" s="41"/>
      <c r="AG311" s="41"/>
      <c r="AH311" s="40"/>
      <c r="AI311" s="40"/>
      <c r="AJ311" s="5"/>
      <c r="AK311" s="5"/>
      <c r="AL311" s="40"/>
      <c r="AM311" s="40"/>
      <c r="AN311" s="40"/>
      <c r="AO311" s="40"/>
      <c r="AP311" s="40"/>
      <c r="AQ311" s="40"/>
      <c r="AR311" s="40"/>
      <c r="AS311" s="40"/>
      <c r="AU311" s="40"/>
      <c r="AW311" s="40"/>
    </row>
    <row r="312" spans="2:49" ht="12.75" customHeight="1" x14ac:dyDescent="0.15">
      <c r="B312" s="40"/>
      <c r="C312" s="40"/>
      <c r="D312" s="40"/>
      <c r="E312" s="40"/>
      <c r="F312" s="40"/>
      <c r="G312" s="40"/>
      <c r="H312" s="40"/>
      <c r="I312" s="53"/>
      <c r="S312" s="40"/>
      <c r="T312" s="40"/>
      <c r="U312" s="40"/>
      <c r="V312" s="40"/>
      <c r="W312" s="40"/>
      <c r="Y312" s="40"/>
      <c r="Z312" s="40"/>
      <c r="AA312" s="40"/>
      <c r="AB312" s="40"/>
      <c r="AC312" s="41"/>
      <c r="AD312" s="41"/>
      <c r="AE312" s="41"/>
      <c r="AF312" s="41"/>
      <c r="AG312" s="41"/>
      <c r="AH312" s="40"/>
      <c r="AI312" s="40"/>
      <c r="AJ312" s="5"/>
      <c r="AK312" s="5"/>
      <c r="AL312" s="40"/>
      <c r="AM312" s="40"/>
      <c r="AN312" s="40"/>
      <c r="AO312" s="40"/>
      <c r="AP312" s="40"/>
      <c r="AQ312" s="40"/>
      <c r="AR312" s="40"/>
      <c r="AS312" s="40"/>
      <c r="AU312" s="40"/>
      <c r="AW312" s="40"/>
    </row>
    <row r="313" spans="2:49" ht="12.75" customHeight="1" x14ac:dyDescent="0.15">
      <c r="B313" s="40"/>
      <c r="C313" s="40"/>
      <c r="D313" s="40"/>
      <c r="E313" s="40"/>
      <c r="F313" s="40"/>
      <c r="G313" s="40"/>
      <c r="H313" s="40"/>
      <c r="I313" s="53"/>
      <c r="S313" s="40"/>
      <c r="T313" s="40"/>
      <c r="U313" s="40"/>
      <c r="V313" s="40"/>
      <c r="W313" s="40"/>
      <c r="Y313" s="40"/>
      <c r="Z313" s="40"/>
      <c r="AA313" s="40"/>
      <c r="AB313" s="40"/>
      <c r="AC313" s="41"/>
      <c r="AD313" s="41"/>
      <c r="AE313" s="41"/>
      <c r="AF313" s="41"/>
      <c r="AG313" s="41"/>
      <c r="AH313" s="40"/>
      <c r="AI313" s="40"/>
      <c r="AJ313" s="5"/>
      <c r="AK313" s="5"/>
      <c r="AL313" s="40"/>
      <c r="AM313" s="40"/>
      <c r="AN313" s="40"/>
      <c r="AO313" s="40"/>
      <c r="AP313" s="40"/>
      <c r="AQ313" s="40"/>
      <c r="AR313" s="40"/>
      <c r="AS313" s="40"/>
      <c r="AU313" s="40"/>
      <c r="AW313" s="40"/>
    </row>
    <row r="314" spans="2:49" ht="12.75" customHeight="1" x14ac:dyDescent="0.15">
      <c r="B314" s="40"/>
      <c r="C314" s="40"/>
      <c r="D314" s="40"/>
      <c r="E314" s="40"/>
      <c r="F314" s="40"/>
      <c r="G314" s="40"/>
      <c r="H314" s="40"/>
      <c r="I314" s="53"/>
      <c r="S314" s="40"/>
      <c r="T314" s="40"/>
      <c r="U314" s="40"/>
      <c r="V314" s="40"/>
      <c r="W314" s="40"/>
      <c r="Y314" s="40"/>
      <c r="Z314" s="40"/>
      <c r="AA314" s="40"/>
      <c r="AB314" s="40"/>
      <c r="AC314" s="41"/>
      <c r="AD314" s="41"/>
      <c r="AE314" s="41"/>
      <c r="AF314" s="41"/>
      <c r="AG314" s="41"/>
      <c r="AH314" s="40"/>
      <c r="AI314" s="40"/>
      <c r="AJ314" s="5"/>
      <c r="AK314" s="5"/>
      <c r="AL314" s="40"/>
      <c r="AM314" s="40"/>
      <c r="AN314" s="40"/>
      <c r="AO314" s="40"/>
      <c r="AP314" s="40"/>
      <c r="AQ314" s="40"/>
      <c r="AR314" s="40"/>
      <c r="AS314" s="40"/>
      <c r="AU314" s="40"/>
      <c r="AW314" s="40"/>
    </row>
    <row r="315" spans="2:49" ht="12.75" customHeight="1" x14ac:dyDescent="0.15">
      <c r="B315" s="40"/>
      <c r="C315" s="40"/>
      <c r="D315" s="40"/>
      <c r="E315" s="40"/>
      <c r="F315" s="40"/>
      <c r="G315" s="40"/>
      <c r="H315" s="40"/>
      <c r="I315" s="53"/>
      <c r="S315" s="40"/>
      <c r="T315" s="40"/>
      <c r="U315" s="40"/>
      <c r="V315" s="40"/>
      <c r="W315" s="40"/>
      <c r="Y315" s="40"/>
      <c r="Z315" s="40"/>
      <c r="AA315" s="40"/>
      <c r="AB315" s="40"/>
      <c r="AC315" s="41"/>
      <c r="AD315" s="41"/>
      <c r="AE315" s="41"/>
      <c r="AF315" s="41"/>
      <c r="AG315" s="41"/>
      <c r="AH315" s="40"/>
      <c r="AI315" s="40"/>
      <c r="AJ315" s="5"/>
      <c r="AK315" s="5"/>
      <c r="AL315" s="40"/>
      <c r="AM315" s="40"/>
      <c r="AN315" s="40"/>
      <c r="AO315" s="40"/>
      <c r="AP315" s="40"/>
      <c r="AQ315" s="40"/>
      <c r="AR315" s="40"/>
      <c r="AS315" s="40"/>
      <c r="AU315" s="40"/>
      <c r="AW315" s="40"/>
    </row>
    <row r="316" spans="2:49" ht="12.75" customHeight="1" x14ac:dyDescent="0.15">
      <c r="B316" s="40"/>
      <c r="C316" s="40"/>
      <c r="D316" s="40"/>
      <c r="E316" s="40"/>
      <c r="F316" s="40"/>
      <c r="G316" s="40"/>
      <c r="H316" s="40"/>
      <c r="I316" s="53"/>
      <c r="S316" s="40"/>
      <c r="T316" s="40"/>
      <c r="U316" s="40"/>
      <c r="V316" s="40"/>
      <c r="W316" s="40"/>
      <c r="Y316" s="40"/>
      <c r="Z316" s="40"/>
      <c r="AA316" s="40"/>
      <c r="AB316" s="40"/>
      <c r="AC316" s="41"/>
      <c r="AD316" s="41"/>
      <c r="AE316" s="41"/>
      <c r="AF316" s="41"/>
      <c r="AG316" s="41"/>
      <c r="AH316" s="40"/>
      <c r="AI316" s="40"/>
      <c r="AJ316" s="5"/>
      <c r="AK316" s="5"/>
      <c r="AL316" s="40"/>
      <c r="AM316" s="40"/>
      <c r="AN316" s="40"/>
      <c r="AO316" s="40"/>
      <c r="AP316" s="40"/>
      <c r="AQ316" s="40"/>
      <c r="AR316" s="40"/>
      <c r="AS316" s="40"/>
      <c r="AU316" s="40"/>
      <c r="AW316" s="40"/>
    </row>
    <row r="317" spans="2:49" ht="12.75" customHeight="1" x14ac:dyDescent="0.15">
      <c r="B317" s="40"/>
      <c r="C317" s="40"/>
      <c r="D317" s="40"/>
      <c r="E317" s="40"/>
      <c r="F317" s="40"/>
      <c r="G317" s="40"/>
      <c r="H317" s="40"/>
      <c r="I317" s="53"/>
      <c r="S317" s="40"/>
      <c r="T317" s="40"/>
      <c r="U317" s="40"/>
      <c r="V317" s="40"/>
      <c r="W317" s="40"/>
      <c r="Y317" s="40"/>
      <c r="Z317" s="40"/>
      <c r="AA317" s="40"/>
      <c r="AB317" s="40"/>
      <c r="AC317" s="41"/>
      <c r="AD317" s="41"/>
      <c r="AE317" s="41"/>
      <c r="AF317" s="41"/>
      <c r="AG317" s="41"/>
      <c r="AH317" s="40"/>
      <c r="AI317" s="40"/>
      <c r="AJ317" s="5"/>
      <c r="AK317" s="5"/>
      <c r="AL317" s="40"/>
      <c r="AM317" s="40"/>
      <c r="AN317" s="40"/>
      <c r="AO317" s="40"/>
      <c r="AP317" s="40"/>
      <c r="AQ317" s="40"/>
      <c r="AR317" s="40"/>
      <c r="AS317" s="40"/>
      <c r="AU317" s="40"/>
      <c r="AW317" s="40"/>
    </row>
    <row r="318" spans="2:49" ht="12.75" customHeight="1" x14ac:dyDescent="0.15">
      <c r="B318" s="40"/>
      <c r="C318" s="40"/>
      <c r="D318" s="40"/>
      <c r="E318" s="40"/>
      <c r="F318" s="40"/>
      <c r="G318" s="40"/>
      <c r="H318" s="40"/>
      <c r="I318" s="53"/>
      <c r="S318" s="40"/>
      <c r="T318" s="40"/>
      <c r="U318" s="40"/>
      <c r="V318" s="40"/>
      <c r="W318" s="40"/>
      <c r="Y318" s="40"/>
      <c r="Z318" s="40"/>
      <c r="AA318" s="40"/>
      <c r="AB318" s="40"/>
      <c r="AC318" s="41"/>
      <c r="AD318" s="41"/>
      <c r="AE318" s="41"/>
      <c r="AF318" s="41"/>
      <c r="AG318" s="41"/>
      <c r="AH318" s="40"/>
      <c r="AI318" s="40"/>
      <c r="AJ318" s="5"/>
      <c r="AK318" s="5"/>
      <c r="AL318" s="40"/>
      <c r="AM318" s="40"/>
      <c r="AN318" s="40"/>
      <c r="AO318" s="40"/>
      <c r="AP318" s="40"/>
      <c r="AQ318" s="40"/>
      <c r="AR318" s="40"/>
      <c r="AS318" s="40"/>
      <c r="AU318" s="40"/>
      <c r="AW318" s="40"/>
    </row>
    <row r="319" spans="2:49" ht="12.75" customHeight="1" x14ac:dyDescent="0.15">
      <c r="B319" s="40"/>
      <c r="C319" s="40"/>
      <c r="D319" s="40"/>
      <c r="E319" s="40"/>
      <c r="F319" s="40"/>
      <c r="G319" s="40"/>
      <c r="H319" s="40"/>
      <c r="I319" s="53"/>
      <c r="S319" s="40"/>
      <c r="T319" s="40"/>
      <c r="U319" s="40"/>
      <c r="V319" s="40"/>
      <c r="W319" s="40"/>
      <c r="Y319" s="40"/>
      <c r="Z319" s="40"/>
      <c r="AA319" s="40"/>
      <c r="AB319" s="40"/>
      <c r="AC319" s="41"/>
      <c r="AD319" s="41"/>
      <c r="AE319" s="41"/>
      <c r="AF319" s="41"/>
      <c r="AG319" s="41"/>
      <c r="AH319" s="40"/>
      <c r="AI319" s="40"/>
      <c r="AJ319" s="5"/>
      <c r="AK319" s="5"/>
      <c r="AL319" s="40"/>
      <c r="AM319" s="40"/>
      <c r="AN319" s="40"/>
      <c r="AO319" s="40"/>
      <c r="AP319" s="40"/>
      <c r="AQ319" s="40"/>
      <c r="AR319" s="40"/>
      <c r="AS319" s="40"/>
      <c r="AU319" s="40"/>
      <c r="AW319" s="40"/>
    </row>
    <row r="320" spans="2:49" ht="12.75" customHeight="1" x14ac:dyDescent="0.15">
      <c r="B320" s="40"/>
      <c r="C320" s="40"/>
      <c r="D320" s="40"/>
      <c r="E320" s="40"/>
      <c r="F320" s="40"/>
      <c r="G320" s="40"/>
      <c r="H320" s="40"/>
      <c r="I320" s="53"/>
      <c r="S320" s="40"/>
      <c r="T320" s="40"/>
      <c r="U320" s="40"/>
      <c r="V320" s="40"/>
      <c r="W320" s="40"/>
      <c r="Y320" s="40"/>
      <c r="Z320" s="40"/>
      <c r="AA320" s="40"/>
      <c r="AB320" s="40"/>
      <c r="AC320" s="41"/>
      <c r="AD320" s="41"/>
      <c r="AE320" s="41"/>
      <c r="AF320" s="41"/>
      <c r="AG320" s="41"/>
      <c r="AH320" s="40"/>
      <c r="AI320" s="40"/>
      <c r="AJ320" s="5"/>
      <c r="AK320" s="5"/>
      <c r="AL320" s="40"/>
      <c r="AM320" s="40"/>
      <c r="AN320" s="40"/>
      <c r="AO320" s="40"/>
      <c r="AP320" s="40"/>
      <c r="AQ320" s="40"/>
      <c r="AR320" s="40"/>
      <c r="AS320" s="40"/>
      <c r="AU320" s="40"/>
      <c r="AW320" s="40"/>
    </row>
    <row r="321" spans="2:49" ht="12.75" customHeight="1" x14ac:dyDescent="0.15">
      <c r="B321" s="40"/>
      <c r="C321" s="40"/>
      <c r="D321" s="40"/>
      <c r="E321" s="40"/>
      <c r="F321" s="40"/>
      <c r="G321" s="40"/>
      <c r="H321" s="40"/>
      <c r="I321" s="53"/>
      <c r="S321" s="40"/>
      <c r="T321" s="40"/>
      <c r="U321" s="40"/>
      <c r="V321" s="40"/>
      <c r="W321" s="40"/>
      <c r="Y321" s="40"/>
      <c r="Z321" s="40"/>
      <c r="AA321" s="40"/>
      <c r="AB321" s="40"/>
      <c r="AC321" s="41"/>
      <c r="AD321" s="41"/>
      <c r="AE321" s="41"/>
      <c r="AF321" s="41"/>
      <c r="AG321" s="41"/>
      <c r="AH321" s="40"/>
      <c r="AI321" s="40"/>
      <c r="AJ321" s="5"/>
      <c r="AK321" s="5"/>
      <c r="AL321" s="40"/>
      <c r="AM321" s="40"/>
      <c r="AN321" s="40"/>
      <c r="AO321" s="40"/>
      <c r="AP321" s="40"/>
      <c r="AQ321" s="40"/>
      <c r="AR321" s="40"/>
      <c r="AS321" s="40"/>
      <c r="AU321" s="40"/>
      <c r="AW321" s="40"/>
    </row>
    <row r="322" spans="2:49" ht="12.75" customHeight="1" x14ac:dyDescent="0.15">
      <c r="B322" s="40"/>
      <c r="C322" s="40"/>
      <c r="D322" s="40"/>
      <c r="E322" s="40"/>
      <c r="F322" s="40"/>
      <c r="G322" s="40"/>
      <c r="H322" s="40"/>
      <c r="I322" s="53"/>
      <c r="S322" s="40"/>
      <c r="T322" s="40"/>
      <c r="U322" s="40"/>
      <c r="V322" s="40"/>
      <c r="W322" s="40"/>
      <c r="Y322" s="40"/>
      <c r="Z322" s="40"/>
      <c r="AA322" s="40"/>
      <c r="AB322" s="40"/>
      <c r="AC322" s="41"/>
      <c r="AD322" s="41"/>
      <c r="AE322" s="41"/>
      <c r="AF322" s="41"/>
      <c r="AG322" s="41"/>
      <c r="AH322" s="40"/>
      <c r="AI322" s="40"/>
      <c r="AJ322" s="5"/>
      <c r="AK322" s="5"/>
      <c r="AL322" s="40"/>
      <c r="AM322" s="40"/>
      <c r="AN322" s="40"/>
      <c r="AO322" s="40"/>
      <c r="AP322" s="40"/>
      <c r="AQ322" s="40"/>
      <c r="AR322" s="40"/>
      <c r="AS322" s="40"/>
      <c r="AU322" s="40"/>
      <c r="AW322" s="40"/>
    </row>
    <row r="323" spans="2:49" ht="12.75" customHeight="1" x14ac:dyDescent="0.15">
      <c r="B323" s="40"/>
      <c r="C323" s="40"/>
      <c r="D323" s="40"/>
      <c r="E323" s="40"/>
      <c r="F323" s="40"/>
      <c r="G323" s="40"/>
      <c r="H323" s="40"/>
      <c r="I323" s="53"/>
      <c r="S323" s="40"/>
      <c r="T323" s="40"/>
      <c r="U323" s="40"/>
      <c r="V323" s="40"/>
      <c r="W323" s="40"/>
      <c r="Y323" s="40"/>
      <c r="Z323" s="40"/>
      <c r="AA323" s="40"/>
      <c r="AB323" s="40"/>
      <c r="AC323" s="41"/>
      <c r="AD323" s="41"/>
      <c r="AE323" s="41"/>
      <c r="AF323" s="41"/>
      <c r="AG323" s="41"/>
      <c r="AH323" s="40"/>
      <c r="AI323" s="40"/>
      <c r="AJ323" s="5"/>
      <c r="AK323" s="5"/>
      <c r="AL323" s="40"/>
      <c r="AM323" s="40"/>
      <c r="AN323" s="40"/>
      <c r="AO323" s="40"/>
      <c r="AP323" s="40"/>
      <c r="AQ323" s="40"/>
      <c r="AR323" s="40"/>
      <c r="AS323" s="40"/>
      <c r="AU323" s="40"/>
      <c r="AW323" s="40"/>
    </row>
    <row r="324" spans="2:49" ht="12.75" customHeight="1" x14ac:dyDescent="0.15">
      <c r="B324" s="40"/>
      <c r="C324" s="40"/>
      <c r="D324" s="40"/>
      <c r="E324" s="40"/>
      <c r="F324" s="40"/>
      <c r="G324" s="40"/>
      <c r="H324" s="40"/>
      <c r="I324" s="53"/>
      <c r="S324" s="40"/>
      <c r="T324" s="40"/>
      <c r="U324" s="40"/>
      <c r="V324" s="40"/>
      <c r="W324" s="40"/>
      <c r="Y324" s="40"/>
      <c r="Z324" s="40"/>
      <c r="AA324" s="40"/>
      <c r="AB324" s="40"/>
      <c r="AC324" s="41"/>
      <c r="AD324" s="41"/>
      <c r="AE324" s="41"/>
      <c r="AF324" s="41"/>
      <c r="AG324" s="41"/>
      <c r="AH324" s="40"/>
      <c r="AI324" s="40"/>
      <c r="AJ324" s="5"/>
      <c r="AK324" s="5"/>
      <c r="AL324" s="40"/>
      <c r="AM324" s="40"/>
      <c r="AN324" s="40"/>
      <c r="AO324" s="40"/>
      <c r="AP324" s="40"/>
      <c r="AQ324" s="40"/>
      <c r="AR324" s="40"/>
      <c r="AS324" s="40"/>
      <c r="AU324" s="40"/>
      <c r="AW324" s="40"/>
    </row>
    <row r="325" spans="2:49" ht="12.75" customHeight="1" x14ac:dyDescent="0.15">
      <c r="B325" s="40"/>
      <c r="C325" s="40"/>
      <c r="D325" s="40"/>
      <c r="E325" s="40"/>
      <c r="F325" s="40"/>
      <c r="G325" s="40"/>
      <c r="H325" s="40"/>
      <c r="I325" s="53"/>
      <c r="S325" s="40"/>
      <c r="T325" s="40"/>
      <c r="U325" s="40"/>
      <c r="V325" s="40"/>
      <c r="W325" s="40"/>
      <c r="Y325" s="40"/>
      <c r="Z325" s="40"/>
      <c r="AA325" s="40"/>
      <c r="AB325" s="40"/>
      <c r="AC325" s="41"/>
      <c r="AD325" s="41"/>
      <c r="AE325" s="41"/>
      <c r="AF325" s="41"/>
      <c r="AG325" s="41"/>
      <c r="AH325" s="40"/>
      <c r="AI325" s="40"/>
      <c r="AJ325" s="5"/>
      <c r="AK325" s="5"/>
      <c r="AL325" s="40"/>
      <c r="AM325" s="40"/>
      <c r="AN325" s="40"/>
      <c r="AO325" s="40"/>
      <c r="AP325" s="40"/>
      <c r="AQ325" s="40"/>
      <c r="AR325" s="40"/>
      <c r="AS325" s="40"/>
      <c r="AU325" s="40"/>
      <c r="AW325" s="40"/>
    </row>
    <row r="326" spans="2:49" ht="12.75" customHeight="1" x14ac:dyDescent="0.15">
      <c r="B326" s="40"/>
      <c r="C326" s="40"/>
      <c r="D326" s="40"/>
      <c r="E326" s="40"/>
      <c r="F326" s="40"/>
      <c r="G326" s="40"/>
      <c r="H326" s="40"/>
      <c r="I326" s="53"/>
      <c r="S326" s="40"/>
      <c r="T326" s="40"/>
      <c r="U326" s="40"/>
      <c r="V326" s="40"/>
      <c r="W326" s="40"/>
      <c r="Y326" s="40"/>
      <c r="Z326" s="40"/>
      <c r="AA326" s="40"/>
      <c r="AB326" s="40"/>
      <c r="AC326" s="41"/>
      <c r="AD326" s="41"/>
      <c r="AE326" s="41"/>
      <c r="AF326" s="41"/>
      <c r="AG326" s="41"/>
      <c r="AH326" s="40"/>
      <c r="AI326" s="40"/>
      <c r="AJ326" s="5"/>
      <c r="AK326" s="5"/>
      <c r="AL326" s="40"/>
      <c r="AM326" s="40"/>
      <c r="AN326" s="40"/>
      <c r="AO326" s="40"/>
      <c r="AP326" s="40"/>
      <c r="AQ326" s="40"/>
      <c r="AR326" s="40"/>
      <c r="AS326" s="40"/>
      <c r="AU326" s="40"/>
      <c r="AW326" s="40"/>
    </row>
    <row r="327" spans="2:49" ht="12.75" customHeight="1" x14ac:dyDescent="0.15">
      <c r="B327" s="40"/>
      <c r="C327" s="40"/>
      <c r="D327" s="40"/>
      <c r="E327" s="40"/>
      <c r="F327" s="40"/>
      <c r="G327" s="40"/>
      <c r="H327" s="40"/>
      <c r="I327" s="53"/>
      <c r="S327" s="40"/>
      <c r="T327" s="40"/>
      <c r="U327" s="40"/>
      <c r="V327" s="40"/>
      <c r="W327" s="40"/>
      <c r="Y327" s="40"/>
      <c r="Z327" s="40"/>
      <c r="AA327" s="40"/>
      <c r="AB327" s="40"/>
      <c r="AC327" s="41"/>
      <c r="AD327" s="41"/>
      <c r="AE327" s="41"/>
      <c r="AF327" s="41"/>
      <c r="AG327" s="41"/>
      <c r="AH327" s="40"/>
      <c r="AI327" s="40"/>
      <c r="AJ327" s="5"/>
      <c r="AK327" s="5"/>
      <c r="AL327" s="40"/>
      <c r="AM327" s="40"/>
      <c r="AN327" s="40"/>
      <c r="AO327" s="40"/>
      <c r="AP327" s="40"/>
      <c r="AQ327" s="40"/>
      <c r="AR327" s="40"/>
      <c r="AS327" s="40"/>
      <c r="AU327" s="40"/>
      <c r="AW327" s="40"/>
    </row>
    <row r="328" spans="2:49" ht="12.75" customHeight="1" x14ac:dyDescent="0.15">
      <c r="B328" s="40"/>
      <c r="C328" s="40"/>
      <c r="D328" s="40"/>
      <c r="E328" s="40"/>
      <c r="F328" s="40"/>
      <c r="G328" s="40"/>
      <c r="H328" s="40"/>
      <c r="I328" s="53"/>
      <c r="S328" s="40"/>
      <c r="T328" s="40"/>
      <c r="U328" s="40"/>
      <c r="V328" s="40"/>
      <c r="W328" s="40"/>
      <c r="Y328" s="40"/>
      <c r="Z328" s="40"/>
      <c r="AA328" s="40"/>
      <c r="AB328" s="40"/>
      <c r="AC328" s="41"/>
      <c r="AD328" s="41"/>
      <c r="AE328" s="41"/>
      <c r="AF328" s="41"/>
      <c r="AG328" s="41"/>
      <c r="AH328" s="40"/>
      <c r="AI328" s="40"/>
      <c r="AJ328" s="5"/>
      <c r="AK328" s="5"/>
      <c r="AL328" s="40"/>
      <c r="AM328" s="40"/>
      <c r="AN328" s="40"/>
      <c r="AO328" s="40"/>
      <c r="AP328" s="40"/>
      <c r="AQ328" s="40"/>
      <c r="AR328" s="40"/>
      <c r="AS328" s="40"/>
      <c r="AU328" s="40"/>
      <c r="AW328" s="40"/>
    </row>
    <row r="329" spans="2:49" ht="12.75" customHeight="1" x14ac:dyDescent="0.15">
      <c r="B329" s="40"/>
      <c r="C329" s="40"/>
      <c r="D329" s="40"/>
      <c r="E329" s="40"/>
      <c r="F329" s="40"/>
      <c r="G329" s="40"/>
      <c r="H329" s="40"/>
      <c r="I329" s="53"/>
      <c r="S329" s="40"/>
      <c r="T329" s="40"/>
      <c r="U329" s="40"/>
      <c r="V329" s="40"/>
      <c r="W329" s="40"/>
      <c r="Y329" s="40"/>
      <c r="Z329" s="40"/>
      <c r="AA329" s="40"/>
      <c r="AB329" s="40"/>
      <c r="AC329" s="41"/>
      <c r="AD329" s="41"/>
      <c r="AE329" s="41"/>
      <c r="AF329" s="41"/>
      <c r="AG329" s="41"/>
      <c r="AH329" s="40"/>
      <c r="AI329" s="40"/>
      <c r="AJ329" s="5"/>
      <c r="AK329" s="5"/>
      <c r="AL329" s="40"/>
      <c r="AM329" s="40"/>
      <c r="AN329" s="40"/>
      <c r="AO329" s="40"/>
      <c r="AP329" s="40"/>
      <c r="AQ329" s="40"/>
      <c r="AR329" s="40"/>
      <c r="AS329" s="40"/>
      <c r="AU329" s="40"/>
      <c r="AW329" s="40"/>
    </row>
    <row r="330" spans="2:49" ht="12.75" customHeight="1" x14ac:dyDescent="0.15">
      <c r="B330" s="40"/>
      <c r="C330" s="40"/>
      <c r="D330" s="40"/>
      <c r="E330" s="40"/>
      <c r="F330" s="40"/>
      <c r="G330" s="40"/>
      <c r="H330" s="40"/>
      <c r="I330" s="53"/>
      <c r="S330" s="40"/>
      <c r="T330" s="40"/>
      <c r="U330" s="40"/>
      <c r="V330" s="40"/>
      <c r="W330" s="40"/>
      <c r="Y330" s="40"/>
      <c r="Z330" s="40"/>
      <c r="AA330" s="40"/>
      <c r="AB330" s="40"/>
      <c r="AC330" s="41"/>
      <c r="AD330" s="41"/>
      <c r="AE330" s="41"/>
      <c r="AF330" s="41"/>
      <c r="AG330" s="41"/>
      <c r="AH330" s="40"/>
      <c r="AI330" s="40"/>
      <c r="AJ330" s="5"/>
      <c r="AK330" s="5"/>
      <c r="AL330" s="40"/>
      <c r="AM330" s="40"/>
      <c r="AN330" s="40"/>
      <c r="AO330" s="40"/>
      <c r="AP330" s="40"/>
      <c r="AQ330" s="40"/>
      <c r="AR330" s="40"/>
      <c r="AS330" s="40"/>
      <c r="AU330" s="40"/>
      <c r="AW330" s="40"/>
    </row>
    <row r="331" spans="2:49" ht="12.75" customHeight="1" x14ac:dyDescent="0.15">
      <c r="B331" s="40"/>
      <c r="C331" s="40"/>
      <c r="D331" s="40"/>
      <c r="E331" s="40"/>
      <c r="F331" s="40"/>
      <c r="G331" s="40"/>
      <c r="H331" s="40"/>
      <c r="I331" s="53"/>
      <c r="S331" s="40"/>
      <c r="T331" s="40"/>
      <c r="U331" s="40"/>
      <c r="V331" s="40"/>
      <c r="W331" s="40"/>
      <c r="Y331" s="40"/>
      <c r="Z331" s="40"/>
      <c r="AA331" s="40"/>
      <c r="AB331" s="40"/>
      <c r="AC331" s="41"/>
      <c r="AD331" s="41"/>
      <c r="AE331" s="41"/>
      <c r="AF331" s="41"/>
      <c r="AG331" s="41"/>
      <c r="AH331" s="40"/>
      <c r="AI331" s="40"/>
      <c r="AJ331" s="5"/>
      <c r="AK331" s="5"/>
      <c r="AL331" s="40"/>
      <c r="AM331" s="40"/>
      <c r="AN331" s="40"/>
      <c r="AO331" s="40"/>
      <c r="AP331" s="40"/>
      <c r="AQ331" s="40"/>
      <c r="AR331" s="40"/>
      <c r="AS331" s="40"/>
      <c r="AU331" s="40"/>
      <c r="AW331" s="40"/>
    </row>
    <row r="332" spans="2:49" ht="12.75" customHeight="1" x14ac:dyDescent="0.15">
      <c r="B332" s="40"/>
      <c r="C332" s="40"/>
      <c r="D332" s="40"/>
      <c r="E332" s="40"/>
      <c r="F332" s="40"/>
      <c r="G332" s="40"/>
      <c r="H332" s="40"/>
      <c r="I332" s="53"/>
      <c r="S332" s="40"/>
      <c r="T332" s="40"/>
      <c r="U332" s="40"/>
      <c r="V332" s="40"/>
      <c r="W332" s="40"/>
      <c r="Y332" s="40"/>
      <c r="Z332" s="40"/>
      <c r="AA332" s="40"/>
      <c r="AB332" s="40"/>
      <c r="AC332" s="41"/>
      <c r="AD332" s="41"/>
      <c r="AE332" s="41"/>
      <c r="AF332" s="41"/>
      <c r="AG332" s="41"/>
      <c r="AH332" s="40"/>
      <c r="AI332" s="40"/>
      <c r="AJ332" s="5"/>
      <c r="AK332" s="5"/>
      <c r="AL332" s="40"/>
      <c r="AM332" s="40"/>
      <c r="AN332" s="40"/>
      <c r="AO332" s="40"/>
      <c r="AP332" s="40"/>
      <c r="AQ332" s="40"/>
      <c r="AR332" s="40"/>
      <c r="AS332" s="40"/>
      <c r="AU332" s="40"/>
      <c r="AW332" s="40"/>
    </row>
    <row r="333" spans="2:49" ht="12.75" customHeight="1" x14ac:dyDescent="0.15">
      <c r="B333" s="40"/>
      <c r="C333" s="40"/>
      <c r="D333" s="40"/>
      <c r="E333" s="40"/>
      <c r="F333" s="40"/>
      <c r="G333" s="40"/>
      <c r="H333" s="40"/>
      <c r="I333" s="53"/>
      <c r="S333" s="40"/>
      <c r="T333" s="40"/>
      <c r="U333" s="40"/>
      <c r="V333" s="40"/>
      <c r="W333" s="40"/>
      <c r="Y333" s="40"/>
      <c r="Z333" s="40"/>
      <c r="AA333" s="40"/>
      <c r="AB333" s="40"/>
      <c r="AC333" s="41"/>
      <c r="AD333" s="41"/>
      <c r="AE333" s="41"/>
      <c r="AF333" s="41"/>
      <c r="AG333" s="41"/>
      <c r="AH333" s="40"/>
      <c r="AI333" s="40"/>
      <c r="AJ333" s="5"/>
      <c r="AK333" s="5"/>
      <c r="AL333" s="40"/>
      <c r="AM333" s="40"/>
      <c r="AN333" s="40"/>
      <c r="AO333" s="40"/>
      <c r="AP333" s="40"/>
      <c r="AQ333" s="40"/>
      <c r="AR333" s="40"/>
      <c r="AS333" s="40"/>
      <c r="AU333" s="40"/>
      <c r="AW333" s="40"/>
    </row>
    <row r="334" spans="2:49" ht="12.75" customHeight="1" x14ac:dyDescent="0.15">
      <c r="B334" s="40"/>
      <c r="C334" s="40"/>
      <c r="D334" s="40"/>
      <c r="E334" s="40"/>
      <c r="F334" s="40"/>
      <c r="G334" s="40"/>
      <c r="H334" s="40"/>
      <c r="I334" s="53"/>
      <c r="S334" s="40"/>
      <c r="T334" s="40"/>
      <c r="U334" s="40"/>
      <c r="V334" s="40"/>
      <c r="W334" s="40"/>
      <c r="Y334" s="40"/>
      <c r="Z334" s="40"/>
      <c r="AA334" s="40"/>
      <c r="AB334" s="40"/>
      <c r="AC334" s="41"/>
      <c r="AD334" s="41"/>
      <c r="AE334" s="41"/>
      <c r="AF334" s="41"/>
      <c r="AG334" s="41"/>
      <c r="AH334" s="40"/>
      <c r="AI334" s="40"/>
      <c r="AJ334" s="5"/>
      <c r="AK334" s="5"/>
      <c r="AL334" s="40"/>
      <c r="AM334" s="40"/>
      <c r="AN334" s="40"/>
      <c r="AO334" s="40"/>
      <c r="AP334" s="40"/>
      <c r="AQ334" s="40"/>
      <c r="AR334" s="40"/>
      <c r="AS334" s="40"/>
      <c r="AU334" s="40"/>
      <c r="AW334" s="40"/>
    </row>
    <row r="335" spans="2:49" ht="12.75" customHeight="1" x14ac:dyDescent="0.15">
      <c r="B335" s="40"/>
      <c r="C335" s="40"/>
      <c r="D335" s="40"/>
      <c r="E335" s="40"/>
      <c r="F335" s="40"/>
      <c r="G335" s="40"/>
      <c r="H335" s="40"/>
      <c r="I335" s="53"/>
      <c r="S335" s="40"/>
      <c r="T335" s="40"/>
      <c r="U335" s="40"/>
      <c r="V335" s="40"/>
      <c r="W335" s="40"/>
      <c r="Y335" s="40"/>
      <c r="Z335" s="40"/>
      <c r="AA335" s="40"/>
      <c r="AB335" s="40"/>
      <c r="AC335" s="41"/>
      <c r="AD335" s="41"/>
      <c r="AE335" s="41"/>
      <c r="AF335" s="41"/>
      <c r="AG335" s="41"/>
      <c r="AH335" s="40"/>
      <c r="AI335" s="40"/>
      <c r="AJ335" s="5"/>
      <c r="AK335" s="5"/>
      <c r="AL335" s="40"/>
      <c r="AM335" s="40"/>
      <c r="AN335" s="40"/>
      <c r="AO335" s="40"/>
      <c r="AP335" s="40"/>
      <c r="AQ335" s="40"/>
      <c r="AR335" s="40"/>
      <c r="AS335" s="40"/>
      <c r="AU335" s="40"/>
      <c r="AW335" s="40"/>
    </row>
    <row r="336" spans="2:49" ht="12.75" customHeight="1" x14ac:dyDescent="0.15">
      <c r="B336" s="40"/>
      <c r="C336" s="40"/>
      <c r="D336" s="40"/>
      <c r="E336" s="40"/>
      <c r="F336" s="40"/>
      <c r="G336" s="40"/>
      <c r="H336" s="40"/>
      <c r="I336" s="53"/>
      <c r="S336" s="40"/>
      <c r="T336" s="40"/>
      <c r="U336" s="40"/>
      <c r="V336" s="40"/>
      <c r="W336" s="40"/>
      <c r="Y336" s="40"/>
      <c r="Z336" s="40"/>
      <c r="AA336" s="40"/>
      <c r="AB336" s="40"/>
      <c r="AC336" s="41"/>
      <c r="AD336" s="41"/>
      <c r="AE336" s="41"/>
      <c r="AF336" s="41"/>
      <c r="AG336" s="41"/>
      <c r="AH336" s="40"/>
      <c r="AI336" s="40"/>
      <c r="AJ336" s="5"/>
      <c r="AK336" s="5"/>
      <c r="AL336" s="40"/>
      <c r="AM336" s="40"/>
      <c r="AN336" s="40"/>
      <c r="AO336" s="40"/>
      <c r="AP336" s="40"/>
      <c r="AQ336" s="40"/>
      <c r="AR336" s="40"/>
      <c r="AS336" s="40"/>
      <c r="AU336" s="40"/>
      <c r="AW336" s="40"/>
    </row>
    <row r="337" spans="2:49" ht="12.75" customHeight="1" x14ac:dyDescent="0.15">
      <c r="B337" s="40"/>
      <c r="C337" s="40"/>
      <c r="D337" s="40"/>
      <c r="E337" s="40"/>
      <c r="F337" s="40"/>
      <c r="G337" s="40"/>
      <c r="H337" s="40"/>
      <c r="I337" s="53"/>
      <c r="S337" s="40"/>
      <c r="T337" s="40"/>
      <c r="U337" s="40"/>
      <c r="V337" s="40"/>
      <c r="W337" s="40"/>
      <c r="Y337" s="40"/>
      <c r="Z337" s="40"/>
      <c r="AA337" s="40"/>
      <c r="AB337" s="40"/>
      <c r="AC337" s="41"/>
      <c r="AD337" s="41"/>
      <c r="AE337" s="41"/>
      <c r="AF337" s="41"/>
      <c r="AG337" s="41"/>
      <c r="AH337" s="40"/>
      <c r="AI337" s="40"/>
      <c r="AJ337" s="5"/>
      <c r="AK337" s="5"/>
      <c r="AL337" s="40"/>
      <c r="AM337" s="40"/>
      <c r="AN337" s="40"/>
      <c r="AO337" s="40"/>
      <c r="AP337" s="40"/>
      <c r="AQ337" s="40"/>
      <c r="AR337" s="40"/>
      <c r="AS337" s="40"/>
      <c r="AU337" s="40"/>
      <c r="AW337" s="40"/>
    </row>
    <row r="338" spans="2:49" ht="12.75" customHeight="1" x14ac:dyDescent="0.15">
      <c r="B338" s="40"/>
      <c r="C338" s="40"/>
      <c r="D338" s="40"/>
      <c r="E338" s="40"/>
      <c r="F338" s="40"/>
      <c r="G338" s="40"/>
      <c r="H338" s="40"/>
      <c r="I338" s="53"/>
      <c r="S338" s="40"/>
      <c r="T338" s="40"/>
      <c r="U338" s="40"/>
      <c r="V338" s="40"/>
      <c r="W338" s="40"/>
      <c r="Y338" s="40"/>
      <c r="Z338" s="40"/>
      <c r="AA338" s="40"/>
      <c r="AB338" s="40"/>
      <c r="AC338" s="41"/>
      <c r="AD338" s="41"/>
      <c r="AE338" s="41"/>
      <c r="AF338" s="41"/>
      <c r="AG338" s="41"/>
      <c r="AH338" s="40"/>
      <c r="AI338" s="40"/>
      <c r="AJ338" s="5"/>
      <c r="AK338" s="5"/>
      <c r="AL338" s="40"/>
      <c r="AM338" s="40"/>
      <c r="AN338" s="40"/>
      <c r="AO338" s="40"/>
      <c r="AP338" s="40"/>
      <c r="AQ338" s="40"/>
      <c r="AR338" s="40"/>
      <c r="AS338" s="40"/>
      <c r="AU338" s="40"/>
      <c r="AW338" s="40"/>
    </row>
    <row r="339" spans="2:49" ht="12.75" customHeight="1" x14ac:dyDescent="0.15">
      <c r="B339" s="40"/>
      <c r="C339" s="40"/>
      <c r="D339" s="40"/>
      <c r="E339" s="40"/>
      <c r="F339" s="40"/>
      <c r="G339" s="40"/>
      <c r="H339" s="40"/>
      <c r="I339" s="53"/>
      <c r="S339" s="40"/>
      <c r="T339" s="40"/>
      <c r="U339" s="40"/>
      <c r="V339" s="40"/>
      <c r="W339" s="40"/>
      <c r="Y339" s="40"/>
      <c r="Z339" s="40"/>
      <c r="AA339" s="40"/>
      <c r="AB339" s="40"/>
      <c r="AC339" s="41"/>
      <c r="AD339" s="41"/>
      <c r="AE339" s="41"/>
      <c r="AF339" s="41"/>
      <c r="AG339" s="41"/>
      <c r="AH339" s="40"/>
      <c r="AI339" s="40"/>
      <c r="AJ339" s="5"/>
      <c r="AK339" s="5"/>
      <c r="AL339" s="40"/>
      <c r="AM339" s="40"/>
      <c r="AN339" s="40"/>
      <c r="AO339" s="40"/>
      <c r="AP339" s="40"/>
      <c r="AQ339" s="40"/>
      <c r="AR339" s="40"/>
      <c r="AS339" s="40"/>
      <c r="AU339" s="40"/>
      <c r="AW339" s="40"/>
    </row>
    <row r="340" spans="2:49" ht="12.75" customHeight="1" x14ac:dyDescent="0.15">
      <c r="B340" s="40"/>
      <c r="C340" s="40"/>
      <c r="D340" s="40"/>
      <c r="E340" s="40"/>
      <c r="F340" s="40"/>
      <c r="G340" s="40"/>
      <c r="H340" s="40"/>
      <c r="I340" s="53"/>
      <c r="S340" s="40"/>
      <c r="T340" s="40"/>
      <c r="U340" s="40"/>
      <c r="V340" s="40"/>
      <c r="W340" s="40"/>
      <c r="Y340" s="40"/>
      <c r="Z340" s="40"/>
      <c r="AA340" s="40"/>
      <c r="AB340" s="40"/>
      <c r="AC340" s="41"/>
      <c r="AD340" s="41"/>
      <c r="AE340" s="41"/>
      <c r="AF340" s="41"/>
      <c r="AG340" s="41"/>
      <c r="AH340" s="40"/>
      <c r="AI340" s="40"/>
      <c r="AJ340" s="5"/>
      <c r="AK340" s="5"/>
      <c r="AL340" s="40"/>
      <c r="AM340" s="40"/>
      <c r="AN340" s="40"/>
      <c r="AO340" s="40"/>
      <c r="AP340" s="40"/>
      <c r="AQ340" s="40"/>
      <c r="AR340" s="40"/>
      <c r="AS340" s="40"/>
      <c r="AU340" s="40"/>
      <c r="AW340" s="40"/>
    </row>
    <row r="341" spans="2:49" ht="12.75" customHeight="1" x14ac:dyDescent="0.15">
      <c r="B341" s="40"/>
      <c r="C341" s="40"/>
      <c r="D341" s="40"/>
      <c r="E341" s="40"/>
      <c r="F341" s="40"/>
      <c r="G341" s="40"/>
      <c r="H341" s="40"/>
      <c r="I341" s="53"/>
      <c r="S341" s="40"/>
      <c r="T341" s="40"/>
      <c r="U341" s="40"/>
      <c r="V341" s="40"/>
      <c r="W341" s="40"/>
      <c r="Y341" s="40"/>
      <c r="Z341" s="40"/>
      <c r="AA341" s="40"/>
      <c r="AB341" s="40"/>
      <c r="AC341" s="41"/>
      <c r="AD341" s="41"/>
      <c r="AE341" s="41"/>
      <c r="AF341" s="41"/>
      <c r="AG341" s="41"/>
      <c r="AH341" s="40"/>
      <c r="AI341" s="40"/>
      <c r="AJ341" s="5"/>
      <c r="AK341" s="5"/>
      <c r="AL341" s="40"/>
      <c r="AM341" s="40"/>
      <c r="AN341" s="40"/>
      <c r="AO341" s="40"/>
      <c r="AP341" s="40"/>
      <c r="AQ341" s="40"/>
      <c r="AR341" s="40"/>
      <c r="AS341" s="40"/>
      <c r="AU341" s="40"/>
      <c r="AW341" s="40"/>
    </row>
    <row r="342" spans="2:49" ht="12.75" customHeight="1" x14ac:dyDescent="0.15">
      <c r="B342" s="40"/>
      <c r="C342" s="40"/>
      <c r="D342" s="40"/>
      <c r="E342" s="40"/>
      <c r="F342" s="40"/>
      <c r="G342" s="40"/>
      <c r="H342" s="40"/>
      <c r="I342" s="53"/>
      <c r="S342" s="40"/>
      <c r="T342" s="40"/>
      <c r="U342" s="40"/>
      <c r="V342" s="40"/>
      <c r="W342" s="40"/>
      <c r="Y342" s="40"/>
      <c r="Z342" s="40"/>
      <c r="AA342" s="40"/>
      <c r="AB342" s="40"/>
      <c r="AC342" s="41"/>
      <c r="AD342" s="41"/>
      <c r="AE342" s="41"/>
      <c r="AF342" s="41"/>
      <c r="AG342" s="41"/>
      <c r="AH342" s="40"/>
      <c r="AI342" s="40"/>
      <c r="AJ342" s="5"/>
      <c r="AK342" s="5"/>
      <c r="AL342" s="40"/>
      <c r="AM342" s="40"/>
      <c r="AN342" s="40"/>
      <c r="AO342" s="40"/>
      <c r="AP342" s="40"/>
      <c r="AQ342" s="40"/>
      <c r="AR342" s="40"/>
      <c r="AS342" s="40"/>
      <c r="AU342" s="40"/>
      <c r="AW342" s="40"/>
    </row>
    <row r="343" spans="2:49" ht="12.75" customHeight="1" x14ac:dyDescent="0.15">
      <c r="B343" s="40"/>
      <c r="C343" s="40"/>
      <c r="D343" s="40"/>
      <c r="E343" s="40"/>
      <c r="F343" s="40"/>
      <c r="G343" s="40"/>
      <c r="H343" s="40"/>
      <c r="I343" s="53"/>
      <c r="S343" s="40"/>
      <c r="T343" s="40"/>
      <c r="U343" s="40"/>
      <c r="V343" s="40"/>
      <c r="W343" s="40"/>
      <c r="Y343" s="40"/>
      <c r="Z343" s="40"/>
      <c r="AA343" s="40"/>
      <c r="AB343" s="40"/>
      <c r="AC343" s="41"/>
      <c r="AD343" s="41"/>
      <c r="AE343" s="41"/>
      <c r="AF343" s="41"/>
      <c r="AG343" s="41"/>
      <c r="AH343" s="40"/>
      <c r="AI343" s="40"/>
      <c r="AJ343" s="5"/>
      <c r="AK343" s="5"/>
      <c r="AL343" s="40"/>
      <c r="AM343" s="40"/>
      <c r="AN343" s="40"/>
      <c r="AO343" s="40"/>
      <c r="AP343" s="40"/>
      <c r="AQ343" s="40"/>
      <c r="AR343" s="40"/>
      <c r="AS343" s="40"/>
      <c r="AU343" s="40"/>
      <c r="AW343" s="40"/>
    </row>
    <row r="344" spans="2:49" ht="12.75" customHeight="1" x14ac:dyDescent="0.15">
      <c r="B344" s="40"/>
      <c r="C344" s="40"/>
      <c r="D344" s="40"/>
      <c r="E344" s="40"/>
      <c r="F344" s="40"/>
      <c r="G344" s="40"/>
      <c r="H344" s="40"/>
      <c r="I344" s="53"/>
      <c r="S344" s="40"/>
      <c r="T344" s="40"/>
      <c r="U344" s="40"/>
      <c r="V344" s="40"/>
      <c r="W344" s="40"/>
      <c r="Y344" s="40"/>
      <c r="Z344" s="40"/>
      <c r="AA344" s="40"/>
      <c r="AB344" s="40"/>
      <c r="AC344" s="41"/>
      <c r="AD344" s="41"/>
      <c r="AE344" s="41"/>
      <c r="AF344" s="41"/>
      <c r="AG344" s="41"/>
      <c r="AH344" s="40"/>
      <c r="AI344" s="40"/>
      <c r="AJ344" s="5"/>
      <c r="AK344" s="5"/>
      <c r="AL344" s="40"/>
      <c r="AM344" s="40"/>
      <c r="AN344" s="40"/>
      <c r="AO344" s="40"/>
      <c r="AP344" s="40"/>
      <c r="AQ344" s="40"/>
      <c r="AR344" s="40"/>
      <c r="AS344" s="40"/>
      <c r="AU344" s="40"/>
      <c r="AW344" s="40"/>
    </row>
    <row r="345" spans="2:49" ht="12.75" customHeight="1" x14ac:dyDescent="0.15">
      <c r="B345" s="40"/>
      <c r="C345" s="40"/>
      <c r="D345" s="40"/>
      <c r="E345" s="40"/>
      <c r="F345" s="40"/>
      <c r="G345" s="40"/>
      <c r="H345" s="40"/>
      <c r="I345" s="53"/>
      <c r="S345" s="40"/>
      <c r="T345" s="40"/>
      <c r="U345" s="40"/>
      <c r="V345" s="40"/>
      <c r="W345" s="40"/>
      <c r="Y345" s="40"/>
      <c r="Z345" s="40"/>
      <c r="AA345" s="40"/>
      <c r="AB345" s="40"/>
      <c r="AC345" s="41"/>
      <c r="AD345" s="41"/>
      <c r="AE345" s="41"/>
      <c r="AF345" s="41"/>
      <c r="AG345" s="41"/>
      <c r="AH345" s="40"/>
      <c r="AI345" s="40"/>
      <c r="AJ345" s="5"/>
      <c r="AK345" s="5"/>
      <c r="AL345" s="40"/>
      <c r="AM345" s="40"/>
      <c r="AN345" s="40"/>
      <c r="AO345" s="40"/>
      <c r="AP345" s="40"/>
      <c r="AQ345" s="40"/>
      <c r="AR345" s="40"/>
      <c r="AS345" s="40"/>
      <c r="AU345" s="40"/>
      <c r="AW345" s="40"/>
    </row>
    <row r="346" spans="2:49" ht="12.75" customHeight="1" x14ac:dyDescent="0.15">
      <c r="B346" s="40"/>
      <c r="C346" s="40"/>
      <c r="D346" s="40"/>
      <c r="E346" s="40"/>
      <c r="F346" s="40"/>
      <c r="G346" s="40"/>
      <c r="H346" s="40"/>
      <c r="I346" s="53"/>
      <c r="S346" s="40"/>
      <c r="T346" s="40"/>
      <c r="U346" s="40"/>
      <c r="V346" s="40"/>
      <c r="W346" s="40"/>
      <c r="Y346" s="40"/>
      <c r="Z346" s="40"/>
      <c r="AA346" s="40"/>
      <c r="AB346" s="40"/>
      <c r="AC346" s="41"/>
      <c r="AD346" s="41"/>
      <c r="AE346" s="41"/>
      <c r="AF346" s="41"/>
      <c r="AG346" s="41"/>
      <c r="AH346" s="40"/>
      <c r="AI346" s="40"/>
      <c r="AJ346" s="5"/>
      <c r="AK346" s="5"/>
      <c r="AL346" s="40"/>
      <c r="AM346" s="40"/>
      <c r="AN346" s="40"/>
      <c r="AO346" s="40"/>
      <c r="AP346" s="40"/>
      <c r="AQ346" s="40"/>
      <c r="AR346" s="40"/>
      <c r="AS346" s="40"/>
      <c r="AU346" s="40"/>
      <c r="AW346" s="40"/>
    </row>
    <row r="347" spans="2:49" ht="12.75" customHeight="1" x14ac:dyDescent="0.15">
      <c r="B347" s="40"/>
      <c r="C347" s="40"/>
      <c r="D347" s="40"/>
      <c r="E347" s="40"/>
      <c r="F347" s="40"/>
      <c r="G347" s="40"/>
      <c r="H347" s="40"/>
      <c r="I347" s="53"/>
      <c r="S347" s="40"/>
      <c r="T347" s="40"/>
      <c r="U347" s="40"/>
      <c r="V347" s="40"/>
      <c r="W347" s="40"/>
      <c r="Y347" s="40"/>
      <c r="Z347" s="40"/>
      <c r="AA347" s="40"/>
      <c r="AB347" s="40"/>
      <c r="AC347" s="41"/>
      <c r="AD347" s="41"/>
      <c r="AE347" s="41"/>
      <c r="AF347" s="41"/>
      <c r="AG347" s="41"/>
      <c r="AH347" s="40"/>
      <c r="AI347" s="40"/>
      <c r="AJ347" s="5"/>
      <c r="AK347" s="5"/>
      <c r="AL347" s="40"/>
      <c r="AM347" s="40"/>
      <c r="AN347" s="40"/>
      <c r="AO347" s="40"/>
      <c r="AP347" s="40"/>
      <c r="AQ347" s="40"/>
      <c r="AR347" s="40"/>
      <c r="AS347" s="40"/>
      <c r="AU347" s="40"/>
      <c r="AW347" s="40"/>
    </row>
    <row r="348" spans="2:49" ht="12.75" customHeight="1" x14ac:dyDescent="0.15">
      <c r="B348" s="40"/>
      <c r="C348" s="40"/>
      <c r="D348" s="40"/>
      <c r="E348" s="40"/>
      <c r="F348" s="40"/>
      <c r="G348" s="40"/>
      <c r="H348" s="40"/>
      <c r="I348" s="53"/>
      <c r="S348" s="40"/>
      <c r="T348" s="40"/>
      <c r="U348" s="40"/>
      <c r="V348" s="40"/>
      <c r="W348" s="40"/>
      <c r="Y348" s="40"/>
      <c r="Z348" s="40"/>
      <c r="AA348" s="40"/>
      <c r="AB348" s="40"/>
      <c r="AC348" s="41"/>
      <c r="AD348" s="41"/>
      <c r="AE348" s="41"/>
      <c r="AF348" s="41"/>
      <c r="AG348" s="41"/>
      <c r="AH348" s="40"/>
      <c r="AI348" s="40"/>
      <c r="AJ348" s="5"/>
      <c r="AK348" s="5"/>
      <c r="AL348" s="40"/>
      <c r="AM348" s="40"/>
      <c r="AN348" s="40"/>
      <c r="AO348" s="40"/>
      <c r="AP348" s="40"/>
      <c r="AQ348" s="40"/>
      <c r="AR348" s="40"/>
      <c r="AS348" s="40"/>
      <c r="AU348" s="40"/>
      <c r="AW348" s="40"/>
    </row>
    <row r="349" spans="2:49" ht="12.75" customHeight="1" x14ac:dyDescent="0.15">
      <c r="B349" s="40"/>
      <c r="C349" s="40"/>
      <c r="D349" s="40"/>
      <c r="E349" s="40"/>
      <c r="F349" s="40"/>
      <c r="G349" s="40"/>
      <c r="H349" s="40"/>
      <c r="I349" s="53"/>
      <c r="S349" s="40"/>
      <c r="T349" s="40"/>
      <c r="U349" s="40"/>
      <c r="V349" s="40"/>
      <c r="W349" s="40"/>
      <c r="Y349" s="40"/>
      <c r="Z349" s="40"/>
      <c r="AA349" s="40"/>
      <c r="AB349" s="40"/>
      <c r="AC349" s="41"/>
      <c r="AD349" s="41"/>
      <c r="AE349" s="41"/>
      <c r="AF349" s="41"/>
      <c r="AG349" s="41"/>
      <c r="AH349" s="40"/>
      <c r="AI349" s="40"/>
      <c r="AJ349" s="5"/>
      <c r="AK349" s="5"/>
      <c r="AL349" s="40"/>
      <c r="AM349" s="40"/>
      <c r="AN349" s="40"/>
      <c r="AO349" s="40"/>
      <c r="AP349" s="40"/>
      <c r="AQ349" s="40"/>
      <c r="AR349" s="40"/>
      <c r="AS349" s="40"/>
      <c r="AU349" s="40"/>
      <c r="AW349" s="40"/>
    </row>
    <row r="350" spans="2:49" ht="12.75" customHeight="1" x14ac:dyDescent="0.15">
      <c r="B350" s="40"/>
      <c r="C350" s="40"/>
      <c r="D350" s="40"/>
      <c r="E350" s="40"/>
      <c r="F350" s="40"/>
      <c r="G350" s="40"/>
      <c r="H350" s="40"/>
      <c r="I350" s="53"/>
      <c r="S350" s="40"/>
      <c r="T350" s="40"/>
      <c r="U350" s="40"/>
      <c r="V350" s="40"/>
      <c r="W350" s="40"/>
      <c r="Y350" s="40"/>
      <c r="Z350" s="40"/>
      <c r="AA350" s="40"/>
      <c r="AB350" s="40"/>
      <c r="AC350" s="41"/>
      <c r="AD350" s="41"/>
      <c r="AE350" s="41"/>
      <c r="AF350" s="41"/>
      <c r="AG350" s="41"/>
      <c r="AH350" s="40"/>
      <c r="AI350" s="40"/>
      <c r="AJ350" s="5"/>
      <c r="AK350" s="5"/>
      <c r="AL350" s="40"/>
      <c r="AM350" s="40"/>
      <c r="AN350" s="40"/>
      <c r="AO350" s="40"/>
      <c r="AP350" s="40"/>
      <c r="AQ350" s="40"/>
      <c r="AR350" s="40"/>
      <c r="AS350" s="40"/>
      <c r="AU350" s="40"/>
      <c r="AW350" s="40"/>
    </row>
    <row r="351" spans="2:49" ht="12.75" customHeight="1" x14ac:dyDescent="0.15">
      <c r="B351" s="40"/>
      <c r="C351" s="40"/>
      <c r="D351" s="40"/>
      <c r="E351" s="40"/>
      <c r="F351" s="40"/>
      <c r="G351" s="40"/>
      <c r="H351" s="40"/>
      <c r="I351" s="53"/>
      <c r="S351" s="40"/>
      <c r="T351" s="40"/>
      <c r="U351" s="40"/>
      <c r="V351" s="40"/>
      <c r="W351" s="40"/>
      <c r="Y351" s="40"/>
      <c r="Z351" s="40"/>
      <c r="AA351" s="40"/>
      <c r="AB351" s="40"/>
      <c r="AC351" s="41"/>
      <c r="AD351" s="41"/>
      <c r="AE351" s="41"/>
      <c r="AF351" s="41"/>
      <c r="AG351" s="41"/>
      <c r="AH351" s="40"/>
      <c r="AI351" s="40"/>
      <c r="AJ351" s="5"/>
      <c r="AK351" s="5"/>
      <c r="AL351" s="40"/>
      <c r="AM351" s="40"/>
      <c r="AN351" s="40"/>
      <c r="AO351" s="40"/>
      <c r="AP351" s="40"/>
      <c r="AQ351" s="40"/>
      <c r="AR351" s="40"/>
      <c r="AS351" s="40"/>
      <c r="AU351" s="40"/>
      <c r="AW351" s="40"/>
    </row>
    <row r="352" spans="2:49" ht="12.75" customHeight="1" x14ac:dyDescent="0.15">
      <c r="B352" s="40"/>
      <c r="C352" s="40"/>
      <c r="D352" s="40"/>
      <c r="E352" s="40"/>
      <c r="F352" s="40"/>
      <c r="G352" s="40"/>
      <c r="H352" s="40"/>
      <c r="I352" s="53"/>
      <c r="S352" s="40"/>
      <c r="T352" s="40"/>
      <c r="U352" s="40"/>
      <c r="V352" s="40"/>
      <c r="W352" s="40"/>
      <c r="Y352" s="40"/>
      <c r="Z352" s="40"/>
      <c r="AA352" s="40"/>
      <c r="AB352" s="40"/>
      <c r="AC352" s="41"/>
      <c r="AD352" s="41"/>
      <c r="AE352" s="41"/>
      <c r="AF352" s="41"/>
      <c r="AG352" s="41"/>
      <c r="AH352" s="40"/>
      <c r="AI352" s="40"/>
      <c r="AJ352" s="5"/>
      <c r="AK352" s="5"/>
      <c r="AL352" s="40"/>
      <c r="AM352" s="40"/>
      <c r="AN352" s="40"/>
      <c r="AO352" s="40"/>
      <c r="AP352" s="40"/>
      <c r="AQ352" s="40"/>
      <c r="AR352" s="40"/>
      <c r="AS352" s="40"/>
      <c r="AU352" s="40"/>
      <c r="AW352" s="40"/>
    </row>
    <row r="353" spans="2:49" ht="12.75" customHeight="1" x14ac:dyDescent="0.15">
      <c r="B353" s="40"/>
      <c r="C353" s="40"/>
      <c r="D353" s="40"/>
      <c r="E353" s="40"/>
      <c r="F353" s="40"/>
      <c r="G353" s="40"/>
      <c r="H353" s="40"/>
      <c r="I353" s="53"/>
      <c r="S353" s="40"/>
      <c r="T353" s="40"/>
      <c r="U353" s="40"/>
      <c r="V353" s="40"/>
      <c r="W353" s="40"/>
      <c r="Y353" s="40"/>
      <c r="Z353" s="40"/>
      <c r="AA353" s="40"/>
      <c r="AB353" s="40"/>
      <c r="AC353" s="41"/>
      <c r="AD353" s="41"/>
      <c r="AE353" s="41"/>
      <c r="AF353" s="41"/>
      <c r="AG353" s="41"/>
      <c r="AH353" s="40"/>
      <c r="AI353" s="40"/>
      <c r="AJ353" s="5"/>
      <c r="AK353" s="5"/>
      <c r="AL353" s="40"/>
      <c r="AM353" s="40"/>
      <c r="AN353" s="40"/>
      <c r="AO353" s="40"/>
      <c r="AP353" s="40"/>
      <c r="AQ353" s="40"/>
      <c r="AR353" s="40"/>
      <c r="AS353" s="40"/>
      <c r="AU353" s="40"/>
      <c r="AW353" s="40"/>
    </row>
    <row r="354" spans="2:49" ht="12.75" customHeight="1" x14ac:dyDescent="0.15">
      <c r="B354" s="40"/>
      <c r="C354" s="40"/>
      <c r="D354" s="40"/>
      <c r="E354" s="40"/>
      <c r="F354" s="40"/>
      <c r="G354" s="40"/>
      <c r="H354" s="40"/>
      <c r="I354" s="53"/>
      <c r="S354" s="40"/>
      <c r="T354" s="40"/>
      <c r="U354" s="40"/>
      <c r="V354" s="40"/>
      <c r="W354" s="40"/>
      <c r="Y354" s="40"/>
      <c r="Z354" s="40"/>
      <c r="AA354" s="40"/>
      <c r="AB354" s="40"/>
      <c r="AC354" s="41"/>
      <c r="AD354" s="41"/>
      <c r="AE354" s="41"/>
      <c r="AF354" s="41"/>
      <c r="AG354" s="41"/>
      <c r="AH354" s="40"/>
      <c r="AI354" s="40"/>
      <c r="AJ354" s="5"/>
      <c r="AK354" s="5"/>
      <c r="AL354" s="40"/>
      <c r="AM354" s="40"/>
      <c r="AN354" s="40"/>
      <c r="AO354" s="40"/>
      <c r="AP354" s="40"/>
      <c r="AQ354" s="40"/>
      <c r="AR354" s="40"/>
      <c r="AS354" s="40"/>
      <c r="AU354" s="40"/>
      <c r="AW354" s="40"/>
    </row>
    <row r="355" spans="2:49" ht="12.75" customHeight="1" x14ac:dyDescent="0.15">
      <c r="B355" s="40"/>
      <c r="C355" s="40"/>
      <c r="D355" s="40"/>
      <c r="E355" s="40"/>
      <c r="F355" s="40"/>
      <c r="G355" s="40"/>
      <c r="H355" s="40"/>
      <c r="I355" s="53"/>
      <c r="S355" s="40"/>
      <c r="T355" s="40"/>
      <c r="U355" s="40"/>
      <c r="V355" s="40"/>
      <c r="W355" s="40"/>
      <c r="Y355" s="40"/>
      <c r="Z355" s="40"/>
      <c r="AA355" s="40"/>
      <c r="AB355" s="40"/>
      <c r="AC355" s="41"/>
      <c r="AD355" s="41"/>
      <c r="AE355" s="41"/>
      <c r="AF355" s="41"/>
      <c r="AG355" s="41"/>
      <c r="AH355" s="40"/>
      <c r="AI355" s="40"/>
      <c r="AJ355" s="5"/>
      <c r="AK355" s="5"/>
      <c r="AL355" s="40"/>
      <c r="AM355" s="40"/>
      <c r="AN355" s="40"/>
      <c r="AO355" s="40"/>
      <c r="AP355" s="40"/>
      <c r="AQ355" s="40"/>
      <c r="AR355" s="40"/>
      <c r="AS355" s="40"/>
      <c r="AU355" s="40"/>
      <c r="AW355" s="40"/>
    </row>
    <row r="356" spans="2:49" ht="12.75" customHeight="1" x14ac:dyDescent="0.15">
      <c r="B356" s="40"/>
      <c r="C356" s="40"/>
      <c r="D356" s="40"/>
      <c r="E356" s="40"/>
      <c r="F356" s="40"/>
      <c r="G356" s="40"/>
      <c r="H356" s="40"/>
      <c r="I356" s="53"/>
      <c r="S356" s="40"/>
      <c r="T356" s="40"/>
      <c r="U356" s="40"/>
      <c r="V356" s="40"/>
      <c r="W356" s="40"/>
      <c r="Y356" s="40"/>
      <c r="Z356" s="40"/>
      <c r="AA356" s="40"/>
      <c r="AB356" s="40"/>
      <c r="AC356" s="41"/>
      <c r="AD356" s="41"/>
      <c r="AE356" s="41"/>
      <c r="AF356" s="41"/>
      <c r="AG356" s="41"/>
      <c r="AH356" s="40"/>
      <c r="AI356" s="40"/>
      <c r="AJ356" s="5"/>
      <c r="AK356" s="5"/>
      <c r="AL356" s="40"/>
      <c r="AM356" s="40"/>
      <c r="AN356" s="40"/>
      <c r="AO356" s="40"/>
      <c r="AP356" s="40"/>
      <c r="AQ356" s="40"/>
      <c r="AR356" s="40"/>
      <c r="AS356" s="40"/>
      <c r="AU356" s="40"/>
      <c r="AW356" s="40"/>
    </row>
    <row r="357" spans="2:49" ht="12.75" customHeight="1" x14ac:dyDescent="0.15">
      <c r="B357" s="40"/>
      <c r="C357" s="40"/>
      <c r="D357" s="40"/>
      <c r="E357" s="40"/>
      <c r="F357" s="40"/>
      <c r="G357" s="40"/>
      <c r="H357" s="40"/>
      <c r="I357" s="53"/>
      <c r="S357" s="40"/>
      <c r="T357" s="40"/>
      <c r="U357" s="40"/>
      <c r="V357" s="40"/>
      <c r="W357" s="40"/>
      <c r="Y357" s="40"/>
      <c r="Z357" s="40"/>
      <c r="AA357" s="40"/>
      <c r="AB357" s="40"/>
      <c r="AC357" s="41"/>
      <c r="AD357" s="41"/>
      <c r="AE357" s="41"/>
      <c r="AF357" s="41"/>
      <c r="AG357" s="41"/>
      <c r="AH357" s="40"/>
      <c r="AI357" s="40"/>
      <c r="AJ357" s="5"/>
      <c r="AK357" s="5"/>
      <c r="AL357" s="40"/>
      <c r="AM357" s="40"/>
      <c r="AN357" s="40"/>
      <c r="AO357" s="40"/>
      <c r="AP357" s="40"/>
      <c r="AQ357" s="40"/>
      <c r="AR357" s="40"/>
      <c r="AS357" s="40"/>
      <c r="AU357" s="40"/>
      <c r="AW357" s="40"/>
    </row>
    <row r="358" spans="2:49" ht="12.75" customHeight="1" x14ac:dyDescent="0.15">
      <c r="B358" s="40"/>
      <c r="C358" s="40"/>
      <c r="D358" s="40"/>
      <c r="E358" s="40"/>
      <c r="F358" s="40"/>
      <c r="G358" s="40"/>
      <c r="H358" s="40"/>
      <c r="I358" s="53"/>
      <c r="S358" s="40"/>
      <c r="T358" s="40"/>
      <c r="U358" s="40"/>
      <c r="V358" s="40"/>
      <c r="W358" s="40"/>
      <c r="Y358" s="40"/>
      <c r="Z358" s="40"/>
      <c r="AA358" s="40"/>
      <c r="AB358" s="40"/>
      <c r="AC358" s="41"/>
      <c r="AD358" s="41"/>
      <c r="AE358" s="41"/>
      <c r="AF358" s="41"/>
      <c r="AG358" s="41"/>
      <c r="AH358" s="40"/>
      <c r="AI358" s="40"/>
      <c r="AJ358" s="5"/>
      <c r="AK358" s="5"/>
      <c r="AL358" s="40"/>
      <c r="AM358" s="40"/>
      <c r="AN358" s="40"/>
      <c r="AO358" s="40"/>
      <c r="AP358" s="40"/>
      <c r="AQ358" s="40"/>
      <c r="AR358" s="40"/>
      <c r="AS358" s="40"/>
      <c r="AU358" s="40"/>
      <c r="AW358" s="40"/>
    </row>
    <row r="359" spans="2:49" ht="12.75" customHeight="1" x14ac:dyDescent="0.15">
      <c r="B359" s="40"/>
      <c r="C359" s="40"/>
      <c r="D359" s="40"/>
      <c r="E359" s="40"/>
      <c r="F359" s="40"/>
      <c r="G359" s="40"/>
      <c r="H359" s="40"/>
      <c r="I359" s="53"/>
      <c r="S359" s="40"/>
      <c r="T359" s="40"/>
      <c r="U359" s="40"/>
      <c r="V359" s="40"/>
      <c r="W359" s="40"/>
      <c r="Y359" s="40"/>
      <c r="Z359" s="40"/>
      <c r="AA359" s="40"/>
      <c r="AB359" s="40"/>
      <c r="AC359" s="41"/>
      <c r="AD359" s="41"/>
      <c r="AE359" s="41"/>
      <c r="AF359" s="41"/>
      <c r="AG359" s="41"/>
      <c r="AH359" s="40"/>
      <c r="AI359" s="40"/>
      <c r="AJ359" s="5"/>
      <c r="AK359" s="5"/>
      <c r="AL359" s="40"/>
      <c r="AM359" s="40"/>
      <c r="AN359" s="40"/>
      <c r="AO359" s="40"/>
      <c r="AP359" s="40"/>
      <c r="AQ359" s="40"/>
      <c r="AR359" s="40"/>
      <c r="AS359" s="40"/>
      <c r="AU359" s="40"/>
      <c r="AW359" s="40"/>
    </row>
    <row r="360" spans="2:49" ht="12.75" customHeight="1" x14ac:dyDescent="0.15">
      <c r="B360" s="40"/>
      <c r="C360" s="40"/>
      <c r="D360" s="40"/>
      <c r="E360" s="40"/>
      <c r="F360" s="40"/>
      <c r="G360" s="40"/>
      <c r="H360" s="40"/>
      <c r="I360" s="53"/>
      <c r="S360" s="40"/>
      <c r="T360" s="40"/>
      <c r="U360" s="40"/>
      <c r="V360" s="40"/>
      <c r="W360" s="40"/>
      <c r="Y360" s="40"/>
      <c r="Z360" s="40"/>
      <c r="AA360" s="40"/>
      <c r="AB360" s="40"/>
      <c r="AC360" s="41"/>
      <c r="AD360" s="41"/>
      <c r="AE360" s="41"/>
      <c r="AF360" s="41"/>
      <c r="AG360" s="41"/>
      <c r="AH360" s="40"/>
      <c r="AI360" s="40"/>
      <c r="AJ360" s="5"/>
      <c r="AK360" s="5"/>
      <c r="AL360" s="40"/>
      <c r="AM360" s="40"/>
      <c r="AN360" s="40"/>
      <c r="AO360" s="40"/>
      <c r="AP360" s="40"/>
      <c r="AQ360" s="40"/>
      <c r="AR360" s="40"/>
      <c r="AS360" s="40"/>
      <c r="AU360" s="40"/>
      <c r="AW360" s="40"/>
    </row>
    <row r="361" spans="2:49" ht="12.75" customHeight="1" x14ac:dyDescent="0.15">
      <c r="B361" s="40"/>
      <c r="C361" s="40"/>
      <c r="D361" s="40"/>
      <c r="E361" s="40"/>
      <c r="F361" s="40"/>
      <c r="G361" s="40"/>
      <c r="H361" s="40"/>
      <c r="I361" s="53"/>
      <c r="S361" s="40"/>
      <c r="T361" s="40"/>
      <c r="U361" s="40"/>
      <c r="V361" s="40"/>
      <c r="W361" s="40"/>
      <c r="Y361" s="40"/>
      <c r="Z361" s="40"/>
      <c r="AA361" s="40"/>
      <c r="AB361" s="40"/>
      <c r="AC361" s="41"/>
      <c r="AD361" s="41"/>
      <c r="AE361" s="41"/>
      <c r="AF361" s="41"/>
      <c r="AG361" s="41"/>
      <c r="AH361" s="40"/>
      <c r="AI361" s="40"/>
      <c r="AJ361" s="5"/>
      <c r="AK361" s="5"/>
      <c r="AL361" s="40"/>
      <c r="AM361" s="40"/>
      <c r="AN361" s="40"/>
      <c r="AO361" s="40"/>
      <c r="AP361" s="40"/>
      <c r="AQ361" s="40"/>
      <c r="AR361" s="40"/>
      <c r="AS361" s="40"/>
      <c r="AU361" s="40"/>
      <c r="AW361" s="40"/>
    </row>
    <row r="362" spans="2:49" ht="12.75" customHeight="1" x14ac:dyDescent="0.15">
      <c r="B362" s="40"/>
      <c r="C362" s="40"/>
      <c r="D362" s="40"/>
      <c r="E362" s="40"/>
      <c r="F362" s="40"/>
      <c r="G362" s="40"/>
      <c r="H362" s="40"/>
      <c r="I362" s="53"/>
      <c r="S362" s="40"/>
      <c r="T362" s="40"/>
      <c r="U362" s="40"/>
      <c r="V362" s="40"/>
      <c r="W362" s="40"/>
      <c r="Y362" s="40"/>
      <c r="Z362" s="40"/>
      <c r="AA362" s="40"/>
      <c r="AB362" s="40"/>
      <c r="AC362" s="41"/>
      <c r="AD362" s="41"/>
      <c r="AE362" s="41"/>
      <c r="AF362" s="41"/>
      <c r="AG362" s="41"/>
      <c r="AH362" s="40"/>
      <c r="AI362" s="40"/>
      <c r="AJ362" s="5"/>
      <c r="AK362" s="5"/>
      <c r="AL362" s="40"/>
      <c r="AM362" s="40"/>
      <c r="AN362" s="40"/>
      <c r="AO362" s="40"/>
      <c r="AP362" s="40"/>
      <c r="AQ362" s="40"/>
      <c r="AR362" s="40"/>
      <c r="AS362" s="40"/>
      <c r="AU362" s="40"/>
      <c r="AW362" s="40"/>
    </row>
    <row r="363" spans="2:49" ht="12.75" customHeight="1" x14ac:dyDescent="0.15">
      <c r="B363" s="40"/>
      <c r="C363" s="40"/>
      <c r="D363" s="40"/>
      <c r="E363" s="40"/>
      <c r="F363" s="40"/>
      <c r="G363" s="40"/>
      <c r="H363" s="40"/>
      <c r="I363" s="53"/>
      <c r="S363" s="40"/>
      <c r="T363" s="40"/>
      <c r="U363" s="40"/>
      <c r="V363" s="40"/>
      <c r="W363" s="40"/>
      <c r="Y363" s="40"/>
      <c r="Z363" s="40"/>
      <c r="AA363" s="40"/>
      <c r="AB363" s="40"/>
      <c r="AC363" s="41"/>
      <c r="AD363" s="41"/>
      <c r="AE363" s="41"/>
      <c r="AF363" s="41"/>
      <c r="AG363" s="41"/>
      <c r="AH363" s="40"/>
      <c r="AI363" s="40"/>
      <c r="AJ363" s="5"/>
      <c r="AK363" s="5"/>
      <c r="AL363" s="40"/>
      <c r="AM363" s="40"/>
      <c r="AN363" s="40"/>
      <c r="AO363" s="40"/>
      <c r="AP363" s="40"/>
      <c r="AQ363" s="40"/>
      <c r="AR363" s="40"/>
      <c r="AS363" s="40"/>
      <c r="AU363" s="40"/>
      <c r="AW363" s="40"/>
    </row>
    <row r="364" spans="2:49" ht="12.75" customHeight="1" x14ac:dyDescent="0.15">
      <c r="B364" s="40"/>
      <c r="C364" s="40"/>
      <c r="D364" s="40"/>
      <c r="E364" s="40"/>
      <c r="F364" s="40"/>
      <c r="G364" s="40"/>
      <c r="H364" s="40"/>
      <c r="I364" s="53"/>
      <c r="S364" s="40"/>
      <c r="T364" s="40"/>
      <c r="U364" s="40"/>
      <c r="V364" s="40"/>
      <c r="W364" s="40"/>
      <c r="Y364" s="40"/>
      <c r="Z364" s="40"/>
      <c r="AA364" s="40"/>
      <c r="AB364" s="40"/>
      <c r="AC364" s="41"/>
      <c r="AD364" s="41"/>
      <c r="AE364" s="41"/>
      <c r="AF364" s="41"/>
      <c r="AG364" s="41"/>
      <c r="AH364" s="40"/>
      <c r="AI364" s="40"/>
      <c r="AJ364" s="5"/>
      <c r="AK364" s="5"/>
      <c r="AL364" s="40"/>
      <c r="AM364" s="40"/>
      <c r="AN364" s="40"/>
      <c r="AO364" s="40"/>
      <c r="AP364" s="40"/>
      <c r="AQ364" s="40"/>
      <c r="AR364" s="40"/>
      <c r="AS364" s="40"/>
      <c r="AU364" s="40"/>
      <c r="AW364" s="40"/>
    </row>
    <row r="365" spans="2:49" ht="12.75" customHeight="1" x14ac:dyDescent="0.15">
      <c r="B365" s="40"/>
      <c r="C365" s="40"/>
      <c r="D365" s="40"/>
      <c r="E365" s="40"/>
      <c r="F365" s="40"/>
      <c r="G365" s="40"/>
      <c r="H365" s="40"/>
      <c r="I365" s="53"/>
      <c r="S365" s="40"/>
      <c r="T365" s="40"/>
      <c r="U365" s="40"/>
      <c r="V365" s="40"/>
      <c r="W365" s="40"/>
      <c r="Y365" s="40"/>
      <c r="Z365" s="40"/>
      <c r="AA365" s="40"/>
      <c r="AB365" s="40"/>
      <c r="AC365" s="41"/>
      <c r="AD365" s="41"/>
      <c r="AE365" s="41"/>
      <c r="AF365" s="41"/>
      <c r="AG365" s="41"/>
      <c r="AH365" s="40"/>
      <c r="AI365" s="40"/>
      <c r="AJ365" s="5"/>
      <c r="AK365" s="5"/>
      <c r="AL365" s="40"/>
      <c r="AM365" s="40"/>
      <c r="AN365" s="40"/>
      <c r="AO365" s="40"/>
      <c r="AP365" s="40"/>
      <c r="AQ365" s="40"/>
      <c r="AR365" s="40"/>
      <c r="AS365" s="40"/>
      <c r="AU365" s="40"/>
      <c r="AW365" s="40"/>
    </row>
    <row r="366" spans="2:49" ht="12.75" customHeight="1" x14ac:dyDescent="0.15">
      <c r="B366" s="40"/>
      <c r="C366" s="40"/>
      <c r="D366" s="40"/>
      <c r="E366" s="40"/>
      <c r="F366" s="40"/>
      <c r="G366" s="40"/>
      <c r="H366" s="40"/>
      <c r="I366" s="53"/>
      <c r="S366" s="40"/>
      <c r="T366" s="40"/>
      <c r="U366" s="40"/>
      <c r="V366" s="40"/>
      <c r="W366" s="40"/>
      <c r="Y366" s="40"/>
      <c r="Z366" s="40"/>
      <c r="AA366" s="40"/>
      <c r="AB366" s="40"/>
      <c r="AC366" s="41"/>
      <c r="AD366" s="41"/>
      <c r="AE366" s="41"/>
      <c r="AF366" s="41"/>
      <c r="AG366" s="41"/>
      <c r="AH366" s="40"/>
      <c r="AI366" s="40"/>
      <c r="AJ366" s="5"/>
      <c r="AK366" s="5"/>
      <c r="AL366" s="40"/>
      <c r="AM366" s="40"/>
      <c r="AN366" s="40"/>
      <c r="AO366" s="40"/>
      <c r="AP366" s="40"/>
      <c r="AQ366" s="40"/>
      <c r="AR366" s="40"/>
      <c r="AS366" s="40"/>
      <c r="AU366" s="40"/>
      <c r="AW366" s="40"/>
    </row>
    <row r="367" spans="2:49" ht="12.75" customHeight="1" x14ac:dyDescent="0.15">
      <c r="B367" s="40"/>
      <c r="C367" s="40"/>
      <c r="D367" s="40"/>
      <c r="E367" s="40"/>
      <c r="F367" s="40"/>
      <c r="G367" s="40"/>
      <c r="H367" s="40"/>
      <c r="I367" s="53"/>
      <c r="S367" s="40"/>
      <c r="T367" s="40"/>
      <c r="U367" s="40"/>
      <c r="V367" s="40"/>
      <c r="W367" s="40"/>
      <c r="Y367" s="40"/>
      <c r="Z367" s="40"/>
      <c r="AA367" s="40"/>
      <c r="AB367" s="40"/>
      <c r="AC367" s="41"/>
      <c r="AD367" s="41"/>
      <c r="AE367" s="41"/>
      <c r="AF367" s="41"/>
      <c r="AG367" s="41"/>
      <c r="AH367" s="40"/>
      <c r="AI367" s="40"/>
      <c r="AJ367" s="5"/>
      <c r="AK367" s="5"/>
      <c r="AL367" s="40"/>
      <c r="AM367" s="40"/>
      <c r="AN367" s="40"/>
      <c r="AO367" s="40"/>
      <c r="AP367" s="40"/>
      <c r="AQ367" s="40"/>
      <c r="AR367" s="40"/>
      <c r="AS367" s="40"/>
      <c r="AU367" s="40"/>
      <c r="AW367" s="40"/>
    </row>
    <row r="368" spans="2:49" ht="12.75" customHeight="1" x14ac:dyDescent="0.15">
      <c r="B368" s="40"/>
      <c r="C368" s="40"/>
      <c r="D368" s="40"/>
      <c r="E368" s="40"/>
      <c r="F368" s="40"/>
      <c r="G368" s="40"/>
      <c r="H368" s="40"/>
      <c r="I368" s="53"/>
      <c r="S368" s="40"/>
      <c r="T368" s="40"/>
      <c r="U368" s="40"/>
      <c r="V368" s="40"/>
      <c r="W368" s="40"/>
      <c r="Y368" s="40"/>
      <c r="Z368" s="40"/>
      <c r="AA368" s="40"/>
      <c r="AB368" s="40"/>
      <c r="AC368" s="41"/>
      <c r="AD368" s="41"/>
      <c r="AE368" s="41"/>
      <c r="AF368" s="41"/>
      <c r="AG368" s="41"/>
      <c r="AH368" s="40"/>
      <c r="AI368" s="40"/>
      <c r="AJ368" s="5"/>
      <c r="AK368" s="5"/>
      <c r="AL368" s="40"/>
      <c r="AM368" s="40"/>
      <c r="AN368" s="40"/>
      <c r="AO368" s="40"/>
      <c r="AP368" s="40"/>
      <c r="AQ368" s="40"/>
      <c r="AR368" s="40"/>
      <c r="AS368" s="40"/>
      <c r="AU368" s="40"/>
      <c r="AW368" s="40"/>
    </row>
    <row r="369" spans="2:49" ht="12.75" customHeight="1" x14ac:dyDescent="0.15">
      <c r="B369" s="40"/>
      <c r="C369" s="40"/>
      <c r="D369" s="40"/>
      <c r="E369" s="40"/>
      <c r="F369" s="40"/>
      <c r="G369" s="40"/>
      <c r="H369" s="40"/>
      <c r="I369" s="53"/>
      <c r="S369" s="40"/>
      <c r="T369" s="40"/>
      <c r="U369" s="40"/>
      <c r="V369" s="40"/>
      <c r="W369" s="40"/>
      <c r="Y369" s="40"/>
      <c r="Z369" s="40"/>
      <c r="AA369" s="40"/>
      <c r="AB369" s="40"/>
      <c r="AC369" s="41"/>
      <c r="AD369" s="41"/>
      <c r="AE369" s="41"/>
      <c r="AF369" s="41"/>
      <c r="AG369" s="41"/>
      <c r="AH369" s="40"/>
      <c r="AI369" s="40"/>
      <c r="AJ369" s="5"/>
      <c r="AK369" s="5"/>
      <c r="AL369" s="40"/>
      <c r="AM369" s="40"/>
      <c r="AN369" s="40"/>
      <c r="AO369" s="40"/>
      <c r="AP369" s="40"/>
      <c r="AQ369" s="40"/>
      <c r="AR369" s="40"/>
      <c r="AS369" s="40"/>
      <c r="AU369" s="40"/>
      <c r="AW369" s="40"/>
    </row>
    <row r="370" spans="2:49" ht="12.75" customHeight="1" x14ac:dyDescent="0.15">
      <c r="B370" s="40"/>
      <c r="C370" s="40"/>
      <c r="D370" s="40"/>
      <c r="E370" s="40"/>
      <c r="F370" s="40"/>
      <c r="G370" s="40"/>
      <c r="H370" s="40"/>
      <c r="I370" s="53"/>
      <c r="S370" s="40"/>
      <c r="T370" s="40"/>
      <c r="U370" s="40"/>
      <c r="V370" s="40"/>
      <c r="W370" s="40"/>
      <c r="Y370" s="40"/>
      <c r="Z370" s="40"/>
      <c r="AA370" s="40"/>
      <c r="AB370" s="40"/>
      <c r="AC370" s="41"/>
      <c r="AD370" s="41"/>
      <c r="AE370" s="41"/>
      <c r="AF370" s="41"/>
      <c r="AG370" s="41"/>
      <c r="AH370" s="40"/>
      <c r="AI370" s="40"/>
      <c r="AJ370" s="5"/>
      <c r="AK370" s="5"/>
      <c r="AL370" s="40"/>
      <c r="AM370" s="40"/>
      <c r="AN370" s="40"/>
      <c r="AO370" s="40"/>
      <c r="AP370" s="40"/>
      <c r="AQ370" s="40"/>
      <c r="AR370" s="40"/>
      <c r="AS370" s="40"/>
      <c r="AU370" s="40"/>
      <c r="AW370" s="40"/>
    </row>
    <row r="371" spans="2:49" ht="12.75" customHeight="1" x14ac:dyDescent="0.15">
      <c r="B371" s="40"/>
      <c r="C371" s="40"/>
      <c r="D371" s="40"/>
      <c r="E371" s="40"/>
      <c r="F371" s="40"/>
      <c r="G371" s="40"/>
      <c r="H371" s="40"/>
      <c r="I371" s="53"/>
      <c r="S371" s="40"/>
      <c r="T371" s="40"/>
      <c r="U371" s="40"/>
      <c r="V371" s="40"/>
      <c r="W371" s="40"/>
      <c r="Y371" s="40"/>
      <c r="Z371" s="40"/>
      <c r="AA371" s="40"/>
      <c r="AB371" s="40"/>
      <c r="AC371" s="41"/>
      <c r="AD371" s="41"/>
      <c r="AE371" s="41"/>
      <c r="AF371" s="41"/>
      <c r="AG371" s="41"/>
      <c r="AH371" s="40"/>
      <c r="AI371" s="40"/>
      <c r="AJ371" s="5"/>
      <c r="AK371" s="5"/>
      <c r="AL371" s="40"/>
      <c r="AM371" s="40"/>
      <c r="AN371" s="40"/>
      <c r="AO371" s="40"/>
      <c r="AP371" s="40"/>
      <c r="AQ371" s="40"/>
      <c r="AR371" s="40"/>
      <c r="AS371" s="40"/>
      <c r="AU371" s="40"/>
      <c r="AW371" s="40"/>
    </row>
    <row r="372" spans="2:49" ht="12.75" customHeight="1" x14ac:dyDescent="0.15">
      <c r="B372" s="40"/>
      <c r="C372" s="40"/>
      <c r="D372" s="40"/>
      <c r="E372" s="40"/>
      <c r="F372" s="40"/>
      <c r="G372" s="40"/>
      <c r="H372" s="40"/>
      <c r="I372" s="53"/>
      <c r="S372" s="40"/>
      <c r="T372" s="40"/>
      <c r="U372" s="40"/>
      <c r="V372" s="40"/>
      <c r="W372" s="40"/>
      <c r="Y372" s="40"/>
      <c r="Z372" s="40"/>
      <c r="AA372" s="40"/>
      <c r="AB372" s="40"/>
      <c r="AC372" s="41"/>
      <c r="AD372" s="41"/>
      <c r="AE372" s="41"/>
      <c r="AF372" s="41"/>
      <c r="AG372" s="41"/>
      <c r="AH372" s="40"/>
      <c r="AI372" s="40"/>
      <c r="AJ372" s="5"/>
      <c r="AK372" s="5"/>
      <c r="AL372" s="40"/>
      <c r="AM372" s="40"/>
      <c r="AN372" s="40"/>
      <c r="AO372" s="40"/>
      <c r="AP372" s="40"/>
      <c r="AQ372" s="40"/>
      <c r="AR372" s="40"/>
      <c r="AS372" s="40"/>
      <c r="AU372" s="40"/>
      <c r="AW372" s="40"/>
    </row>
    <row r="373" spans="2:49" ht="12.75" customHeight="1" x14ac:dyDescent="0.15">
      <c r="B373" s="40"/>
      <c r="C373" s="40"/>
      <c r="D373" s="40"/>
      <c r="E373" s="40"/>
      <c r="F373" s="40"/>
      <c r="G373" s="40"/>
      <c r="H373" s="40"/>
      <c r="I373" s="53"/>
      <c r="S373" s="40"/>
      <c r="T373" s="40"/>
      <c r="U373" s="40"/>
      <c r="V373" s="40"/>
      <c r="W373" s="40"/>
      <c r="Y373" s="40"/>
      <c r="Z373" s="40"/>
      <c r="AA373" s="40"/>
      <c r="AB373" s="40"/>
      <c r="AC373" s="41"/>
      <c r="AD373" s="41"/>
      <c r="AE373" s="41"/>
      <c r="AF373" s="41"/>
      <c r="AG373" s="41"/>
      <c r="AH373" s="40"/>
      <c r="AI373" s="40"/>
      <c r="AJ373" s="5"/>
      <c r="AK373" s="5"/>
      <c r="AL373" s="40"/>
      <c r="AM373" s="40"/>
      <c r="AN373" s="40"/>
      <c r="AO373" s="40"/>
      <c r="AP373" s="40"/>
      <c r="AQ373" s="40"/>
      <c r="AR373" s="40"/>
      <c r="AS373" s="40"/>
      <c r="AU373" s="40"/>
      <c r="AW373" s="40"/>
    </row>
    <row r="374" spans="2:49" ht="12.75" customHeight="1" x14ac:dyDescent="0.15">
      <c r="B374" s="40"/>
      <c r="C374" s="40"/>
      <c r="D374" s="40"/>
      <c r="E374" s="40"/>
      <c r="F374" s="40"/>
      <c r="G374" s="40"/>
      <c r="H374" s="40"/>
      <c r="I374" s="53"/>
      <c r="S374" s="40"/>
      <c r="T374" s="40"/>
      <c r="U374" s="40"/>
      <c r="V374" s="40"/>
      <c r="W374" s="40"/>
      <c r="Y374" s="40"/>
      <c r="Z374" s="40"/>
      <c r="AA374" s="40"/>
      <c r="AB374" s="40"/>
      <c r="AC374" s="41"/>
      <c r="AD374" s="41"/>
      <c r="AE374" s="41"/>
      <c r="AF374" s="41"/>
      <c r="AG374" s="41"/>
      <c r="AH374" s="40"/>
      <c r="AI374" s="40"/>
      <c r="AJ374" s="5"/>
      <c r="AK374" s="5"/>
      <c r="AL374" s="40"/>
      <c r="AM374" s="40"/>
      <c r="AN374" s="40"/>
      <c r="AO374" s="40"/>
      <c r="AP374" s="40"/>
      <c r="AQ374" s="40"/>
      <c r="AR374" s="40"/>
      <c r="AS374" s="40"/>
      <c r="AU374" s="40"/>
      <c r="AW374" s="40"/>
    </row>
    <row r="375" spans="2:49" ht="12.75" customHeight="1" x14ac:dyDescent="0.15">
      <c r="B375" s="40"/>
      <c r="C375" s="40"/>
      <c r="D375" s="40"/>
      <c r="E375" s="40"/>
      <c r="F375" s="40"/>
      <c r="G375" s="40"/>
      <c r="H375" s="40"/>
      <c r="I375" s="53"/>
      <c r="S375" s="40"/>
      <c r="T375" s="40"/>
      <c r="U375" s="40"/>
      <c r="V375" s="40"/>
      <c r="W375" s="40"/>
      <c r="Y375" s="40"/>
      <c r="Z375" s="40"/>
      <c r="AA375" s="40"/>
      <c r="AB375" s="40"/>
      <c r="AC375" s="41"/>
      <c r="AD375" s="41"/>
      <c r="AE375" s="41"/>
      <c r="AF375" s="41"/>
      <c r="AG375" s="41"/>
      <c r="AH375" s="40"/>
      <c r="AI375" s="40"/>
      <c r="AJ375" s="5"/>
      <c r="AK375" s="5"/>
      <c r="AL375" s="40"/>
      <c r="AM375" s="40"/>
      <c r="AN375" s="40"/>
      <c r="AO375" s="40"/>
      <c r="AP375" s="40"/>
      <c r="AQ375" s="40"/>
      <c r="AR375" s="40"/>
      <c r="AS375" s="40"/>
      <c r="AU375" s="40"/>
      <c r="AW375" s="40"/>
    </row>
    <row r="376" spans="2:49" ht="12.75" customHeight="1" x14ac:dyDescent="0.15">
      <c r="B376" s="40"/>
      <c r="C376" s="40"/>
      <c r="D376" s="40"/>
      <c r="E376" s="40"/>
      <c r="F376" s="40"/>
      <c r="G376" s="40"/>
      <c r="H376" s="40"/>
      <c r="I376" s="53"/>
      <c r="S376" s="40"/>
      <c r="T376" s="40"/>
      <c r="U376" s="40"/>
      <c r="V376" s="40"/>
      <c r="W376" s="40"/>
      <c r="Y376" s="40"/>
      <c r="Z376" s="40"/>
      <c r="AA376" s="40"/>
      <c r="AB376" s="40"/>
      <c r="AC376" s="41"/>
      <c r="AD376" s="41"/>
      <c r="AE376" s="41"/>
      <c r="AF376" s="41"/>
      <c r="AG376" s="41"/>
      <c r="AH376" s="40"/>
      <c r="AI376" s="40"/>
      <c r="AJ376" s="5"/>
      <c r="AK376" s="5"/>
      <c r="AL376" s="40"/>
      <c r="AM376" s="40"/>
      <c r="AN376" s="40"/>
      <c r="AO376" s="40"/>
      <c r="AP376" s="40"/>
      <c r="AQ376" s="40"/>
      <c r="AR376" s="40"/>
      <c r="AS376" s="40"/>
      <c r="AU376" s="40"/>
      <c r="AW376" s="40"/>
    </row>
    <row r="377" spans="2:49" ht="12.75" customHeight="1" x14ac:dyDescent="0.15">
      <c r="B377" s="40"/>
      <c r="C377" s="40"/>
      <c r="D377" s="40"/>
      <c r="E377" s="40"/>
      <c r="F377" s="40"/>
      <c r="G377" s="40"/>
      <c r="H377" s="40"/>
      <c r="I377" s="53"/>
      <c r="S377" s="40"/>
      <c r="T377" s="40"/>
      <c r="U377" s="40"/>
      <c r="V377" s="40"/>
      <c r="W377" s="40"/>
      <c r="Y377" s="40"/>
      <c r="Z377" s="40"/>
      <c r="AA377" s="40"/>
      <c r="AB377" s="40"/>
      <c r="AC377" s="41"/>
      <c r="AD377" s="41"/>
      <c r="AE377" s="41"/>
      <c r="AF377" s="41"/>
      <c r="AG377" s="41"/>
      <c r="AH377" s="40"/>
      <c r="AI377" s="40"/>
      <c r="AJ377" s="5"/>
      <c r="AK377" s="5"/>
      <c r="AL377" s="40"/>
      <c r="AM377" s="40"/>
      <c r="AN377" s="40"/>
      <c r="AO377" s="40"/>
      <c r="AP377" s="40"/>
      <c r="AQ377" s="40"/>
      <c r="AR377" s="40"/>
      <c r="AS377" s="40"/>
      <c r="AU377" s="40"/>
      <c r="AW377" s="40"/>
    </row>
    <row r="378" spans="2:49" ht="12.75" customHeight="1" x14ac:dyDescent="0.15">
      <c r="B378" s="40"/>
      <c r="C378" s="40"/>
      <c r="D378" s="40"/>
      <c r="E378" s="40"/>
      <c r="F378" s="40"/>
      <c r="G378" s="40"/>
      <c r="H378" s="40"/>
      <c r="I378" s="53"/>
      <c r="S378" s="40"/>
      <c r="T378" s="40"/>
      <c r="U378" s="40"/>
      <c r="V378" s="40"/>
      <c r="W378" s="40"/>
      <c r="Y378" s="40"/>
      <c r="Z378" s="40"/>
      <c r="AA378" s="40"/>
      <c r="AB378" s="40"/>
      <c r="AC378" s="41"/>
      <c r="AD378" s="41"/>
      <c r="AE378" s="41"/>
      <c r="AF378" s="41"/>
      <c r="AG378" s="41"/>
      <c r="AH378" s="40"/>
      <c r="AI378" s="40"/>
      <c r="AJ378" s="5"/>
      <c r="AK378" s="5"/>
      <c r="AL378" s="40"/>
      <c r="AM378" s="40"/>
      <c r="AN378" s="40"/>
      <c r="AO378" s="40"/>
      <c r="AP378" s="40"/>
      <c r="AQ378" s="40"/>
      <c r="AR378" s="40"/>
      <c r="AS378" s="40"/>
      <c r="AU378" s="40"/>
      <c r="AW378" s="40"/>
    </row>
    <row r="379" spans="2:49" ht="12.75" customHeight="1" x14ac:dyDescent="0.15">
      <c r="B379" s="40"/>
      <c r="C379" s="40"/>
      <c r="D379" s="40"/>
      <c r="E379" s="40"/>
      <c r="F379" s="40"/>
      <c r="G379" s="40"/>
      <c r="H379" s="40"/>
      <c r="I379" s="53"/>
      <c r="S379" s="40"/>
      <c r="T379" s="40"/>
      <c r="U379" s="40"/>
      <c r="V379" s="40"/>
      <c r="W379" s="40"/>
      <c r="Y379" s="40"/>
      <c r="Z379" s="40"/>
      <c r="AA379" s="40"/>
      <c r="AB379" s="40"/>
      <c r="AC379" s="41"/>
      <c r="AD379" s="41"/>
      <c r="AE379" s="41"/>
      <c r="AF379" s="41"/>
      <c r="AG379" s="41"/>
      <c r="AH379" s="40"/>
      <c r="AI379" s="40"/>
      <c r="AJ379" s="5"/>
      <c r="AK379" s="5"/>
      <c r="AL379" s="40"/>
      <c r="AM379" s="40"/>
      <c r="AN379" s="40"/>
      <c r="AO379" s="40"/>
      <c r="AP379" s="40"/>
      <c r="AQ379" s="40"/>
      <c r="AR379" s="40"/>
      <c r="AS379" s="40"/>
      <c r="AU379" s="40"/>
      <c r="AW379" s="40"/>
    </row>
    <row r="380" spans="2:49" ht="12.75" customHeight="1" x14ac:dyDescent="0.15">
      <c r="B380" s="40"/>
      <c r="C380" s="40"/>
      <c r="D380" s="40"/>
      <c r="E380" s="40"/>
      <c r="F380" s="40"/>
      <c r="G380" s="40"/>
      <c r="H380" s="40"/>
      <c r="I380" s="53"/>
      <c r="S380" s="40"/>
      <c r="T380" s="40"/>
      <c r="U380" s="40"/>
      <c r="V380" s="40"/>
      <c r="W380" s="40"/>
      <c r="Y380" s="40"/>
      <c r="Z380" s="40"/>
      <c r="AA380" s="40"/>
      <c r="AB380" s="40"/>
      <c r="AC380" s="41"/>
      <c r="AD380" s="41"/>
      <c r="AE380" s="41"/>
      <c r="AF380" s="41"/>
      <c r="AG380" s="41"/>
      <c r="AH380" s="40"/>
      <c r="AI380" s="40"/>
      <c r="AJ380" s="5"/>
      <c r="AK380" s="5"/>
      <c r="AL380" s="40"/>
      <c r="AM380" s="40"/>
      <c r="AN380" s="40"/>
      <c r="AO380" s="40"/>
      <c r="AP380" s="40"/>
      <c r="AQ380" s="40"/>
      <c r="AR380" s="40"/>
      <c r="AS380" s="40"/>
      <c r="AU380" s="40"/>
      <c r="AW380" s="40"/>
    </row>
    <row r="381" spans="2:49" ht="12.75" customHeight="1" x14ac:dyDescent="0.15">
      <c r="B381" s="40"/>
      <c r="C381" s="40"/>
      <c r="D381" s="40"/>
      <c r="E381" s="40"/>
      <c r="F381" s="40"/>
      <c r="G381" s="40"/>
      <c r="H381" s="40"/>
      <c r="I381" s="53"/>
      <c r="S381" s="40"/>
      <c r="T381" s="40"/>
      <c r="U381" s="40"/>
      <c r="V381" s="40"/>
      <c r="W381" s="40"/>
      <c r="Y381" s="40"/>
      <c r="Z381" s="40"/>
      <c r="AA381" s="40"/>
      <c r="AB381" s="40"/>
      <c r="AC381" s="41"/>
      <c r="AD381" s="41"/>
      <c r="AE381" s="41"/>
      <c r="AF381" s="41"/>
      <c r="AG381" s="41"/>
      <c r="AH381" s="40"/>
      <c r="AI381" s="40"/>
      <c r="AJ381" s="5"/>
      <c r="AK381" s="5"/>
      <c r="AL381" s="40"/>
      <c r="AM381" s="40"/>
      <c r="AN381" s="40"/>
      <c r="AO381" s="40"/>
      <c r="AP381" s="40"/>
      <c r="AQ381" s="40"/>
      <c r="AR381" s="40"/>
      <c r="AS381" s="40"/>
      <c r="AU381" s="40"/>
      <c r="AW381" s="40"/>
    </row>
    <row r="382" spans="2:49" ht="12.75" customHeight="1" x14ac:dyDescent="0.15">
      <c r="B382" s="40"/>
      <c r="C382" s="40"/>
      <c r="D382" s="40"/>
      <c r="E382" s="40"/>
      <c r="F382" s="40"/>
      <c r="G382" s="40"/>
      <c r="H382" s="40"/>
      <c r="I382" s="53"/>
      <c r="S382" s="40"/>
      <c r="T382" s="40"/>
      <c r="U382" s="40"/>
      <c r="V382" s="40"/>
      <c r="W382" s="40"/>
      <c r="Y382" s="40"/>
      <c r="Z382" s="40"/>
      <c r="AA382" s="40"/>
      <c r="AB382" s="40"/>
      <c r="AC382" s="41"/>
      <c r="AD382" s="41"/>
      <c r="AE382" s="41"/>
      <c r="AF382" s="41"/>
      <c r="AG382" s="41"/>
      <c r="AH382" s="40"/>
      <c r="AI382" s="40"/>
      <c r="AJ382" s="5"/>
      <c r="AK382" s="5"/>
      <c r="AL382" s="40"/>
      <c r="AM382" s="40"/>
      <c r="AN382" s="40"/>
      <c r="AO382" s="40"/>
      <c r="AP382" s="40"/>
      <c r="AQ382" s="40"/>
      <c r="AR382" s="40"/>
      <c r="AS382" s="40"/>
      <c r="AU382" s="40"/>
      <c r="AW382" s="40"/>
    </row>
    <row r="383" spans="2:49" ht="12.75" customHeight="1" x14ac:dyDescent="0.15">
      <c r="B383" s="40"/>
      <c r="C383" s="40"/>
      <c r="D383" s="40"/>
      <c r="E383" s="40"/>
      <c r="F383" s="40"/>
      <c r="G383" s="40"/>
      <c r="H383" s="40"/>
      <c r="I383" s="53"/>
      <c r="S383" s="40"/>
      <c r="T383" s="40"/>
      <c r="U383" s="40"/>
      <c r="V383" s="40"/>
      <c r="W383" s="40"/>
      <c r="Y383" s="40"/>
      <c r="Z383" s="40"/>
      <c r="AA383" s="40"/>
      <c r="AB383" s="40"/>
      <c r="AC383" s="41"/>
      <c r="AD383" s="41"/>
      <c r="AE383" s="41"/>
      <c r="AF383" s="41"/>
      <c r="AG383" s="41"/>
      <c r="AH383" s="40"/>
      <c r="AI383" s="40"/>
      <c r="AJ383" s="5"/>
      <c r="AK383" s="5"/>
      <c r="AL383" s="40"/>
      <c r="AM383" s="40"/>
      <c r="AN383" s="40"/>
      <c r="AO383" s="40"/>
      <c r="AP383" s="40"/>
      <c r="AQ383" s="40"/>
      <c r="AR383" s="40"/>
      <c r="AS383" s="40"/>
      <c r="AU383" s="40"/>
      <c r="AW383" s="40"/>
    </row>
    <row r="384" spans="2:49" ht="12.75" customHeight="1" x14ac:dyDescent="0.15">
      <c r="B384" s="40"/>
      <c r="C384" s="40"/>
      <c r="D384" s="40"/>
      <c r="E384" s="40"/>
      <c r="F384" s="40"/>
      <c r="G384" s="40"/>
      <c r="H384" s="40"/>
      <c r="I384" s="53"/>
      <c r="S384" s="40"/>
      <c r="T384" s="40"/>
      <c r="U384" s="40"/>
      <c r="V384" s="40"/>
      <c r="W384" s="40"/>
      <c r="Y384" s="40"/>
      <c r="Z384" s="40"/>
      <c r="AA384" s="40"/>
      <c r="AB384" s="40"/>
      <c r="AC384" s="41"/>
      <c r="AD384" s="41"/>
      <c r="AE384" s="41"/>
      <c r="AF384" s="41"/>
      <c r="AG384" s="41"/>
      <c r="AH384" s="40"/>
      <c r="AI384" s="40"/>
      <c r="AJ384" s="5"/>
      <c r="AK384" s="5"/>
      <c r="AL384" s="40"/>
      <c r="AM384" s="40"/>
      <c r="AN384" s="40"/>
      <c r="AO384" s="40"/>
      <c r="AP384" s="40"/>
      <c r="AQ384" s="40"/>
      <c r="AR384" s="40"/>
      <c r="AS384" s="40"/>
      <c r="AU384" s="40"/>
      <c r="AW384" s="40"/>
    </row>
    <row r="385" spans="2:49" ht="12.75" customHeight="1" x14ac:dyDescent="0.15">
      <c r="B385" s="40"/>
      <c r="C385" s="40"/>
      <c r="D385" s="40"/>
      <c r="E385" s="40"/>
      <c r="F385" s="40"/>
      <c r="G385" s="40"/>
      <c r="H385" s="40"/>
      <c r="I385" s="53"/>
      <c r="S385" s="40"/>
      <c r="T385" s="40"/>
      <c r="U385" s="40"/>
      <c r="V385" s="40"/>
      <c r="W385" s="40"/>
      <c r="Y385" s="40"/>
      <c r="Z385" s="40"/>
      <c r="AA385" s="40"/>
      <c r="AB385" s="40"/>
      <c r="AC385" s="41"/>
      <c r="AD385" s="41"/>
      <c r="AE385" s="41"/>
      <c r="AF385" s="41"/>
      <c r="AG385" s="41"/>
      <c r="AH385" s="40"/>
      <c r="AI385" s="40"/>
      <c r="AJ385" s="5"/>
      <c r="AK385" s="5"/>
      <c r="AL385" s="40"/>
      <c r="AM385" s="40"/>
      <c r="AN385" s="40"/>
      <c r="AO385" s="40"/>
      <c r="AP385" s="40"/>
      <c r="AQ385" s="40"/>
      <c r="AR385" s="40"/>
      <c r="AS385" s="40"/>
      <c r="AU385" s="40"/>
      <c r="AW385" s="40"/>
    </row>
    <row r="386" spans="2:49" ht="12.75" customHeight="1" x14ac:dyDescent="0.15">
      <c r="B386" s="40"/>
      <c r="C386" s="40"/>
      <c r="D386" s="40"/>
      <c r="E386" s="40"/>
      <c r="F386" s="40"/>
      <c r="G386" s="40"/>
      <c r="H386" s="40"/>
      <c r="I386" s="53"/>
      <c r="S386" s="40"/>
      <c r="T386" s="40"/>
      <c r="U386" s="40"/>
      <c r="V386" s="40"/>
      <c r="W386" s="40"/>
      <c r="Y386" s="40"/>
      <c r="Z386" s="40"/>
      <c r="AA386" s="40"/>
      <c r="AB386" s="40"/>
      <c r="AC386" s="41"/>
      <c r="AD386" s="41"/>
      <c r="AE386" s="41"/>
      <c r="AF386" s="41"/>
      <c r="AG386" s="41"/>
      <c r="AH386" s="40"/>
      <c r="AI386" s="40"/>
      <c r="AJ386" s="5"/>
      <c r="AK386" s="5"/>
      <c r="AL386" s="40"/>
      <c r="AM386" s="40"/>
      <c r="AN386" s="40"/>
      <c r="AO386" s="40"/>
      <c r="AP386" s="40"/>
      <c r="AQ386" s="40"/>
      <c r="AR386" s="40"/>
      <c r="AS386" s="40"/>
      <c r="AU386" s="40"/>
      <c r="AW386" s="40"/>
    </row>
    <row r="387" spans="2:49" ht="12.75" customHeight="1" x14ac:dyDescent="0.15">
      <c r="B387" s="40"/>
      <c r="C387" s="40"/>
      <c r="D387" s="40"/>
      <c r="E387" s="40"/>
      <c r="F387" s="40"/>
      <c r="G387" s="40"/>
      <c r="H387" s="40"/>
      <c r="I387" s="53"/>
      <c r="S387" s="40"/>
      <c r="T387" s="40"/>
      <c r="U387" s="40"/>
      <c r="V387" s="40"/>
      <c r="W387" s="40"/>
      <c r="Y387" s="40"/>
      <c r="Z387" s="40"/>
      <c r="AA387" s="40"/>
      <c r="AB387" s="40"/>
      <c r="AC387" s="41"/>
      <c r="AD387" s="41"/>
      <c r="AE387" s="41"/>
      <c r="AF387" s="41"/>
      <c r="AG387" s="41"/>
      <c r="AH387" s="40"/>
      <c r="AI387" s="40"/>
      <c r="AJ387" s="5"/>
      <c r="AK387" s="5"/>
      <c r="AL387" s="40"/>
      <c r="AM387" s="40"/>
      <c r="AN387" s="40"/>
      <c r="AO387" s="40"/>
      <c r="AP387" s="40"/>
      <c r="AQ387" s="40"/>
      <c r="AR387" s="40"/>
      <c r="AS387" s="40"/>
      <c r="AU387" s="40"/>
      <c r="AW387" s="40"/>
    </row>
    <row r="388" spans="2:49" ht="12.75" customHeight="1" x14ac:dyDescent="0.15">
      <c r="B388" s="40"/>
      <c r="C388" s="40"/>
      <c r="D388" s="40"/>
      <c r="E388" s="40"/>
      <c r="F388" s="40"/>
      <c r="G388" s="40"/>
      <c r="H388" s="40"/>
      <c r="I388" s="53"/>
      <c r="S388" s="40"/>
      <c r="T388" s="40"/>
      <c r="U388" s="40"/>
      <c r="V388" s="40"/>
      <c r="W388" s="40"/>
      <c r="Y388" s="40"/>
      <c r="Z388" s="40"/>
      <c r="AA388" s="40"/>
      <c r="AB388" s="40"/>
      <c r="AC388" s="41"/>
      <c r="AD388" s="41"/>
      <c r="AE388" s="41"/>
      <c r="AF388" s="41"/>
      <c r="AG388" s="41"/>
      <c r="AH388" s="40"/>
      <c r="AI388" s="40"/>
      <c r="AJ388" s="5"/>
      <c r="AK388" s="5"/>
      <c r="AL388" s="40"/>
      <c r="AM388" s="40"/>
      <c r="AN388" s="40"/>
      <c r="AO388" s="40"/>
      <c r="AP388" s="40"/>
      <c r="AQ388" s="40"/>
      <c r="AR388" s="40"/>
      <c r="AS388" s="40"/>
      <c r="AU388" s="40"/>
      <c r="AW388" s="40"/>
    </row>
    <row r="389" spans="2:49" ht="12.75" customHeight="1" x14ac:dyDescent="0.15">
      <c r="B389" s="40"/>
      <c r="C389" s="40"/>
      <c r="D389" s="40"/>
      <c r="E389" s="40"/>
      <c r="F389" s="40"/>
      <c r="G389" s="40"/>
      <c r="H389" s="40"/>
      <c r="I389" s="53"/>
      <c r="S389" s="40"/>
      <c r="T389" s="40"/>
      <c r="U389" s="40"/>
      <c r="V389" s="40"/>
      <c r="W389" s="40"/>
      <c r="Y389" s="40"/>
      <c r="Z389" s="40"/>
      <c r="AA389" s="40"/>
      <c r="AB389" s="40"/>
      <c r="AC389" s="41"/>
      <c r="AD389" s="41"/>
      <c r="AE389" s="41"/>
      <c r="AF389" s="41"/>
      <c r="AG389" s="41"/>
      <c r="AH389" s="40"/>
      <c r="AI389" s="40"/>
      <c r="AJ389" s="5"/>
      <c r="AK389" s="5"/>
      <c r="AL389" s="40"/>
      <c r="AM389" s="40"/>
      <c r="AN389" s="40"/>
      <c r="AO389" s="40"/>
      <c r="AP389" s="40"/>
      <c r="AQ389" s="40"/>
      <c r="AR389" s="40"/>
      <c r="AS389" s="40"/>
      <c r="AU389" s="40"/>
      <c r="AW389" s="40"/>
    </row>
    <row r="390" spans="2:49" ht="12.75" customHeight="1" x14ac:dyDescent="0.15">
      <c r="B390" s="40"/>
      <c r="C390" s="40"/>
      <c r="D390" s="40"/>
      <c r="E390" s="40"/>
      <c r="F390" s="40"/>
      <c r="G390" s="40"/>
      <c r="H390" s="40"/>
      <c r="I390" s="53"/>
      <c r="S390" s="40"/>
      <c r="T390" s="40"/>
      <c r="U390" s="40"/>
      <c r="V390" s="40"/>
      <c r="W390" s="40"/>
      <c r="Y390" s="40"/>
      <c r="Z390" s="40"/>
      <c r="AA390" s="40"/>
      <c r="AB390" s="40"/>
      <c r="AC390" s="41"/>
      <c r="AD390" s="41"/>
      <c r="AE390" s="41"/>
      <c r="AF390" s="41"/>
      <c r="AG390" s="41"/>
      <c r="AH390" s="40"/>
      <c r="AI390" s="40"/>
      <c r="AJ390" s="5"/>
      <c r="AK390" s="5"/>
      <c r="AL390" s="40"/>
      <c r="AM390" s="40"/>
      <c r="AN390" s="40"/>
      <c r="AO390" s="40"/>
      <c r="AP390" s="40"/>
      <c r="AQ390" s="40"/>
      <c r="AR390" s="40"/>
      <c r="AS390" s="40"/>
      <c r="AU390" s="40"/>
      <c r="AW390" s="40"/>
    </row>
    <row r="391" spans="2:49" ht="12.75" customHeight="1" x14ac:dyDescent="0.15">
      <c r="B391" s="40"/>
      <c r="C391" s="40"/>
      <c r="D391" s="40"/>
      <c r="E391" s="40"/>
      <c r="F391" s="40"/>
      <c r="G391" s="40"/>
      <c r="H391" s="40"/>
      <c r="I391" s="53"/>
      <c r="S391" s="40"/>
      <c r="T391" s="40"/>
      <c r="U391" s="40"/>
      <c r="V391" s="40"/>
      <c r="W391" s="40"/>
      <c r="Y391" s="40"/>
      <c r="Z391" s="40"/>
      <c r="AA391" s="40"/>
      <c r="AB391" s="40"/>
      <c r="AC391" s="41"/>
      <c r="AD391" s="41"/>
      <c r="AE391" s="41"/>
      <c r="AF391" s="41"/>
      <c r="AG391" s="41"/>
      <c r="AH391" s="40"/>
      <c r="AI391" s="40"/>
      <c r="AJ391" s="5"/>
      <c r="AK391" s="5"/>
      <c r="AL391" s="40"/>
      <c r="AM391" s="40"/>
      <c r="AN391" s="40"/>
      <c r="AO391" s="40"/>
      <c r="AP391" s="40"/>
      <c r="AQ391" s="40"/>
      <c r="AR391" s="40"/>
      <c r="AS391" s="40"/>
      <c r="AU391" s="40"/>
      <c r="AW391" s="40"/>
    </row>
    <row r="392" spans="2:49" ht="12.75" customHeight="1" x14ac:dyDescent="0.15">
      <c r="B392" s="40"/>
      <c r="C392" s="40"/>
      <c r="D392" s="40"/>
      <c r="E392" s="40"/>
      <c r="F392" s="40"/>
      <c r="G392" s="40"/>
      <c r="H392" s="40"/>
      <c r="I392" s="53"/>
      <c r="S392" s="40"/>
      <c r="T392" s="40"/>
      <c r="U392" s="40"/>
      <c r="V392" s="40"/>
      <c r="W392" s="40"/>
      <c r="Y392" s="40"/>
      <c r="Z392" s="40"/>
      <c r="AA392" s="40"/>
      <c r="AB392" s="40"/>
      <c r="AC392" s="41"/>
      <c r="AD392" s="41"/>
      <c r="AE392" s="41"/>
      <c r="AF392" s="41"/>
      <c r="AG392" s="41"/>
      <c r="AH392" s="40"/>
      <c r="AI392" s="40"/>
      <c r="AJ392" s="5"/>
      <c r="AK392" s="5"/>
      <c r="AL392" s="40"/>
      <c r="AM392" s="40"/>
      <c r="AN392" s="40"/>
      <c r="AO392" s="40"/>
      <c r="AP392" s="40"/>
      <c r="AQ392" s="40"/>
      <c r="AR392" s="40"/>
      <c r="AS392" s="40"/>
      <c r="AU392" s="40"/>
      <c r="AW392" s="40"/>
    </row>
    <row r="393" spans="2:49" ht="12.75" customHeight="1" x14ac:dyDescent="0.15">
      <c r="B393" s="40"/>
      <c r="C393" s="40"/>
      <c r="D393" s="40"/>
      <c r="E393" s="40"/>
      <c r="F393" s="40"/>
      <c r="G393" s="40"/>
      <c r="H393" s="40"/>
      <c r="I393" s="53"/>
      <c r="S393" s="40"/>
      <c r="T393" s="40"/>
      <c r="U393" s="40"/>
      <c r="V393" s="40"/>
      <c r="W393" s="40"/>
      <c r="Y393" s="40"/>
      <c r="Z393" s="40"/>
      <c r="AA393" s="40"/>
      <c r="AB393" s="40"/>
      <c r="AC393" s="41"/>
      <c r="AD393" s="41"/>
      <c r="AE393" s="41"/>
      <c r="AF393" s="41"/>
      <c r="AG393" s="41"/>
      <c r="AH393" s="40"/>
      <c r="AI393" s="40"/>
      <c r="AJ393" s="5"/>
      <c r="AK393" s="5"/>
      <c r="AL393" s="40"/>
      <c r="AM393" s="40"/>
      <c r="AN393" s="40"/>
      <c r="AO393" s="40"/>
      <c r="AP393" s="40"/>
      <c r="AQ393" s="40"/>
      <c r="AR393" s="40"/>
      <c r="AS393" s="40"/>
      <c r="AU393" s="40"/>
      <c r="AW393" s="40"/>
    </row>
    <row r="394" spans="2:49" ht="12.75" customHeight="1" x14ac:dyDescent="0.15">
      <c r="B394" s="40"/>
      <c r="C394" s="40"/>
      <c r="D394" s="40"/>
      <c r="E394" s="40"/>
      <c r="F394" s="40"/>
      <c r="G394" s="40"/>
      <c r="H394" s="40"/>
      <c r="I394" s="53"/>
      <c r="S394" s="40"/>
      <c r="T394" s="40"/>
      <c r="U394" s="40"/>
      <c r="V394" s="40"/>
      <c r="W394" s="40"/>
      <c r="Y394" s="40"/>
      <c r="Z394" s="40"/>
      <c r="AA394" s="40"/>
      <c r="AB394" s="40"/>
      <c r="AC394" s="41"/>
      <c r="AD394" s="41"/>
      <c r="AE394" s="41"/>
      <c r="AF394" s="41"/>
      <c r="AG394" s="41"/>
      <c r="AH394" s="40"/>
      <c r="AI394" s="40"/>
      <c r="AJ394" s="5"/>
      <c r="AK394" s="5"/>
      <c r="AL394" s="40"/>
      <c r="AM394" s="40"/>
      <c r="AN394" s="40"/>
      <c r="AO394" s="40"/>
      <c r="AP394" s="40"/>
      <c r="AQ394" s="40"/>
      <c r="AR394" s="40"/>
      <c r="AS394" s="40"/>
      <c r="AU394" s="40"/>
      <c r="AW394" s="40"/>
    </row>
    <row r="395" spans="2:49" ht="12.75" customHeight="1" x14ac:dyDescent="0.15">
      <c r="B395" s="40"/>
      <c r="C395" s="40"/>
      <c r="D395" s="40"/>
      <c r="E395" s="40"/>
      <c r="F395" s="40"/>
      <c r="G395" s="40"/>
      <c r="H395" s="40"/>
      <c r="I395" s="53"/>
      <c r="S395" s="40"/>
      <c r="T395" s="40"/>
      <c r="U395" s="40"/>
      <c r="V395" s="40"/>
      <c r="W395" s="40"/>
      <c r="Y395" s="40"/>
      <c r="Z395" s="40"/>
      <c r="AA395" s="40"/>
      <c r="AB395" s="40"/>
      <c r="AC395" s="41"/>
      <c r="AD395" s="41"/>
      <c r="AE395" s="41"/>
      <c r="AF395" s="41"/>
      <c r="AG395" s="41"/>
      <c r="AH395" s="40"/>
      <c r="AI395" s="40"/>
      <c r="AJ395" s="5"/>
      <c r="AK395" s="5"/>
      <c r="AL395" s="40"/>
      <c r="AM395" s="40"/>
      <c r="AN395" s="40"/>
      <c r="AO395" s="40"/>
      <c r="AP395" s="40"/>
      <c r="AQ395" s="40"/>
      <c r="AR395" s="40"/>
      <c r="AS395" s="40"/>
      <c r="AU395" s="40"/>
      <c r="AW395" s="40"/>
    </row>
    <row r="396" spans="2:49" ht="12.75" customHeight="1" x14ac:dyDescent="0.15">
      <c r="B396" s="40"/>
      <c r="C396" s="40"/>
      <c r="D396" s="40"/>
      <c r="E396" s="40"/>
      <c r="F396" s="40"/>
      <c r="G396" s="40"/>
      <c r="H396" s="40"/>
      <c r="I396" s="53"/>
      <c r="S396" s="40"/>
      <c r="T396" s="40"/>
      <c r="U396" s="40"/>
      <c r="V396" s="40"/>
      <c r="W396" s="40"/>
      <c r="Y396" s="40"/>
      <c r="Z396" s="40"/>
      <c r="AA396" s="40"/>
      <c r="AB396" s="40"/>
      <c r="AC396" s="41"/>
      <c r="AD396" s="41"/>
      <c r="AE396" s="41"/>
      <c r="AF396" s="41"/>
      <c r="AG396" s="41"/>
      <c r="AH396" s="40"/>
      <c r="AI396" s="40"/>
      <c r="AJ396" s="5"/>
      <c r="AK396" s="5"/>
      <c r="AL396" s="40"/>
      <c r="AM396" s="40"/>
      <c r="AN396" s="40"/>
      <c r="AO396" s="40"/>
      <c r="AP396" s="40"/>
      <c r="AQ396" s="40"/>
      <c r="AR396" s="40"/>
      <c r="AS396" s="40"/>
      <c r="AU396" s="40"/>
      <c r="AW396" s="40"/>
    </row>
    <row r="397" spans="2:49" ht="12.75" customHeight="1" x14ac:dyDescent="0.15">
      <c r="B397" s="40"/>
      <c r="C397" s="40"/>
      <c r="D397" s="40"/>
      <c r="E397" s="40"/>
      <c r="F397" s="40"/>
      <c r="G397" s="40"/>
      <c r="H397" s="40"/>
      <c r="I397" s="53"/>
      <c r="S397" s="40"/>
      <c r="T397" s="40"/>
      <c r="U397" s="40"/>
      <c r="V397" s="40"/>
      <c r="W397" s="40"/>
      <c r="Y397" s="40"/>
      <c r="Z397" s="40"/>
      <c r="AA397" s="40"/>
      <c r="AB397" s="40"/>
      <c r="AC397" s="41"/>
      <c r="AD397" s="41"/>
      <c r="AE397" s="41"/>
      <c r="AF397" s="41"/>
      <c r="AG397" s="41"/>
      <c r="AH397" s="40"/>
      <c r="AI397" s="40"/>
      <c r="AJ397" s="5"/>
      <c r="AK397" s="5"/>
      <c r="AL397" s="40"/>
      <c r="AM397" s="40"/>
      <c r="AN397" s="40"/>
      <c r="AO397" s="40"/>
      <c r="AP397" s="40"/>
      <c r="AQ397" s="40"/>
      <c r="AR397" s="40"/>
      <c r="AS397" s="40"/>
      <c r="AU397" s="40"/>
      <c r="AW397" s="40"/>
    </row>
    <row r="398" spans="2:49" ht="12.75" customHeight="1" x14ac:dyDescent="0.15">
      <c r="B398" s="40"/>
      <c r="C398" s="40"/>
      <c r="D398" s="40"/>
      <c r="E398" s="40"/>
      <c r="F398" s="40"/>
      <c r="G398" s="40"/>
      <c r="H398" s="40"/>
      <c r="I398" s="53"/>
      <c r="S398" s="40"/>
      <c r="T398" s="40"/>
      <c r="U398" s="40"/>
      <c r="V398" s="40"/>
      <c r="W398" s="40"/>
      <c r="Y398" s="40"/>
      <c r="Z398" s="40"/>
      <c r="AA398" s="40"/>
      <c r="AB398" s="40"/>
      <c r="AC398" s="41"/>
      <c r="AD398" s="41"/>
      <c r="AE398" s="41"/>
      <c r="AF398" s="41"/>
      <c r="AG398" s="41"/>
      <c r="AH398" s="40"/>
      <c r="AI398" s="40"/>
      <c r="AJ398" s="5"/>
      <c r="AK398" s="5"/>
      <c r="AL398" s="40"/>
      <c r="AM398" s="40"/>
      <c r="AN398" s="40"/>
      <c r="AO398" s="40"/>
      <c r="AP398" s="40"/>
      <c r="AQ398" s="40"/>
      <c r="AR398" s="40"/>
      <c r="AS398" s="40"/>
      <c r="AU398" s="40"/>
      <c r="AW398" s="40"/>
    </row>
    <row r="399" spans="2:49" ht="12.75" customHeight="1" x14ac:dyDescent="0.15">
      <c r="B399" s="40"/>
      <c r="C399" s="40"/>
      <c r="D399" s="40"/>
      <c r="E399" s="40"/>
      <c r="F399" s="40"/>
      <c r="G399" s="40"/>
      <c r="H399" s="40"/>
      <c r="I399" s="53"/>
      <c r="S399" s="40"/>
      <c r="T399" s="40"/>
      <c r="U399" s="40"/>
      <c r="V399" s="40"/>
      <c r="W399" s="40"/>
      <c r="Y399" s="40"/>
      <c r="Z399" s="40"/>
      <c r="AA399" s="40"/>
      <c r="AB399" s="40"/>
      <c r="AC399" s="41"/>
      <c r="AD399" s="41"/>
      <c r="AE399" s="41"/>
      <c r="AF399" s="41"/>
      <c r="AG399" s="41"/>
      <c r="AH399" s="40"/>
      <c r="AI399" s="40"/>
      <c r="AJ399" s="5"/>
      <c r="AK399" s="5"/>
      <c r="AL399" s="40"/>
      <c r="AM399" s="40"/>
      <c r="AN399" s="40"/>
      <c r="AO399" s="40"/>
      <c r="AP399" s="40"/>
      <c r="AQ399" s="40"/>
      <c r="AR399" s="40"/>
      <c r="AS399" s="40"/>
      <c r="AU399" s="40"/>
      <c r="AW399" s="40"/>
    </row>
    <row r="400" spans="2:49" ht="12.75" customHeight="1" x14ac:dyDescent="0.15">
      <c r="B400" s="40"/>
      <c r="C400" s="40"/>
      <c r="D400" s="40"/>
      <c r="E400" s="40"/>
      <c r="F400" s="40"/>
      <c r="G400" s="40"/>
      <c r="H400" s="40"/>
      <c r="I400" s="53"/>
      <c r="S400" s="40"/>
      <c r="T400" s="40"/>
      <c r="U400" s="40"/>
      <c r="V400" s="40"/>
      <c r="W400" s="40"/>
      <c r="Y400" s="40"/>
      <c r="Z400" s="40"/>
      <c r="AA400" s="40"/>
      <c r="AB400" s="40"/>
      <c r="AC400" s="41"/>
      <c r="AD400" s="41"/>
      <c r="AE400" s="41"/>
      <c r="AF400" s="41"/>
      <c r="AG400" s="41"/>
      <c r="AH400" s="40"/>
      <c r="AI400" s="40"/>
      <c r="AJ400" s="5"/>
      <c r="AK400" s="5"/>
      <c r="AL400" s="40"/>
      <c r="AM400" s="40"/>
      <c r="AN400" s="40"/>
      <c r="AO400" s="40"/>
      <c r="AP400" s="40"/>
      <c r="AQ400" s="40"/>
      <c r="AR400" s="40"/>
      <c r="AS400" s="40"/>
      <c r="AU400" s="40"/>
      <c r="AW400" s="40"/>
    </row>
    <row r="401" spans="2:49" ht="12.75" customHeight="1" x14ac:dyDescent="0.15">
      <c r="B401" s="40"/>
      <c r="C401" s="40"/>
      <c r="D401" s="40"/>
      <c r="E401" s="40"/>
      <c r="F401" s="40"/>
      <c r="G401" s="40"/>
      <c r="H401" s="40"/>
      <c r="I401" s="53"/>
      <c r="S401" s="40"/>
      <c r="T401" s="40"/>
      <c r="U401" s="40"/>
      <c r="V401" s="40"/>
      <c r="W401" s="40"/>
      <c r="Y401" s="40"/>
      <c r="Z401" s="40"/>
      <c r="AA401" s="40"/>
      <c r="AB401" s="40"/>
      <c r="AC401" s="41"/>
      <c r="AD401" s="41"/>
      <c r="AE401" s="41"/>
      <c r="AF401" s="41"/>
      <c r="AG401" s="41"/>
      <c r="AH401" s="40"/>
      <c r="AI401" s="40"/>
      <c r="AJ401" s="5"/>
      <c r="AK401" s="5"/>
      <c r="AL401" s="40"/>
      <c r="AM401" s="40"/>
      <c r="AN401" s="40"/>
      <c r="AO401" s="40"/>
      <c r="AP401" s="40"/>
      <c r="AQ401" s="40"/>
      <c r="AR401" s="40"/>
      <c r="AS401" s="40"/>
      <c r="AU401" s="40"/>
      <c r="AW401" s="40"/>
    </row>
    <row r="402" spans="2:49" ht="12.75" customHeight="1" x14ac:dyDescent="0.15">
      <c r="B402" s="40"/>
      <c r="C402" s="40"/>
      <c r="D402" s="40"/>
      <c r="E402" s="40"/>
      <c r="F402" s="40"/>
      <c r="G402" s="40"/>
      <c r="H402" s="40"/>
      <c r="I402" s="53"/>
      <c r="S402" s="40"/>
      <c r="T402" s="40"/>
      <c r="U402" s="40"/>
      <c r="V402" s="40"/>
      <c r="W402" s="40"/>
      <c r="Y402" s="40"/>
      <c r="Z402" s="40"/>
      <c r="AA402" s="40"/>
      <c r="AB402" s="40"/>
      <c r="AC402" s="41"/>
      <c r="AD402" s="41"/>
      <c r="AE402" s="41"/>
      <c r="AF402" s="41"/>
      <c r="AG402" s="41"/>
      <c r="AH402" s="40"/>
      <c r="AI402" s="40"/>
      <c r="AJ402" s="5"/>
      <c r="AK402" s="5"/>
      <c r="AL402" s="40"/>
      <c r="AM402" s="40"/>
      <c r="AN402" s="40"/>
      <c r="AO402" s="40"/>
      <c r="AP402" s="40"/>
      <c r="AQ402" s="40"/>
      <c r="AR402" s="40"/>
      <c r="AS402" s="40"/>
      <c r="AU402" s="40"/>
      <c r="AW402" s="40"/>
    </row>
    <row r="403" spans="2:49" ht="12.75" customHeight="1" x14ac:dyDescent="0.15">
      <c r="B403" s="40"/>
      <c r="C403" s="40"/>
      <c r="D403" s="40"/>
      <c r="E403" s="40"/>
      <c r="F403" s="40"/>
      <c r="G403" s="40"/>
      <c r="H403" s="40"/>
      <c r="I403" s="53"/>
      <c r="S403" s="40"/>
      <c r="T403" s="40"/>
      <c r="U403" s="40"/>
      <c r="V403" s="40"/>
      <c r="W403" s="40"/>
      <c r="Y403" s="40"/>
      <c r="Z403" s="40"/>
      <c r="AA403" s="40"/>
      <c r="AB403" s="40"/>
      <c r="AC403" s="41"/>
      <c r="AD403" s="41"/>
      <c r="AE403" s="41"/>
      <c r="AF403" s="41"/>
      <c r="AG403" s="41"/>
      <c r="AH403" s="40"/>
      <c r="AI403" s="40"/>
      <c r="AJ403" s="5"/>
      <c r="AK403" s="5"/>
      <c r="AL403" s="40"/>
      <c r="AM403" s="40"/>
      <c r="AN403" s="40"/>
      <c r="AO403" s="40"/>
      <c r="AP403" s="40"/>
      <c r="AQ403" s="40"/>
      <c r="AR403" s="40"/>
      <c r="AS403" s="40"/>
      <c r="AU403" s="40"/>
      <c r="AW403" s="40"/>
    </row>
    <row r="404" spans="2:49" ht="12.75" customHeight="1" x14ac:dyDescent="0.15">
      <c r="B404" s="40"/>
      <c r="C404" s="40"/>
      <c r="D404" s="40"/>
      <c r="E404" s="40"/>
      <c r="F404" s="40"/>
      <c r="G404" s="40"/>
      <c r="H404" s="40"/>
      <c r="I404" s="53"/>
      <c r="S404" s="40"/>
      <c r="T404" s="40"/>
      <c r="U404" s="40"/>
      <c r="V404" s="40"/>
      <c r="W404" s="40"/>
      <c r="Y404" s="40"/>
      <c r="Z404" s="40"/>
      <c r="AA404" s="40"/>
      <c r="AB404" s="40"/>
      <c r="AC404" s="41"/>
      <c r="AD404" s="41"/>
      <c r="AE404" s="41"/>
      <c r="AF404" s="41"/>
      <c r="AG404" s="41"/>
      <c r="AH404" s="40"/>
      <c r="AI404" s="40"/>
      <c r="AJ404" s="5"/>
      <c r="AK404" s="5"/>
      <c r="AL404" s="40"/>
      <c r="AM404" s="40"/>
      <c r="AN404" s="40"/>
      <c r="AO404" s="40"/>
      <c r="AP404" s="40"/>
      <c r="AQ404" s="40"/>
      <c r="AR404" s="40"/>
      <c r="AS404" s="40"/>
      <c r="AU404" s="40"/>
      <c r="AW404" s="40"/>
    </row>
    <row r="405" spans="2:49" ht="12.75" customHeight="1" x14ac:dyDescent="0.15">
      <c r="B405" s="40"/>
      <c r="C405" s="40"/>
      <c r="D405" s="40"/>
      <c r="E405" s="40"/>
      <c r="F405" s="40"/>
      <c r="G405" s="40"/>
      <c r="H405" s="40"/>
      <c r="I405" s="53"/>
      <c r="S405" s="40"/>
      <c r="T405" s="40"/>
      <c r="U405" s="40"/>
      <c r="V405" s="40"/>
      <c r="W405" s="40"/>
      <c r="Y405" s="40"/>
      <c r="Z405" s="40"/>
      <c r="AA405" s="40"/>
      <c r="AB405" s="40"/>
      <c r="AC405" s="41"/>
      <c r="AD405" s="41"/>
      <c r="AE405" s="41"/>
      <c r="AF405" s="41"/>
      <c r="AG405" s="41"/>
      <c r="AH405" s="40"/>
      <c r="AI405" s="40"/>
      <c r="AJ405" s="5"/>
      <c r="AK405" s="5"/>
      <c r="AL405" s="40"/>
      <c r="AM405" s="40"/>
      <c r="AN405" s="40"/>
      <c r="AO405" s="40"/>
      <c r="AP405" s="40"/>
      <c r="AQ405" s="40"/>
      <c r="AR405" s="40"/>
      <c r="AS405" s="40"/>
      <c r="AU405" s="40"/>
      <c r="AW405" s="40"/>
    </row>
    <row r="406" spans="2:49" ht="12.75" customHeight="1" x14ac:dyDescent="0.15">
      <c r="B406" s="40"/>
      <c r="C406" s="40"/>
      <c r="D406" s="40"/>
      <c r="E406" s="40"/>
      <c r="F406" s="40"/>
      <c r="G406" s="40"/>
      <c r="H406" s="40"/>
      <c r="I406" s="53"/>
      <c r="S406" s="40"/>
      <c r="T406" s="40"/>
      <c r="U406" s="40"/>
      <c r="V406" s="40"/>
      <c r="W406" s="40"/>
      <c r="Y406" s="40"/>
      <c r="Z406" s="40"/>
      <c r="AA406" s="40"/>
      <c r="AB406" s="40"/>
      <c r="AC406" s="41"/>
      <c r="AD406" s="41"/>
      <c r="AE406" s="41"/>
      <c r="AF406" s="41"/>
      <c r="AG406" s="41"/>
      <c r="AH406" s="40"/>
      <c r="AI406" s="40"/>
      <c r="AJ406" s="5"/>
      <c r="AK406" s="5"/>
      <c r="AL406" s="40"/>
      <c r="AM406" s="40"/>
      <c r="AN406" s="40"/>
      <c r="AO406" s="40"/>
      <c r="AP406" s="40"/>
      <c r="AQ406" s="40"/>
      <c r="AR406" s="40"/>
      <c r="AS406" s="40"/>
      <c r="AU406" s="40"/>
      <c r="AW406" s="40"/>
    </row>
    <row r="407" spans="2:49" ht="12.75" customHeight="1" x14ac:dyDescent="0.15">
      <c r="B407" s="40"/>
      <c r="C407" s="40"/>
      <c r="D407" s="40"/>
      <c r="E407" s="40"/>
      <c r="F407" s="40"/>
      <c r="G407" s="40"/>
      <c r="H407" s="40"/>
      <c r="I407" s="53"/>
      <c r="S407" s="40"/>
      <c r="T407" s="40"/>
      <c r="U407" s="40"/>
      <c r="V407" s="40"/>
      <c r="W407" s="40"/>
      <c r="Y407" s="40"/>
      <c r="Z407" s="40"/>
      <c r="AA407" s="40"/>
      <c r="AB407" s="40"/>
      <c r="AC407" s="41"/>
      <c r="AD407" s="41"/>
      <c r="AE407" s="41"/>
      <c r="AF407" s="41"/>
      <c r="AG407" s="41"/>
      <c r="AH407" s="40"/>
      <c r="AI407" s="40"/>
      <c r="AJ407" s="5"/>
      <c r="AK407" s="5"/>
      <c r="AL407" s="40"/>
      <c r="AM407" s="40"/>
      <c r="AN407" s="40"/>
      <c r="AO407" s="40"/>
      <c r="AP407" s="40"/>
      <c r="AQ407" s="40"/>
      <c r="AR407" s="40"/>
      <c r="AS407" s="40"/>
      <c r="AU407" s="40"/>
      <c r="AW407" s="40"/>
    </row>
    <row r="408" spans="2:49" ht="12.75" customHeight="1" x14ac:dyDescent="0.15">
      <c r="B408" s="40"/>
      <c r="C408" s="40"/>
      <c r="D408" s="40"/>
      <c r="E408" s="40"/>
      <c r="F408" s="40"/>
      <c r="G408" s="40"/>
      <c r="H408" s="40"/>
      <c r="I408" s="53"/>
      <c r="S408" s="40"/>
      <c r="T408" s="40"/>
      <c r="U408" s="40"/>
      <c r="V408" s="40"/>
      <c r="W408" s="40"/>
      <c r="Y408" s="40"/>
      <c r="Z408" s="40"/>
      <c r="AA408" s="40"/>
      <c r="AB408" s="40"/>
      <c r="AC408" s="41"/>
      <c r="AD408" s="41"/>
      <c r="AE408" s="41"/>
      <c r="AF408" s="41"/>
      <c r="AG408" s="41"/>
      <c r="AH408" s="40"/>
      <c r="AI408" s="40"/>
      <c r="AJ408" s="5"/>
      <c r="AK408" s="5"/>
      <c r="AL408" s="40"/>
      <c r="AM408" s="40"/>
      <c r="AN408" s="40"/>
      <c r="AO408" s="40"/>
      <c r="AP408" s="40"/>
      <c r="AQ408" s="40"/>
      <c r="AR408" s="40"/>
      <c r="AS408" s="40"/>
      <c r="AU408" s="40"/>
      <c r="AW408" s="40"/>
    </row>
    <row r="409" spans="2:49" ht="12.75" customHeight="1" x14ac:dyDescent="0.15">
      <c r="B409" s="40"/>
      <c r="C409" s="40"/>
      <c r="D409" s="40"/>
      <c r="E409" s="40"/>
      <c r="F409" s="40"/>
      <c r="G409" s="40"/>
      <c r="H409" s="40"/>
      <c r="I409" s="53"/>
      <c r="S409" s="40"/>
      <c r="T409" s="40"/>
      <c r="U409" s="40"/>
      <c r="V409" s="40"/>
      <c r="W409" s="40"/>
      <c r="Y409" s="40"/>
      <c r="Z409" s="40"/>
      <c r="AA409" s="40"/>
      <c r="AB409" s="40"/>
      <c r="AC409" s="41"/>
      <c r="AD409" s="41"/>
      <c r="AE409" s="41"/>
      <c r="AF409" s="41"/>
      <c r="AG409" s="41"/>
      <c r="AH409" s="40"/>
      <c r="AI409" s="40"/>
      <c r="AJ409" s="5"/>
      <c r="AK409" s="5"/>
      <c r="AL409" s="40"/>
      <c r="AM409" s="40"/>
      <c r="AN409" s="40"/>
      <c r="AO409" s="40"/>
      <c r="AP409" s="40"/>
      <c r="AQ409" s="40"/>
      <c r="AR409" s="40"/>
      <c r="AS409" s="40"/>
      <c r="AU409" s="40"/>
      <c r="AW409" s="40"/>
    </row>
    <row r="410" spans="2:49" ht="12.75" customHeight="1" x14ac:dyDescent="0.15">
      <c r="B410" s="40"/>
      <c r="C410" s="40"/>
      <c r="D410" s="40"/>
      <c r="E410" s="40"/>
      <c r="F410" s="40"/>
      <c r="G410" s="40"/>
      <c r="H410" s="40"/>
      <c r="I410" s="53"/>
      <c r="S410" s="40"/>
      <c r="T410" s="40"/>
      <c r="U410" s="40"/>
      <c r="V410" s="40"/>
      <c r="W410" s="40"/>
      <c r="Y410" s="40"/>
      <c r="Z410" s="40"/>
      <c r="AA410" s="40"/>
      <c r="AB410" s="40"/>
      <c r="AC410" s="41"/>
      <c r="AD410" s="41"/>
      <c r="AE410" s="41"/>
      <c r="AF410" s="41"/>
      <c r="AG410" s="41"/>
      <c r="AH410" s="40"/>
      <c r="AI410" s="40"/>
      <c r="AJ410" s="5"/>
      <c r="AK410" s="5"/>
      <c r="AL410" s="40"/>
      <c r="AM410" s="40"/>
      <c r="AN410" s="40"/>
      <c r="AO410" s="40"/>
      <c r="AP410" s="40"/>
      <c r="AQ410" s="40"/>
      <c r="AR410" s="40"/>
      <c r="AS410" s="40"/>
      <c r="AU410" s="40"/>
      <c r="AW410" s="40"/>
    </row>
    <row r="411" spans="2:49" ht="12.75" customHeight="1" x14ac:dyDescent="0.15">
      <c r="B411" s="40"/>
      <c r="C411" s="40"/>
      <c r="D411" s="40"/>
      <c r="E411" s="40"/>
      <c r="F411" s="40"/>
      <c r="G411" s="40"/>
      <c r="H411" s="40"/>
      <c r="I411" s="53"/>
      <c r="S411" s="40"/>
      <c r="T411" s="40"/>
      <c r="U411" s="40"/>
      <c r="V411" s="40"/>
      <c r="W411" s="40"/>
      <c r="Y411" s="40"/>
      <c r="Z411" s="40"/>
      <c r="AA411" s="40"/>
      <c r="AB411" s="40"/>
      <c r="AC411" s="41"/>
      <c r="AD411" s="41"/>
      <c r="AE411" s="41"/>
      <c r="AF411" s="41"/>
      <c r="AG411" s="41"/>
      <c r="AH411" s="40"/>
      <c r="AI411" s="40"/>
      <c r="AJ411" s="5"/>
      <c r="AK411" s="5"/>
      <c r="AL411" s="40"/>
      <c r="AM411" s="40"/>
      <c r="AN411" s="40"/>
      <c r="AO411" s="40"/>
      <c r="AP411" s="40"/>
      <c r="AQ411" s="40"/>
      <c r="AR411" s="40"/>
      <c r="AS411" s="40"/>
      <c r="AU411" s="40"/>
      <c r="AW411" s="40"/>
    </row>
    <row r="412" spans="2:49" ht="12.75" customHeight="1" x14ac:dyDescent="0.15">
      <c r="B412" s="40"/>
      <c r="C412" s="40"/>
      <c r="D412" s="40"/>
      <c r="E412" s="40"/>
      <c r="F412" s="40"/>
      <c r="G412" s="40"/>
      <c r="H412" s="40"/>
      <c r="I412" s="53"/>
      <c r="S412" s="40"/>
      <c r="T412" s="40"/>
      <c r="U412" s="40"/>
      <c r="V412" s="40"/>
      <c r="W412" s="40"/>
      <c r="Y412" s="40"/>
      <c r="Z412" s="40"/>
      <c r="AA412" s="40"/>
      <c r="AB412" s="40"/>
      <c r="AC412" s="41"/>
      <c r="AD412" s="41"/>
      <c r="AE412" s="41"/>
      <c r="AF412" s="41"/>
      <c r="AG412" s="41"/>
      <c r="AH412" s="40"/>
      <c r="AI412" s="40"/>
      <c r="AJ412" s="5"/>
      <c r="AK412" s="5"/>
      <c r="AL412" s="40"/>
      <c r="AM412" s="40"/>
      <c r="AN412" s="40"/>
      <c r="AO412" s="40"/>
      <c r="AP412" s="40"/>
      <c r="AQ412" s="40"/>
      <c r="AR412" s="40"/>
      <c r="AS412" s="40"/>
      <c r="AU412" s="40"/>
      <c r="AW412" s="40"/>
    </row>
    <row r="413" spans="2:49" ht="12.75" customHeight="1" x14ac:dyDescent="0.15">
      <c r="B413" s="40"/>
      <c r="C413" s="40"/>
      <c r="D413" s="40"/>
      <c r="E413" s="40"/>
      <c r="F413" s="40"/>
      <c r="G413" s="40"/>
      <c r="H413" s="40"/>
      <c r="I413" s="53"/>
      <c r="S413" s="40"/>
      <c r="T413" s="40"/>
      <c r="U413" s="40"/>
      <c r="V413" s="40"/>
      <c r="W413" s="40"/>
      <c r="Y413" s="40"/>
      <c r="Z413" s="40"/>
      <c r="AA413" s="40"/>
      <c r="AB413" s="40"/>
      <c r="AC413" s="41"/>
      <c r="AD413" s="41"/>
      <c r="AE413" s="41"/>
      <c r="AF413" s="41"/>
      <c r="AG413" s="41"/>
      <c r="AH413" s="40"/>
      <c r="AI413" s="40"/>
      <c r="AJ413" s="5"/>
      <c r="AK413" s="5"/>
      <c r="AL413" s="40"/>
      <c r="AM413" s="40"/>
      <c r="AN413" s="40"/>
      <c r="AO413" s="40"/>
      <c r="AP413" s="40"/>
      <c r="AQ413" s="40"/>
      <c r="AR413" s="40"/>
      <c r="AS413" s="40"/>
      <c r="AU413" s="40"/>
      <c r="AW413" s="40"/>
    </row>
    <row r="414" spans="2:49" ht="12.75" customHeight="1" x14ac:dyDescent="0.15">
      <c r="B414" s="40"/>
      <c r="C414" s="40"/>
      <c r="D414" s="40"/>
      <c r="E414" s="40"/>
      <c r="F414" s="40"/>
      <c r="G414" s="40"/>
      <c r="H414" s="40"/>
      <c r="I414" s="53"/>
      <c r="S414" s="40"/>
      <c r="T414" s="40"/>
      <c r="U414" s="40"/>
      <c r="V414" s="40"/>
      <c r="W414" s="40"/>
      <c r="Y414" s="40"/>
      <c r="Z414" s="40"/>
      <c r="AA414" s="40"/>
      <c r="AB414" s="40"/>
      <c r="AC414" s="41"/>
      <c r="AD414" s="41"/>
      <c r="AE414" s="41"/>
      <c r="AF414" s="41"/>
      <c r="AG414" s="41"/>
      <c r="AH414" s="40"/>
      <c r="AI414" s="40"/>
      <c r="AJ414" s="5"/>
      <c r="AK414" s="5"/>
      <c r="AL414" s="40"/>
      <c r="AM414" s="40"/>
      <c r="AN414" s="40"/>
      <c r="AO414" s="40"/>
      <c r="AP414" s="40"/>
      <c r="AQ414" s="40"/>
      <c r="AR414" s="40"/>
      <c r="AS414" s="40"/>
      <c r="AU414" s="40"/>
      <c r="AW414" s="40"/>
    </row>
    <row r="415" spans="2:49" ht="12.75" customHeight="1" x14ac:dyDescent="0.15">
      <c r="B415" s="40"/>
      <c r="C415" s="40"/>
      <c r="D415" s="40"/>
      <c r="E415" s="40"/>
      <c r="F415" s="40"/>
      <c r="G415" s="40"/>
      <c r="H415" s="40"/>
      <c r="I415" s="53"/>
      <c r="S415" s="40"/>
      <c r="T415" s="40"/>
      <c r="U415" s="40"/>
      <c r="V415" s="40"/>
      <c r="W415" s="40"/>
      <c r="Y415" s="40"/>
      <c r="Z415" s="40"/>
      <c r="AA415" s="40"/>
      <c r="AB415" s="40"/>
      <c r="AC415" s="41"/>
      <c r="AD415" s="41"/>
      <c r="AE415" s="41"/>
      <c r="AF415" s="41"/>
      <c r="AG415" s="41"/>
      <c r="AH415" s="40"/>
      <c r="AI415" s="40"/>
      <c r="AJ415" s="5"/>
      <c r="AK415" s="5"/>
      <c r="AL415" s="40"/>
      <c r="AM415" s="40"/>
      <c r="AN415" s="40"/>
      <c r="AO415" s="40"/>
      <c r="AP415" s="40"/>
      <c r="AQ415" s="40"/>
      <c r="AR415" s="40"/>
      <c r="AS415" s="40"/>
      <c r="AU415" s="40"/>
      <c r="AW415" s="40"/>
    </row>
    <row r="416" spans="2:49" ht="12.75" customHeight="1" x14ac:dyDescent="0.15">
      <c r="B416" s="40"/>
      <c r="C416" s="40"/>
      <c r="D416" s="40"/>
      <c r="E416" s="40"/>
      <c r="F416" s="40"/>
      <c r="G416" s="40"/>
      <c r="H416" s="40"/>
      <c r="I416" s="53"/>
      <c r="S416" s="40"/>
      <c r="T416" s="40"/>
      <c r="U416" s="40"/>
      <c r="V416" s="40"/>
      <c r="W416" s="40"/>
      <c r="Y416" s="40"/>
      <c r="Z416" s="40"/>
      <c r="AA416" s="40"/>
      <c r="AB416" s="40"/>
      <c r="AC416" s="41"/>
      <c r="AD416" s="41"/>
      <c r="AE416" s="41"/>
      <c r="AF416" s="41"/>
      <c r="AG416" s="41"/>
      <c r="AH416" s="40"/>
      <c r="AI416" s="40"/>
      <c r="AJ416" s="5"/>
      <c r="AK416" s="5"/>
      <c r="AL416" s="40"/>
      <c r="AM416" s="40"/>
      <c r="AN416" s="40"/>
      <c r="AO416" s="40"/>
      <c r="AP416" s="40"/>
      <c r="AQ416" s="40"/>
      <c r="AR416" s="40"/>
      <c r="AS416" s="40"/>
      <c r="AU416" s="40"/>
      <c r="AW416" s="40"/>
    </row>
    <row r="417" spans="2:49" ht="12.75" customHeight="1" x14ac:dyDescent="0.15">
      <c r="B417" s="40"/>
      <c r="C417" s="40"/>
      <c r="D417" s="40"/>
      <c r="E417" s="40"/>
      <c r="F417" s="40"/>
      <c r="G417" s="40"/>
      <c r="H417" s="40"/>
      <c r="I417" s="53"/>
      <c r="S417" s="40"/>
      <c r="T417" s="40"/>
      <c r="U417" s="40"/>
      <c r="V417" s="40"/>
      <c r="W417" s="40"/>
      <c r="Y417" s="40"/>
      <c r="Z417" s="40"/>
      <c r="AA417" s="40"/>
      <c r="AB417" s="40"/>
      <c r="AC417" s="41"/>
      <c r="AD417" s="41"/>
      <c r="AE417" s="41"/>
      <c r="AF417" s="41"/>
      <c r="AG417" s="41"/>
      <c r="AH417" s="40"/>
      <c r="AI417" s="40"/>
      <c r="AJ417" s="5"/>
      <c r="AK417" s="5"/>
      <c r="AL417" s="40"/>
      <c r="AM417" s="40"/>
      <c r="AN417" s="40"/>
      <c r="AO417" s="40"/>
      <c r="AP417" s="40"/>
      <c r="AQ417" s="40"/>
      <c r="AR417" s="40"/>
      <c r="AS417" s="40"/>
      <c r="AU417" s="40"/>
      <c r="AW417" s="40"/>
    </row>
    <row r="418" spans="2:49" ht="12.75" customHeight="1" x14ac:dyDescent="0.15">
      <c r="B418" s="40"/>
      <c r="C418" s="40"/>
      <c r="D418" s="40"/>
      <c r="E418" s="40"/>
      <c r="F418" s="40"/>
      <c r="G418" s="40"/>
      <c r="H418" s="40"/>
      <c r="I418" s="53"/>
      <c r="S418" s="40"/>
      <c r="T418" s="40"/>
      <c r="U418" s="40"/>
      <c r="V418" s="40"/>
      <c r="W418" s="40"/>
      <c r="Y418" s="40"/>
      <c r="Z418" s="40"/>
      <c r="AA418" s="40"/>
      <c r="AB418" s="40"/>
      <c r="AC418" s="41"/>
      <c r="AD418" s="41"/>
      <c r="AE418" s="41"/>
      <c r="AF418" s="41"/>
      <c r="AG418" s="41"/>
      <c r="AH418" s="40"/>
      <c r="AI418" s="40"/>
      <c r="AJ418" s="5"/>
      <c r="AK418" s="5"/>
      <c r="AL418" s="40"/>
      <c r="AM418" s="40"/>
      <c r="AN418" s="40"/>
      <c r="AO418" s="40"/>
      <c r="AP418" s="40"/>
      <c r="AQ418" s="40"/>
      <c r="AR418" s="40"/>
      <c r="AS418" s="40"/>
      <c r="AU418" s="40"/>
      <c r="AW418" s="40"/>
    </row>
    <row r="419" spans="2:49" ht="12.75" customHeight="1" x14ac:dyDescent="0.15">
      <c r="B419" s="40"/>
      <c r="C419" s="40"/>
      <c r="D419" s="40"/>
      <c r="E419" s="40"/>
      <c r="F419" s="40"/>
      <c r="G419" s="40"/>
      <c r="H419" s="40"/>
      <c r="I419" s="53"/>
      <c r="S419" s="40"/>
      <c r="T419" s="40"/>
      <c r="U419" s="40"/>
      <c r="V419" s="40"/>
      <c r="W419" s="40"/>
      <c r="Y419" s="40"/>
      <c r="Z419" s="40"/>
      <c r="AA419" s="40"/>
      <c r="AB419" s="40"/>
      <c r="AC419" s="41"/>
      <c r="AD419" s="41"/>
      <c r="AE419" s="41"/>
      <c r="AF419" s="41"/>
      <c r="AG419" s="41"/>
      <c r="AH419" s="40"/>
      <c r="AI419" s="40"/>
      <c r="AJ419" s="5"/>
      <c r="AK419" s="5"/>
      <c r="AL419" s="40"/>
      <c r="AM419" s="40"/>
      <c r="AN419" s="40"/>
      <c r="AO419" s="40"/>
      <c r="AP419" s="40"/>
      <c r="AQ419" s="40"/>
      <c r="AR419" s="40"/>
      <c r="AS419" s="40"/>
      <c r="AU419" s="40"/>
      <c r="AW419" s="40"/>
    </row>
    <row r="420" spans="2:49" ht="12.75" customHeight="1" x14ac:dyDescent="0.15">
      <c r="B420" s="40"/>
      <c r="C420" s="40"/>
      <c r="D420" s="40"/>
      <c r="E420" s="40"/>
      <c r="F420" s="40"/>
      <c r="G420" s="40"/>
      <c r="H420" s="40"/>
      <c r="I420" s="53"/>
      <c r="S420" s="40"/>
      <c r="T420" s="40"/>
      <c r="U420" s="40"/>
      <c r="V420" s="40"/>
      <c r="W420" s="40"/>
      <c r="Y420" s="40"/>
      <c r="Z420" s="40"/>
      <c r="AA420" s="40"/>
      <c r="AB420" s="40"/>
      <c r="AC420" s="41"/>
      <c r="AD420" s="41"/>
      <c r="AE420" s="41"/>
      <c r="AF420" s="41"/>
      <c r="AG420" s="41"/>
      <c r="AH420" s="40"/>
      <c r="AI420" s="40"/>
      <c r="AJ420" s="5"/>
      <c r="AK420" s="5"/>
      <c r="AL420" s="40"/>
      <c r="AM420" s="40"/>
      <c r="AN420" s="40"/>
      <c r="AO420" s="40"/>
      <c r="AP420" s="40"/>
      <c r="AQ420" s="40"/>
      <c r="AR420" s="40"/>
      <c r="AS420" s="40"/>
      <c r="AU420" s="40"/>
      <c r="AW420" s="40"/>
    </row>
    <row r="421" spans="2:49" ht="12.75" customHeight="1" x14ac:dyDescent="0.15">
      <c r="B421" s="40"/>
      <c r="C421" s="40"/>
      <c r="D421" s="40"/>
      <c r="E421" s="40"/>
      <c r="F421" s="40"/>
      <c r="G421" s="40"/>
      <c r="H421" s="40"/>
      <c r="I421" s="53"/>
      <c r="S421" s="40"/>
      <c r="T421" s="40"/>
      <c r="U421" s="40"/>
      <c r="V421" s="40"/>
      <c r="W421" s="40"/>
      <c r="Y421" s="40"/>
      <c r="Z421" s="40"/>
      <c r="AA421" s="40"/>
      <c r="AB421" s="40"/>
      <c r="AC421" s="41"/>
      <c r="AD421" s="41"/>
      <c r="AE421" s="41"/>
      <c r="AF421" s="41"/>
      <c r="AG421" s="41"/>
      <c r="AH421" s="40"/>
      <c r="AI421" s="40"/>
      <c r="AJ421" s="5"/>
      <c r="AK421" s="5"/>
      <c r="AL421" s="40"/>
      <c r="AM421" s="40"/>
      <c r="AN421" s="40"/>
      <c r="AO421" s="40"/>
      <c r="AP421" s="40"/>
      <c r="AQ421" s="40"/>
      <c r="AR421" s="40"/>
      <c r="AS421" s="40"/>
      <c r="AU421" s="40"/>
      <c r="AW421" s="40"/>
    </row>
    <row r="422" spans="2:49" ht="12.75" customHeight="1" x14ac:dyDescent="0.15">
      <c r="B422" s="40"/>
      <c r="C422" s="40"/>
      <c r="D422" s="40"/>
      <c r="E422" s="40"/>
      <c r="F422" s="40"/>
      <c r="G422" s="40"/>
      <c r="H422" s="40"/>
      <c r="I422" s="53"/>
      <c r="S422" s="40"/>
      <c r="T422" s="40"/>
      <c r="U422" s="40"/>
      <c r="V422" s="40"/>
      <c r="W422" s="40"/>
      <c r="Y422" s="40"/>
      <c r="Z422" s="40"/>
      <c r="AA422" s="40"/>
      <c r="AB422" s="40"/>
      <c r="AC422" s="41"/>
      <c r="AD422" s="41"/>
      <c r="AE422" s="41"/>
      <c r="AF422" s="41"/>
      <c r="AG422" s="41"/>
      <c r="AH422" s="40"/>
      <c r="AI422" s="40"/>
      <c r="AJ422" s="5"/>
      <c r="AK422" s="5"/>
      <c r="AL422" s="40"/>
      <c r="AM422" s="40"/>
      <c r="AN422" s="40"/>
      <c r="AO422" s="40"/>
      <c r="AP422" s="40"/>
      <c r="AQ422" s="40"/>
      <c r="AR422" s="40"/>
      <c r="AS422" s="40"/>
      <c r="AU422" s="40"/>
      <c r="AW422" s="40"/>
    </row>
    <row r="423" spans="2:49" ht="12.75" customHeight="1" x14ac:dyDescent="0.15">
      <c r="B423" s="40"/>
      <c r="C423" s="40"/>
      <c r="D423" s="40"/>
      <c r="E423" s="40"/>
      <c r="F423" s="40"/>
      <c r="G423" s="40"/>
      <c r="H423" s="40"/>
      <c r="I423" s="53"/>
      <c r="S423" s="40"/>
      <c r="T423" s="40"/>
      <c r="U423" s="40"/>
      <c r="V423" s="40"/>
      <c r="W423" s="40"/>
      <c r="Y423" s="40"/>
      <c r="Z423" s="40"/>
      <c r="AA423" s="40"/>
      <c r="AB423" s="40"/>
      <c r="AC423" s="41"/>
      <c r="AD423" s="41"/>
      <c r="AE423" s="41"/>
      <c r="AF423" s="41"/>
      <c r="AG423" s="41"/>
      <c r="AH423" s="40"/>
      <c r="AI423" s="40"/>
      <c r="AJ423" s="5"/>
      <c r="AK423" s="5"/>
      <c r="AL423" s="40"/>
      <c r="AM423" s="40"/>
      <c r="AN423" s="40"/>
      <c r="AO423" s="40"/>
      <c r="AP423" s="40"/>
      <c r="AQ423" s="40"/>
      <c r="AR423" s="40"/>
      <c r="AS423" s="40"/>
      <c r="AU423" s="40"/>
      <c r="AW423" s="40"/>
    </row>
    <row r="424" spans="2:49" ht="12.75" customHeight="1" x14ac:dyDescent="0.15">
      <c r="B424" s="40"/>
      <c r="C424" s="40"/>
      <c r="D424" s="40"/>
      <c r="E424" s="40"/>
      <c r="F424" s="40"/>
      <c r="G424" s="40"/>
      <c r="H424" s="40"/>
      <c r="I424" s="53"/>
      <c r="S424" s="40"/>
      <c r="T424" s="40"/>
      <c r="U424" s="40"/>
      <c r="V424" s="40"/>
      <c r="W424" s="40"/>
      <c r="Y424" s="40"/>
      <c r="Z424" s="40"/>
      <c r="AA424" s="40"/>
      <c r="AB424" s="40"/>
      <c r="AC424" s="41"/>
      <c r="AD424" s="41"/>
      <c r="AE424" s="41"/>
      <c r="AF424" s="41"/>
      <c r="AG424" s="41"/>
      <c r="AH424" s="40"/>
      <c r="AI424" s="40"/>
      <c r="AJ424" s="5"/>
      <c r="AK424" s="5"/>
      <c r="AL424" s="40"/>
      <c r="AM424" s="40"/>
      <c r="AN424" s="40"/>
      <c r="AO424" s="40"/>
      <c r="AP424" s="40"/>
      <c r="AQ424" s="40"/>
      <c r="AR424" s="40"/>
      <c r="AS424" s="40"/>
      <c r="AU424" s="40"/>
      <c r="AW424" s="40"/>
    </row>
    <row r="425" spans="2:49" ht="12.75" customHeight="1" x14ac:dyDescent="0.15">
      <c r="B425" s="40"/>
      <c r="C425" s="40"/>
      <c r="D425" s="40"/>
      <c r="E425" s="40"/>
      <c r="F425" s="40"/>
      <c r="G425" s="40"/>
      <c r="H425" s="40"/>
      <c r="I425" s="53"/>
      <c r="S425" s="40"/>
      <c r="T425" s="40"/>
      <c r="U425" s="40"/>
      <c r="V425" s="40"/>
      <c r="W425" s="40"/>
      <c r="Y425" s="40"/>
      <c r="Z425" s="40"/>
      <c r="AA425" s="40"/>
      <c r="AB425" s="40"/>
      <c r="AC425" s="41"/>
      <c r="AD425" s="41"/>
      <c r="AE425" s="41"/>
      <c r="AF425" s="41"/>
      <c r="AG425" s="41"/>
      <c r="AH425" s="40"/>
      <c r="AI425" s="40"/>
      <c r="AJ425" s="5"/>
      <c r="AK425" s="5"/>
      <c r="AL425" s="40"/>
      <c r="AM425" s="40"/>
      <c r="AN425" s="40"/>
      <c r="AO425" s="40"/>
      <c r="AP425" s="40"/>
      <c r="AQ425" s="40"/>
      <c r="AR425" s="40"/>
      <c r="AS425" s="40"/>
      <c r="AU425" s="40"/>
      <c r="AW425" s="40"/>
    </row>
    <row r="426" spans="2:49" ht="12.75" customHeight="1" x14ac:dyDescent="0.15">
      <c r="B426" s="40"/>
      <c r="C426" s="40"/>
      <c r="D426" s="40"/>
      <c r="E426" s="40"/>
      <c r="F426" s="40"/>
      <c r="G426" s="40"/>
      <c r="H426" s="40"/>
      <c r="I426" s="53"/>
      <c r="S426" s="40"/>
      <c r="T426" s="40"/>
      <c r="U426" s="40"/>
      <c r="V426" s="40"/>
      <c r="W426" s="40"/>
      <c r="Y426" s="40"/>
      <c r="Z426" s="40"/>
      <c r="AA426" s="40"/>
      <c r="AB426" s="40"/>
      <c r="AC426" s="41"/>
      <c r="AD426" s="41"/>
      <c r="AE426" s="41"/>
      <c r="AF426" s="41"/>
      <c r="AG426" s="41"/>
      <c r="AH426" s="40"/>
      <c r="AI426" s="40"/>
      <c r="AJ426" s="5"/>
      <c r="AK426" s="5"/>
      <c r="AL426" s="40"/>
      <c r="AM426" s="40"/>
      <c r="AN426" s="40"/>
      <c r="AO426" s="40"/>
      <c r="AP426" s="40"/>
      <c r="AQ426" s="40"/>
      <c r="AR426" s="40"/>
      <c r="AS426" s="40"/>
      <c r="AU426" s="40"/>
      <c r="AW426" s="40"/>
    </row>
    <row r="427" spans="2:49" ht="12.75" customHeight="1" x14ac:dyDescent="0.15">
      <c r="B427" s="40"/>
      <c r="C427" s="40"/>
      <c r="D427" s="40"/>
      <c r="E427" s="40"/>
      <c r="F427" s="40"/>
      <c r="G427" s="40"/>
      <c r="H427" s="40"/>
      <c r="I427" s="53"/>
      <c r="S427" s="40"/>
      <c r="T427" s="40"/>
      <c r="U427" s="40"/>
      <c r="V427" s="40"/>
      <c r="W427" s="40"/>
      <c r="Y427" s="40"/>
      <c r="Z427" s="40"/>
      <c r="AA427" s="40"/>
      <c r="AB427" s="40"/>
      <c r="AC427" s="41"/>
      <c r="AD427" s="41"/>
      <c r="AE427" s="41"/>
      <c r="AF427" s="41"/>
      <c r="AG427" s="41"/>
      <c r="AH427" s="40"/>
      <c r="AI427" s="40"/>
      <c r="AJ427" s="5"/>
      <c r="AK427" s="5"/>
      <c r="AL427" s="40"/>
      <c r="AM427" s="40"/>
      <c r="AN427" s="40"/>
      <c r="AO427" s="40"/>
      <c r="AP427" s="40"/>
      <c r="AQ427" s="40"/>
      <c r="AR427" s="40"/>
      <c r="AS427" s="40"/>
      <c r="AU427" s="40"/>
      <c r="AW427" s="40"/>
    </row>
    <row r="428" spans="2:49" ht="12.75" customHeight="1" x14ac:dyDescent="0.15">
      <c r="B428" s="40"/>
      <c r="C428" s="40"/>
      <c r="D428" s="40"/>
      <c r="E428" s="40"/>
      <c r="F428" s="40"/>
      <c r="G428" s="40"/>
      <c r="H428" s="40"/>
      <c r="I428" s="53"/>
      <c r="S428" s="40"/>
      <c r="T428" s="40"/>
      <c r="U428" s="40"/>
      <c r="V428" s="40"/>
      <c r="W428" s="40"/>
      <c r="Y428" s="40"/>
      <c r="Z428" s="40"/>
      <c r="AA428" s="40"/>
      <c r="AB428" s="40"/>
      <c r="AC428" s="41"/>
      <c r="AD428" s="41"/>
      <c r="AE428" s="41"/>
      <c r="AF428" s="41"/>
      <c r="AG428" s="41"/>
      <c r="AH428" s="40"/>
      <c r="AI428" s="40"/>
      <c r="AJ428" s="5"/>
      <c r="AK428" s="5"/>
      <c r="AL428" s="40"/>
      <c r="AM428" s="40"/>
      <c r="AN428" s="40"/>
      <c r="AO428" s="40"/>
      <c r="AP428" s="40"/>
      <c r="AQ428" s="40"/>
      <c r="AR428" s="40"/>
      <c r="AS428" s="40"/>
      <c r="AU428" s="40"/>
      <c r="AW428" s="40"/>
    </row>
    <row r="429" spans="2:49" ht="12.75" customHeight="1" x14ac:dyDescent="0.15">
      <c r="B429" s="40"/>
      <c r="C429" s="40"/>
      <c r="D429" s="40"/>
      <c r="E429" s="40"/>
      <c r="F429" s="40"/>
      <c r="G429" s="40"/>
      <c r="H429" s="40"/>
      <c r="I429" s="53"/>
      <c r="S429" s="40"/>
      <c r="T429" s="40"/>
      <c r="U429" s="40"/>
      <c r="V429" s="40"/>
      <c r="W429" s="40"/>
      <c r="Y429" s="40"/>
      <c r="Z429" s="40"/>
      <c r="AA429" s="40"/>
      <c r="AB429" s="40"/>
      <c r="AC429" s="41"/>
      <c r="AD429" s="41"/>
      <c r="AE429" s="41"/>
      <c r="AF429" s="41"/>
      <c r="AG429" s="41"/>
      <c r="AH429" s="40"/>
      <c r="AI429" s="40"/>
      <c r="AJ429" s="5"/>
      <c r="AK429" s="5"/>
      <c r="AL429" s="40"/>
      <c r="AM429" s="40"/>
      <c r="AN429" s="40"/>
      <c r="AO429" s="40"/>
      <c r="AP429" s="40"/>
      <c r="AQ429" s="40"/>
      <c r="AR429" s="40"/>
      <c r="AS429" s="40"/>
      <c r="AU429" s="40"/>
      <c r="AW429" s="40"/>
    </row>
    <row r="430" spans="2:49" ht="12.75" customHeight="1" x14ac:dyDescent="0.15">
      <c r="B430" s="40"/>
      <c r="C430" s="40"/>
      <c r="D430" s="40"/>
      <c r="E430" s="40"/>
      <c r="F430" s="40"/>
      <c r="G430" s="40"/>
      <c r="H430" s="40"/>
      <c r="I430" s="53"/>
      <c r="S430" s="40"/>
      <c r="T430" s="40"/>
      <c r="U430" s="40"/>
      <c r="V430" s="40"/>
      <c r="W430" s="40"/>
      <c r="Y430" s="40"/>
      <c r="Z430" s="40"/>
      <c r="AA430" s="40"/>
      <c r="AB430" s="40"/>
      <c r="AC430" s="41"/>
      <c r="AD430" s="41"/>
      <c r="AE430" s="41"/>
      <c r="AF430" s="41"/>
      <c r="AG430" s="41"/>
      <c r="AH430" s="40"/>
      <c r="AI430" s="40"/>
      <c r="AJ430" s="5"/>
      <c r="AK430" s="5"/>
      <c r="AL430" s="40"/>
      <c r="AM430" s="40"/>
      <c r="AN430" s="40"/>
      <c r="AO430" s="40"/>
      <c r="AP430" s="40"/>
      <c r="AQ430" s="40"/>
      <c r="AR430" s="40"/>
      <c r="AS430" s="40"/>
      <c r="AU430" s="40"/>
      <c r="AW430" s="40"/>
    </row>
    <row r="431" spans="2:49" ht="12.75" customHeight="1" x14ac:dyDescent="0.15">
      <c r="B431" s="40"/>
      <c r="C431" s="40"/>
      <c r="D431" s="40"/>
      <c r="E431" s="40"/>
      <c r="F431" s="40"/>
      <c r="G431" s="40"/>
      <c r="H431" s="40"/>
      <c r="I431" s="53"/>
      <c r="S431" s="40"/>
      <c r="T431" s="40"/>
      <c r="U431" s="40"/>
      <c r="V431" s="40"/>
      <c r="W431" s="40"/>
      <c r="Y431" s="40"/>
      <c r="Z431" s="40"/>
      <c r="AA431" s="40"/>
      <c r="AB431" s="40"/>
      <c r="AC431" s="41"/>
      <c r="AD431" s="41"/>
      <c r="AE431" s="41"/>
      <c r="AF431" s="41"/>
      <c r="AG431" s="41"/>
      <c r="AH431" s="40"/>
      <c r="AI431" s="40"/>
      <c r="AJ431" s="5"/>
      <c r="AK431" s="5"/>
      <c r="AL431" s="40"/>
      <c r="AM431" s="40"/>
      <c r="AN431" s="40"/>
      <c r="AO431" s="40"/>
      <c r="AP431" s="40"/>
      <c r="AQ431" s="40"/>
      <c r="AR431" s="40"/>
      <c r="AS431" s="40"/>
      <c r="AU431" s="40"/>
      <c r="AW431" s="40"/>
    </row>
    <row r="432" spans="2:49" ht="12.75" customHeight="1" x14ac:dyDescent="0.15">
      <c r="B432" s="40"/>
      <c r="C432" s="40"/>
      <c r="D432" s="40"/>
      <c r="E432" s="40"/>
      <c r="F432" s="40"/>
      <c r="G432" s="40"/>
      <c r="H432" s="40"/>
      <c r="I432" s="53"/>
      <c r="S432" s="40"/>
      <c r="T432" s="40"/>
      <c r="U432" s="40"/>
      <c r="V432" s="40"/>
      <c r="W432" s="40"/>
      <c r="Y432" s="40"/>
      <c r="Z432" s="40"/>
      <c r="AA432" s="40"/>
      <c r="AB432" s="40"/>
      <c r="AC432" s="41"/>
      <c r="AD432" s="41"/>
      <c r="AE432" s="41"/>
      <c r="AF432" s="41"/>
      <c r="AG432" s="41"/>
      <c r="AH432" s="40"/>
      <c r="AI432" s="40"/>
      <c r="AJ432" s="5"/>
      <c r="AK432" s="5"/>
      <c r="AL432" s="40"/>
      <c r="AM432" s="40"/>
      <c r="AN432" s="40"/>
      <c r="AO432" s="40"/>
      <c r="AP432" s="40"/>
      <c r="AQ432" s="40"/>
      <c r="AR432" s="40"/>
      <c r="AS432" s="40"/>
      <c r="AU432" s="40"/>
      <c r="AW432" s="40"/>
    </row>
    <row r="433" spans="2:49" ht="12.75" customHeight="1" x14ac:dyDescent="0.15">
      <c r="B433" s="40"/>
      <c r="C433" s="40"/>
      <c r="D433" s="40"/>
      <c r="E433" s="40"/>
      <c r="F433" s="40"/>
      <c r="G433" s="40"/>
      <c r="H433" s="40"/>
      <c r="I433" s="53"/>
      <c r="S433" s="40"/>
      <c r="T433" s="40"/>
      <c r="U433" s="40"/>
      <c r="V433" s="40"/>
      <c r="W433" s="40"/>
      <c r="Y433" s="40"/>
      <c r="Z433" s="40"/>
      <c r="AA433" s="40"/>
      <c r="AB433" s="40"/>
      <c r="AC433" s="41"/>
      <c r="AD433" s="41"/>
      <c r="AE433" s="41"/>
      <c r="AF433" s="41"/>
      <c r="AG433" s="41"/>
      <c r="AH433" s="40"/>
      <c r="AI433" s="40"/>
      <c r="AJ433" s="5"/>
      <c r="AK433" s="5"/>
      <c r="AL433" s="40"/>
      <c r="AM433" s="40"/>
      <c r="AN433" s="40"/>
      <c r="AO433" s="40"/>
      <c r="AP433" s="40"/>
      <c r="AQ433" s="40"/>
      <c r="AR433" s="40"/>
      <c r="AS433" s="40"/>
      <c r="AU433" s="40"/>
      <c r="AW433" s="40"/>
    </row>
    <row r="434" spans="2:49" ht="12.75" customHeight="1" x14ac:dyDescent="0.15">
      <c r="B434" s="40"/>
      <c r="C434" s="40"/>
      <c r="D434" s="40"/>
      <c r="E434" s="40"/>
      <c r="F434" s="40"/>
      <c r="G434" s="40"/>
      <c r="H434" s="40"/>
      <c r="I434" s="53"/>
      <c r="S434" s="40"/>
      <c r="T434" s="40"/>
      <c r="U434" s="40"/>
      <c r="V434" s="40"/>
      <c r="W434" s="40"/>
      <c r="Y434" s="40"/>
      <c r="Z434" s="40"/>
      <c r="AA434" s="40"/>
      <c r="AB434" s="40"/>
      <c r="AC434" s="41"/>
      <c r="AD434" s="41"/>
      <c r="AE434" s="41"/>
      <c r="AF434" s="41"/>
      <c r="AG434" s="41"/>
      <c r="AH434" s="40"/>
      <c r="AI434" s="40"/>
      <c r="AJ434" s="5"/>
      <c r="AK434" s="5"/>
      <c r="AL434" s="40"/>
      <c r="AM434" s="40"/>
      <c r="AN434" s="40"/>
      <c r="AO434" s="40"/>
      <c r="AP434" s="40"/>
      <c r="AQ434" s="40"/>
      <c r="AR434" s="40"/>
      <c r="AS434" s="40"/>
      <c r="AU434" s="40"/>
      <c r="AW434" s="40"/>
    </row>
    <row r="435" spans="2:49" ht="12.75" customHeight="1" x14ac:dyDescent="0.15">
      <c r="B435" s="40"/>
      <c r="C435" s="40"/>
      <c r="D435" s="40"/>
      <c r="E435" s="40"/>
      <c r="F435" s="40"/>
      <c r="G435" s="40"/>
      <c r="H435" s="40"/>
      <c r="I435" s="53"/>
      <c r="S435" s="40"/>
      <c r="T435" s="40"/>
      <c r="U435" s="40"/>
      <c r="V435" s="40"/>
      <c r="W435" s="40"/>
      <c r="Y435" s="40"/>
      <c r="Z435" s="40"/>
      <c r="AA435" s="40"/>
      <c r="AB435" s="40"/>
      <c r="AC435" s="41"/>
      <c r="AD435" s="41"/>
      <c r="AE435" s="41"/>
      <c r="AF435" s="41"/>
      <c r="AG435" s="41"/>
      <c r="AH435" s="40"/>
      <c r="AI435" s="40"/>
      <c r="AJ435" s="5"/>
      <c r="AK435" s="5"/>
      <c r="AL435" s="40"/>
      <c r="AM435" s="40"/>
      <c r="AN435" s="40"/>
      <c r="AO435" s="40"/>
      <c r="AP435" s="40"/>
      <c r="AQ435" s="40"/>
      <c r="AR435" s="40"/>
      <c r="AS435" s="40"/>
      <c r="AU435" s="40"/>
      <c r="AW435" s="40"/>
    </row>
    <row r="436" spans="2:49" ht="12.75" customHeight="1" x14ac:dyDescent="0.15">
      <c r="B436" s="40"/>
      <c r="C436" s="40"/>
      <c r="D436" s="40"/>
      <c r="E436" s="40"/>
      <c r="F436" s="40"/>
      <c r="G436" s="40"/>
      <c r="H436" s="40"/>
      <c r="I436" s="53"/>
      <c r="S436" s="40"/>
      <c r="T436" s="40"/>
      <c r="U436" s="40"/>
      <c r="V436" s="40"/>
      <c r="W436" s="40"/>
      <c r="Y436" s="40"/>
      <c r="Z436" s="40"/>
      <c r="AA436" s="40"/>
      <c r="AB436" s="40"/>
      <c r="AC436" s="41"/>
      <c r="AD436" s="41"/>
      <c r="AE436" s="41"/>
      <c r="AF436" s="41"/>
      <c r="AG436" s="41"/>
      <c r="AH436" s="40"/>
      <c r="AI436" s="40"/>
      <c r="AJ436" s="5"/>
      <c r="AK436" s="5"/>
      <c r="AL436" s="40"/>
      <c r="AM436" s="40"/>
      <c r="AN436" s="40"/>
      <c r="AO436" s="40"/>
      <c r="AP436" s="40"/>
      <c r="AQ436" s="40"/>
      <c r="AR436" s="40"/>
      <c r="AS436" s="40"/>
      <c r="AU436" s="40"/>
      <c r="AW436" s="40"/>
    </row>
    <row r="437" spans="2:49" ht="12.75" customHeight="1" x14ac:dyDescent="0.15">
      <c r="B437" s="40"/>
      <c r="C437" s="40"/>
      <c r="D437" s="40"/>
      <c r="E437" s="40"/>
      <c r="F437" s="40"/>
      <c r="G437" s="40"/>
      <c r="H437" s="40"/>
      <c r="I437" s="53"/>
      <c r="S437" s="40"/>
      <c r="T437" s="40"/>
      <c r="U437" s="40"/>
      <c r="V437" s="40"/>
      <c r="W437" s="40"/>
      <c r="Y437" s="40"/>
      <c r="Z437" s="40"/>
      <c r="AA437" s="40"/>
      <c r="AB437" s="40"/>
      <c r="AC437" s="41"/>
      <c r="AD437" s="41"/>
      <c r="AE437" s="41"/>
      <c r="AF437" s="41"/>
      <c r="AG437" s="41"/>
      <c r="AH437" s="40"/>
      <c r="AI437" s="40"/>
      <c r="AJ437" s="5"/>
      <c r="AK437" s="5"/>
      <c r="AL437" s="40"/>
      <c r="AM437" s="40"/>
      <c r="AN437" s="40"/>
      <c r="AO437" s="40"/>
      <c r="AP437" s="40"/>
      <c r="AQ437" s="40"/>
      <c r="AR437" s="40"/>
      <c r="AS437" s="40"/>
      <c r="AU437" s="40"/>
      <c r="AW437" s="40"/>
    </row>
    <row r="438" spans="2:49" ht="12.75" customHeight="1" x14ac:dyDescent="0.15">
      <c r="B438" s="40"/>
      <c r="C438" s="40"/>
      <c r="D438" s="40"/>
      <c r="E438" s="40"/>
      <c r="F438" s="40"/>
      <c r="G438" s="40"/>
      <c r="H438" s="40"/>
      <c r="I438" s="53"/>
      <c r="S438" s="40"/>
      <c r="T438" s="40"/>
      <c r="U438" s="40"/>
      <c r="V438" s="40"/>
      <c r="W438" s="40"/>
      <c r="Y438" s="40"/>
      <c r="Z438" s="40"/>
      <c r="AA438" s="40"/>
      <c r="AB438" s="40"/>
      <c r="AC438" s="41"/>
      <c r="AD438" s="41"/>
      <c r="AE438" s="41"/>
      <c r="AF438" s="41"/>
      <c r="AG438" s="41"/>
      <c r="AH438" s="40"/>
      <c r="AI438" s="40"/>
      <c r="AJ438" s="5"/>
      <c r="AK438" s="5"/>
      <c r="AL438" s="40"/>
      <c r="AM438" s="40"/>
      <c r="AN438" s="40"/>
      <c r="AO438" s="40"/>
      <c r="AP438" s="40"/>
      <c r="AQ438" s="40"/>
      <c r="AR438" s="40"/>
      <c r="AS438" s="40"/>
      <c r="AU438" s="40"/>
      <c r="AW438" s="40"/>
    </row>
    <row r="439" spans="2:49" ht="12.75" customHeight="1" x14ac:dyDescent="0.15">
      <c r="B439" s="40"/>
      <c r="C439" s="40"/>
      <c r="D439" s="40"/>
      <c r="E439" s="40"/>
      <c r="F439" s="40"/>
      <c r="G439" s="40"/>
      <c r="H439" s="40"/>
      <c r="I439" s="53"/>
      <c r="S439" s="40"/>
      <c r="T439" s="40"/>
      <c r="U439" s="40"/>
      <c r="V439" s="40"/>
      <c r="W439" s="40"/>
      <c r="Y439" s="40"/>
      <c r="Z439" s="40"/>
      <c r="AA439" s="40"/>
      <c r="AB439" s="40"/>
      <c r="AC439" s="41"/>
      <c r="AD439" s="41"/>
      <c r="AE439" s="41"/>
      <c r="AF439" s="41"/>
      <c r="AG439" s="41"/>
      <c r="AH439" s="40"/>
      <c r="AI439" s="40"/>
      <c r="AJ439" s="5"/>
      <c r="AK439" s="5"/>
      <c r="AL439" s="40"/>
      <c r="AM439" s="40"/>
      <c r="AN439" s="40"/>
      <c r="AO439" s="40"/>
      <c r="AP439" s="40"/>
      <c r="AQ439" s="40"/>
      <c r="AR439" s="40"/>
      <c r="AS439" s="40"/>
      <c r="AU439" s="40"/>
      <c r="AW439" s="40"/>
    </row>
    <row r="440" spans="2:49" ht="12.75" customHeight="1" x14ac:dyDescent="0.15">
      <c r="B440" s="40"/>
      <c r="C440" s="40"/>
      <c r="D440" s="40"/>
      <c r="E440" s="40"/>
      <c r="F440" s="40"/>
      <c r="G440" s="40"/>
      <c r="H440" s="40"/>
      <c r="I440" s="53"/>
      <c r="S440" s="40"/>
      <c r="T440" s="40"/>
      <c r="U440" s="40"/>
      <c r="V440" s="40"/>
      <c r="W440" s="40"/>
      <c r="Y440" s="40"/>
      <c r="Z440" s="40"/>
      <c r="AA440" s="40"/>
      <c r="AB440" s="40"/>
      <c r="AC440" s="41"/>
      <c r="AD440" s="41"/>
      <c r="AE440" s="41"/>
      <c r="AF440" s="41"/>
      <c r="AG440" s="41"/>
      <c r="AH440" s="40"/>
      <c r="AI440" s="40"/>
      <c r="AJ440" s="5"/>
      <c r="AK440" s="5"/>
      <c r="AL440" s="40"/>
      <c r="AM440" s="40"/>
      <c r="AN440" s="40"/>
      <c r="AO440" s="40"/>
      <c r="AP440" s="40"/>
      <c r="AQ440" s="40"/>
      <c r="AR440" s="40"/>
      <c r="AS440" s="40"/>
      <c r="AU440" s="40"/>
      <c r="AW440" s="40"/>
    </row>
    <row r="441" spans="2:49" ht="12.75" customHeight="1" x14ac:dyDescent="0.15">
      <c r="B441" s="40"/>
      <c r="C441" s="40"/>
      <c r="D441" s="40"/>
      <c r="E441" s="40"/>
      <c r="F441" s="40"/>
      <c r="G441" s="40"/>
      <c r="H441" s="40"/>
      <c r="I441" s="53"/>
      <c r="S441" s="40"/>
      <c r="T441" s="40"/>
      <c r="U441" s="40"/>
      <c r="V441" s="40"/>
      <c r="W441" s="40"/>
      <c r="Y441" s="40"/>
      <c r="Z441" s="40"/>
      <c r="AA441" s="40"/>
      <c r="AB441" s="40"/>
      <c r="AC441" s="41"/>
      <c r="AD441" s="41"/>
      <c r="AE441" s="41"/>
      <c r="AF441" s="41"/>
      <c r="AG441" s="41"/>
      <c r="AH441" s="40"/>
      <c r="AI441" s="40"/>
      <c r="AJ441" s="5"/>
      <c r="AK441" s="5"/>
      <c r="AL441" s="40"/>
      <c r="AM441" s="40"/>
      <c r="AN441" s="40"/>
      <c r="AO441" s="40"/>
      <c r="AP441" s="40"/>
      <c r="AQ441" s="40"/>
      <c r="AR441" s="40"/>
      <c r="AS441" s="40"/>
      <c r="AU441" s="40"/>
      <c r="AW441" s="40"/>
    </row>
    <row r="442" spans="2:49" ht="12.75" customHeight="1" x14ac:dyDescent="0.15">
      <c r="B442" s="40"/>
      <c r="C442" s="40"/>
      <c r="D442" s="40"/>
      <c r="E442" s="40"/>
      <c r="F442" s="40"/>
      <c r="G442" s="40"/>
      <c r="H442" s="40"/>
      <c r="I442" s="53"/>
      <c r="S442" s="40"/>
      <c r="T442" s="40"/>
      <c r="U442" s="40"/>
      <c r="V442" s="40"/>
      <c r="W442" s="40"/>
      <c r="Y442" s="40"/>
      <c r="Z442" s="40"/>
      <c r="AA442" s="40"/>
      <c r="AB442" s="40"/>
      <c r="AC442" s="41"/>
      <c r="AD442" s="41"/>
      <c r="AE442" s="41"/>
      <c r="AF442" s="41"/>
      <c r="AG442" s="41"/>
      <c r="AH442" s="40"/>
      <c r="AI442" s="40"/>
      <c r="AJ442" s="5"/>
      <c r="AK442" s="5"/>
      <c r="AL442" s="40"/>
      <c r="AM442" s="40"/>
      <c r="AN442" s="40"/>
      <c r="AO442" s="40"/>
      <c r="AP442" s="40"/>
      <c r="AQ442" s="40"/>
      <c r="AR442" s="40"/>
      <c r="AS442" s="40"/>
      <c r="AU442" s="40"/>
      <c r="AW442" s="40"/>
    </row>
    <row r="443" spans="2:49" ht="12.75" customHeight="1" x14ac:dyDescent="0.15">
      <c r="B443" s="40"/>
      <c r="C443" s="40"/>
      <c r="D443" s="40"/>
      <c r="E443" s="40"/>
      <c r="F443" s="40"/>
      <c r="G443" s="40"/>
      <c r="H443" s="40"/>
      <c r="I443" s="53"/>
      <c r="S443" s="40"/>
      <c r="T443" s="40"/>
      <c r="U443" s="40"/>
      <c r="V443" s="40"/>
      <c r="W443" s="40"/>
      <c r="Y443" s="40"/>
      <c r="Z443" s="40"/>
      <c r="AA443" s="40"/>
      <c r="AB443" s="40"/>
      <c r="AC443" s="41"/>
      <c r="AD443" s="41"/>
      <c r="AE443" s="41"/>
      <c r="AF443" s="41"/>
      <c r="AG443" s="41"/>
      <c r="AH443" s="40"/>
      <c r="AI443" s="40"/>
      <c r="AJ443" s="5"/>
      <c r="AK443" s="5"/>
      <c r="AL443" s="40"/>
      <c r="AM443" s="40"/>
      <c r="AN443" s="40"/>
      <c r="AO443" s="40"/>
      <c r="AP443" s="40"/>
      <c r="AQ443" s="40"/>
      <c r="AR443" s="40"/>
      <c r="AS443" s="40"/>
      <c r="AU443" s="40"/>
      <c r="AW443" s="40"/>
    </row>
    <row r="444" spans="2:49" ht="12.75" customHeight="1" x14ac:dyDescent="0.15">
      <c r="B444" s="40"/>
      <c r="C444" s="40"/>
      <c r="D444" s="40"/>
      <c r="E444" s="40"/>
      <c r="F444" s="40"/>
      <c r="G444" s="40"/>
      <c r="H444" s="40"/>
      <c r="I444" s="53"/>
      <c r="S444" s="40"/>
      <c r="T444" s="40"/>
      <c r="U444" s="40"/>
      <c r="V444" s="40"/>
      <c r="W444" s="40"/>
      <c r="Y444" s="40"/>
      <c r="Z444" s="40"/>
      <c r="AA444" s="40"/>
      <c r="AB444" s="40"/>
      <c r="AC444" s="41"/>
      <c r="AD444" s="41"/>
      <c r="AE444" s="41"/>
      <c r="AF444" s="41"/>
      <c r="AG444" s="41"/>
      <c r="AH444" s="40"/>
      <c r="AI444" s="40"/>
      <c r="AJ444" s="5"/>
      <c r="AK444" s="5"/>
      <c r="AL444" s="40"/>
      <c r="AM444" s="40"/>
      <c r="AN444" s="40"/>
      <c r="AO444" s="40"/>
      <c r="AP444" s="40"/>
      <c r="AQ444" s="40"/>
      <c r="AR444" s="40"/>
      <c r="AS444" s="40"/>
      <c r="AU444" s="40"/>
      <c r="AW444" s="40"/>
    </row>
    <row r="445" spans="2:49" ht="12.75" customHeight="1" x14ac:dyDescent="0.15">
      <c r="B445" s="40"/>
      <c r="C445" s="40"/>
      <c r="D445" s="40"/>
      <c r="E445" s="40"/>
      <c r="F445" s="40"/>
      <c r="G445" s="40"/>
      <c r="H445" s="40"/>
      <c r="I445" s="53"/>
      <c r="S445" s="40"/>
      <c r="T445" s="40"/>
      <c r="U445" s="40"/>
      <c r="V445" s="40"/>
      <c r="W445" s="40"/>
      <c r="Y445" s="40"/>
      <c r="Z445" s="40"/>
      <c r="AA445" s="40"/>
      <c r="AB445" s="40"/>
      <c r="AC445" s="41"/>
      <c r="AD445" s="41"/>
      <c r="AE445" s="41"/>
      <c r="AF445" s="41"/>
      <c r="AG445" s="41"/>
      <c r="AH445" s="40"/>
      <c r="AI445" s="40"/>
      <c r="AJ445" s="5"/>
      <c r="AK445" s="5"/>
      <c r="AL445" s="40"/>
      <c r="AM445" s="40"/>
      <c r="AN445" s="40"/>
      <c r="AO445" s="40"/>
      <c r="AP445" s="40"/>
      <c r="AQ445" s="40"/>
      <c r="AR445" s="40"/>
      <c r="AS445" s="40"/>
      <c r="AU445" s="40"/>
      <c r="AW445" s="40"/>
    </row>
    <row r="446" spans="2:49" ht="12.75" customHeight="1" x14ac:dyDescent="0.15">
      <c r="B446" s="40"/>
      <c r="C446" s="40"/>
      <c r="D446" s="40"/>
      <c r="E446" s="40"/>
      <c r="F446" s="40"/>
      <c r="G446" s="40"/>
      <c r="H446" s="40"/>
      <c r="I446" s="53"/>
      <c r="S446" s="40"/>
      <c r="T446" s="40"/>
      <c r="U446" s="40"/>
      <c r="V446" s="40"/>
      <c r="W446" s="40"/>
      <c r="Y446" s="40"/>
      <c r="Z446" s="40"/>
      <c r="AA446" s="40"/>
      <c r="AB446" s="40"/>
      <c r="AC446" s="41"/>
      <c r="AD446" s="41"/>
      <c r="AE446" s="41"/>
      <c r="AF446" s="41"/>
      <c r="AG446" s="41"/>
      <c r="AH446" s="40"/>
      <c r="AI446" s="40"/>
      <c r="AJ446" s="5"/>
      <c r="AK446" s="5"/>
      <c r="AL446" s="40"/>
      <c r="AM446" s="40"/>
      <c r="AN446" s="40"/>
      <c r="AO446" s="40"/>
      <c r="AP446" s="40"/>
      <c r="AQ446" s="40"/>
      <c r="AR446" s="40"/>
      <c r="AS446" s="40"/>
      <c r="AU446" s="40"/>
      <c r="AW446" s="40"/>
    </row>
    <row r="447" spans="2:49" ht="12.75" customHeight="1" x14ac:dyDescent="0.15">
      <c r="B447" s="40"/>
      <c r="C447" s="40"/>
      <c r="D447" s="40"/>
      <c r="E447" s="40"/>
      <c r="F447" s="40"/>
      <c r="G447" s="40"/>
      <c r="H447" s="40"/>
      <c r="I447" s="53"/>
      <c r="S447" s="40"/>
      <c r="T447" s="40"/>
      <c r="U447" s="40"/>
      <c r="V447" s="40"/>
      <c r="W447" s="40"/>
      <c r="Y447" s="40"/>
      <c r="Z447" s="40"/>
      <c r="AA447" s="40"/>
      <c r="AB447" s="40"/>
      <c r="AC447" s="41"/>
      <c r="AD447" s="41"/>
      <c r="AE447" s="41"/>
      <c r="AF447" s="41"/>
      <c r="AG447" s="41"/>
      <c r="AH447" s="40"/>
      <c r="AI447" s="40"/>
      <c r="AJ447" s="5"/>
      <c r="AK447" s="5"/>
      <c r="AL447" s="40"/>
      <c r="AM447" s="40"/>
      <c r="AN447" s="40"/>
      <c r="AO447" s="40"/>
      <c r="AP447" s="40"/>
      <c r="AQ447" s="40"/>
      <c r="AR447" s="40"/>
      <c r="AS447" s="40"/>
      <c r="AU447" s="40"/>
      <c r="AW447" s="40"/>
    </row>
    <row r="448" spans="2:49" ht="12.75" customHeight="1" x14ac:dyDescent="0.15">
      <c r="B448" s="40"/>
      <c r="C448" s="40"/>
      <c r="D448" s="40"/>
      <c r="E448" s="40"/>
      <c r="F448" s="40"/>
      <c r="G448" s="40"/>
      <c r="H448" s="40"/>
      <c r="I448" s="53"/>
      <c r="S448" s="40"/>
      <c r="T448" s="40"/>
      <c r="U448" s="40"/>
      <c r="V448" s="40"/>
      <c r="W448" s="40"/>
      <c r="Y448" s="40"/>
      <c r="Z448" s="40"/>
      <c r="AA448" s="40"/>
      <c r="AB448" s="40"/>
      <c r="AC448" s="41"/>
      <c r="AD448" s="41"/>
      <c r="AE448" s="41"/>
      <c r="AF448" s="41"/>
      <c r="AG448" s="41"/>
      <c r="AH448" s="40"/>
      <c r="AI448" s="40"/>
      <c r="AJ448" s="5"/>
      <c r="AK448" s="5"/>
      <c r="AL448" s="40"/>
      <c r="AM448" s="40"/>
      <c r="AN448" s="40"/>
      <c r="AO448" s="40"/>
      <c r="AP448" s="40"/>
      <c r="AQ448" s="40"/>
      <c r="AR448" s="40"/>
      <c r="AS448" s="40"/>
      <c r="AU448" s="40"/>
      <c r="AW448" s="40"/>
    </row>
    <row r="449" spans="2:49" ht="12.75" customHeight="1" x14ac:dyDescent="0.15">
      <c r="B449" s="40"/>
      <c r="C449" s="40"/>
      <c r="D449" s="40"/>
      <c r="E449" s="40"/>
      <c r="F449" s="40"/>
      <c r="G449" s="40"/>
      <c r="H449" s="40"/>
      <c r="I449" s="53"/>
      <c r="S449" s="40"/>
      <c r="T449" s="40"/>
      <c r="U449" s="40"/>
      <c r="V449" s="40"/>
      <c r="W449" s="40"/>
      <c r="Y449" s="40"/>
      <c r="Z449" s="40"/>
      <c r="AA449" s="40"/>
      <c r="AB449" s="40"/>
      <c r="AC449" s="41"/>
      <c r="AD449" s="41"/>
      <c r="AE449" s="41"/>
      <c r="AF449" s="41"/>
      <c r="AG449" s="41"/>
      <c r="AH449" s="40"/>
      <c r="AI449" s="40"/>
      <c r="AJ449" s="5"/>
      <c r="AK449" s="5"/>
      <c r="AL449" s="40"/>
      <c r="AM449" s="40"/>
      <c r="AN449" s="40"/>
      <c r="AO449" s="40"/>
      <c r="AP449" s="40"/>
      <c r="AQ449" s="40"/>
      <c r="AR449" s="40"/>
      <c r="AS449" s="40"/>
      <c r="AU449" s="40"/>
      <c r="AW449" s="40"/>
    </row>
    <row r="450" spans="2:49" ht="12.75" customHeight="1" x14ac:dyDescent="0.15">
      <c r="B450" s="40"/>
      <c r="C450" s="40"/>
      <c r="D450" s="40"/>
      <c r="E450" s="40"/>
      <c r="F450" s="40"/>
      <c r="G450" s="40"/>
      <c r="H450" s="40"/>
      <c r="I450" s="53"/>
      <c r="S450" s="40"/>
      <c r="T450" s="40"/>
      <c r="U450" s="40"/>
      <c r="V450" s="40"/>
      <c r="W450" s="40"/>
      <c r="Y450" s="40"/>
      <c r="Z450" s="40"/>
      <c r="AA450" s="40"/>
      <c r="AB450" s="40"/>
      <c r="AC450" s="41"/>
      <c r="AD450" s="41"/>
      <c r="AE450" s="41"/>
      <c r="AF450" s="41"/>
      <c r="AG450" s="41"/>
      <c r="AH450" s="40"/>
      <c r="AI450" s="40"/>
      <c r="AJ450" s="5"/>
      <c r="AK450" s="5"/>
      <c r="AL450" s="40"/>
      <c r="AM450" s="40"/>
      <c r="AN450" s="40"/>
      <c r="AO450" s="40"/>
      <c r="AP450" s="40"/>
      <c r="AQ450" s="40"/>
      <c r="AR450" s="40"/>
      <c r="AS450" s="40"/>
      <c r="AU450" s="40"/>
      <c r="AW450" s="40"/>
    </row>
    <row r="451" spans="2:49" ht="12.75" customHeight="1" x14ac:dyDescent="0.15">
      <c r="B451" s="40"/>
      <c r="C451" s="40"/>
      <c r="D451" s="40"/>
      <c r="E451" s="40"/>
      <c r="F451" s="40"/>
      <c r="G451" s="40"/>
      <c r="H451" s="40"/>
      <c r="I451" s="53"/>
      <c r="S451" s="40"/>
      <c r="T451" s="40"/>
      <c r="U451" s="40"/>
      <c r="V451" s="40"/>
      <c r="W451" s="40"/>
      <c r="Y451" s="40"/>
      <c r="Z451" s="40"/>
      <c r="AA451" s="40"/>
      <c r="AB451" s="40"/>
      <c r="AC451" s="41"/>
      <c r="AD451" s="41"/>
      <c r="AE451" s="41"/>
      <c r="AF451" s="41"/>
      <c r="AG451" s="41"/>
      <c r="AH451" s="40"/>
      <c r="AI451" s="40"/>
      <c r="AJ451" s="5"/>
      <c r="AK451" s="5"/>
      <c r="AL451" s="40"/>
      <c r="AM451" s="40"/>
      <c r="AN451" s="40"/>
      <c r="AO451" s="40"/>
      <c r="AP451" s="40"/>
      <c r="AQ451" s="40"/>
      <c r="AR451" s="40"/>
      <c r="AS451" s="40"/>
      <c r="AU451" s="40"/>
      <c r="AW451" s="40"/>
    </row>
    <row r="452" spans="2:49" ht="12.75" customHeight="1" x14ac:dyDescent="0.15">
      <c r="B452" s="40"/>
      <c r="C452" s="40"/>
      <c r="D452" s="40"/>
      <c r="E452" s="40"/>
      <c r="F452" s="40"/>
      <c r="G452" s="40"/>
      <c r="H452" s="40"/>
      <c r="I452" s="53"/>
      <c r="S452" s="40"/>
      <c r="T452" s="40"/>
      <c r="U452" s="40"/>
      <c r="V452" s="40"/>
      <c r="W452" s="40"/>
      <c r="Y452" s="40"/>
      <c r="Z452" s="40"/>
      <c r="AA452" s="40"/>
      <c r="AB452" s="40"/>
      <c r="AC452" s="41"/>
      <c r="AD452" s="41"/>
      <c r="AE452" s="41"/>
      <c r="AF452" s="41"/>
      <c r="AG452" s="41"/>
      <c r="AH452" s="40"/>
      <c r="AI452" s="40"/>
      <c r="AJ452" s="5"/>
      <c r="AK452" s="5"/>
      <c r="AL452" s="40"/>
      <c r="AM452" s="40"/>
      <c r="AN452" s="40"/>
      <c r="AO452" s="40"/>
      <c r="AP452" s="40"/>
      <c r="AQ452" s="40"/>
      <c r="AR452" s="40"/>
      <c r="AS452" s="40"/>
      <c r="AU452" s="40"/>
      <c r="AW452" s="40"/>
    </row>
    <row r="453" spans="2:49" ht="12.75" customHeight="1" x14ac:dyDescent="0.15">
      <c r="B453" s="40"/>
      <c r="C453" s="40"/>
      <c r="D453" s="40"/>
      <c r="E453" s="40"/>
      <c r="F453" s="40"/>
      <c r="G453" s="40"/>
      <c r="H453" s="40"/>
      <c r="I453" s="53"/>
      <c r="S453" s="40"/>
      <c r="T453" s="40"/>
      <c r="U453" s="40"/>
      <c r="V453" s="40"/>
      <c r="W453" s="40"/>
      <c r="Y453" s="40"/>
      <c r="Z453" s="40"/>
      <c r="AA453" s="40"/>
      <c r="AB453" s="40"/>
      <c r="AC453" s="41"/>
      <c r="AD453" s="41"/>
      <c r="AE453" s="41"/>
      <c r="AF453" s="41"/>
      <c r="AG453" s="41"/>
      <c r="AH453" s="40"/>
      <c r="AI453" s="40"/>
      <c r="AJ453" s="5"/>
      <c r="AK453" s="5"/>
      <c r="AL453" s="40"/>
      <c r="AM453" s="40"/>
      <c r="AN453" s="40"/>
      <c r="AO453" s="40"/>
      <c r="AP453" s="40"/>
      <c r="AQ453" s="40"/>
      <c r="AR453" s="40"/>
      <c r="AS453" s="40"/>
      <c r="AU453" s="40"/>
      <c r="AW453" s="40"/>
    </row>
    <row r="454" spans="2:49" ht="12.75" customHeight="1" x14ac:dyDescent="0.15">
      <c r="B454" s="40"/>
      <c r="C454" s="40"/>
      <c r="D454" s="40"/>
      <c r="E454" s="40"/>
      <c r="F454" s="40"/>
      <c r="G454" s="40"/>
      <c r="H454" s="40"/>
      <c r="I454" s="53"/>
      <c r="S454" s="40"/>
      <c r="T454" s="40"/>
      <c r="U454" s="40"/>
      <c r="V454" s="40"/>
      <c r="W454" s="40"/>
      <c r="Y454" s="40"/>
      <c r="Z454" s="40"/>
      <c r="AA454" s="40"/>
      <c r="AB454" s="40"/>
      <c r="AC454" s="41"/>
      <c r="AD454" s="41"/>
      <c r="AE454" s="41"/>
      <c r="AF454" s="41"/>
      <c r="AG454" s="41"/>
      <c r="AH454" s="40"/>
      <c r="AI454" s="40"/>
      <c r="AJ454" s="5"/>
      <c r="AK454" s="5"/>
      <c r="AL454" s="40"/>
      <c r="AM454" s="40"/>
      <c r="AN454" s="40"/>
      <c r="AO454" s="40"/>
      <c r="AP454" s="40"/>
      <c r="AQ454" s="40"/>
      <c r="AR454" s="40"/>
      <c r="AS454" s="40"/>
      <c r="AU454" s="40"/>
      <c r="AW454" s="40"/>
    </row>
    <row r="455" spans="2:49" ht="12.75" customHeight="1" x14ac:dyDescent="0.15">
      <c r="B455" s="40"/>
      <c r="C455" s="40"/>
      <c r="D455" s="40"/>
      <c r="E455" s="40"/>
      <c r="F455" s="40"/>
      <c r="G455" s="40"/>
      <c r="H455" s="40"/>
      <c r="I455" s="53"/>
      <c r="S455" s="40"/>
      <c r="T455" s="40"/>
      <c r="U455" s="40"/>
      <c r="V455" s="40"/>
      <c r="W455" s="40"/>
      <c r="Y455" s="40"/>
      <c r="Z455" s="40"/>
      <c r="AA455" s="40"/>
      <c r="AB455" s="40"/>
      <c r="AC455" s="41"/>
      <c r="AD455" s="41"/>
      <c r="AE455" s="41"/>
      <c r="AF455" s="41"/>
      <c r="AG455" s="41"/>
      <c r="AH455" s="40"/>
      <c r="AI455" s="40"/>
      <c r="AJ455" s="5"/>
      <c r="AK455" s="5"/>
      <c r="AL455" s="40"/>
      <c r="AM455" s="40"/>
      <c r="AN455" s="40"/>
      <c r="AO455" s="40"/>
      <c r="AP455" s="40"/>
      <c r="AQ455" s="40"/>
      <c r="AR455" s="40"/>
      <c r="AS455" s="40"/>
      <c r="AU455" s="40"/>
      <c r="AW455" s="40"/>
    </row>
    <row r="456" spans="2:49" ht="12.75" customHeight="1" x14ac:dyDescent="0.15">
      <c r="B456" s="40"/>
      <c r="C456" s="40"/>
      <c r="D456" s="40"/>
      <c r="E456" s="40"/>
      <c r="F456" s="40"/>
      <c r="G456" s="40"/>
      <c r="H456" s="40"/>
      <c r="I456" s="53"/>
      <c r="S456" s="40"/>
      <c r="T456" s="40"/>
      <c r="U456" s="40"/>
      <c r="V456" s="40"/>
      <c r="W456" s="40"/>
      <c r="Y456" s="40"/>
      <c r="Z456" s="40"/>
      <c r="AA456" s="40"/>
      <c r="AB456" s="40"/>
      <c r="AC456" s="41"/>
      <c r="AD456" s="41"/>
      <c r="AE456" s="41"/>
      <c r="AF456" s="41"/>
      <c r="AG456" s="41"/>
      <c r="AH456" s="40"/>
      <c r="AI456" s="40"/>
      <c r="AJ456" s="5"/>
      <c r="AK456" s="5"/>
      <c r="AL456" s="40"/>
      <c r="AM456" s="40"/>
      <c r="AN456" s="40"/>
      <c r="AO456" s="40"/>
      <c r="AP456" s="40"/>
      <c r="AQ456" s="40"/>
      <c r="AR456" s="40"/>
      <c r="AS456" s="40"/>
      <c r="AU456" s="40"/>
      <c r="AW456" s="40"/>
    </row>
    <row r="457" spans="2:49" ht="12.75" customHeight="1" x14ac:dyDescent="0.15">
      <c r="B457" s="40"/>
      <c r="C457" s="40"/>
      <c r="D457" s="40"/>
      <c r="E457" s="40"/>
      <c r="F457" s="40"/>
      <c r="G457" s="40"/>
      <c r="H457" s="40"/>
      <c r="I457" s="53"/>
      <c r="S457" s="40"/>
      <c r="T457" s="40"/>
      <c r="U457" s="40"/>
      <c r="V457" s="40"/>
      <c r="W457" s="40"/>
      <c r="Y457" s="40"/>
      <c r="Z457" s="40"/>
      <c r="AA457" s="40"/>
      <c r="AB457" s="40"/>
      <c r="AC457" s="41"/>
      <c r="AD457" s="41"/>
      <c r="AE457" s="41"/>
      <c r="AF457" s="41"/>
      <c r="AG457" s="41"/>
      <c r="AH457" s="40"/>
      <c r="AI457" s="40"/>
      <c r="AJ457" s="5"/>
      <c r="AK457" s="5"/>
      <c r="AL457" s="40"/>
      <c r="AM457" s="40"/>
      <c r="AN457" s="40"/>
      <c r="AO457" s="40"/>
      <c r="AP457" s="40"/>
      <c r="AQ457" s="40"/>
      <c r="AR457" s="40"/>
      <c r="AS457" s="40"/>
      <c r="AU457" s="40"/>
      <c r="AW457" s="40"/>
    </row>
    <row r="458" spans="2:49" ht="12.75" customHeight="1" x14ac:dyDescent="0.15">
      <c r="B458" s="40"/>
      <c r="C458" s="40"/>
      <c r="D458" s="40"/>
      <c r="E458" s="40"/>
      <c r="F458" s="40"/>
      <c r="G458" s="40"/>
      <c r="H458" s="40"/>
      <c r="I458" s="53"/>
      <c r="S458" s="40"/>
      <c r="T458" s="40"/>
      <c r="U458" s="40"/>
      <c r="V458" s="40"/>
      <c r="W458" s="40"/>
      <c r="Y458" s="40"/>
      <c r="Z458" s="40"/>
      <c r="AA458" s="40"/>
      <c r="AB458" s="40"/>
      <c r="AC458" s="41"/>
      <c r="AD458" s="41"/>
      <c r="AE458" s="41"/>
      <c r="AF458" s="41"/>
      <c r="AG458" s="41"/>
      <c r="AH458" s="40"/>
      <c r="AI458" s="40"/>
      <c r="AJ458" s="5"/>
      <c r="AK458" s="5"/>
      <c r="AL458" s="40"/>
      <c r="AM458" s="40"/>
      <c r="AN458" s="40"/>
      <c r="AO458" s="40"/>
      <c r="AP458" s="40"/>
      <c r="AQ458" s="40"/>
      <c r="AR458" s="40"/>
      <c r="AS458" s="40"/>
      <c r="AU458" s="40"/>
      <c r="AW458" s="40"/>
    </row>
    <row r="459" spans="2:49" ht="12.75" customHeight="1" x14ac:dyDescent="0.15">
      <c r="B459" s="40"/>
      <c r="C459" s="40"/>
      <c r="D459" s="40"/>
      <c r="E459" s="40"/>
      <c r="F459" s="40"/>
      <c r="G459" s="40"/>
      <c r="H459" s="40"/>
      <c r="I459" s="53"/>
      <c r="S459" s="40"/>
      <c r="T459" s="40"/>
      <c r="U459" s="40"/>
      <c r="V459" s="40"/>
      <c r="W459" s="40"/>
      <c r="Y459" s="40"/>
      <c r="Z459" s="40"/>
      <c r="AA459" s="40"/>
      <c r="AB459" s="40"/>
      <c r="AC459" s="41"/>
      <c r="AD459" s="41"/>
      <c r="AE459" s="41"/>
      <c r="AF459" s="41"/>
      <c r="AG459" s="41"/>
      <c r="AH459" s="40"/>
      <c r="AI459" s="40"/>
      <c r="AJ459" s="5"/>
      <c r="AK459" s="5"/>
      <c r="AL459" s="40"/>
      <c r="AM459" s="40"/>
      <c r="AN459" s="40"/>
      <c r="AO459" s="40"/>
      <c r="AP459" s="40"/>
      <c r="AQ459" s="40"/>
      <c r="AR459" s="40"/>
      <c r="AS459" s="40"/>
      <c r="AU459" s="40"/>
      <c r="AW459" s="40"/>
    </row>
    <row r="460" spans="2:49" ht="12.75" customHeight="1" x14ac:dyDescent="0.15">
      <c r="B460" s="40"/>
      <c r="C460" s="40"/>
      <c r="D460" s="40"/>
      <c r="E460" s="40"/>
      <c r="F460" s="40"/>
      <c r="G460" s="40"/>
      <c r="H460" s="40"/>
      <c r="I460" s="53"/>
      <c r="S460" s="40"/>
      <c r="T460" s="40"/>
      <c r="U460" s="40"/>
      <c r="V460" s="40"/>
      <c r="W460" s="40"/>
      <c r="Y460" s="40"/>
      <c r="Z460" s="40"/>
      <c r="AA460" s="40"/>
      <c r="AB460" s="40"/>
      <c r="AC460" s="41"/>
      <c r="AD460" s="41"/>
      <c r="AE460" s="41"/>
      <c r="AF460" s="41"/>
      <c r="AG460" s="41"/>
      <c r="AH460" s="40"/>
      <c r="AI460" s="40"/>
      <c r="AJ460" s="5"/>
      <c r="AK460" s="5"/>
      <c r="AL460" s="40"/>
      <c r="AM460" s="40"/>
      <c r="AN460" s="40"/>
      <c r="AO460" s="40"/>
      <c r="AP460" s="40"/>
      <c r="AQ460" s="40"/>
      <c r="AR460" s="40"/>
      <c r="AS460" s="40"/>
      <c r="AU460" s="40"/>
      <c r="AW460" s="40"/>
    </row>
    <row r="461" spans="2:49" ht="12.75" customHeight="1" x14ac:dyDescent="0.15">
      <c r="B461" s="40"/>
      <c r="C461" s="40"/>
      <c r="D461" s="40"/>
      <c r="E461" s="40"/>
      <c r="F461" s="40"/>
      <c r="G461" s="40"/>
      <c r="H461" s="40"/>
      <c r="I461" s="53"/>
      <c r="S461" s="40"/>
      <c r="T461" s="40"/>
      <c r="U461" s="40"/>
      <c r="V461" s="40"/>
      <c r="W461" s="40"/>
      <c r="Y461" s="40"/>
      <c r="Z461" s="40"/>
      <c r="AA461" s="40"/>
      <c r="AB461" s="40"/>
      <c r="AC461" s="41"/>
      <c r="AD461" s="41"/>
      <c r="AE461" s="41"/>
      <c r="AF461" s="41"/>
      <c r="AG461" s="41"/>
      <c r="AH461" s="40"/>
      <c r="AI461" s="40"/>
      <c r="AJ461" s="5"/>
      <c r="AK461" s="5"/>
      <c r="AL461" s="40"/>
      <c r="AM461" s="40"/>
      <c r="AN461" s="40"/>
      <c r="AO461" s="40"/>
      <c r="AP461" s="40"/>
      <c r="AQ461" s="40"/>
      <c r="AR461" s="40"/>
      <c r="AS461" s="40"/>
      <c r="AU461" s="40"/>
      <c r="AW461" s="40"/>
    </row>
    <row r="462" spans="2:49" ht="12.75" customHeight="1" x14ac:dyDescent="0.15">
      <c r="B462" s="40"/>
      <c r="C462" s="40"/>
      <c r="D462" s="40"/>
      <c r="E462" s="40"/>
      <c r="F462" s="40"/>
      <c r="G462" s="40"/>
      <c r="H462" s="40"/>
      <c r="I462" s="53"/>
      <c r="S462" s="40"/>
      <c r="T462" s="40"/>
      <c r="U462" s="40"/>
      <c r="V462" s="40"/>
      <c r="W462" s="40"/>
      <c r="Y462" s="40"/>
      <c r="Z462" s="40"/>
      <c r="AA462" s="40"/>
      <c r="AB462" s="40"/>
      <c r="AC462" s="41"/>
      <c r="AD462" s="41"/>
      <c r="AE462" s="41"/>
      <c r="AF462" s="41"/>
      <c r="AG462" s="41"/>
      <c r="AH462" s="40"/>
      <c r="AI462" s="40"/>
      <c r="AJ462" s="5"/>
      <c r="AK462" s="5"/>
      <c r="AL462" s="40"/>
      <c r="AM462" s="40"/>
      <c r="AN462" s="40"/>
      <c r="AO462" s="40"/>
      <c r="AP462" s="40"/>
      <c r="AQ462" s="40"/>
      <c r="AR462" s="40"/>
      <c r="AS462" s="40"/>
      <c r="AU462" s="40"/>
      <c r="AW462" s="40"/>
    </row>
    <row r="463" spans="2:49" ht="12.75" customHeight="1" x14ac:dyDescent="0.15">
      <c r="B463" s="40"/>
      <c r="C463" s="40"/>
      <c r="D463" s="40"/>
      <c r="E463" s="40"/>
      <c r="F463" s="40"/>
      <c r="G463" s="40"/>
      <c r="H463" s="40"/>
      <c r="I463" s="53"/>
      <c r="S463" s="40"/>
      <c r="T463" s="40"/>
      <c r="U463" s="40"/>
      <c r="V463" s="40"/>
      <c r="W463" s="40"/>
      <c r="Y463" s="40"/>
      <c r="Z463" s="40"/>
      <c r="AA463" s="40"/>
      <c r="AB463" s="40"/>
      <c r="AC463" s="41"/>
      <c r="AD463" s="41"/>
      <c r="AE463" s="41"/>
      <c r="AF463" s="41"/>
      <c r="AG463" s="41"/>
      <c r="AH463" s="40"/>
      <c r="AI463" s="40"/>
      <c r="AJ463" s="5"/>
      <c r="AK463" s="5"/>
      <c r="AL463" s="40"/>
      <c r="AM463" s="40"/>
      <c r="AN463" s="40"/>
      <c r="AO463" s="40"/>
      <c r="AP463" s="40"/>
      <c r="AQ463" s="40"/>
      <c r="AR463" s="40"/>
      <c r="AS463" s="40"/>
      <c r="AU463" s="40"/>
      <c r="AW463" s="40"/>
    </row>
    <row r="464" spans="2:49" ht="12.75" customHeight="1" x14ac:dyDescent="0.15">
      <c r="B464" s="40"/>
      <c r="C464" s="40"/>
      <c r="D464" s="40"/>
      <c r="E464" s="40"/>
      <c r="F464" s="40"/>
      <c r="G464" s="40"/>
      <c r="H464" s="40"/>
      <c r="I464" s="53"/>
      <c r="S464" s="40"/>
      <c r="T464" s="40"/>
      <c r="U464" s="40"/>
      <c r="V464" s="40"/>
      <c r="W464" s="40"/>
      <c r="Y464" s="40"/>
      <c r="Z464" s="40"/>
      <c r="AA464" s="40"/>
      <c r="AB464" s="40"/>
      <c r="AC464" s="41"/>
      <c r="AD464" s="41"/>
      <c r="AE464" s="41"/>
      <c r="AF464" s="41"/>
      <c r="AG464" s="41"/>
      <c r="AH464" s="40"/>
      <c r="AI464" s="40"/>
      <c r="AJ464" s="5"/>
      <c r="AK464" s="5"/>
      <c r="AL464" s="40"/>
      <c r="AM464" s="40"/>
      <c r="AN464" s="40"/>
      <c r="AO464" s="40"/>
      <c r="AP464" s="40"/>
      <c r="AQ464" s="40"/>
      <c r="AR464" s="40"/>
      <c r="AS464" s="40"/>
      <c r="AU464" s="40"/>
      <c r="AW464" s="40"/>
    </row>
    <row r="465" spans="2:49" ht="12.75" customHeight="1" x14ac:dyDescent="0.15">
      <c r="B465" s="40"/>
      <c r="C465" s="40"/>
      <c r="D465" s="40"/>
      <c r="E465" s="40"/>
      <c r="F465" s="40"/>
      <c r="G465" s="40"/>
      <c r="H465" s="40"/>
      <c r="I465" s="53"/>
      <c r="S465" s="40"/>
      <c r="T465" s="40"/>
      <c r="U465" s="40"/>
      <c r="V465" s="40"/>
      <c r="W465" s="40"/>
      <c r="Y465" s="40"/>
      <c r="Z465" s="40"/>
      <c r="AA465" s="40"/>
      <c r="AB465" s="40"/>
      <c r="AC465" s="41"/>
      <c r="AD465" s="41"/>
      <c r="AE465" s="41"/>
      <c r="AF465" s="41"/>
      <c r="AG465" s="41"/>
      <c r="AH465" s="40"/>
      <c r="AI465" s="40"/>
      <c r="AJ465" s="5"/>
      <c r="AK465" s="5"/>
      <c r="AL465" s="40"/>
      <c r="AM465" s="40"/>
      <c r="AN465" s="40"/>
      <c r="AO465" s="40"/>
      <c r="AP465" s="40"/>
      <c r="AQ465" s="40"/>
      <c r="AR465" s="40"/>
      <c r="AS465" s="40"/>
      <c r="AU465" s="40"/>
      <c r="AW465" s="40"/>
    </row>
    <row r="466" spans="2:49" ht="12.75" customHeight="1" x14ac:dyDescent="0.15">
      <c r="B466" s="40"/>
      <c r="C466" s="40"/>
      <c r="D466" s="40"/>
      <c r="E466" s="40"/>
      <c r="F466" s="40"/>
      <c r="G466" s="40"/>
      <c r="H466" s="40"/>
      <c r="I466" s="53"/>
      <c r="S466" s="40"/>
      <c r="T466" s="40"/>
      <c r="U466" s="40"/>
      <c r="V466" s="40"/>
      <c r="W466" s="40"/>
      <c r="Y466" s="40"/>
      <c r="Z466" s="40"/>
      <c r="AA466" s="40"/>
      <c r="AB466" s="40"/>
      <c r="AC466" s="41"/>
      <c r="AD466" s="41"/>
      <c r="AE466" s="41"/>
      <c r="AF466" s="41"/>
      <c r="AG466" s="41"/>
      <c r="AH466" s="40"/>
      <c r="AI466" s="40"/>
      <c r="AJ466" s="5"/>
      <c r="AK466" s="5"/>
      <c r="AL466" s="40"/>
      <c r="AM466" s="40"/>
      <c r="AN466" s="40"/>
      <c r="AO466" s="40"/>
      <c r="AP466" s="40"/>
      <c r="AQ466" s="40"/>
      <c r="AR466" s="40"/>
      <c r="AS466" s="40"/>
      <c r="AU466" s="40"/>
      <c r="AW466" s="40"/>
    </row>
    <row r="467" spans="2:49" ht="12.75" customHeight="1" x14ac:dyDescent="0.15">
      <c r="B467" s="40"/>
      <c r="C467" s="40"/>
      <c r="D467" s="40"/>
      <c r="E467" s="40"/>
      <c r="F467" s="40"/>
      <c r="G467" s="40"/>
      <c r="H467" s="40"/>
      <c r="I467" s="53"/>
      <c r="S467" s="40"/>
      <c r="T467" s="40"/>
      <c r="U467" s="40"/>
      <c r="V467" s="40"/>
      <c r="W467" s="40"/>
      <c r="Y467" s="40"/>
      <c r="Z467" s="40"/>
      <c r="AA467" s="40"/>
      <c r="AB467" s="40"/>
      <c r="AC467" s="41"/>
      <c r="AD467" s="41"/>
      <c r="AE467" s="41"/>
      <c r="AF467" s="41"/>
      <c r="AG467" s="41"/>
      <c r="AH467" s="40"/>
      <c r="AI467" s="40"/>
      <c r="AJ467" s="5"/>
      <c r="AK467" s="5"/>
      <c r="AL467" s="40"/>
      <c r="AM467" s="40"/>
      <c r="AN467" s="40"/>
      <c r="AO467" s="40"/>
      <c r="AP467" s="40"/>
      <c r="AQ467" s="40"/>
      <c r="AR467" s="40"/>
      <c r="AS467" s="40"/>
      <c r="AU467" s="40"/>
      <c r="AW467" s="40"/>
    </row>
    <row r="468" spans="2:49" ht="12.75" customHeight="1" x14ac:dyDescent="0.15">
      <c r="B468" s="40"/>
      <c r="C468" s="40"/>
      <c r="D468" s="40"/>
      <c r="E468" s="40"/>
      <c r="F468" s="40"/>
      <c r="G468" s="40"/>
      <c r="H468" s="40"/>
      <c r="I468" s="53"/>
      <c r="S468" s="40"/>
      <c r="T468" s="40"/>
      <c r="U468" s="40"/>
      <c r="V468" s="40"/>
      <c r="W468" s="40"/>
      <c r="Y468" s="40"/>
      <c r="Z468" s="40"/>
      <c r="AA468" s="40"/>
      <c r="AB468" s="40"/>
      <c r="AC468" s="41"/>
      <c r="AD468" s="41"/>
      <c r="AE468" s="41"/>
      <c r="AF468" s="41"/>
      <c r="AG468" s="41"/>
      <c r="AH468" s="40"/>
      <c r="AI468" s="40"/>
      <c r="AJ468" s="5"/>
      <c r="AK468" s="5"/>
      <c r="AL468" s="40"/>
      <c r="AM468" s="40"/>
      <c r="AN468" s="40"/>
      <c r="AO468" s="40"/>
      <c r="AP468" s="40"/>
      <c r="AQ468" s="40"/>
      <c r="AR468" s="40"/>
      <c r="AS468" s="40"/>
      <c r="AU468" s="40"/>
      <c r="AW468" s="40"/>
    </row>
    <row r="469" spans="2:49" ht="12.75" customHeight="1" x14ac:dyDescent="0.15">
      <c r="B469" s="40"/>
      <c r="C469" s="40"/>
      <c r="D469" s="40"/>
      <c r="E469" s="40"/>
      <c r="F469" s="40"/>
      <c r="G469" s="40"/>
      <c r="H469" s="40"/>
      <c r="I469" s="53"/>
      <c r="S469" s="40"/>
      <c r="T469" s="40"/>
      <c r="U469" s="40"/>
      <c r="V469" s="40"/>
      <c r="W469" s="40"/>
      <c r="Y469" s="40"/>
      <c r="Z469" s="40"/>
      <c r="AA469" s="40"/>
      <c r="AB469" s="40"/>
      <c r="AC469" s="41"/>
      <c r="AD469" s="41"/>
      <c r="AE469" s="41"/>
      <c r="AF469" s="41"/>
      <c r="AG469" s="41"/>
      <c r="AH469" s="40"/>
      <c r="AI469" s="40"/>
      <c r="AJ469" s="5"/>
      <c r="AK469" s="5"/>
      <c r="AL469" s="40"/>
      <c r="AM469" s="40"/>
      <c r="AN469" s="40"/>
      <c r="AO469" s="40"/>
      <c r="AP469" s="40"/>
      <c r="AQ469" s="40"/>
      <c r="AR469" s="40"/>
      <c r="AS469" s="40"/>
      <c r="AU469" s="40"/>
      <c r="AW469" s="40"/>
    </row>
    <row r="470" spans="2:49" ht="12.75" customHeight="1" x14ac:dyDescent="0.15">
      <c r="B470" s="40"/>
      <c r="C470" s="40"/>
      <c r="D470" s="40"/>
      <c r="E470" s="40"/>
      <c r="F470" s="40"/>
      <c r="G470" s="40"/>
      <c r="H470" s="40"/>
      <c r="I470" s="53"/>
      <c r="S470" s="40"/>
      <c r="T470" s="40"/>
      <c r="U470" s="40"/>
      <c r="V470" s="40"/>
      <c r="W470" s="40"/>
      <c r="Y470" s="40"/>
      <c r="Z470" s="40"/>
      <c r="AA470" s="40"/>
      <c r="AB470" s="40"/>
      <c r="AC470" s="41"/>
      <c r="AD470" s="41"/>
      <c r="AE470" s="41"/>
      <c r="AF470" s="41"/>
      <c r="AG470" s="41"/>
      <c r="AH470" s="40"/>
      <c r="AI470" s="40"/>
      <c r="AJ470" s="5"/>
      <c r="AK470" s="5"/>
      <c r="AL470" s="40"/>
      <c r="AM470" s="40"/>
      <c r="AN470" s="40"/>
      <c r="AO470" s="40"/>
      <c r="AP470" s="40"/>
      <c r="AQ470" s="40"/>
      <c r="AR470" s="40"/>
      <c r="AS470" s="40"/>
      <c r="AU470" s="40"/>
      <c r="AW470" s="40"/>
    </row>
    <row r="471" spans="2:49" ht="12.75" customHeight="1" x14ac:dyDescent="0.15">
      <c r="B471" s="40"/>
      <c r="C471" s="40"/>
      <c r="D471" s="40"/>
      <c r="E471" s="40"/>
      <c r="F471" s="40"/>
      <c r="G471" s="40"/>
      <c r="H471" s="40"/>
      <c r="I471" s="53"/>
      <c r="S471" s="40"/>
      <c r="T471" s="40"/>
      <c r="U471" s="40"/>
      <c r="V471" s="40"/>
      <c r="W471" s="40"/>
      <c r="Y471" s="40"/>
      <c r="Z471" s="40"/>
      <c r="AA471" s="40"/>
      <c r="AB471" s="40"/>
      <c r="AC471" s="41"/>
      <c r="AD471" s="41"/>
      <c r="AE471" s="41"/>
      <c r="AF471" s="41"/>
      <c r="AG471" s="41"/>
      <c r="AH471" s="40"/>
      <c r="AI471" s="40"/>
      <c r="AJ471" s="5"/>
      <c r="AK471" s="5"/>
      <c r="AL471" s="40"/>
      <c r="AM471" s="40"/>
      <c r="AN471" s="40"/>
      <c r="AO471" s="40"/>
      <c r="AP471" s="40"/>
      <c r="AQ471" s="40"/>
      <c r="AR471" s="40"/>
      <c r="AS471" s="40"/>
      <c r="AU471" s="40"/>
      <c r="AW471" s="40"/>
    </row>
    <row r="472" spans="2:49" ht="12.75" customHeight="1" x14ac:dyDescent="0.15">
      <c r="B472" s="40"/>
      <c r="C472" s="40"/>
      <c r="D472" s="40"/>
      <c r="E472" s="40"/>
      <c r="F472" s="40"/>
      <c r="G472" s="40"/>
      <c r="H472" s="40"/>
      <c r="I472" s="53"/>
      <c r="S472" s="40"/>
      <c r="T472" s="40"/>
      <c r="U472" s="40"/>
      <c r="V472" s="40"/>
      <c r="W472" s="40"/>
      <c r="Y472" s="40"/>
      <c r="Z472" s="40"/>
      <c r="AA472" s="40"/>
      <c r="AB472" s="40"/>
      <c r="AC472" s="41"/>
      <c r="AD472" s="41"/>
      <c r="AE472" s="41"/>
      <c r="AF472" s="41"/>
      <c r="AG472" s="41"/>
      <c r="AH472" s="40"/>
      <c r="AI472" s="40"/>
      <c r="AJ472" s="5"/>
      <c r="AK472" s="5"/>
      <c r="AL472" s="40"/>
      <c r="AM472" s="40"/>
      <c r="AN472" s="40"/>
      <c r="AO472" s="40"/>
      <c r="AP472" s="40"/>
      <c r="AQ472" s="40"/>
      <c r="AR472" s="40"/>
      <c r="AS472" s="40"/>
      <c r="AU472" s="40"/>
      <c r="AW472" s="40"/>
    </row>
    <row r="473" spans="2:49" ht="12.75" customHeight="1" x14ac:dyDescent="0.15">
      <c r="B473" s="40"/>
      <c r="C473" s="40"/>
      <c r="D473" s="40"/>
      <c r="E473" s="40"/>
      <c r="F473" s="40"/>
      <c r="G473" s="40"/>
      <c r="H473" s="40"/>
      <c r="I473" s="53"/>
      <c r="S473" s="40"/>
      <c r="T473" s="40"/>
      <c r="U473" s="40"/>
      <c r="V473" s="40"/>
      <c r="W473" s="40"/>
      <c r="Y473" s="40"/>
      <c r="Z473" s="40"/>
      <c r="AA473" s="40"/>
      <c r="AB473" s="40"/>
      <c r="AC473" s="41"/>
      <c r="AD473" s="41"/>
      <c r="AE473" s="41"/>
      <c r="AF473" s="41"/>
      <c r="AG473" s="41"/>
      <c r="AH473" s="40"/>
      <c r="AI473" s="40"/>
      <c r="AJ473" s="5"/>
      <c r="AK473" s="5"/>
      <c r="AL473" s="40"/>
      <c r="AM473" s="40"/>
      <c r="AN473" s="40"/>
      <c r="AO473" s="40"/>
      <c r="AP473" s="40"/>
      <c r="AQ473" s="40"/>
      <c r="AR473" s="40"/>
      <c r="AS473" s="40"/>
      <c r="AU473" s="40"/>
      <c r="AW473" s="40"/>
    </row>
    <row r="474" spans="2:49" ht="12.75" customHeight="1" x14ac:dyDescent="0.15">
      <c r="B474" s="40"/>
      <c r="C474" s="40"/>
      <c r="D474" s="40"/>
      <c r="E474" s="40"/>
      <c r="F474" s="40"/>
      <c r="G474" s="40"/>
      <c r="H474" s="40"/>
      <c r="I474" s="53"/>
      <c r="S474" s="40"/>
      <c r="T474" s="40"/>
      <c r="U474" s="40"/>
      <c r="V474" s="40"/>
      <c r="W474" s="40"/>
      <c r="Y474" s="40"/>
      <c r="Z474" s="40"/>
      <c r="AA474" s="40"/>
      <c r="AB474" s="40"/>
      <c r="AC474" s="41"/>
      <c r="AD474" s="41"/>
      <c r="AE474" s="41"/>
      <c r="AF474" s="41"/>
      <c r="AG474" s="41"/>
      <c r="AH474" s="40"/>
      <c r="AI474" s="40"/>
      <c r="AJ474" s="5"/>
      <c r="AK474" s="5"/>
      <c r="AL474" s="40"/>
      <c r="AM474" s="40"/>
      <c r="AN474" s="40"/>
      <c r="AO474" s="40"/>
      <c r="AP474" s="40"/>
      <c r="AQ474" s="40"/>
      <c r="AR474" s="40"/>
      <c r="AS474" s="40"/>
      <c r="AU474" s="40"/>
      <c r="AW474" s="40"/>
    </row>
    <row r="475" spans="2:49" ht="12.75" customHeight="1" x14ac:dyDescent="0.15">
      <c r="B475" s="40"/>
      <c r="C475" s="40"/>
      <c r="D475" s="40"/>
      <c r="E475" s="40"/>
      <c r="F475" s="40"/>
      <c r="G475" s="40"/>
      <c r="H475" s="40"/>
      <c r="I475" s="53"/>
      <c r="S475" s="40"/>
      <c r="T475" s="40"/>
      <c r="U475" s="40"/>
      <c r="V475" s="40"/>
      <c r="W475" s="40"/>
      <c r="Y475" s="40"/>
      <c r="Z475" s="40"/>
      <c r="AA475" s="40"/>
      <c r="AB475" s="40"/>
      <c r="AC475" s="41"/>
      <c r="AD475" s="41"/>
      <c r="AE475" s="41"/>
      <c r="AF475" s="41"/>
      <c r="AG475" s="41"/>
      <c r="AH475" s="40"/>
      <c r="AI475" s="40"/>
      <c r="AJ475" s="5"/>
      <c r="AK475" s="5"/>
      <c r="AL475" s="40"/>
      <c r="AM475" s="40"/>
      <c r="AN475" s="40"/>
      <c r="AO475" s="40"/>
      <c r="AP475" s="40"/>
      <c r="AQ475" s="40"/>
      <c r="AR475" s="40"/>
      <c r="AS475" s="40"/>
      <c r="AU475" s="40"/>
      <c r="AW475" s="40"/>
    </row>
    <row r="476" spans="2:49" ht="12.75" customHeight="1" x14ac:dyDescent="0.15">
      <c r="B476" s="40"/>
      <c r="C476" s="40"/>
      <c r="D476" s="40"/>
      <c r="E476" s="40"/>
      <c r="F476" s="40"/>
      <c r="G476" s="40"/>
      <c r="H476" s="40"/>
      <c r="I476" s="53"/>
      <c r="S476" s="40"/>
      <c r="T476" s="40"/>
      <c r="U476" s="40"/>
      <c r="V476" s="40"/>
      <c r="W476" s="40"/>
      <c r="Y476" s="40"/>
      <c r="Z476" s="40"/>
      <c r="AA476" s="40"/>
      <c r="AB476" s="40"/>
      <c r="AC476" s="41"/>
      <c r="AD476" s="41"/>
      <c r="AE476" s="41"/>
      <c r="AF476" s="41"/>
      <c r="AG476" s="41"/>
      <c r="AH476" s="40"/>
      <c r="AI476" s="40"/>
      <c r="AJ476" s="5"/>
      <c r="AK476" s="5"/>
      <c r="AL476" s="40"/>
      <c r="AM476" s="40"/>
      <c r="AN476" s="40"/>
      <c r="AO476" s="40"/>
      <c r="AP476" s="40"/>
      <c r="AQ476" s="40"/>
      <c r="AR476" s="40"/>
      <c r="AS476" s="40"/>
      <c r="AU476" s="40"/>
      <c r="AW476" s="40"/>
    </row>
    <row r="477" spans="2:49" ht="12.75" customHeight="1" x14ac:dyDescent="0.15">
      <c r="B477" s="40"/>
      <c r="C477" s="40"/>
      <c r="D477" s="40"/>
      <c r="E477" s="40"/>
      <c r="F477" s="40"/>
      <c r="G477" s="40"/>
      <c r="H477" s="40"/>
      <c r="I477" s="53"/>
      <c r="S477" s="40"/>
      <c r="T477" s="40"/>
      <c r="U477" s="40"/>
      <c r="V477" s="40"/>
      <c r="W477" s="40"/>
      <c r="Y477" s="40"/>
      <c r="Z477" s="40"/>
      <c r="AA477" s="40"/>
      <c r="AB477" s="40"/>
      <c r="AC477" s="41"/>
      <c r="AD477" s="41"/>
      <c r="AE477" s="41"/>
      <c r="AF477" s="41"/>
      <c r="AG477" s="41"/>
      <c r="AH477" s="40"/>
      <c r="AI477" s="40"/>
      <c r="AJ477" s="5"/>
      <c r="AK477" s="5"/>
      <c r="AL477" s="40"/>
      <c r="AM477" s="40"/>
      <c r="AN477" s="40"/>
      <c r="AO477" s="40"/>
      <c r="AP477" s="40"/>
      <c r="AQ477" s="40"/>
      <c r="AR477" s="40"/>
      <c r="AS477" s="40"/>
      <c r="AU477" s="40"/>
      <c r="AW477" s="40"/>
    </row>
    <row r="478" spans="2:49" ht="12.75" customHeight="1" x14ac:dyDescent="0.15">
      <c r="B478" s="40"/>
      <c r="C478" s="40"/>
      <c r="D478" s="40"/>
      <c r="E478" s="40"/>
      <c r="F478" s="40"/>
      <c r="G478" s="40"/>
      <c r="H478" s="40"/>
      <c r="I478" s="53"/>
      <c r="S478" s="40"/>
      <c r="T478" s="40"/>
      <c r="U478" s="40"/>
      <c r="V478" s="40"/>
      <c r="W478" s="40"/>
      <c r="Y478" s="40"/>
      <c r="Z478" s="40"/>
      <c r="AA478" s="40"/>
      <c r="AB478" s="40"/>
      <c r="AC478" s="41"/>
      <c r="AD478" s="41"/>
      <c r="AE478" s="41"/>
      <c r="AF478" s="41"/>
      <c r="AG478" s="41"/>
      <c r="AH478" s="40"/>
      <c r="AI478" s="40"/>
      <c r="AJ478" s="5"/>
      <c r="AK478" s="5"/>
      <c r="AL478" s="40"/>
      <c r="AM478" s="40"/>
      <c r="AN478" s="40"/>
      <c r="AO478" s="40"/>
      <c r="AP478" s="40"/>
      <c r="AQ478" s="40"/>
      <c r="AR478" s="40"/>
      <c r="AS478" s="40"/>
      <c r="AU478" s="40"/>
      <c r="AW478" s="40"/>
    </row>
    <row r="479" spans="2:49" ht="12.75" customHeight="1" x14ac:dyDescent="0.15">
      <c r="B479" s="40"/>
      <c r="C479" s="40"/>
      <c r="D479" s="40"/>
      <c r="E479" s="40"/>
      <c r="F479" s="40"/>
      <c r="G479" s="40"/>
      <c r="H479" s="40"/>
      <c r="I479" s="53"/>
      <c r="S479" s="40"/>
      <c r="T479" s="40"/>
      <c r="U479" s="40"/>
      <c r="V479" s="40"/>
      <c r="W479" s="40"/>
      <c r="Y479" s="40"/>
      <c r="Z479" s="40"/>
      <c r="AA479" s="40"/>
      <c r="AB479" s="40"/>
      <c r="AC479" s="41"/>
      <c r="AD479" s="41"/>
      <c r="AE479" s="41"/>
      <c r="AF479" s="41"/>
      <c r="AG479" s="41"/>
      <c r="AH479" s="40"/>
      <c r="AI479" s="40"/>
      <c r="AJ479" s="5"/>
      <c r="AK479" s="5"/>
      <c r="AL479" s="40"/>
      <c r="AM479" s="40"/>
      <c r="AN479" s="40"/>
      <c r="AO479" s="40"/>
      <c r="AP479" s="40"/>
      <c r="AQ479" s="40"/>
      <c r="AR479" s="40"/>
      <c r="AS479" s="40"/>
      <c r="AU479" s="40"/>
      <c r="AW479" s="40"/>
    </row>
    <row r="480" spans="2:49" ht="12.75" customHeight="1" x14ac:dyDescent="0.15">
      <c r="B480" s="40"/>
      <c r="C480" s="40"/>
      <c r="D480" s="40"/>
      <c r="E480" s="40"/>
      <c r="F480" s="40"/>
      <c r="G480" s="40"/>
      <c r="H480" s="40"/>
      <c r="I480" s="53"/>
      <c r="S480" s="40"/>
      <c r="T480" s="40"/>
      <c r="U480" s="40"/>
      <c r="V480" s="40"/>
      <c r="W480" s="40"/>
      <c r="Y480" s="40"/>
      <c r="Z480" s="40"/>
      <c r="AA480" s="40"/>
      <c r="AB480" s="40"/>
      <c r="AC480" s="41"/>
      <c r="AD480" s="41"/>
      <c r="AE480" s="41"/>
      <c r="AF480" s="41"/>
      <c r="AG480" s="41"/>
      <c r="AH480" s="40"/>
      <c r="AI480" s="40"/>
      <c r="AJ480" s="5"/>
      <c r="AK480" s="5"/>
      <c r="AL480" s="40"/>
      <c r="AM480" s="40"/>
      <c r="AN480" s="40"/>
      <c r="AO480" s="40"/>
      <c r="AP480" s="40"/>
      <c r="AQ480" s="40"/>
      <c r="AR480" s="40"/>
      <c r="AS480" s="40"/>
      <c r="AU480" s="40"/>
      <c r="AW480" s="40"/>
    </row>
    <row r="481" spans="2:49" ht="12.75" customHeight="1" x14ac:dyDescent="0.15">
      <c r="B481" s="40"/>
      <c r="C481" s="40"/>
      <c r="D481" s="40"/>
      <c r="E481" s="40"/>
      <c r="F481" s="40"/>
      <c r="G481" s="40"/>
      <c r="H481" s="40"/>
      <c r="I481" s="53"/>
      <c r="S481" s="40"/>
      <c r="T481" s="40"/>
      <c r="U481" s="40"/>
      <c r="V481" s="40"/>
      <c r="W481" s="40"/>
      <c r="Y481" s="40"/>
      <c r="Z481" s="40"/>
      <c r="AA481" s="40"/>
      <c r="AB481" s="40"/>
      <c r="AC481" s="41"/>
      <c r="AD481" s="41"/>
      <c r="AE481" s="41"/>
      <c r="AF481" s="41"/>
      <c r="AG481" s="41"/>
      <c r="AH481" s="40"/>
      <c r="AI481" s="40"/>
      <c r="AJ481" s="5"/>
      <c r="AK481" s="5"/>
      <c r="AL481" s="40"/>
      <c r="AM481" s="40"/>
      <c r="AN481" s="40"/>
      <c r="AO481" s="40"/>
      <c r="AP481" s="40"/>
      <c r="AQ481" s="40"/>
      <c r="AR481" s="40"/>
      <c r="AS481" s="40"/>
      <c r="AU481" s="40"/>
      <c r="AW481" s="40"/>
    </row>
    <row r="482" spans="2:49" ht="12.75" customHeight="1" x14ac:dyDescent="0.15">
      <c r="B482" s="40"/>
      <c r="C482" s="40"/>
      <c r="D482" s="40"/>
      <c r="E482" s="40"/>
      <c r="F482" s="40"/>
      <c r="G482" s="40"/>
      <c r="H482" s="40"/>
      <c r="I482" s="53"/>
      <c r="S482" s="40"/>
      <c r="T482" s="40"/>
      <c r="U482" s="40"/>
      <c r="V482" s="40"/>
      <c r="W482" s="40"/>
      <c r="Y482" s="40"/>
      <c r="Z482" s="40"/>
      <c r="AA482" s="40"/>
      <c r="AB482" s="40"/>
      <c r="AC482" s="41"/>
      <c r="AD482" s="41"/>
      <c r="AE482" s="41"/>
      <c r="AF482" s="41"/>
      <c r="AG482" s="41"/>
      <c r="AH482" s="40"/>
      <c r="AI482" s="40"/>
      <c r="AJ482" s="5"/>
      <c r="AK482" s="5"/>
      <c r="AL482" s="40"/>
      <c r="AM482" s="40"/>
      <c r="AN482" s="40"/>
      <c r="AO482" s="40"/>
      <c r="AP482" s="40"/>
      <c r="AQ482" s="40"/>
      <c r="AR482" s="40"/>
      <c r="AS482" s="40"/>
      <c r="AU482" s="40"/>
      <c r="AW482" s="40"/>
    </row>
    <row r="483" spans="2:49" ht="12.75" customHeight="1" x14ac:dyDescent="0.15">
      <c r="B483" s="40"/>
      <c r="C483" s="40"/>
      <c r="D483" s="40"/>
      <c r="E483" s="40"/>
      <c r="F483" s="40"/>
      <c r="G483" s="40"/>
      <c r="H483" s="40"/>
      <c r="I483" s="53"/>
      <c r="S483" s="40"/>
      <c r="T483" s="40"/>
      <c r="U483" s="40"/>
      <c r="V483" s="40"/>
      <c r="W483" s="40"/>
      <c r="Y483" s="40"/>
      <c r="Z483" s="40"/>
      <c r="AA483" s="40"/>
      <c r="AB483" s="40"/>
      <c r="AC483" s="41"/>
      <c r="AD483" s="41"/>
      <c r="AE483" s="41"/>
      <c r="AF483" s="41"/>
      <c r="AG483" s="41"/>
      <c r="AH483" s="40"/>
      <c r="AI483" s="40"/>
      <c r="AJ483" s="5"/>
      <c r="AK483" s="5"/>
      <c r="AL483" s="40"/>
      <c r="AM483" s="40"/>
      <c r="AN483" s="40"/>
      <c r="AO483" s="40"/>
      <c r="AP483" s="40"/>
      <c r="AQ483" s="40"/>
      <c r="AR483" s="40"/>
      <c r="AS483" s="40"/>
      <c r="AU483" s="40"/>
      <c r="AW483" s="40"/>
    </row>
    <row r="484" spans="2:49" ht="12.75" customHeight="1" x14ac:dyDescent="0.15">
      <c r="B484" s="40"/>
      <c r="C484" s="40"/>
      <c r="D484" s="40"/>
      <c r="E484" s="40"/>
      <c r="F484" s="40"/>
      <c r="G484" s="40"/>
      <c r="H484" s="40"/>
      <c r="I484" s="53"/>
      <c r="S484" s="40"/>
      <c r="T484" s="40"/>
      <c r="U484" s="40"/>
      <c r="V484" s="40"/>
      <c r="W484" s="40"/>
      <c r="Y484" s="40"/>
      <c r="Z484" s="40"/>
      <c r="AA484" s="40"/>
      <c r="AB484" s="40"/>
      <c r="AC484" s="41"/>
      <c r="AD484" s="41"/>
      <c r="AE484" s="41"/>
      <c r="AF484" s="41"/>
      <c r="AG484" s="41"/>
      <c r="AH484" s="40"/>
      <c r="AI484" s="40"/>
      <c r="AJ484" s="5"/>
      <c r="AK484" s="5"/>
      <c r="AL484" s="40"/>
      <c r="AM484" s="40"/>
      <c r="AN484" s="40"/>
      <c r="AO484" s="40"/>
      <c r="AP484" s="40"/>
      <c r="AQ484" s="40"/>
      <c r="AR484" s="40"/>
      <c r="AS484" s="40"/>
      <c r="AU484" s="40"/>
      <c r="AW484" s="40"/>
    </row>
    <row r="485" spans="2:49" ht="12.75" customHeight="1" x14ac:dyDescent="0.15">
      <c r="B485" s="40"/>
      <c r="C485" s="40"/>
      <c r="D485" s="40"/>
      <c r="E485" s="40"/>
      <c r="F485" s="40"/>
      <c r="G485" s="40"/>
      <c r="H485" s="40"/>
      <c r="I485" s="53"/>
      <c r="S485" s="40"/>
      <c r="T485" s="40"/>
      <c r="U485" s="40"/>
      <c r="V485" s="40"/>
      <c r="W485" s="40"/>
      <c r="Y485" s="40"/>
      <c r="Z485" s="40"/>
      <c r="AA485" s="40"/>
      <c r="AB485" s="40"/>
      <c r="AC485" s="41"/>
      <c r="AD485" s="41"/>
      <c r="AE485" s="41"/>
      <c r="AF485" s="41"/>
      <c r="AG485" s="41"/>
      <c r="AH485" s="40"/>
      <c r="AI485" s="40"/>
      <c r="AJ485" s="5"/>
      <c r="AK485" s="5"/>
      <c r="AL485" s="40"/>
      <c r="AM485" s="40"/>
      <c r="AN485" s="40"/>
      <c r="AO485" s="40"/>
      <c r="AP485" s="40"/>
      <c r="AQ485" s="40"/>
      <c r="AR485" s="40"/>
      <c r="AS485" s="40"/>
      <c r="AU485" s="40"/>
      <c r="AW485" s="40"/>
    </row>
    <row r="486" spans="2:49" ht="12.75" customHeight="1" x14ac:dyDescent="0.15">
      <c r="B486" s="40"/>
      <c r="C486" s="40"/>
      <c r="D486" s="40"/>
      <c r="E486" s="40"/>
      <c r="F486" s="40"/>
      <c r="G486" s="40"/>
      <c r="H486" s="40"/>
      <c r="I486" s="53"/>
      <c r="S486" s="40"/>
      <c r="T486" s="40"/>
      <c r="U486" s="40"/>
      <c r="V486" s="40"/>
      <c r="W486" s="40"/>
      <c r="Y486" s="40"/>
      <c r="Z486" s="40"/>
      <c r="AA486" s="40"/>
      <c r="AB486" s="40"/>
      <c r="AC486" s="41"/>
      <c r="AD486" s="41"/>
      <c r="AE486" s="41"/>
      <c r="AF486" s="41"/>
      <c r="AG486" s="41"/>
      <c r="AH486" s="40"/>
      <c r="AI486" s="40"/>
      <c r="AJ486" s="5"/>
      <c r="AK486" s="5"/>
      <c r="AL486" s="40"/>
      <c r="AM486" s="40"/>
      <c r="AN486" s="40"/>
      <c r="AO486" s="40"/>
      <c r="AP486" s="40"/>
      <c r="AQ486" s="40"/>
      <c r="AR486" s="40"/>
      <c r="AS486" s="40"/>
      <c r="AU486" s="40"/>
      <c r="AW486" s="40"/>
    </row>
    <row r="487" spans="2:49" ht="12.75" customHeight="1" x14ac:dyDescent="0.15">
      <c r="B487" s="40"/>
      <c r="C487" s="40"/>
      <c r="D487" s="40"/>
      <c r="E487" s="40"/>
      <c r="F487" s="40"/>
      <c r="G487" s="40"/>
      <c r="H487" s="40"/>
      <c r="I487" s="53"/>
      <c r="S487" s="40"/>
      <c r="T487" s="40"/>
      <c r="U487" s="40"/>
      <c r="V487" s="40"/>
      <c r="W487" s="40"/>
      <c r="Y487" s="40"/>
      <c r="Z487" s="40"/>
      <c r="AA487" s="40"/>
      <c r="AB487" s="40"/>
      <c r="AC487" s="41"/>
      <c r="AD487" s="41"/>
      <c r="AE487" s="41"/>
      <c r="AF487" s="41"/>
      <c r="AG487" s="41"/>
      <c r="AH487" s="40"/>
      <c r="AI487" s="40"/>
      <c r="AJ487" s="5"/>
      <c r="AK487" s="5"/>
      <c r="AL487" s="40"/>
      <c r="AM487" s="40"/>
      <c r="AN487" s="40"/>
      <c r="AO487" s="40"/>
      <c r="AP487" s="40"/>
      <c r="AQ487" s="40"/>
      <c r="AR487" s="40"/>
      <c r="AS487" s="40"/>
      <c r="AU487" s="40"/>
      <c r="AW487" s="40"/>
    </row>
    <row r="488" spans="2:49" ht="12.75" customHeight="1" x14ac:dyDescent="0.15">
      <c r="B488" s="40"/>
      <c r="C488" s="40"/>
      <c r="D488" s="40"/>
      <c r="E488" s="40"/>
      <c r="F488" s="40"/>
      <c r="G488" s="40"/>
      <c r="H488" s="40"/>
      <c r="I488" s="53"/>
      <c r="S488" s="40"/>
      <c r="T488" s="40"/>
      <c r="U488" s="40"/>
      <c r="V488" s="40"/>
      <c r="W488" s="40"/>
      <c r="Y488" s="40"/>
      <c r="Z488" s="40"/>
      <c r="AA488" s="40"/>
      <c r="AB488" s="40"/>
      <c r="AC488" s="41"/>
      <c r="AD488" s="41"/>
      <c r="AE488" s="41"/>
      <c r="AF488" s="41"/>
      <c r="AG488" s="41"/>
      <c r="AH488" s="40"/>
      <c r="AI488" s="40"/>
      <c r="AJ488" s="5"/>
      <c r="AK488" s="5"/>
      <c r="AL488" s="40"/>
      <c r="AM488" s="40"/>
      <c r="AN488" s="40"/>
      <c r="AO488" s="40"/>
      <c r="AP488" s="40"/>
      <c r="AQ488" s="40"/>
      <c r="AR488" s="40"/>
      <c r="AS488" s="40"/>
      <c r="AU488" s="40"/>
      <c r="AW488" s="40"/>
    </row>
    <row r="489" spans="2:49" ht="12.75" customHeight="1" x14ac:dyDescent="0.15">
      <c r="B489" s="40"/>
      <c r="C489" s="40"/>
      <c r="D489" s="40"/>
      <c r="E489" s="40"/>
      <c r="F489" s="40"/>
      <c r="G489" s="40"/>
      <c r="H489" s="40"/>
      <c r="I489" s="53"/>
      <c r="S489" s="40"/>
      <c r="T489" s="40"/>
      <c r="U489" s="40"/>
      <c r="V489" s="40"/>
      <c r="W489" s="40"/>
      <c r="Y489" s="40"/>
      <c r="Z489" s="40"/>
      <c r="AA489" s="40"/>
      <c r="AB489" s="40"/>
      <c r="AC489" s="41"/>
      <c r="AD489" s="41"/>
      <c r="AE489" s="41"/>
      <c r="AF489" s="41"/>
      <c r="AG489" s="41"/>
      <c r="AH489" s="40"/>
      <c r="AI489" s="40"/>
      <c r="AJ489" s="5"/>
      <c r="AK489" s="5"/>
      <c r="AL489" s="40"/>
      <c r="AM489" s="40"/>
      <c r="AN489" s="40"/>
      <c r="AO489" s="40"/>
      <c r="AP489" s="40"/>
      <c r="AQ489" s="40"/>
      <c r="AR489" s="40"/>
      <c r="AS489" s="40"/>
      <c r="AU489" s="40"/>
      <c r="AW489" s="40"/>
    </row>
    <row r="490" spans="2:49" ht="12.75" customHeight="1" x14ac:dyDescent="0.15">
      <c r="B490" s="40"/>
      <c r="C490" s="40"/>
      <c r="D490" s="40"/>
      <c r="E490" s="40"/>
      <c r="F490" s="40"/>
      <c r="G490" s="40"/>
      <c r="H490" s="40"/>
      <c r="I490" s="53"/>
      <c r="S490" s="40"/>
      <c r="T490" s="40"/>
      <c r="U490" s="40"/>
      <c r="V490" s="40"/>
      <c r="W490" s="40"/>
      <c r="Y490" s="40"/>
      <c r="Z490" s="40"/>
      <c r="AA490" s="40"/>
      <c r="AB490" s="40"/>
      <c r="AC490" s="41"/>
      <c r="AD490" s="41"/>
      <c r="AE490" s="41"/>
      <c r="AF490" s="41"/>
      <c r="AG490" s="41"/>
      <c r="AH490" s="40"/>
      <c r="AI490" s="40"/>
      <c r="AJ490" s="5"/>
      <c r="AK490" s="5"/>
      <c r="AL490" s="40"/>
      <c r="AM490" s="40"/>
      <c r="AN490" s="40"/>
      <c r="AO490" s="40"/>
      <c r="AP490" s="40"/>
      <c r="AQ490" s="40"/>
      <c r="AR490" s="40"/>
      <c r="AS490" s="40"/>
      <c r="AU490" s="40"/>
      <c r="AW490" s="40"/>
    </row>
    <row r="491" spans="2:49" ht="12.75" customHeight="1" x14ac:dyDescent="0.15">
      <c r="B491" s="40"/>
      <c r="C491" s="40"/>
      <c r="D491" s="40"/>
      <c r="E491" s="40"/>
      <c r="F491" s="40"/>
      <c r="G491" s="40"/>
      <c r="H491" s="40"/>
      <c r="I491" s="53"/>
      <c r="S491" s="40"/>
      <c r="T491" s="40"/>
      <c r="U491" s="40"/>
      <c r="V491" s="40"/>
      <c r="W491" s="40"/>
      <c r="Y491" s="40"/>
      <c r="Z491" s="40"/>
      <c r="AA491" s="40"/>
      <c r="AB491" s="40"/>
      <c r="AC491" s="41"/>
      <c r="AD491" s="41"/>
      <c r="AE491" s="41"/>
      <c r="AF491" s="41"/>
      <c r="AG491" s="41"/>
      <c r="AH491" s="40"/>
      <c r="AI491" s="40"/>
      <c r="AJ491" s="5"/>
      <c r="AK491" s="5"/>
      <c r="AL491" s="40"/>
      <c r="AM491" s="40"/>
      <c r="AN491" s="40"/>
      <c r="AO491" s="40"/>
      <c r="AP491" s="40"/>
      <c r="AQ491" s="40"/>
      <c r="AR491" s="40"/>
      <c r="AS491" s="40"/>
      <c r="AU491" s="40"/>
      <c r="AW491" s="40"/>
    </row>
    <row r="492" spans="2:49" ht="12.75" customHeight="1" x14ac:dyDescent="0.15">
      <c r="B492" s="40"/>
      <c r="C492" s="40"/>
      <c r="D492" s="40"/>
      <c r="E492" s="40"/>
      <c r="F492" s="40"/>
      <c r="G492" s="40"/>
      <c r="H492" s="40"/>
      <c r="I492" s="53"/>
      <c r="S492" s="40"/>
      <c r="T492" s="40"/>
      <c r="U492" s="40"/>
      <c r="V492" s="40"/>
      <c r="W492" s="40"/>
      <c r="Y492" s="40"/>
      <c r="Z492" s="40"/>
      <c r="AA492" s="40"/>
      <c r="AB492" s="40"/>
      <c r="AC492" s="41"/>
      <c r="AD492" s="41"/>
      <c r="AE492" s="41"/>
      <c r="AF492" s="41"/>
      <c r="AG492" s="41"/>
      <c r="AH492" s="40"/>
      <c r="AI492" s="40"/>
      <c r="AJ492" s="5"/>
      <c r="AK492" s="5"/>
      <c r="AL492" s="40"/>
      <c r="AM492" s="40"/>
      <c r="AN492" s="40"/>
      <c r="AO492" s="40"/>
      <c r="AP492" s="40"/>
      <c r="AQ492" s="40"/>
      <c r="AR492" s="40"/>
      <c r="AS492" s="40"/>
      <c r="AU492" s="40"/>
      <c r="AW492" s="40"/>
    </row>
    <row r="493" spans="2:49" ht="12.75" customHeight="1" x14ac:dyDescent="0.15">
      <c r="B493" s="40"/>
      <c r="C493" s="40"/>
      <c r="D493" s="40"/>
      <c r="E493" s="40"/>
      <c r="F493" s="40"/>
      <c r="G493" s="40"/>
      <c r="H493" s="40"/>
      <c r="I493" s="53"/>
      <c r="S493" s="40"/>
      <c r="T493" s="40"/>
      <c r="U493" s="40"/>
      <c r="V493" s="40"/>
      <c r="W493" s="40"/>
      <c r="Y493" s="40"/>
      <c r="Z493" s="40"/>
      <c r="AA493" s="40"/>
      <c r="AB493" s="40"/>
      <c r="AC493" s="41"/>
      <c r="AD493" s="41"/>
      <c r="AE493" s="41"/>
      <c r="AF493" s="41"/>
      <c r="AG493" s="41"/>
      <c r="AH493" s="40"/>
      <c r="AI493" s="40"/>
      <c r="AJ493" s="5"/>
      <c r="AK493" s="5"/>
      <c r="AL493" s="40"/>
      <c r="AM493" s="40"/>
      <c r="AN493" s="40"/>
      <c r="AO493" s="40"/>
      <c r="AP493" s="40"/>
      <c r="AQ493" s="40"/>
      <c r="AR493" s="40"/>
      <c r="AS493" s="40"/>
      <c r="AU493" s="40"/>
      <c r="AW493" s="40"/>
    </row>
    <row r="494" spans="2:49" ht="12.75" customHeight="1" x14ac:dyDescent="0.15">
      <c r="B494" s="40"/>
      <c r="C494" s="40"/>
      <c r="D494" s="40"/>
      <c r="E494" s="40"/>
      <c r="F494" s="40"/>
      <c r="G494" s="40"/>
      <c r="H494" s="40"/>
      <c r="I494" s="53"/>
      <c r="S494" s="40"/>
      <c r="T494" s="40"/>
      <c r="U494" s="40"/>
      <c r="V494" s="40"/>
      <c r="W494" s="40"/>
      <c r="Y494" s="40"/>
      <c r="Z494" s="40"/>
      <c r="AA494" s="40"/>
      <c r="AB494" s="40"/>
      <c r="AC494" s="41"/>
      <c r="AD494" s="41"/>
      <c r="AE494" s="41"/>
      <c r="AF494" s="41"/>
      <c r="AG494" s="41"/>
      <c r="AH494" s="40"/>
      <c r="AI494" s="40"/>
      <c r="AJ494" s="5"/>
      <c r="AK494" s="5"/>
      <c r="AL494" s="40"/>
      <c r="AM494" s="40"/>
      <c r="AN494" s="40"/>
      <c r="AO494" s="40"/>
      <c r="AP494" s="40"/>
      <c r="AQ494" s="40"/>
      <c r="AR494" s="40"/>
      <c r="AS494" s="40"/>
      <c r="AU494" s="40"/>
      <c r="AW494" s="40"/>
    </row>
    <row r="495" spans="2:49" ht="12.75" customHeight="1" x14ac:dyDescent="0.15">
      <c r="B495" s="40"/>
      <c r="C495" s="40"/>
      <c r="D495" s="40"/>
      <c r="E495" s="40"/>
      <c r="F495" s="40"/>
      <c r="G495" s="40"/>
      <c r="H495" s="40"/>
      <c r="I495" s="53"/>
      <c r="S495" s="40"/>
      <c r="T495" s="40"/>
      <c r="U495" s="40"/>
      <c r="V495" s="40"/>
      <c r="W495" s="40"/>
      <c r="Y495" s="40"/>
      <c r="Z495" s="40"/>
      <c r="AA495" s="40"/>
      <c r="AB495" s="40"/>
      <c r="AC495" s="41"/>
      <c r="AD495" s="41"/>
      <c r="AE495" s="41"/>
      <c r="AF495" s="41"/>
      <c r="AG495" s="41"/>
      <c r="AH495" s="40"/>
      <c r="AI495" s="40"/>
      <c r="AJ495" s="5"/>
      <c r="AK495" s="5"/>
      <c r="AL495" s="40"/>
      <c r="AM495" s="40"/>
      <c r="AN495" s="40"/>
      <c r="AO495" s="40"/>
      <c r="AP495" s="40"/>
      <c r="AQ495" s="40"/>
      <c r="AR495" s="40"/>
      <c r="AS495" s="40"/>
      <c r="AU495" s="40"/>
      <c r="AW495" s="40"/>
    </row>
    <row r="496" spans="2:49" ht="12.75" customHeight="1" x14ac:dyDescent="0.15">
      <c r="B496" s="40"/>
      <c r="C496" s="40"/>
      <c r="D496" s="40"/>
      <c r="E496" s="40"/>
      <c r="F496" s="40"/>
      <c r="G496" s="40"/>
      <c r="H496" s="40"/>
      <c r="I496" s="53"/>
      <c r="S496" s="40"/>
      <c r="T496" s="40"/>
      <c r="U496" s="40"/>
      <c r="V496" s="40"/>
      <c r="W496" s="40"/>
      <c r="Y496" s="40"/>
      <c r="Z496" s="40"/>
      <c r="AA496" s="40"/>
      <c r="AB496" s="40"/>
      <c r="AC496" s="41"/>
      <c r="AD496" s="41"/>
      <c r="AE496" s="41"/>
      <c r="AF496" s="41"/>
      <c r="AG496" s="41"/>
      <c r="AH496" s="40"/>
      <c r="AI496" s="40"/>
      <c r="AJ496" s="5"/>
      <c r="AK496" s="5"/>
      <c r="AL496" s="40"/>
      <c r="AM496" s="40"/>
      <c r="AN496" s="40"/>
      <c r="AO496" s="40"/>
      <c r="AP496" s="40"/>
      <c r="AQ496" s="40"/>
      <c r="AR496" s="40"/>
      <c r="AS496" s="40"/>
      <c r="AU496" s="40"/>
      <c r="AW496" s="40"/>
    </row>
    <row r="497" spans="2:49" ht="12.75" customHeight="1" x14ac:dyDescent="0.15">
      <c r="B497" s="40"/>
      <c r="C497" s="40"/>
      <c r="D497" s="40"/>
      <c r="E497" s="40"/>
      <c r="F497" s="40"/>
      <c r="G497" s="40"/>
      <c r="H497" s="40"/>
      <c r="I497" s="53"/>
      <c r="S497" s="40"/>
      <c r="T497" s="40"/>
      <c r="U497" s="40"/>
      <c r="V497" s="40"/>
      <c r="W497" s="40"/>
      <c r="Y497" s="40"/>
      <c r="Z497" s="40"/>
      <c r="AA497" s="40"/>
      <c r="AB497" s="40"/>
      <c r="AC497" s="41"/>
      <c r="AD497" s="41"/>
      <c r="AE497" s="41"/>
      <c r="AF497" s="41"/>
      <c r="AG497" s="41"/>
      <c r="AH497" s="40"/>
      <c r="AI497" s="40"/>
      <c r="AJ497" s="5"/>
      <c r="AK497" s="5"/>
      <c r="AL497" s="40"/>
      <c r="AM497" s="40"/>
      <c r="AN497" s="40"/>
      <c r="AO497" s="40"/>
      <c r="AP497" s="40"/>
      <c r="AQ497" s="40"/>
      <c r="AR497" s="40"/>
      <c r="AS497" s="40"/>
      <c r="AU497" s="40"/>
      <c r="AW497" s="40"/>
    </row>
    <row r="498" spans="2:49" ht="12.75" customHeight="1" x14ac:dyDescent="0.15">
      <c r="B498" s="40"/>
      <c r="C498" s="40"/>
      <c r="D498" s="40"/>
      <c r="E498" s="40"/>
      <c r="F498" s="40"/>
      <c r="G498" s="40"/>
      <c r="H498" s="40"/>
      <c r="I498" s="53"/>
      <c r="S498" s="40"/>
      <c r="T498" s="40"/>
      <c r="U498" s="40"/>
      <c r="V498" s="40"/>
      <c r="W498" s="40"/>
      <c r="Y498" s="40"/>
      <c r="Z498" s="40"/>
      <c r="AA498" s="40"/>
      <c r="AB498" s="40"/>
      <c r="AC498" s="41"/>
      <c r="AD498" s="41"/>
      <c r="AE498" s="41"/>
      <c r="AF498" s="41"/>
      <c r="AG498" s="41"/>
      <c r="AH498" s="40"/>
      <c r="AI498" s="40"/>
      <c r="AJ498" s="5"/>
      <c r="AK498" s="5"/>
      <c r="AL498" s="40"/>
      <c r="AM498" s="40"/>
      <c r="AN498" s="40"/>
      <c r="AO498" s="40"/>
      <c r="AP498" s="40"/>
      <c r="AQ498" s="40"/>
      <c r="AR498" s="40"/>
      <c r="AS498" s="40"/>
      <c r="AU498" s="40"/>
      <c r="AW498" s="40"/>
    </row>
    <row r="499" spans="2:49" ht="12.75" customHeight="1" x14ac:dyDescent="0.15">
      <c r="B499" s="40"/>
      <c r="C499" s="40"/>
      <c r="D499" s="40"/>
      <c r="E499" s="40"/>
      <c r="F499" s="40"/>
      <c r="G499" s="40"/>
      <c r="H499" s="40"/>
      <c r="I499" s="53"/>
      <c r="S499" s="40"/>
      <c r="T499" s="40"/>
      <c r="U499" s="40"/>
      <c r="V499" s="40"/>
      <c r="W499" s="40"/>
      <c r="Y499" s="40"/>
      <c r="Z499" s="40"/>
      <c r="AA499" s="40"/>
      <c r="AB499" s="40"/>
      <c r="AC499" s="41"/>
      <c r="AD499" s="41"/>
      <c r="AE499" s="41"/>
      <c r="AF499" s="41"/>
      <c r="AG499" s="41"/>
      <c r="AH499" s="40"/>
      <c r="AI499" s="40"/>
      <c r="AJ499" s="5"/>
      <c r="AK499" s="5"/>
      <c r="AL499" s="40"/>
      <c r="AM499" s="40"/>
      <c r="AN499" s="40"/>
      <c r="AO499" s="40"/>
      <c r="AP499" s="40"/>
      <c r="AQ499" s="40"/>
      <c r="AR499" s="40"/>
      <c r="AS499" s="40"/>
      <c r="AU499" s="40"/>
      <c r="AW499" s="40"/>
    </row>
    <row r="500" spans="2:49" ht="12.75" customHeight="1" x14ac:dyDescent="0.15">
      <c r="B500" s="40"/>
      <c r="C500" s="40"/>
      <c r="D500" s="40"/>
      <c r="E500" s="40"/>
      <c r="F500" s="40"/>
      <c r="G500" s="40"/>
      <c r="H500" s="40"/>
      <c r="I500" s="53"/>
      <c r="S500" s="40"/>
      <c r="T500" s="40"/>
      <c r="U500" s="40"/>
      <c r="V500" s="40"/>
      <c r="W500" s="40"/>
      <c r="Y500" s="40"/>
      <c r="Z500" s="40"/>
      <c r="AA500" s="40"/>
      <c r="AB500" s="40"/>
      <c r="AC500" s="41"/>
      <c r="AD500" s="41"/>
      <c r="AE500" s="41"/>
      <c r="AF500" s="41"/>
      <c r="AG500" s="41"/>
      <c r="AH500" s="40"/>
      <c r="AI500" s="40"/>
      <c r="AJ500" s="5"/>
      <c r="AK500" s="5"/>
      <c r="AL500" s="40"/>
      <c r="AM500" s="40"/>
      <c r="AN500" s="40"/>
      <c r="AO500" s="40"/>
      <c r="AP500" s="40"/>
      <c r="AQ500" s="40"/>
      <c r="AR500" s="40"/>
      <c r="AS500" s="40"/>
      <c r="AU500" s="40"/>
      <c r="AW500" s="40"/>
    </row>
    <row r="501" spans="2:49" ht="12.75" customHeight="1" x14ac:dyDescent="0.15">
      <c r="B501" s="40"/>
      <c r="C501" s="40"/>
      <c r="D501" s="40"/>
      <c r="E501" s="40"/>
      <c r="F501" s="40"/>
      <c r="G501" s="40"/>
      <c r="H501" s="40"/>
      <c r="I501" s="53"/>
      <c r="S501" s="40"/>
      <c r="T501" s="40"/>
      <c r="U501" s="40"/>
      <c r="V501" s="40"/>
      <c r="W501" s="40"/>
      <c r="Y501" s="40"/>
      <c r="Z501" s="40"/>
      <c r="AA501" s="40"/>
      <c r="AB501" s="40"/>
      <c r="AC501" s="41"/>
      <c r="AD501" s="41"/>
      <c r="AE501" s="41"/>
      <c r="AF501" s="41"/>
      <c r="AG501" s="41"/>
      <c r="AH501" s="40"/>
      <c r="AI501" s="40"/>
      <c r="AJ501" s="5"/>
      <c r="AK501" s="5"/>
      <c r="AL501" s="40"/>
      <c r="AM501" s="40"/>
      <c r="AN501" s="40"/>
      <c r="AO501" s="40"/>
      <c r="AP501" s="40"/>
      <c r="AQ501" s="40"/>
      <c r="AR501" s="40"/>
      <c r="AS501" s="40"/>
      <c r="AU501" s="40"/>
      <c r="AW501" s="40"/>
    </row>
    <row r="502" spans="2:49" ht="12.75" customHeight="1" x14ac:dyDescent="0.15">
      <c r="B502" s="40"/>
      <c r="C502" s="40"/>
      <c r="D502" s="40"/>
      <c r="E502" s="40"/>
      <c r="F502" s="40"/>
      <c r="G502" s="40"/>
      <c r="H502" s="40"/>
      <c r="I502" s="53"/>
      <c r="S502" s="40"/>
      <c r="T502" s="40"/>
      <c r="U502" s="40"/>
      <c r="V502" s="40"/>
      <c r="W502" s="40"/>
      <c r="Y502" s="40"/>
      <c r="Z502" s="40"/>
      <c r="AA502" s="40"/>
      <c r="AB502" s="40"/>
      <c r="AC502" s="41"/>
      <c r="AD502" s="41"/>
      <c r="AE502" s="41"/>
      <c r="AF502" s="41"/>
      <c r="AG502" s="41"/>
      <c r="AH502" s="40"/>
      <c r="AI502" s="40"/>
      <c r="AJ502" s="5"/>
      <c r="AK502" s="5"/>
      <c r="AL502" s="40"/>
      <c r="AM502" s="40"/>
      <c r="AN502" s="40"/>
      <c r="AO502" s="40"/>
      <c r="AP502" s="40"/>
      <c r="AQ502" s="40"/>
      <c r="AR502" s="40"/>
      <c r="AS502" s="40"/>
      <c r="AU502" s="40"/>
      <c r="AW502" s="40"/>
    </row>
    <row r="503" spans="2:49" ht="12.75" customHeight="1" x14ac:dyDescent="0.15">
      <c r="B503" s="40"/>
      <c r="C503" s="40"/>
      <c r="D503" s="40"/>
      <c r="E503" s="40"/>
      <c r="F503" s="40"/>
      <c r="G503" s="40"/>
      <c r="H503" s="40"/>
      <c r="I503" s="53"/>
      <c r="S503" s="40"/>
      <c r="T503" s="40"/>
      <c r="U503" s="40"/>
      <c r="V503" s="40"/>
      <c r="W503" s="40"/>
      <c r="Y503" s="40"/>
      <c r="Z503" s="40"/>
      <c r="AA503" s="40"/>
      <c r="AB503" s="40"/>
      <c r="AC503" s="41"/>
      <c r="AD503" s="41"/>
      <c r="AE503" s="41"/>
      <c r="AF503" s="41"/>
      <c r="AG503" s="41"/>
      <c r="AH503" s="40"/>
      <c r="AI503" s="40"/>
      <c r="AJ503" s="5"/>
      <c r="AK503" s="5"/>
      <c r="AL503" s="40"/>
      <c r="AM503" s="40"/>
      <c r="AN503" s="40"/>
      <c r="AO503" s="40"/>
      <c r="AP503" s="40"/>
      <c r="AQ503" s="40"/>
      <c r="AR503" s="40"/>
      <c r="AS503" s="40"/>
      <c r="AU503" s="40"/>
      <c r="AW503" s="40"/>
    </row>
    <row r="504" spans="2:49" ht="12.75" customHeight="1" x14ac:dyDescent="0.15">
      <c r="B504" s="40"/>
      <c r="C504" s="40"/>
      <c r="D504" s="40"/>
      <c r="E504" s="40"/>
      <c r="F504" s="40"/>
      <c r="G504" s="40"/>
      <c r="H504" s="40"/>
      <c r="I504" s="53"/>
      <c r="S504" s="40"/>
      <c r="T504" s="40"/>
      <c r="U504" s="40"/>
      <c r="V504" s="40"/>
      <c r="W504" s="40"/>
      <c r="Y504" s="40"/>
      <c r="Z504" s="40"/>
      <c r="AA504" s="40"/>
      <c r="AB504" s="40"/>
      <c r="AC504" s="41"/>
      <c r="AD504" s="41"/>
      <c r="AE504" s="41"/>
      <c r="AF504" s="41"/>
      <c r="AG504" s="41"/>
      <c r="AH504" s="40"/>
      <c r="AI504" s="40"/>
      <c r="AJ504" s="5"/>
      <c r="AK504" s="5"/>
      <c r="AL504" s="40"/>
      <c r="AM504" s="40"/>
      <c r="AN504" s="40"/>
      <c r="AO504" s="40"/>
      <c r="AP504" s="40"/>
      <c r="AQ504" s="40"/>
      <c r="AR504" s="40"/>
      <c r="AS504" s="40"/>
      <c r="AU504" s="40"/>
      <c r="AW504" s="40"/>
    </row>
    <row r="505" spans="2:49" ht="12.75" customHeight="1" x14ac:dyDescent="0.15">
      <c r="B505" s="40"/>
      <c r="C505" s="40"/>
      <c r="D505" s="40"/>
      <c r="E505" s="40"/>
      <c r="F505" s="40"/>
      <c r="G505" s="40"/>
      <c r="H505" s="40"/>
      <c r="I505" s="53"/>
      <c r="S505" s="40"/>
      <c r="T505" s="40"/>
      <c r="U505" s="40"/>
      <c r="V505" s="40"/>
      <c r="W505" s="40"/>
      <c r="Y505" s="40"/>
      <c r="Z505" s="40"/>
      <c r="AA505" s="40"/>
      <c r="AB505" s="40"/>
      <c r="AC505" s="41"/>
      <c r="AD505" s="41"/>
      <c r="AE505" s="41"/>
      <c r="AF505" s="41"/>
      <c r="AG505" s="41"/>
      <c r="AH505" s="40"/>
      <c r="AI505" s="40"/>
      <c r="AJ505" s="5"/>
      <c r="AK505" s="5"/>
      <c r="AL505" s="40"/>
      <c r="AM505" s="40"/>
      <c r="AN505" s="40"/>
      <c r="AO505" s="40"/>
      <c r="AP505" s="40"/>
      <c r="AQ505" s="40"/>
      <c r="AR505" s="40"/>
      <c r="AS505" s="40"/>
      <c r="AU505" s="40"/>
      <c r="AW505" s="40"/>
    </row>
    <row r="506" spans="2:49" ht="12.75" customHeight="1" x14ac:dyDescent="0.15">
      <c r="B506" s="40"/>
      <c r="C506" s="40"/>
      <c r="D506" s="40"/>
      <c r="E506" s="40"/>
      <c r="F506" s="40"/>
      <c r="G506" s="40"/>
      <c r="H506" s="40"/>
      <c r="I506" s="53"/>
      <c r="S506" s="40"/>
      <c r="T506" s="40"/>
      <c r="U506" s="40"/>
      <c r="V506" s="40"/>
      <c r="W506" s="40"/>
      <c r="Y506" s="40"/>
      <c r="Z506" s="40"/>
      <c r="AA506" s="40"/>
      <c r="AB506" s="40"/>
      <c r="AC506" s="41"/>
      <c r="AD506" s="41"/>
      <c r="AE506" s="41"/>
      <c r="AF506" s="41"/>
      <c r="AG506" s="41"/>
      <c r="AH506" s="40"/>
      <c r="AI506" s="40"/>
      <c r="AJ506" s="5"/>
      <c r="AK506" s="5"/>
      <c r="AL506" s="40"/>
      <c r="AM506" s="40"/>
      <c r="AN506" s="40"/>
      <c r="AO506" s="40"/>
      <c r="AP506" s="40"/>
      <c r="AQ506" s="40"/>
      <c r="AR506" s="40"/>
      <c r="AS506" s="40"/>
      <c r="AU506" s="40"/>
      <c r="AW506" s="40"/>
    </row>
    <row r="507" spans="2:49" ht="12.75" customHeight="1" x14ac:dyDescent="0.15">
      <c r="B507" s="40"/>
      <c r="C507" s="40"/>
      <c r="D507" s="40"/>
      <c r="E507" s="40"/>
      <c r="F507" s="40"/>
      <c r="G507" s="40"/>
      <c r="H507" s="40"/>
      <c r="I507" s="53"/>
      <c r="S507" s="40"/>
      <c r="T507" s="40"/>
      <c r="U507" s="40"/>
      <c r="V507" s="40"/>
      <c r="W507" s="40"/>
      <c r="Y507" s="40"/>
      <c r="Z507" s="40"/>
      <c r="AA507" s="40"/>
      <c r="AB507" s="40"/>
      <c r="AC507" s="41"/>
      <c r="AD507" s="41"/>
      <c r="AE507" s="41"/>
      <c r="AF507" s="41"/>
      <c r="AG507" s="41"/>
      <c r="AH507" s="40"/>
      <c r="AI507" s="40"/>
      <c r="AJ507" s="5"/>
      <c r="AK507" s="5"/>
      <c r="AL507" s="40"/>
      <c r="AM507" s="40"/>
      <c r="AN507" s="40"/>
      <c r="AO507" s="40"/>
      <c r="AP507" s="40"/>
      <c r="AQ507" s="40"/>
      <c r="AR507" s="40"/>
      <c r="AS507" s="40"/>
      <c r="AU507" s="40"/>
      <c r="AW507" s="40"/>
    </row>
    <row r="508" spans="2:49" ht="12.75" customHeight="1" x14ac:dyDescent="0.15">
      <c r="B508" s="40"/>
      <c r="C508" s="40"/>
      <c r="D508" s="40"/>
      <c r="E508" s="40"/>
      <c r="F508" s="40"/>
      <c r="G508" s="40"/>
      <c r="H508" s="40"/>
      <c r="I508" s="53"/>
      <c r="S508" s="40"/>
      <c r="T508" s="40"/>
      <c r="U508" s="40"/>
      <c r="V508" s="40"/>
      <c r="W508" s="40"/>
      <c r="Y508" s="40"/>
      <c r="Z508" s="40"/>
      <c r="AA508" s="40"/>
      <c r="AB508" s="40"/>
      <c r="AC508" s="41"/>
      <c r="AD508" s="41"/>
      <c r="AE508" s="41"/>
      <c r="AF508" s="41"/>
      <c r="AG508" s="41"/>
      <c r="AH508" s="40"/>
      <c r="AI508" s="40"/>
      <c r="AJ508" s="5"/>
      <c r="AK508" s="5"/>
      <c r="AL508" s="40"/>
      <c r="AM508" s="40"/>
      <c r="AN508" s="40"/>
      <c r="AO508" s="40"/>
      <c r="AP508" s="40"/>
      <c r="AQ508" s="40"/>
      <c r="AR508" s="40"/>
      <c r="AS508" s="40"/>
      <c r="AU508" s="40"/>
      <c r="AW508" s="40"/>
    </row>
    <row r="509" spans="2:49" ht="12.75" customHeight="1" x14ac:dyDescent="0.15">
      <c r="B509" s="40"/>
      <c r="C509" s="40"/>
      <c r="D509" s="40"/>
      <c r="E509" s="40"/>
      <c r="F509" s="40"/>
      <c r="G509" s="40"/>
      <c r="H509" s="40"/>
      <c r="I509" s="53"/>
      <c r="S509" s="40"/>
      <c r="T509" s="40"/>
      <c r="U509" s="40"/>
      <c r="V509" s="40"/>
      <c r="W509" s="40"/>
      <c r="Y509" s="40"/>
      <c r="Z509" s="40"/>
      <c r="AA509" s="40"/>
      <c r="AB509" s="40"/>
      <c r="AC509" s="41"/>
      <c r="AD509" s="41"/>
      <c r="AE509" s="41"/>
      <c r="AF509" s="41"/>
      <c r="AG509" s="41"/>
      <c r="AH509" s="40"/>
      <c r="AI509" s="40"/>
      <c r="AJ509" s="5"/>
      <c r="AK509" s="5"/>
      <c r="AL509" s="40"/>
      <c r="AM509" s="40"/>
      <c r="AN509" s="40"/>
      <c r="AO509" s="40"/>
      <c r="AP509" s="40"/>
      <c r="AQ509" s="40"/>
      <c r="AR509" s="40"/>
      <c r="AS509" s="40"/>
      <c r="AU509" s="40"/>
      <c r="AW509" s="40"/>
    </row>
    <row r="510" spans="2:49" ht="12.75" customHeight="1" x14ac:dyDescent="0.15">
      <c r="B510" s="40"/>
      <c r="C510" s="40"/>
      <c r="D510" s="40"/>
      <c r="E510" s="40"/>
      <c r="F510" s="40"/>
      <c r="G510" s="40"/>
      <c r="H510" s="40"/>
      <c r="I510" s="53"/>
      <c r="S510" s="40"/>
      <c r="T510" s="40"/>
      <c r="U510" s="40"/>
      <c r="V510" s="40"/>
      <c r="W510" s="40"/>
      <c r="Y510" s="40"/>
      <c r="Z510" s="40"/>
      <c r="AA510" s="40"/>
      <c r="AB510" s="40"/>
      <c r="AC510" s="41"/>
      <c r="AD510" s="41"/>
      <c r="AE510" s="41"/>
      <c r="AF510" s="41"/>
      <c r="AG510" s="41"/>
      <c r="AH510" s="40"/>
      <c r="AI510" s="40"/>
      <c r="AJ510" s="5"/>
      <c r="AK510" s="5"/>
      <c r="AL510" s="40"/>
      <c r="AM510" s="40"/>
      <c r="AN510" s="40"/>
      <c r="AO510" s="40"/>
      <c r="AP510" s="40"/>
      <c r="AQ510" s="40"/>
      <c r="AR510" s="40"/>
      <c r="AS510" s="40"/>
      <c r="AU510" s="40"/>
      <c r="AW510" s="40"/>
    </row>
    <row r="511" spans="2:49" ht="12.75" customHeight="1" x14ac:dyDescent="0.15">
      <c r="B511" s="40"/>
      <c r="C511" s="40"/>
      <c r="D511" s="40"/>
      <c r="E511" s="40"/>
      <c r="F511" s="40"/>
      <c r="G511" s="40"/>
      <c r="H511" s="40"/>
      <c r="I511" s="53"/>
      <c r="S511" s="40"/>
      <c r="T511" s="40"/>
      <c r="U511" s="40"/>
      <c r="V511" s="40"/>
      <c r="W511" s="40"/>
      <c r="Y511" s="40"/>
      <c r="Z511" s="40"/>
      <c r="AA511" s="40"/>
      <c r="AB511" s="40"/>
      <c r="AC511" s="41"/>
      <c r="AD511" s="41"/>
      <c r="AE511" s="41"/>
      <c r="AF511" s="41"/>
      <c r="AG511" s="41"/>
      <c r="AH511" s="40"/>
      <c r="AI511" s="40"/>
      <c r="AJ511" s="5"/>
      <c r="AK511" s="5"/>
      <c r="AL511" s="40"/>
      <c r="AM511" s="40"/>
      <c r="AN511" s="40"/>
      <c r="AO511" s="40"/>
      <c r="AP511" s="40"/>
      <c r="AQ511" s="40"/>
      <c r="AR511" s="40"/>
      <c r="AS511" s="40"/>
      <c r="AU511" s="40"/>
      <c r="AW511" s="40"/>
    </row>
    <row r="512" spans="2:49" ht="12.75" customHeight="1" x14ac:dyDescent="0.15">
      <c r="B512" s="40"/>
      <c r="C512" s="40"/>
      <c r="D512" s="40"/>
      <c r="E512" s="40"/>
      <c r="F512" s="40"/>
      <c r="G512" s="40"/>
      <c r="H512" s="40"/>
      <c r="I512" s="53"/>
      <c r="S512" s="40"/>
      <c r="T512" s="40"/>
      <c r="U512" s="40"/>
      <c r="V512" s="40"/>
      <c r="W512" s="40"/>
      <c r="Y512" s="40"/>
      <c r="Z512" s="40"/>
      <c r="AA512" s="40"/>
      <c r="AB512" s="40"/>
      <c r="AC512" s="41"/>
      <c r="AD512" s="41"/>
      <c r="AE512" s="41"/>
      <c r="AF512" s="41"/>
      <c r="AG512" s="41"/>
      <c r="AH512" s="40"/>
      <c r="AI512" s="40"/>
      <c r="AJ512" s="5"/>
      <c r="AK512" s="5"/>
      <c r="AL512" s="40"/>
      <c r="AM512" s="40"/>
      <c r="AN512" s="40"/>
      <c r="AO512" s="40"/>
      <c r="AP512" s="40"/>
      <c r="AQ512" s="40"/>
      <c r="AR512" s="40"/>
      <c r="AS512" s="40"/>
      <c r="AU512" s="40"/>
      <c r="AW512" s="40"/>
    </row>
    <row r="513" spans="2:49" ht="12.75" customHeight="1" x14ac:dyDescent="0.15">
      <c r="B513" s="40"/>
      <c r="C513" s="40"/>
      <c r="D513" s="40"/>
      <c r="E513" s="40"/>
      <c r="F513" s="40"/>
      <c r="G513" s="40"/>
      <c r="H513" s="40"/>
      <c r="I513" s="53"/>
      <c r="S513" s="40"/>
      <c r="T513" s="40"/>
      <c r="U513" s="40"/>
      <c r="V513" s="40"/>
      <c r="W513" s="40"/>
      <c r="Y513" s="40"/>
      <c r="Z513" s="40"/>
      <c r="AA513" s="40"/>
      <c r="AB513" s="40"/>
      <c r="AC513" s="41"/>
      <c r="AD513" s="41"/>
      <c r="AE513" s="41"/>
      <c r="AF513" s="41"/>
      <c r="AG513" s="41"/>
      <c r="AH513" s="40"/>
      <c r="AI513" s="40"/>
      <c r="AJ513" s="5"/>
      <c r="AK513" s="5"/>
      <c r="AL513" s="40"/>
      <c r="AM513" s="40"/>
      <c r="AN513" s="40"/>
      <c r="AO513" s="40"/>
      <c r="AP513" s="40"/>
      <c r="AQ513" s="40"/>
      <c r="AR513" s="40"/>
      <c r="AS513" s="40"/>
      <c r="AU513" s="40"/>
      <c r="AW513" s="40"/>
    </row>
    <row r="514" spans="2:49" ht="12.75" customHeight="1" x14ac:dyDescent="0.15">
      <c r="B514" s="40"/>
      <c r="C514" s="40"/>
      <c r="D514" s="40"/>
      <c r="E514" s="40"/>
      <c r="F514" s="40"/>
      <c r="G514" s="40"/>
      <c r="H514" s="40"/>
      <c r="I514" s="53"/>
      <c r="S514" s="40"/>
      <c r="T514" s="40"/>
      <c r="U514" s="40"/>
      <c r="V514" s="40"/>
      <c r="W514" s="40"/>
      <c r="Y514" s="40"/>
      <c r="Z514" s="40"/>
      <c r="AA514" s="40"/>
      <c r="AB514" s="40"/>
      <c r="AC514" s="41"/>
      <c r="AD514" s="41"/>
      <c r="AE514" s="41"/>
      <c r="AF514" s="41"/>
      <c r="AG514" s="41"/>
      <c r="AH514" s="40"/>
      <c r="AI514" s="40"/>
      <c r="AJ514" s="5"/>
      <c r="AK514" s="5"/>
      <c r="AL514" s="40"/>
      <c r="AM514" s="40"/>
      <c r="AN514" s="40"/>
      <c r="AO514" s="40"/>
      <c r="AP514" s="40"/>
      <c r="AQ514" s="40"/>
      <c r="AR514" s="40"/>
      <c r="AS514" s="40"/>
      <c r="AU514" s="40"/>
      <c r="AW514" s="40"/>
    </row>
    <row r="515" spans="2:49" ht="12.75" customHeight="1" x14ac:dyDescent="0.15">
      <c r="B515" s="40"/>
      <c r="C515" s="40"/>
      <c r="D515" s="40"/>
      <c r="E515" s="40"/>
      <c r="F515" s="40"/>
      <c r="G515" s="40"/>
      <c r="H515" s="40"/>
      <c r="I515" s="53"/>
      <c r="S515" s="40"/>
      <c r="T515" s="40"/>
      <c r="U515" s="40"/>
      <c r="V515" s="40"/>
      <c r="W515" s="40"/>
      <c r="Y515" s="40"/>
      <c r="Z515" s="40"/>
      <c r="AA515" s="40"/>
      <c r="AB515" s="40"/>
      <c r="AC515" s="41"/>
      <c r="AD515" s="41"/>
      <c r="AE515" s="41"/>
      <c r="AF515" s="41"/>
      <c r="AG515" s="41"/>
      <c r="AH515" s="40"/>
      <c r="AI515" s="40"/>
      <c r="AJ515" s="5"/>
      <c r="AK515" s="5"/>
      <c r="AL515" s="40"/>
      <c r="AM515" s="40"/>
      <c r="AN515" s="40"/>
      <c r="AO515" s="40"/>
      <c r="AP515" s="40"/>
      <c r="AQ515" s="40"/>
      <c r="AR515" s="40"/>
      <c r="AS515" s="40"/>
      <c r="AU515" s="40"/>
      <c r="AW515" s="40"/>
    </row>
    <row r="516" spans="2:49" ht="12.75" customHeight="1" x14ac:dyDescent="0.15">
      <c r="B516" s="40"/>
      <c r="C516" s="40"/>
      <c r="D516" s="40"/>
      <c r="E516" s="40"/>
      <c r="F516" s="40"/>
      <c r="G516" s="40"/>
      <c r="H516" s="40"/>
      <c r="I516" s="53"/>
      <c r="S516" s="40"/>
      <c r="T516" s="40"/>
      <c r="U516" s="40"/>
      <c r="V516" s="40"/>
      <c r="W516" s="40"/>
      <c r="Y516" s="40"/>
      <c r="Z516" s="40"/>
      <c r="AA516" s="40"/>
      <c r="AB516" s="40"/>
      <c r="AC516" s="41"/>
      <c r="AD516" s="41"/>
      <c r="AE516" s="41"/>
      <c r="AF516" s="41"/>
      <c r="AG516" s="41"/>
      <c r="AH516" s="40"/>
      <c r="AI516" s="40"/>
      <c r="AJ516" s="5"/>
      <c r="AK516" s="5"/>
      <c r="AL516" s="40"/>
      <c r="AM516" s="40"/>
      <c r="AN516" s="40"/>
      <c r="AO516" s="40"/>
      <c r="AP516" s="40"/>
      <c r="AQ516" s="40"/>
      <c r="AR516" s="40"/>
      <c r="AS516" s="40"/>
      <c r="AU516" s="40"/>
      <c r="AW516" s="40"/>
    </row>
    <row r="517" spans="2:49" ht="12.75" customHeight="1" x14ac:dyDescent="0.15">
      <c r="B517" s="40"/>
      <c r="C517" s="40"/>
      <c r="D517" s="40"/>
      <c r="E517" s="40"/>
      <c r="F517" s="40"/>
      <c r="G517" s="40"/>
      <c r="H517" s="40"/>
      <c r="I517" s="53"/>
      <c r="S517" s="40"/>
      <c r="T517" s="40"/>
      <c r="U517" s="40"/>
      <c r="V517" s="40"/>
      <c r="W517" s="40"/>
      <c r="Y517" s="40"/>
      <c r="Z517" s="40"/>
      <c r="AA517" s="40"/>
      <c r="AB517" s="40"/>
      <c r="AC517" s="41"/>
      <c r="AD517" s="41"/>
      <c r="AE517" s="41"/>
      <c r="AF517" s="41"/>
      <c r="AG517" s="41"/>
      <c r="AH517" s="40"/>
      <c r="AI517" s="40"/>
      <c r="AJ517" s="5"/>
      <c r="AK517" s="5"/>
      <c r="AL517" s="40"/>
      <c r="AM517" s="40"/>
      <c r="AN517" s="40"/>
      <c r="AO517" s="40"/>
      <c r="AP517" s="40"/>
      <c r="AQ517" s="40"/>
      <c r="AR517" s="40"/>
      <c r="AS517" s="40"/>
      <c r="AU517" s="40"/>
      <c r="AW517" s="40"/>
    </row>
    <row r="518" spans="2:49" ht="12.75" customHeight="1" x14ac:dyDescent="0.15">
      <c r="B518" s="40"/>
      <c r="C518" s="40"/>
      <c r="D518" s="40"/>
      <c r="E518" s="40"/>
      <c r="F518" s="40"/>
      <c r="G518" s="40"/>
      <c r="H518" s="40"/>
      <c r="I518" s="53"/>
      <c r="S518" s="40"/>
      <c r="T518" s="40"/>
      <c r="U518" s="40"/>
      <c r="V518" s="40"/>
      <c r="W518" s="40"/>
      <c r="Y518" s="40"/>
      <c r="Z518" s="40"/>
      <c r="AA518" s="40"/>
      <c r="AB518" s="40"/>
      <c r="AC518" s="41"/>
      <c r="AD518" s="41"/>
      <c r="AE518" s="41"/>
      <c r="AF518" s="41"/>
      <c r="AG518" s="41"/>
      <c r="AH518" s="40"/>
      <c r="AI518" s="40"/>
      <c r="AJ518" s="5"/>
      <c r="AK518" s="5"/>
      <c r="AL518" s="40"/>
      <c r="AM518" s="40"/>
      <c r="AN518" s="40"/>
      <c r="AO518" s="40"/>
      <c r="AP518" s="40"/>
      <c r="AQ518" s="40"/>
      <c r="AR518" s="40"/>
      <c r="AS518" s="40"/>
      <c r="AU518" s="40"/>
      <c r="AW518" s="40"/>
    </row>
    <row r="519" spans="2:49" ht="12.75" customHeight="1" x14ac:dyDescent="0.15">
      <c r="B519" s="40"/>
      <c r="C519" s="40"/>
      <c r="D519" s="40"/>
      <c r="E519" s="40"/>
      <c r="F519" s="40"/>
      <c r="G519" s="40"/>
      <c r="H519" s="40"/>
      <c r="I519" s="53"/>
      <c r="S519" s="40"/>
      <c r="T519" s="40"/>
      <c r="U519" s="40"/>
      <c r="V519" s="40"/>
      <c r="W519" s="40"/>
      <c r="Y519" s="40"/>
      <c r="Z519" s="40"/>
      <c r="AA519" s="40"/>
      <c r="AB519" s="40"/>
      <c r="AC519" s="41"/>
      <c r="AD519" s="41"/>
      <c r="AE519" s="41"/>
      <c r="AF519" s="41"/>
      <c r="AG519" s="41"/>
      <c r="AH519" s="40"/>
      <c r="AI519" s="40"/>
      <c r="AJ519" s="5"/>
      <c r="AK519" s="5"/>
      <c r="AL519" s="40"/>
      <c r="AM519" s="40"/>
      <c r="AN519" s="40"/>
      <c r="AO519" s="40"/>
      <c r="AP519" s="40"/>
      <c r="AQ519" s="40"/>
      <c r="AR519" s="40"/>
      <c r="AS519" s="40"/>
      <c r="AU519" s="40"/>
      <c r="AW519" s="40"/>
    </row>
    <row r="520" spans="2:49" ht="12.75" customHeight="1" x14ac:dyDescent="0.15">
      <c r="B520" s="40"/>
      <c r="C520" s="40"/>
      <c r="D520" s="40"/>
      <c r="E520" s="40"/>
      <c r="F520" s="40"/>
      <c r="G520" s="40"/>
      <c r="H520" s="40"/>
      <c r="I520" s="53"/>
      <c r="S520" s="40"/>
      <c r="T520" s="40"/>
      <c r="U520" s="40"/>
      <c r="V520" s="40"/>
      <c r="W520" s="40"/>
      <c r="Y520" s="40"/>
      <c r="Z520" s="40"/>
      <c r="AA520" s="40"/>
      <c r="AB520" s="40"/>
      <c r="AC520" s="41"/>
      <c r="AD520" s="41"/>
      <c r="AE520" s="41"/>
      <c r="AF520" s="41"/>
      <c r="AG520" s="41"/>
      <c r="AH520" s="40"/>
      <c r="AI520" s="40"/>
      <c r="AJ520" s="5"/>
      <c r="AK520" s="5"/>
      <c r="AL520" s="40"/>
      <c r="AM520" s="40"/>
      <c r="AN520" s="40"/>
      <c r="AO520" s="40"/>
      <c r="AP520" s="40"/>
      <c r="AQ520" s="40"/>
      <c r="AR520" s="40"/>
      <c r="AS520" s="40"/>
      <c r="AU520" s="40"/>
      <c r="AW520" s="40"/>
    </row>
    <row r="521" spans="2:49" ht="12.75" customHeight="1" x14ac:dyDescent="0.15">
      <c r="B521" s="40"/>
      <c r="C521" s="40"/>
      <c r="D521" s="40"/>
      <c r="E521" s="40"/>
      <c r="F521" s="40"/>
      <c r="G521" s="40"/>
      <c r="H521" s="40"/>
      <c r="I521" s="53"/>
      <c r="S521" s="40"/>
      <c r="T521" s="40"/>
      <c r="U521" s="40"/>
      <c r="V521" s="40"/>
      <c r="W521" s="40"/>
      <c r="Y521" s="40"/>
      <c r="Z521" s="40"/>
      <c r="AA521" s="40"/>
      <c r="AB521" s="40"/>
      <c r="AC521" s="41"/>
      <c r="AD521" s="41"/>
      <c r="AE521" s="41"/>
      <c r="AF521" s="41"/>
      <c r="AG521" s="41"/>
      <c r="AH521" s="40"/>
      <c r="AI521" s="40"/>
      <c r="AJ521" s="5"/>
      <c r="AK521" s="5"/>
      <c r="AL521" s="40"/>
      <c r="AM521" s="40"/>
      <c r="AN521" s="40"/>
      <c r="AO521" s="40"/>
      <c r="AP521" s="40"/>
      <c r="AQ521" s="40"/>
      <c r="AR521" s="40"/>
      <c r="AS521" s="40"/>
      <c r="AU521" s="40"/>
      <c r="AW521" s="40"/>
    </row>
    <row r="522" spans="2:49" ht="12.75" customHeight="1" x14ac:dyDescent="0.15">
      <c r="B522" s="40"/>
      <c r="C522" s="40"/>
      <c r="D522" s="40"/>
      <c r="E522" s="40"/>
      <c r="F522" s="40"/>
      <c r="G522" s="40"/>
      <c r="H522" s="40"/>
      <c r="I522" s="53"/>
      <c r="S522" s="40"/>
      <c r="T522" s="40"/>
      <c r="U522" s="40"/>
      <c r="V522" s="40"/>
      <c r="W522" s="40"/>
      <c r="Y522" s="40"/>
      <c r="Z522" s="40"/>
      <c r="AA522" s="40"/>
      <c r="AB522" s="40"/>
      <c r="AC522" s="41"/>
      <c r="AD522" s="41"/>
      <c r="AE522" s="41"/>
      <c r="AF522" s="41"/>
      <c r="AG522" s="41"/>
      <c r="AH522" s="40"/>
      <c r="AI522" s="40"/>
      <c r="AJ522" s="5"/>
      <c r="AK522" s="5"/>
      <c r="AL522" s="40"/>
      <c r="AM522" s="40"/>
      <c r="AN522" s="40"/>
      <c r="AO522" s="40"/>
      <c r="AP522" s="40"/>
      <c r="AQ522" s="40"/>
      <c r="AR522" s="40"/>
      <c r="AS522" s="40"/>
      <c r="AU522" s="40"/>
      <c r="AW522" s="40"/>
    </row>
    <row r="523" spans="2:49" ht="12.75" customHeight="1" x14ac:dyDescent="0.15">
      <c r="B523" s="40"/>
      <c r="C523" s="40"/>
      <c r="D523" s="40"/>
      <c r="E523" s="40"/>
      <c r="F523" s="40"/>
      <c r="G523" s="40"/>
      <c r="H523" s="40"/>
      <c r="I523" s="53"/>
      <c r="S523" s="40"/>
      <c r="T523" s="40"/>
      <c r="U523" s="40"/>
      <c r="V523" s="40"/>
      <c r="W523" s="40"/>
      <c r="Y523" s="40"/>
      <c r="Z523" s="40"/>
      <c r="AA523" s="40"/>
      <c r="AB523" s="40"/>
      <c r="AC523" s="41"/>
      <c r="AD523" s="41"/>
      <c r="AE523" s="41"/>
      <c r="AF523" s="41"/>
      <c r="AG523" s="41"/>
      <c r="AH523" s="40"/>
      <c r="AI523" s="40"/>
      <c r="AJ523" s="5"/>
      <c r="AK523" s="5"/>
      <c r="AL523" s="40"/>
      <c r="AM523" s="40"/>
      <c r="AN523" s="40"/>
      <c r="AO523" s="40"/>
      <c r="AP523" s="40"/>
      <c r="AQ523" s="40"/>
      <c r="AR523" s="40"/>
      <c r="AS523" s="40"/>
      <c r="AU523" s="40"/>
      <c r="AW523" s="40"/>
    </row>
    <row r="524" spans="2:49" ht="12.75" customHeight="1" x14ac:dyDescent="0.15">
      <c r="B524" s="40"/>
      <c r="C524" s="40"/>
      <c r="D524" s="40"/>
      <c r="E524" s="40"/>
      <c r="F524" s="40"/>
      <c r="G524" s="40"/>
      <c r="H524" s="40"/>
      <c r="I524" s="53"/>
      <c r="S524" s="40"/>
      <c r="T524" s="40"/>
      <c r="U524" s="40"/>
      <c r="V524" s="40"/>
      <c r="W524" s="40"/>
      <c r="Y524" s="40"/>
      <c r="Z524" s="40"/>
      <c r="AA524" s="40"/>
      <c r="AB524" s="40"/>
      <c r="AC524" s="41"/>
      <c r="AD524" s="41"/>
      <c r="AE524" s="41"/>
      <c r="AF524" s="41"/>
      <c r="AG524" s="41"/>
      <c r="AH524" s="40"/>
      <c r="AI524" s="40"/>
      <c r="AJ524" s="5"/>
      <c r="AK524" s="5"/>
      <c r="AL524" s="40"/>
      <c r="AM524" s="40"/>
      <c r="AN524" s="40"/>
      <c r="AO524" s="40"/>
      <c r="AP524" s="40"/>
      <c r="AQ524" s="40"/>
      <c r="AR524" s="40"/>
      <c r="AS524" s="40"/>
      <c r="AU524" s="40"/>
      <c r="AW524" s="40"/>
    </row>
    <row r="525" spans="2:49" ht="12.75" customHeight="1" x14ac:dyDescent="0.15">
      <c r="B525" s="40"/>
      <c r="C525" s="40"/>
      <c r="D525" s="40"/>
      <c r="E525" s="40"/>
      <c r="F525" s="40"/>
      <c r="G525" s="40"/>
      <c r="H525" s="40"/>
      <c r="I525" s="53"/>
      <c r="S525" s="40"/>
      <c r="T525" s="40"/>
      <c r="U525" s="40"/>
      <c r="V525" s="40"/>
      <c r="W525" s="40"/>
      <c r="Y525" s="40"/>
      <c r="Z525" s="40"/>
      <c r="AA525" s="40"/>
      <c r="AB525" s="40"/>
      <c r="AC525" s="41"/>
      <c r="AD525" s="41"/>
      <c r="AE525" s="41"/>
      <c r="AF525" s="41"/>
      <c r="AG525" s="41"/>
      <c r="AH525" s="40"/>
      <c r="AI525" s="40"/>
      <c r="AJ525" s="5"/>
      <c r="AK525" s="5"/>
      <c r="AL525" s="40"/>
      <c r="AM525" s="40"/>
      <c r="AN525" s="40"/>
      <c r="AO525" s="40"/>
      <c r="AP525" s="40"/>
      <c r="AQ525" s="40"/>
      <c r="AR525" s="40"/>
      <c r="AS525" s="40"/>
      <c r="AU525" s="40"/>
      <c r="AW525" s="40"/>
    </row>
    <row r="526" spans="2:49" ht="12.75" customHeight="1" x14ac:dyDescent="0.15">
      <c r="B526" s="40"/>
      <c r="C526" s="40"/>
      <c r="D526" s="40"/>
      <c r="E526" s="40"/>
      <c r="F526" s="40"/>
      <c r="G526" s="40"/>
      <c r="H526" s="40"/>
      <c r="I526" s="53"/>
      <c r="S526" s="40"/>
      <c r="T526" s="40"/>
      <c r="U526" s="40"/>
      <c r="V526" s="40"/>
      <c r="W526" s="40"/>
      <c r="Y526" s="40"/>
      <c r="Z526" s="40"/>
      <c r="AA526" s="40"/>
      <c r="AB526" s="40"/>
      <c r="AC526" s="41"/>
      <c r="AD526" s="41"/>
      <c r="AE526" s="41"/>
      <c r="AF526" s="41"/>
      <c r="AG526" s="41"/>
      <c r="AH526" s="40"/>
      <c r="AI526" s="40"/>
      <c r="AJ526" s="5"/>
      <c r="AK526" s="5"/>
      <c r="AL526" s="40"/>
      <c r="AM526" s="40"/>
      <c r="AN526" s="40"/>
      <c r="AO526" s="40"/>
      <c r="AP526" s="40"/>
      <c r="AQ526" s="40"/>
      <c r="AR526" s="40"/>
      <c r="AS526" s="40"/>
      <c r="AU526" s="40"/>
      <c r="AW526" s="40"/>
    </row>
    <row r="527" spans="2:49" ht="12.75" customHeight="1" x14ac:dyDescent="0.15">
      <c r="B527" s="40"/>
      <c r="C527" s="40"/>
      <c r="D527" s="40"/>
      <c r="E527" s="40"/>
      <c r="F527" s="40"/>
      <c r="G527" s="40"/>
      <c r="H527" s="40"/>
      <c r="I527" s="53"/>
      <c r="S527" s="40"/>
      <c r="T527" s="40"/>
      <c r="U527" s="40"/>
      <c r="V527" s="40"/>
      <c r="W527" s="40"/>
      <c r="Y527" s="40"/>
      <c r="Z527" s="40"/>
      <c r="AA527" s="40"/>
      <c r="AB527" s="40"/>
      <c r="AC527" s="41"/>
      <c r="AD527" s="41"/>
      <c r="AE527" s="41"/>
      <c r="AF527" s="41"/>
      <c r="AG527" s="41"/>
      <c r="AH527" s="40"/>
      <c r="AI527" s="40"/>
      <c r="AJ527" s="5"/>
      <c r="AK527" s="5"/>
      <c r="AL527" s="40"/>
      <c r="AM527" s="40"/>
      <c r="AN527" s="40"/>
      <c r="AO527" s="40"/>
      <c r="AP527" s="40"/>
      <c r="AQ527" s="40"/>
      <c r="AR527" s="40"/>
      <c r="AS527" s="40"/>
      <c r="AU527" s="40"/>
      <c r="AW527" s="40"/>
    </row>
    <row r="528" spans="2:49" ht="12.75" customHeight="1" x14ac:dyDescent="0.15">
      <c r="B528" s="40"/>
      <c r="C528" s="40"/>
      <c r="D528" s="40"/>
      <c r="E528" s="40"/>
      <c r="F528" s="40"/>
      <c r="G528" s="40"/>
      <c r="H528" s="40"/>
      <c r="I528" s="53"/>
      <c r="S528" s="40"/>
      <c r="T528" s="40"/>
      <c r="U528" s="40"/>
      <c r="V528" s="40"/>
      <c r="W528" s="40"/>
      <c r="Y528" s="40"/>
      <c r="Z528" s="40"/>
      <c r="AA528" s="40"/>
      <c r="AB528" s="40"/>
      <c r="AC528" s="41"/>
      <c r="AD528" s="41"/>
      <c r="AE528" s="41"/>
      <c r="AF528" s="41"/>
      <c r="AG528" s="41"/>
      <c r="AH528" s="40"/>
      <c r="AI528" s="40"/>
      <c r="AJ528" s="5"/>
      <c r="AK528" s="5"/>
      <c r="AL528" s="40"/>
      <c r="AM528" s="40"/>
      <c r="AN528" s="40"/>
      <c r="AO528" s="40"/>
      <c r="AP528" s="40"/>
      <c r="AQ528" s="40"/>
      <c r="AR528" s="40"/>
      <c r="AS528" s="40"/>
      <c r="AU528" s="40"/>
      <c r="AW528" s="40"/>
    </row>
    <row r="529" spans="2:49" ht="12.75" customHeight="1" x14ac:dyDescent="0.15">
      <c r="B529" s="40"/>
      <c r="C529" s="40"/>
      <c r="D529" s="40"/>
      <c r="E529" s="40"/>
      <c r="F529" s="40"/>
      <c r="G529" s="40"/>
      <c r="H529" s="40"/>
      <c r="I529" s="53"/>
      <c r="S529" s="40"/>
      <c r="T529" s="40"/>
      <c r="U529" s="40"/>
      <c r="V529" s="40"/>
      <c r="W529" s="40"/>
      <c r="Y529" s="40"/>
      <c r="Z529" s="40"/>
      <c r="AA529" s="40"/>
      <c r="AB529" s="40"/>
      <c r="AC529" s="41"/>
      <c r="AD529" s="41"/>
      <c r="AE529" s="41"/>
      <c r="AF529" s="41"/>
      <c r="AG529" s="41"/>
      <c r="AH529" s="40"/>
      <c r="AI529" s="40"/>
      <c r="AJ529" s="5"/>
      <c r="AK529" s="5"/>
      <c r="AL529" s="40"/>
      <c r="AM529" s="40"/>
      <c r="AN529" s="40"/>
      <c r="AO529" s="40"/>
      <c r="AP529" s="40"/>
      <c r="AQ529" s="40"/>
      <c r="AR529" s="40"/>
      <c r="AS529" s="40"/>
      <c r="AU529" s="40"/>
      <c r="AW529" s="40"/>
    </row>
    <row r="530" spans="2:49" ht="12.75" customHeight="1" x14ac:dyDescent="0.15">
      <c r="B530" s="40"/>
      <c r="C530" s="40"/>
      <c r="D530" s="40"/>
      <c r="E530" s="40"/>
      <c r="F530" s="40"/>
      <c r="G530" s="40"/>
      <c r="H530" s="40"/>
      <c r="I530" s="53"/>
      <c r="S530" s="40"/>
      <c r="T530" s="40"/>
      <c r="U530" s="40"/>
      <c r="V530" s="40"/>
      <c r="W530" s="40"/>
      <c r="Y530" s="40"/>
      <c r="Z530" s="40"/>
      <c r="AA530" s="40"/>
      <c r="AB530" s="40"/>
      <c r="AC530" s="41"/>
      <c r="AD530" s="41"/>
      <c r="AE530" s="41"/>
      <c r="AF530" s="41"/>
      <c r="AG530" s="41"/>
      <c r="AH530" s="40"/>
      <c r="AI530" s="40"/>
      <c r="AJ530" s="5"/>
      <c r="AK530" s="5"/>
      <c r="AL530" s="40"/>
      <c r="AM530" s="40"/>
      <c r="AN530" s="40"/>
      <c r="AO530" s="40"/>
      <c r="AP530" s="40"/>
      <c r="AQ530" s="40"/>
      <c r="AR530" s="40"/>
      <c r="AS530" s="40"/>
      <c r="AU530" s="40"/>
      <c r="AW530" s="40"/>
    </row>
    <row r="531" spans="2:49" ht="12.75" customHeight="1" x14ac:dyDescent="0.15">
      <c r="B531" s="40"/>
      <c r="C531" s="40"/>
      <c r="D531" s="40"/>
      <c r="E531" s="40"/>
      <c r="F531" s="40"/>
      <c r="G531" s="40"/>
      <c r="H531" s="40"/>
      <c r="I531" s="53"/>
      <c r="S531" s="40"/>
      <c r="T531" s="40"/>
      <c r="U531" s="40"/>
      <c r="V531" s="40"/>
      <c r="W531" s="40"/>
      <c r="Y531" s="40"/>
      <c r="Z531" s="40"/>
      <c r="AA531" s="40"/>
      <c r="AB531" s="40"/>
      <c r="AC531" s="41"/>
      <c r="AD531" s="41"/>
      <c r="AE531" s="41"/>
      <c r="AF531" s="41"/>
      <c r="AG531" s="41"/>
      <c r="AH531" s="40"/>
      <c r="AI531" s="40"/>
      <c r="AJ531" s="5"/>
      <c r="AK531" s="5"/>
      <c r="AL531" s="40"/>
      <c r="AM531" s="40"/>
      <c r="AN531" s="40"/>
      <c r="AO531" s="40"/>
      <c r="AP531" s="40"/>
      <c r="AQ531" s="40"/>
      <c r="AR531" s="40"/>
      <c r="AS531" s="40"/>
      <c r="AU531" s="40"/>
      <c r="AW531" s="40"/>
    </row>
    <row r="532" spans="2:49" ht="12.75" customHeight="1" x14ac:dyDescent="0.15">
      <c r="B532" s="40"/>
      <c r="C532" s="40"/>
      <c r="D532" s="40"/>
      <c r="E532" s="40"/>
      <c r="F532" s="40"/>
      <c r="G532" s="40"/>
      <c r="H532" s="40"/>
      <c r="I532" s="53"/>
      <c r="S532" s="40"/>
      <c r="T532" s="40"/>
      <c r="U532" s="40"/>
      <c r="V532" s="40"/>
      <c r="W532" s="40"/>
      <c r="Y532" s="40"/>
      <c r="Z532" s="40"/>
      <c r="AA532" s="40"/>
      <c r="AB532" s="40"/>
      <c r="AC532" s="41"/>
      <c r="AD532" s="41"/>
      <c r="AE532" s="41"/>
      <c r="AF532" s="41"/>
      <c r="AG532" s="41"/>
      <c r="AH532" s="40"/>
      <c r="AI532" s="40"/>
      <c r="AJ532" s="5"/>
      <c r="AK532" s="5"/>
      <c r="AL532" s="40"/>
      <c r="AM532" s="40"/>
      <c r="AN532" s="40"/>
      <c r="AO532" s="40"/>
      <c r="AP532" s="40"/>
      <c r="AQ532" s="40"/>
      <c r="AR532" s="40"/>
      <c r="AS532" s="40"/>
      <c r="AU532" s="40"/>
      <c r="AW532" s="40"/>
    </row>
    <row r="533" spans="2:49" ht="12.75" customHeight="1" x14ac:dyDescent="0.15">
      <c r="B533" s="40"/>
      <c r="C533" s="40"/>
      <c r="D533" s="40"/>
      <c r="E533" s="40"/>
      <c r="F533" s="40"/>
      <c r="G533" s="40"/>
      <c r="H533" s="40"/>
      <c r="I533" s="53"/>
      <c r="S533" s="40"/>
      <c r="T533" s="40"/>
      <c r="U533" s="40"/>
      <c r="V533" s="40"/>
      <c r="W533" s="40"/>
      <c r="Y533" s="40"/>
      <c r="Z533" s="40"/>
      <c r="AA533" s="40"/>
      <c r="AB533" s="40"/>
      <c r="AC533" s="41"/>
      <c r="AD533" s="41"/>
      <c r="AE533" s="41"/>
      <c r="AF533" s="41"/>
      <c r="AG533" s="41"/>
      <c r="AH533" s="40"/>
      <c r="AI533" s="40"/>
      <c r="AJ533" s="5"/>
      <c r="AK533" s="5"/>
      <c r="AL533" s="40"/>
      <c r="AM533" s="40"/>
      <c r="AN533" s="40"/>
      <c r="AO533" s="40"/>
      <c r="AP533" s="40"/>
      <c r="AQ533" s="40"/>
      <c r="AR533" s="40"/>
      <c r="AS533" s="40"/>
      <c r="AU533" s="40"/>
      <c r="AW533" s="40"/>
    </row>
    <row r="534" spans="2:49" ht="12.75" customHeight="1" x14ac:dyDescent="0.15">
      <c r="B534" s="40"/>
      <c r="C534" s="40"/>
      <c r="D534" s="40"/>
      <c r="E534" s="40"/>
      <c r="F534" s="40"/>
      <c r="G534" s="40"/>
      <c r="H534" s="40"/>
      <c r="I534" s="53"/>
      <c r="S534" s="40"/>
      <c r="T534" s="40"/>
      <c r="U534" s="40"/>
      <c r="V534" s="40"/>
      <c r="W534" s="40"/>
      <c r="Y534" s="40"/>
      <c r="Z534" s="40"/>
      <c r="AA534" s="40"/>
      <c r="AB534" s="40"/>
      <c r="AC534" s="41"/>
      <c r="AD534" s="41"/>
      <c r="AE534" s="41"/>
      <c r="AF534" s="41"/>
      <c r="AG534" s="41"/>
      <c r="AH534" s="40"/>
      <c r="AI534" s="40"/>
      <c r="AJ534" s="5"/>
      <c r="AK534" s="5"/>
      <c r="AL534" s="40"/>
      <c r="AM534" s="40"/>
      <c r="AN534" s="40"/>
      <c r="AO534" s="40"/>
      <c r="AP534" s="40"/>
      <c r="AQ534" s="40"/>
      <c r="AR534" s="40"/>
      <c r="AS534" s="40"/>
      <c r="AU534" s="40"/>
      <c r="AW534" s="40"/>
    </row>
    <row r="535" spans="2:49" ht="12.75" customHeight="1" x14ac:dyDescent="0.15">
      <c r="B535" s="40"/>
      <c r="C535" s="40"/>
      <c r="D535" s="40"/>
      <c r="E535" s="40"/>
      <c r="F535" s="40"/>
      <c r="G535" s="40"/>
      <c r="H535" s="40"/>
      <c r="I535" s="53"/>
      <c r="S535" s="40"/>
      <c r="T535" s="40"/>
      <c r="U535" s="40"/>
      <c r="V535" s="40"/>
      <c r="W535" s="40"/>
      <c r="Y535" s="40"/>
      <c r="Z535" s="40"/>
      <c r="AA535" s="40"/>
      <c r="AB535" s="40"/>
      <c r="AC535" s="41"/>
      <c r="AD535" s="41"/>
      <c r="AE535" s="41"/>
      <c r="AF535" s="41"/>
      <c r="AG535" s="41"/>
      <c r="AH535" s="40"/>
      <c r="AI535" s="40"/>
      <c r="AJ535" s="5"/>
      <c r="AK535" s="5"/>
      <c r="AL535" s="40"/>
      <c r="AM535" s="40"/>
      <c r="AN535" s="40"/>
      <c r="AO535" s="40"/>
      <c r="AP535" s="40"/>
      <c r="AQ535" s="40"/>
      <c r="AR535" s="40"/>
      <c r="AS535" s="40"/>
      <c r="AU535" s="40"/>
      <c r="AW535" s="40"/>
    </row>
    <row r="536" spans="2:49" ht="12.75" customHeight="1" x14ac:dyDescent="0.15">
      <c r="B536" s="40"/>
      <c r="C536" s="40"/>
      <c r="D536" s="40"/>
      <c r="E536" s="40"/>
      <c r="F536" s="40"/>
      <c r="G536" s="40"/>
      <c r="H536" s="40"/>
      <c r="I536" s="53"/>
      <c r="S536" s="40"/>
      <c r="T536" s="40"/>
      <c r="U536" s="40"/>
      <c r="V536" s="40"/>
      <c r="W536" s="40"/>
      <c r="Y536" s="40"/>
      <c r="Z536" s="40"/>
      <c r="AA536" s="40"/>
      <c r="AB536" s="40"/>
      <c r="AC536" s="41"/>
      <c r="AD536" s="41"/>
      <c r="AE536" s="41"/>
      <c r="AF536" s="41"/>
      <c r="AG536" s="41"/>
      <c r="AH536" s="40"/>
      <c r="AI536" s="40"/>
      <c r="AJ536" s="5"/>
      <c r="AK536" s="5"/>
      <c r="AL536" s="40"/>
      <c r="AM536" s="40"/>
      <c r="AN536" s="40"/>
      <c r="AO536" s="40"/>
      <c r="AP536" s="40"/>
      <c r="AQ536" s="40"/>
      <c r="AR536" s="40"/>
      <c r="AS536" s="40"/>
      <c r="AU536" s="40"/>
      <c r="AW536" s="40"/>
    </row>
    <row r="537" spans="2:49" ht="12.75" customHeight="1" x14ac:dyDescent="0.15">
      <c r="B537" s="40"/>
      <c r="C537" s="40"/>
      <c r="D537" s="40"/>
      <c r="E537" s="40"/>
      <c r="F537" s="40"/>
      <c r="G537" s="40"/>
      <c r="H537" s="40"/>
      <c r="I537" s="53"/>
      <c r="S537" s="40"/>
      <c r="T537" s="40"/>
      <c r="U537" s="40"/>
      <c r="V537" s="40"/>
      <c r="W537" s="40"/>
      <c r="Y537" s="40"/>
      <c r="Z537" s="40"/>
      <c r="AA537" s="40"/>
      <c r="AB537" s="40"/>
      <c r="AC537" s="41"/>
      <c r="AD537" s="41"/>
      <c r="AE537" s="41"/>
      <c r="AF537" s="41"/>
      <c r="AG537" s="41"/>
      <c r="AH537" s="40"/>
      <c r="AI537" s="40"/>
      <c r="AJ537" s="5"/>
      <c r="AK537" s="5"/>
      <c r="AL537" s="40"/>
      <c r="AM537" s="40"/>
      <c r="AN537" s="40"/>
      <c r="AO537" s="40"/>
      <c r="AP537" s="40"/>
      <c r="AQ537" s="40"/>
      <c r="AR537" s="40"/>
      <c r="AS537" s="40"/>
      <c r="AU537" s="40"/>
      <c r="AW537" s="40"/>
    </row>
    <row r="538" spans="2:49" ht="12.75" customHeight="1" x14ac:dyDescent="0.15">
      <c r="B538" s="40"/>
      <c r="C538" s="40"/>
      <c r="D538" s="40"/>
      <c r="E538" s="40"/>
      <c r="F538" s="40"/>
      <c r="G538" s="40"/>
      <c r="H538" s="40"/>
      <c r="I538" s="53"/>
      <c r="S538" s="40"/>
      <c r="T538" s="40"/>
      <c r="U538" s="40"/>
      <c r="V538" s="40"/>
      <c r="W538" s="40"/>
      <c r="Y538" s="40"/>
      <c r="Z538" s="40"/>
      <c r="AA538" s="40"/>
      <c r="AB538" s="40"/>
      <c r="AC538" s="41"/>
      <c r="AD538" s="41"/>
      <c r="AE538" s="41"/>
      <c r="AF538" s="41"/>
      <c r="AG538" s="41"/>
      <c r="AH538" s="40"/>
      <c r="AI538" s="40"/>
      <c r="AJ538" s="5"/>
      <c r="AK538" s="5"/>
      <c r="AL538" s="40"/>
      <c r="AM538" s="40"/>
      <c r="AN538" s="40"/>
      <c r="AO538" s="40"/>
      <c r="AP538" s="40"/>
      <c r="AQ538" s="40"/>
      <c r="AR538" s="40"/>
      <c r="AS538" s="40"/>
      <c r="AU538" s="40"/>
      <c r="AW538" s="40"/>
    </row>
    <row r="539" spans="2:49" ht="12.75" customHeight="1" x14ac:dyDescent="0.15">
      <c r="B539" s="40"/>
      <c r="C539" s="40"/>
      <c r="D539" s="40"/>
      <c r="E539" s="40"/>
      <c r="F539" s="40"/>
      <c r="G539" s="40"/>
      <c r="H539" s="40"/>
      <c r="I539" s="53"/>
      <c r="S539" s="40"/>
      <c r="T539" s="40"/>
      <c r="U539" s="40"/>
      <c r="V539" s="40"/>
      <c r="W539" s="40"/>
      <c r="Y539" s="40"/>
      <c r="Z539" s="40"/>
      <c r="AA539" s="40"/>
      <c r="AB539" s="40"/>
      <c r="AC539" s="41"/>
      <c r="AD539" s="41"/>
      <c r="AE539" s="41"/>
      <c r="AF539" s="41"/>
      <c r="AG539" s="41"/>
      <c r="AH539" s="40"/>
      <c r="AI539" s="40"/>
      <c r="AJ539" s="5"/>
      <c r="AK539" s="5"/>
      <c r="AL539" s="40"/>
      <c r="AM539" s="40"/>
      <c r="AN539" s="40"/>
      <c r="AO539" s="40"/>
      <c r="AP539" s="40"/>
      <c r="AQ539" s="40"/>
      <c r="AR539" s="40"/>
      <c r="AS539" s="40"/>
      <c r="AU539" s="40"/>
      <c r="AW539" s="40"/>
    </row>
    <row r="540" spans="2:49" ht="12.75" customHeight="1" x14ac:dyDescent="0.15">
      <c r="B540" s="40"/>
      <c r="C540" s="40"/>
      <c r="D540" s="40"/>
      <c r="E540" s="40"/>
      <c r="F540" s="40"/>
      <c r="G540" s="40"/>
      <c r="H540" s="40"/>
      <c r="I540" s="53"/>
      <c r="S540" s="40"/>
      <c r="T540" s="40"/>
      <c r="U540" s="40"/>
      <c r="V540" s="40"/>
      <c r="W540" s="40"/>
      <c r="Y540" s="40"/>
      <c r="Z540" s="40"/>
      <c r="AA540" s="40"/>
      <c r="AB540" s="40"/>
      <c r="AC540" s="41"/>
      <c r="AD540" s="41"/>
      <c r="AE540" s="41"/>
      <c r="AF540" s="41"/>
      <c r="AG540" s="41"/>
      <c r="AH540" s="40"/>
      <c r="AI540" s="40"/>
      <c r="AJ540" s="5"/>
      <c r="AK540" s="5"/>
      <c r="AL540" s="40"/>
      <c r="AM540" s="40"/>
      <c r="AN540" s="40"/>
      <c r="AO540" s="40"/>
      <c r="AP540" s="40"/>
      <c r="AQ540" s="40"/>
      <c r="AR540" s="40"/>
      <c r="AS540" s="40"/>
      <c r="AU540" s="40"/>
      <c r="AW540" s="40"/>
    </row>
    <row r="541" spans="2:49" ht="12.75" customHeight="1" x14ac:dyDescent="0.15">
      <c r="B541" s="40"/>
      <c r="C541" s="40"/>
      <c r="D541" s="40"/>
      <c r="E541" s="40"/>
      <c r="F541" s="40"/>
      <c r="G541" s="40"/>
      <c r="H541" s="40"/>
      <c r="I541" s="53"/>
      <c r="S541" s="40"/>
      <c r="T541" s="40"/>
      <c r="U541" s="40"/>
      <c r="V541" s="40"/>
      <c r="W541" s="40"/>
      <c r="Y541" s="40"/>
      <c r="Z541" s="40"/>
      <c r="AA541" s="40"/>
      <c r="AB541" s="40"/>
      <c r="AC541" s="41"/>
      <c r="AD541" s="41"/>
      <c r="AE541" s="41"/>
      <c r="AF541" s="41"/>
      <c r="AG541" s="41"/>
      <c r="AH541" s="40"/>
      <c r="AI541" s="40"/>
      <c r="AJ541" s="5"/>
      <c r="AK541" s="5"/>
      <c r="AL541" s="40"/>
      <c r="AM541" s="40"/>
      <c r="AN541" s="40"/>
      <c r="AO541" s="40"/>
      <c r="AP541" s="40"/>
      <c r="AQ541" s="40"/>
      <c r="AR541" s="40"/>
      <c r="AS541" s="40"/>
      <c r="AU541" s="40"/>
      <c r="AW541" s="40"/>
    </row>
    <row r="542" spans="2:49" ht="12.75" customHeight="1" x14ac:dyDescent="0.15">
      <c r="B542" s="40"/>
      <c r="C542" s="40"/>
      <c r="D542" s="40"/>
      <c r="E542" s="40"/>
      <c r="F542" s="40"/>
      <c r="G542" s="40"/>
      <c r="H542" s="40"/>
      <c r="I542" s="53"/>
      <c r="S542" s="40"/>
      <c r="T542" s="40"/>
      <c r="U542" s="40"/>
      <c r="V542" s="40"/>
      <c r="W542" s="40"/>
      <c r="Y542" s="40"/>
      <c r="Z542" s="40"/>
      <c r="AA542" s="40"/>
      <c r="AB542" s="40"/>
      <c r="AC542" s="41"/>
      <c r="AD542" s="41"/>
      <c r="AE542" s="41"/>
      <c r="AF542" s="41"/>
      <c r="AG542" s="41"/>
      <c r="AH542" s="40"/>
      <c r="AI542" s="40"/>
      <c r="AJ542" s="5"/>
      <c r="AK542" s="5"/>
      <c r="AL542" s="40"/>
      <c r="AM542" s="40"/>
      <c r="AN542" s="40"/>
      <c r="AO542" s="40"/>
      <c r="AP542" s="40"/>
      <c r="AQ542" s="40"/>
      <c r="AR542" s="40"/>
      <c r="AS542" s="40"/>
      <c r="AU542" s="40"/>
      <c r="AW542" s="40"/>
    </row>
    <row r="543" spans="2:49" ht="12.75" customHeight="1" x14ac:dyDescent="0.15">
      <c r="B543" s="40"/>
      <c r="C543" s="40"/>
      <c r="D543" s="40"/>
      <c r="E543" s="40"/>
      <c r="F543" s="40"/>
      <c r="G543" s="40"/>
      <c r="H543" s="40"/>
      <c r="I543" s="53"/>
      <c r="S543" s="40"/>
      <c r="T543" s="40"/>
      <c r="U543" s="40"/>
      <c r="V543" s="40"/>
      <c r="W543" s="40"/>
      <c r="Y543" s="40"/>
      <c r="Z543" s="40"/>
      <c r="AA543" s="40"/>
      <c r="AB543" s="40"/>
      <c r="AC543" s="41"/>
      <c r="AD543" s="41"/>
      <c r="AE543" s="41"/>
      <c r="AF543" s="41"/>
      <c r="AG543" s="41"/>
      <c r="AH543" s="40"/>
      <c r="AI543" s="40"/>
      <c r="AJ543" s="5"/>
      <c r="AK543" s="5"/>
      <c r="AL543" s="40"/>
      <c r="AM543" s="40"/>
      <c r="AN543" s="40"/>
      <c r="AO543" s="40"/>
      <c r="AP543" s="40"/>
      <c r="AQ543" s="40"/>
      <c r="AR543" s="40"/>
      <c r="AS543" s="40"/>
      <c r="AU543" s="40"/>
      <c r="AW543" s="40"/>
    </row>
    <row r="544" spans="2:49" ht="12.75" customHeight="1" x14ac:dyDescent="0.15">
      <c r="B544" s="40"/>
      <c r="C544" s="40"/>
      <c r="D544" s="40"/>
      <c r="E544" s="40"/>
      <c r="F544" s="40"/>
      <c r="G544" s="40"/>
      <c r="H544" s="40"/>
      <c r="I544" s="53"/>
      <c r="S544" s="40"/>
      <c r="T544" s="40"/>
      <c r="U544" s="40"/>
      <c r="V544" s="40"/>
      <c r="W544" s="40"/>
      <c r="Y544" s="40"/>
      <c r="Z544" s="40"/>
      <c r="AA544" s="40"/>
      <c r="AB544" s="40"/>
      <c r="AC544" s="41"/>
      <c r="AD544" s="41"/>
      <c r="AE544" s="41"/>
      <c r="AF544" s="41"/>
      <c r="AG544" s="41"/>
      <c r="AH544" s="40"/>
      <c r="AI544" s="40"/>
      <c r="AJ544" s="5"/>
      <c r="AK544" s="5"/>
      <c r="AL544" s="40"/>
      <c r="AM544" s="40"/>
      <c r="AN544" s="40"/>
      <c r="AO544" s="40"/>
      <c r="AP544" s="40"/>
      <c r="AQ544" s="40"/>
      <c r="AR544" s="40"/>
      <c r="AS544" s="40"/>
      <c r="AU544" s="40"/>
      <c r="AW544" s="40"/>
    </row>
    <row r="545" spans="2:49" ht="12.75" customHeight="1" x14ac:dyDescent="0.15">
      <c r="B545" s="40"/>
      <c r="C545" s="40"/>
      <c r="D545" s="40"/>
      <c r="E545" s="40"/>
      <c r="F545" s="40"/>
      <c r="G545" s="40"/>
      <c r="H545" s="40"/>
      <c r="I545" s="53"/>
      <c r="S545" s="40"/>
      <c r="T545" s="40"/>
      <c r="U545" s="40"/>
      <c r="V545" s="40"/>
      <c r="W545" s="40"/>
      <c r="Y545" s="40"/>
      <c r="Z545" s="40"/>
      <c r="AA545" s="40"/>
      <c r="AB545" s="40"/>
      <c r="AC545" s="41"/>
      <c r="AD545" s="41"/>
      <c r="AE545" s="41"/>
      <c r="AF545" s="41"/>
      <c r="AG545" s="41"/>
      <c r="AH545" s="40"/>
      <c r="AI545" s="40"/>
      <c r="AJ545" s="5"/>
      <c r="AK545" s="5"/>
      <c r="AL545" s="40"/>
      <c r="AM545" s="40"/>
      <c r="AN545" s="40"/>
      <c r="AO545" s="40"/>
      <c r="AP545" s="40"/>
      <c r="AQ545" s="40"/>
      <c r="AR545" s="40"/>
      <c r="AS545" s="40"/>
      <c r="AU545" s="40"/>
      <c r="AW545" s="40"/>
    </row>
    <row r="546" spans="2:49" ht="12.75" customHeight="1" x14ac:dyDescent="0.15">
      <c r="B546" s="40"/>
      <c r="C546" s="40"/>
      <c r="D546" s="40"/>
      <c r="E546" s="40"/>
      <c r="F546" s="40"/>
      <c r="G546" s="40"/>
      <c r="H546" s="40"/>
      <c r="I546" s="53"/>
      <c r="S546" s="40"/>
      <c r="T546" s="40"/>
      <c r="U546" s="40"/>
      <c r="V546" s="40"/>
      <c r="W546" s="40"/>
      <c r="Y546" s="40"/>
      <c r="Z546" s="40"/>
      <c r="AA546" s="40"/>
      <c r="AB546" s="40"/>
      <c r="AC546" s="41"/>
      <c r="AD546" s="41"/>
      <c r="AE546" s="41"/>
      <c r="AF546" s="41"/>
      <c r="AG546" s="41"/>
      <c r="AH546" s="40"/>
      <c r="AI546" s="40"/>
      <c r="AJ546" s="5"/>
      <c r="AK546" s="5"/>
      <c r="AL546" s="40"/>
      <c r="AM546" s="40"/>
      <c r="AN546" s="40"/>
      <c r="AO546" s="40"/>
      <c r="AP546" s="40"/>
      <c r="AQ546" s="40"/>
      <c r="AR546" s="40"/>
      <c r="AS546" s="40"/>
      <c r="AU546" s="40"/>
      <c r="AW546" s="40"/>
    </row>
    <row r="547" spans="2:49" ht="12.75" customHeight="1" x14ac:dyDescent="0.15">
      <c r="B547" s="40"/>
      <c r="C547" s="40"/>
      <c r="D547" s="40"/>
      <c r="E547" s="40"/>
      <c r="F547" s="40"/>
      <c r="G547" s="40"/>
      <c r="H547" s="40"/>
      <c r="I547" s="53"/>
      <c r="S547" s="40"/>
      <c r="T547" s="40"/>
      <c r="U547" s="40"/>
      <c r="V547" s="40"/>
      <c r="W547" s="40"/>
      <c r="Y547" s="40"/>
      <c r="Z547" s="40"/>
      <c r="AA547" s="40"/>
      <c r="AB547" s="40"/>
      <c r="AC547" s="41"/>
      <c r="AD547" s="41"/>
      <c r="AE547" s="41"/>
      <c r="AF547" s="41"/>
      <c r="AG547" s="41"/>
      <c r="AH547" s="40"/>
      <c r="AI547" s="40"/>
      <c r="AJ547" s="5"/>
      <c r="AK547" s="5"/>
      <c r="AL547" s="40"/>
      <c r="AM547" s="40"/>
      <c r="AN547" s="40"/>
      <c r="AO547" s="40"/>
      <c r="AP547" s="40"/>
      <c r="AQ547" s="40"/>
      <c r="AR547" s="40"/>
      <c r="AS547" s="40"/>
      <c r="AU547" s="40"/>
      <c r="AW547" s="40"/>
    </row>
    <row r="548" spans="2:49" ht="12.75" customHeight="1" x14ac:dyDescent="0.15">
      <c r="B548" s="40"/>
      <c r="C548" s="40"/>
      <c r="D548" s="40"/>
      <c r="E548" s="40"/>
      <c r="F548" s="40"/>
      <c r="G548" s="40"/>
      <c r="H548" s="40"/>
      <c r="I548" s="53"/>
      <c r="S548" s="40"/>
      <c r="T548" s="40"/>
      <c r="U548" s="40"/>
      <c r="V548" s="40"/>
      <c r="W548" s="40"/>
      <c r="Y548" s="40"/>
      <c r="Z548" s="40"/>
      <c r="AA548" s="40"/>
      <c r="AB548" s="40"/>
      <c r="AC548" s="41"/>
      <c r="AD548" s="41"/>
      <c r="AE548" s="41"/>
      <c r="AF548" s="41"/>
      <c r="AG548" s="41"/>
      <c r="AH548" s="40"/>
      <c r="AI548" s="40"/>
      <c r="AJ548" s="5"/>
      <c r="AK548" s="5"/>
      <c r="AL548" s="40"/>
      <c r="AM548" s="40"/>
      <c r="AN548" s="40"/>
      <c r="AO548" s="40"/>
      <c r="AP548" s="40"/>
      <c r="AQ548" s="40"/>
      <c r="AR548" s="40"/>
      <c r="AS548" s="40"/>
      <c r="AU548" s="40"/>
      <c r="AW548" s="40"/>
    </row>
    <row r="549" spans="2:49" ht="12.75" customHeight="1" x14ac:dyDescent="0.15">
      <c r="B549" s="40"/>
      <c r="C549" s="40"/>
      <c r="D549" s="40"/>
      <c r="E549" s="40"/>
      <c r="F549" s="40"/>
      <c r="G549" s="40"/>
      <c r="H549" s="40"/>
      <c r="I549" s="53"/>
      <c r="S549" s="40"/>
      <c r="T549" s="40"/>
      <c r="U549" s="40"/>
      <c r="V549" s="40"/>
      <c r="W549" s="40"/>
      <c r="Y549" s="40"/>
      <c r="Z549" s="40"/>
      <c r="AA549" s="40"/>
      <c r="AB549" s="40"/>
      <c r="AC549" s="41"/>
      <c r="AD549" s="41"/>
      <c r="AE549" s="41"/>
      <c r="AF549" s="41"/>
      <c r="AG549" s="41"/>
      <c r="AH549" s="40"/>
      <c r="AI549" s="40"/>
      <c r="AJ549" s="5"/>
      <c r="AK549" s="5"/>
      <c r="AL549" s="40"/>
      <c r="AM549" s="40"/>
      <c r="AN549" s="40"/>
      <c r="AO549" s="40"/>
      <c r="AP549" s="40"/>
      <c r="AQ549" s="40"/>
      <c r="AR549" s="40"/>
      <c r="AS549" s="40"/>
      <c r="AU549" s="40"/>
      <c r="AW549" s="40"/>
    </row>
    <row r="550" spans="2:49" ht="12.75" customHeight="1" x14ac:dyDescent="0.15">
      <c r="B550" s="40"/>
      <c r="C550" s="40"/>
      <c r="D550" s="40"/>
      <c r="E550" s="40"/>
      <c r="F550" s="40"/>
      <c r="G550" s="40"/>
      <c r="H550" s="40"/>
      <c r="I550" s="53"/>
      <c r="S550" s="40"/>
      <c r="T550" s="40"/>
      <c r="U550" s="40"/>
      <c r="V550" s="40"/>
      <c r="W550" s="40"/>
      <c r="Y550" s="40"/>
      <c r="Z550" s="40"/>
      <c r="AA550" s="40"/>
      <c r="AB550" s="40"/>
      <c r="AC550" s="41"/>
      <c r="AD550" s="41"/>
      <c r="AE550" s="41"/>
      <c r="AF550" s="41"/>
      <c r="AG550" s="41"/>
      <c r="AH550" s="40"/>
      <c r="AI550" s="40"/>
      <c r="AJ550" s="5"/>
      <c r="AK550" s="5"/>
      <c r="AL550" s="40"/>
      <c r="AM550" s="40"/>
      <c r="AN550" s="40"/>
      <c r="AO550" s="40"/>
      <c r="AP550" s="40"/>
      <c r="AQ550" s="40"/>
      <c r="AR550" s="40"/>
      <c r="AS550" s="40"/>
      <c r="AU550" s="40"/>
      <c r="AW550" s="40"/>
    </row>
    <row r="551" spans="2:49" ht="12.75" customHeight="1" x14ac:dyDescent="0.15">
      <c r="B551" s="40"/>
      <c r="C551" s="40"/>
      <c r="D551" s="40"/>
      <c r="E551" s="40"/>
      <c r="F551" s="40"/>
      <c r="G551" s="40"/>
      <c r="H551" s="40"/>
      <c r="I551" s="53"/>
      <c r="S551" s="40"/>
      <c r="T551" s="40"/>
      <c r="U551" s="40"/>
      <c r="V551" s="40"/>
      <c r="W551" s="40"/>
      <c r="Y551" s="40"/>
      <c r="Z551" s="40"/>
      <c r="AA551" s="40"/>
      <c r="AB551" s="40"/>
      <c r="AC551" s="41"/>
      <c r="AD551" s="41"/>
      <c r="AE551" s="41"/>
      <c r="AF551" s="41"/>
      <c r="AG551" s="41"/>
      <c r="AH551" s="40"/>
      <c r="AI551" s="40"/>
      <c r="AJ551" s="5"/>
      <c r="AK551" s="5"/>
      <c r="AL551" s="40"/>
      <c r="AM551" s="40"/>
      <c r="AN551" s="40"/>
      <c r="AO551" s="40"/>
      <c r="AP551" s="40"/>
      <c r="AQ551" s="40"/>
      <c r="AR551" s="40"/>
      <c r="AS551" s="40"/>
      <c r="AU551" s="40"/>
      <c r="AW551" s="40"/>
    </row>
    <row r="552" spans="2:49" ht="12.75" customHeight="1" x14ac:dyDescent="0.15">
      <c r="B552" s="40"/>
      <c r="C552" s="40"/>
      <c r="D552" s="40"/>
      <c r="E552" s="40"/>
      <c r="F552" s="40"/>
      <c r="G552" s="40"/>
      <c r="H552" s="40"/>
      <c r="I552" s="53"/>
      <c r="S552" s="40"/>
      <c r="T552" s="40"/>
      <c r="U552" s="40"/>
      <c r="V552" s="40"/>
      <c r="W552" s="40"/>
      <c r="Y552" s="40"/>
      <c r="Z552" s="40"/>
      <c r="AA552" s="40"/>
      <c r="AB552" s="40"/>
      <c r="AC552" s="41"/>
      <c r="AD552" s="41"/>
      <c r="AE552" s="41"/>
      <c r="AF552" s="41"/>
      <c r="AG552" s="41"/>
      <c r="AH552" s="40"/>
      <c r="AI552" s="40"/>
      <c r="AJ552" s="5"/>
      <c r="AK552" s="5"/>
      <c r="AL552" s="40"/>
      <c r="AM552" s="40"/>
      <c r="AN552" s="40"/>
      <c r="AO552" s="40"/>
      <c r="AP552" s="40"/>
      <c r="AQ552" s="40"/>
      <c r="AR552" s="40"/>
      <c r="AS552" s="40"/>
      <c r="AU552" s="40"/>
      <c r="AW552" s="40"/>
    </row>
    <row r="553" spans="2:49" ht="12.75" customHeight="1" x14ac:dyDescent="0.15">
      <c r="B553" s="40"/>
      <c r="C553" s="40"/>
      <c r="D553" s="40"/>
      <c r="E553" s="40"/>
      <c r="F553" s="40"/>
      <c r="G553" s="40"/>
      <c r="H553" s="40"/>
      <c r="I553" s="53"/>
      <c r="S553" s="40"/>
      <c r="T553" s="40"/>
      <c r="U553" s="40"/>
      <c r="V553" s="40"/>
      <c r="W553" s="40"/>
      <c r="Y553" s="40"/>
      <c r="Z553" s="40"/>
      <c r="AA553" s="40"/>
      <c r="AB553" s="40"/>
      <c r="AC553" s="41"/>
      <c r="AD553" s="41"/>
      <c r="AE553" s="41"/>
      <c r="AF553" s="41"/>
      <c r="AG553" s="41"/>
      <c r="AH553" s="40"/>
      <c r="AI553" s="40"/>
      <c r="AJ553" s="5"/>
      <c r="AK553" s="5"/>
      <c r="AL553" s="40"/>
      <c r="AM553" s="40"/>
      <c r="AN553" s="40"/>
      <c r="AO553" s="40"/>
      <c r="AP553" s="40"/>
      <c r="AQ553" s="40"/>
      <c r="AR553" s="40"/>
      <c r="AS553" s="40"/>
      <c r="AU553" s="40"/>
      <c r="AW553" s="40"/>
    </row>
    <row r="554" spans="2:49" ht="12.75" customHeight="1" x14ac:dyDescent="0.15">
      <c r="B554" s="40"/>
      <c r="C554" s="40"/>
      <c r="D554" s="40"/>
      <c r="E554" s="40"/>
      <c r="F554" s="40"/>
      <c r="G554" s="40"/>
      <c r="H554" s="40"/>
      <c r="I554" s="53"/>
      <c r="S554" s="40"/>
      <c r="T554" s="40"/>
      <c r="U554" s="40"/>
      <c r="V554" s="40"/>
      <c r="W554" s="40"/>
      <c r="Y554" s="40"/>
      <c r="Z554" s="40"/>
      <c r="AA554" s="40"/>
      <c r="AB554" s="40"/>
      <c r="AC554" s="41"/>
      <c r="AD554" s="41"/>
      <c r="AE554" s="41"/>
      <c r="AF554" s="41"/>
      <c r="AG554" s="41"/>
      <c r="AH554" s="40"/>
      <c r="AI554" s="40"/>
      <c r="AJ554" s="5"/>
      <c r="AK554" s="5"/>
      <c r="AL554" s="40"/>
      <c r="AM554" s="40"/>
      <c r="AN554" s="40"/>
      <c r="AO554" s="40"/>
      <c r="AP554" s="40"/>
      <c r="AQ554" s="40"/>
      <c r="AR554" s="40"/>
      <c r="AS554" s="40"/>
      <c r="AU554" s="40"/>
      <c r="AW554" s="40"/>
    </row>
    <row r="555" spans="2:49" ht="12.75" customHeight="1" x14ac:dyDescent="0.15">
      <c r="B555" s="40"/>
      <c r="C555" s="40"/>
      <c r="D555" s="40"/>
      <c r="E555" s="40"/>
      <c r="F555" s="40"/>
      <c r="G555" s="40"/>
      <c r="H555" s="40"/>
      <c r="I555" s="53"/>
      <c r="S555" s="40"/>
      <c r="T555" s="40"/>
      <c r="U555" s="40"/>
      <c r="V555" s="40"/>
      <c r="W555" s="40"/>
      <c r="Y555" s="40"/>
      <c r="Z555" s="40"/>
      <c r="AA555" s="40"/>
      <c r="AB555" s="40"/>
      <c r="AC555" s="41"/>
      <c r="AD555" s="41"/>
      <c r="AE555" s="41"/>
      <c r="AF555" s="41"/>
      <c r="AG555" s="41"/>
      <c r="AH555" s="40"/>
      <c r="AI555" s="40"/>
      <c r="AJ555" s="5"/>
      <c r="AK555" s="5"/>
      <c r="AL555" s="40"/>
      <c r="AM555" s="40"/>
      <c r="AN555" s="40"/>
      <c r="AO555" s="40"/>
      <c r="AP555" s="40"/>
      <c r="AQ555" s="40"/>
      <c r="AR555" s="40"/>
      <c r="AS555" s="40"/>
      <c r="AU555" s="40"/>
      <c r="AW555" s="40"/>
    </row>
    <row r="556" spans="2:49" ht="12.75" customHeight="1" x14ac:dyDescent="0.15">
      <c r="B556" s="40"/>
      <c r="C556" s="40"/>
      <c r="D556" s="40"/>
      <c r="E556" s="40"/>
      <c r="F556" s="40"/>
      <c r="G556" s="40"/>
      <c r="H556" s="40"/>
      <c r="I556" s="53"/>
      <c r="S556" s="40"/>
      <c r="T556" s="40"/>
      <c r="U556" s="40"/>
      <c r="V556" s="40"/>
      <c r="W556" s="40"/>
      <c r="Y556" s="40"/>
      <c r="Z556" s="40"/>
      <c r="AA556" s="40"/>
      <c r="AB556" s="40"/>
      <c r="AC556" s="41"/>
      <c r="AD556" s="41"/>
      <c r="AE556" s="41"/>
      <c r="AF556" s="41"/>
      <c r="AG556" s="41"/>
      <c r="AH556" s="40"/>
      <c r="AI556" s="40"/>
      <c r="AJ556" s="5"/>
      <c r="AK556" s="5"/>
      <c r="AL556" s="40"/>
      <c r="AM556" s="40"/>
      <c r="AN556" s="40"/>
      <c r="AO556" s="40"/>
      <c r="AP556" s="40"/>
      <c r="AQ556" s="40"/>
      <c r="AR556" s="40"/>
      <c r="AS556" s="40"/>
      <c r="AU556" s="40"/>
      <c r="AW556" s="40"/>
    </row>
    <row r="557" spans="2:49" ht="12.75" customHeight="1" x14ac:dyDescent="0.15">
      <c r="B557" s="40"/>
      <c r="C557" s="40"/>
      <c r="D557" s="40"/>
      <c r="E557" s="40"/>
      <c r="F557" s="40"/>
      <c r="G557" s="40"/>
      <c r="H557" s="40"/>
      <c r="I557" s="53"/>
      <c r="S557" s="40"/>
      <c r="T557" s="40"/>
      <c r="U557" s="40"/>
      <c r="V557" s="40"/>
      <c r="W557" s="40"/>
      <c r="Y557" s="40"/>
      <c r="Z557" s="40"/>
      <c r="AA557" s="40"/>
      <c r="AB557" s="40"/>
      <c r="AC557" s="41"/>
      <c r="AD557" s="41"/>
      <c r="AE557" s="41"/>
      <c r="AF557" s="41"/>
      <c r="AG557" s="41"/>
      <c r="AH557" s="40"/>
      <c r="AI557" s="40"/>
      <c r="AJ557" s="5"/>
      <c r="AK557" s="5"/>
      <c r="AL557" s="40"/>
      <c r="AM557" s="40"/>
      <c r="AN557" s="40"/>
      <c r="AO557" s="40"/>
      <c r="AP557" s="40"/>
      <c r="AQ557" s="40"/>
      <c r="AR557" s="40"/>
      <c r="AS557" s="40"/>
      <c r="AU557" s="40"/>
      <c r="AW557" s="40"/>
    </row>
    <row r="558" spans="2:49" ht="12.75" customHeight="1" x14ac:dyDescent="0.15">
      <c r="B558" s="40"/>
      <c r="C558" s="40"/>
      <c r="D558" s="40"/>
      <c r="E558" s="40"/>
      <c r="F558" s="40"/>
      <c r="G558" s="40"/>
      <c r="H558" s="40"/>
      <c r="I558" s="53"/>
      <c r="S558" s="40"/>
      <c r="T558" s="40"/>
      <c r="U558" s="40"/>
      <c r="V558" s="40"/>
      <c r="W558" s="40"/>
      <c r="Y558" s="40"/>
      <c r="Z558" s="40"/>
      <c r="AA558" s="40"/>
      <c r="AB558" s="40"/>
      <c r="AC558" s="41"/>
      <c r="AD558" s="41"/>
      <c r="AE558" s="41"/>
      <c r="AF558" s="41"/>
      <c r="AG558" s="41"/>
      <c r="AH558" s="40"/>
      <c r="AI558" s="40"/>
      <c r="AJ558" s="5"/>
      <c r="AK558" s="5"/>
      <c r="AL558" s="40"/>
      <c r="AM558" s="40"/>
      <c r="AN558" s="40"/>
      <c r="AO558" s="40"/>
      <c r="AP558" s="40"/>
      <c r="AQ558" s="40"/>
      <c r="AR558" s="40"/>
      <c r="AS558" s="40"/>
      <c r="AU558" s="40"/>
      <c r="AW558" s="40"/>
    </row>
    <row r="559" spans="2:49" ht="12.75" customHeight="1" x14ac:dyDescent="0.15">
      <c r="B559" s="40"/>
      <c r="C559" s="40"/>
      <c r="D559" s="40"/>
      <c r="E559" s="40"/>
      <c r="F559" s="40"/>
      <c r="G559" s="40"/>
      <c r="H559" s="40"/>
      <c r="I559" s="53"/>
      <c r="S559" s="40"/>
      <c r="T559" s="40"/>
      <c r="U559" s="40"/>
      <c r="V559" s="40"/>
      <c r="W559" s="40"/>
      <c r="Y559" s="40"/>
      <c r="Z559" s="40"/>
      <c r="AA559" s="40"/>
      <c r="AB559" s="40"/>
      <c r="AC559" s="41"/>
      <c r="AD559" s="41"/>
      <c r="AE559" s="41"/>
      <c r="AF559" s="41"/>
      <c r="AG559" s="41"/>
      <c r="AH559" s="40"/>
      <c r="AI559" s="40"/>
      <c r="AJ559" s="5"/>
      <c r="AK559" s="5"/>
      <c r="AL559" s="40"/>
      <c r="AM559" s="40"/>
      <c r="AN559" s="40"/>
      <c r="AO559" s="40"/>
      <c r="AP559" s="40"/>
      <c r="AQ559" s="40"/>
      <c r="AR559" s="40"/>
      <c r="AS559" s="40"/>
      <c r="AU559" s="40"/>
      <c r="AW559" s="40"/>
    </row>
    <row r="560" spans="2:49" ht="12.75" customHeight="1" x14ac:dyDescent="0.15">
      <c r="B560" s="40"/>
      <c r="C560" s="40"/>
      <c r="D560" s="40"/>
      <c r="E560" s="40"/>
      <c r="F560" s="40"/>
      <c r="G560" s="40"/>
      <c r="H560" s="40"/>
      <c r="I560" s="53"/>
      <c r="S560" s="40"/>
      <c r="T560" s="40"/>
      <c r="U560" s="40"/>
      <c r="V560" s="40"/>
      <c r="W560" s="40"/>
      <c r="Y560" s="40"/>
      <c r="Z560" s="40"/>
      <c r="AA560" s="40"/>
      <c r="AB560" s="40"/>
      <c r="AC560" s="41"/>
      <c r="AD560" s="41"/>
      <c r="AE560" s="41"/>
      <c r="AF560" s="41"/>
      <c r="AG560" s="41"/>
      <c r="AH560" s="40"/>
      <c r="AI560" s="40"/>
      <c r="AJ560" s="5"/>
      <c r="AK560" s="5"/>
      <c r="AL560" s="40"/>
      <c r="AM560" s="40"/>
      <c r="AN560" s="40"/>
      <c r="AO560" s="40"/>
      <c r="AP560" s="40"/>
      <c r="AQ560" s="40"/>
      <c r="AR560" s="40"/>
      <c r="AS560" s="40"/>
      <c r="AU560" s="40"/>
      <c r="AW560" s="40"/>
    </row>
    <row r="561" spans="2:49" ht="12.75" customHeight="1" x14ac:dyDescent="0.15">
      <c r="B561" s="40"/>
      <c r="C561" s="40"/>
      <c r="D561" s="40"/>
      <c r="E561" s="40"/>
      <c r="F561" s="40"/>
      <c r="G561" s="40"/>
      <c r="H561" s="40"/>
      <c r="I561" s="53"/>
      <c r="S561" s="40"/>
      <c r="T561" s="40"/>
      <c r="U561" s="40"/>
      <c r="V561" s="40"/>
      <c r="W561" s="40"/>
      <c r="Y561" s="40"/>
      <c r="Z561" s="40"/>
      <c r="AA561" s="40"/>
      <c r="AB561" s="40"/>
      <c r="AC561" s="41"/>
      <c r="AD561" s="41"/>
      <c r="AE561" s="41"/>
      <c r="AF561" s="41"/>
      <c r="AG561" s="41"/>
      <c r="AH561" s="40"/>
      <c r="AI561" s="40"/>
      <c r="AJ561" s="5"/>
      <c r="AK561" s="5"/>
      <c r="AL561" s="40"/>
      <c r="AM561" s="40"/>
      <c r="AN561" s="40"/>
      <c r="AO561" s="40"/>
      <c r="AP561" s="40"/>
      <c r="AQ561" s="40"/>
      <c r="AR561" s="40"/>
      <c r="AS561" s="40"/>
      <c r="AU561" s="40"/>
      <c r="AW561" s="40"/>
    </row>
    <row r="562" spans="2:49" ht="12.75" customHeight="1" x14ac:dyDescent="0.15">
      <c r="B562" s="40"/>
      <c r="C562" s="40"/>
      <c r="D562" s="40"/>
      <c r="E562" s="40"/>
      <c r="F562" s="40"/>
      <c r="G562" s="40"/>
      <c r="H562" s="40"/>
      <c r="I562" s="53"/>
      <c r="S562" s="40"/>
      <c r="T562" s="40"/>
      <c r="U562" s="40"/>
      <c r="V562" s="40"/>
      <c r="W562" s="40"/>
      <c r="Y562" s="40"/>
      <c r="Z562" s="40"/>
      <c r="AA562" s="40"/>
      <c r="AB562" s="40"/>
      <c r="AC562" s="41"/>
      <c r="AD562" s="41"/>
      <c r="AE562" s="41"/>
      <c r="AF562" s="41"/>
      <c r="AG562" s="41"/>
      <c r="AH562" s="40"/>
      <c r="AI562" s="40"/>
      <c r="AJ562" s="5"/>
      <c r="AK562" s="5"/>
      <c r="AL562" s="40"/>
      <c r="AM562" s="40"/>
      <c r="AN562" s="40"/>
      <c r="AO562" s="40"/>
      <c r="AP562" s="40"/>
      <c r="AQ562" s="40"/>
      <c r="AR562" s="40"/>
      <c r="AS562" s="40"/>
      <c r="AU562" s="40"/>
      <c r="AW562" s="40"/>
    </row>
    <row r="563" spans="2:49" ht="12.75" customHeight="1" x14ac:dyDescent="0.15">
      <c r="B563" s="40"/>
      <c r="C563" s="40"/>
      <c r="D563" s="40"/>
      <c r="E563" s="40"/>
      <c r="F563" s="40"/>
      <c r="G563" s="40"/>
      <c r="H563" s="40"/>
      <c r="I563" s="53"/>
      <c r="S563" s="40"/>
      <c r="T563" s="40"/>
      <c r="U563" s="40"/>
      <c r="V563" s="40"/>
      <c r="W563" s="40"/>
      <c r="Y563" s="40"/>
      <c r="Z563" s="40"/>
      <c r="AA563" s="40"/>
      <c r="AB563" s="40"/>
      <c r="AC563" s="41"/>
      <c r="AD563" s="41"/>
      <c r="AE563" s="41"/>
      <c r="AF563" s="41"/>
      <c r="AG563" s="41"/>
      <c r="AH563" s="40"/>
      <c r="AI563" s="40"/>
      <c r="AJ563" s="5"/>
      <c r="AK563" s="5"/>
      <c r="AL563" s="40"/>
      <c r="AM563" s="40"/>
      <c r="AN563" s="40"/>
      <c r="AO563" s="40"/>
      <c r="AP563" s="40"/>
      <c r="AQ563" s="40"/>
      <c r="AR563" s="40"/>
      <c r="AS563" s="40"/>
      <c r="AU563" s="40"/>
      <c r="AW563" s="40"/>
    </row>
    <row r="564" spans="2:49" ht="12.75" customHeight="1" x14ac:dyDescent="0.15">
      <c r="B564" s="40"/>
      <c r="C564" s="40"/>
      <c r="D564" s="40"/>
      <c r="E564" s="40"/>
      <c r="F564" s="40"/>
      <c r="G564" s="40"/>
      <c r="H564" s="40"/>
      <c r="I564" s="53"/>
      <c r="S564" s="40"/>
      <c r="T564" s="40"/>
      <c r="U564" s="40"/>
      <c r="V564" s="40"/>
      <c r="W564" s="40"/>
      <c r="Y564" s="40"/>
      <c r="Z564" s="40"/>
      <c r="AA564" s="40"/>
      <c r="AB564" s="40"/>
      <c r="AC564" s="41"/>
      <c r="AD564" s="41"/>
      <c r="AE564" s="41"/>
      <c r="AF564" s="41"/>
      <c r="AG564" s="41"/>
      <c r="AH564" s="40"/>
      <c r="AI564" s="40"/>
      <c r="AJ564" s="5"/>
      <c r="AK564" s="5"/>
      <c r="AL564" s="40"/>
      <c r="AM564" s="40"/>
      <c r="AN564" s="40"/>
      <c r="AO564" s="40"/>
      <c r="AP564" s="40"/>
      <c r="AQ564" s="40"/>
      <c r="AR564" s="40"/>
      <c r="AS564" s="40"/>
      <c r="AU564" s="40"/>
      <c r="AW564" s="40"/>
    </row>
    <row r="565" spans="2:49" ht="12.75" customHeight="1" x14ac:dyDescent="0.15">
      <c r="B565" s="40"/>
      <c r="C565" s="40"/>
      <c r="D565" s="40"/>
      <c r="E565" s="40"/>
      <c r="F565" s="40"/>
      <c r="G565" s="40"/>
      <c r="H565" s="40"/>
      <c r="I565" s="53"/>
      <c r="S565" s="40"/>
      <c r="T565" s="40"/>
      <c r="U565" s="40"/>
      <c r="V565" s="40"/>
      <c r="W565" s="40"/>
      <c r="Y565" s="40"/>
      <c r="Z565" s="40"/>
      <c r="AA565" s="40"/>
      <c r="AB565" s="40"/>
      <c r="AC565" s="41"/>
      <c r="AD565" s="41"/>
      <c r="AE565" s="41"/>
      <c r="AF565" s="41"/>
      <c r="AG565" s="41"/>
      <c r="AH565" s="40"/>
      <c r="AI565" s="40"/>
      <c r="AJ565" s="5"/>
      <c r="AK565" s="5"/>
      <c r="AL565" s="40"/>
      <c r="AM565" s="40"/>
      <c r="AN565" s="40"/>
      <c r="AO565" s="40"/>
      <c r="AP565" s="40"/>
      <c r="AQ565" s="40"/>
      <c r="AR565" s="40"/>
      <c r="AS565" s="40"/>
      <c r="AU565" s="40"/>
      <c r="AW565" s="40"/>
    </row>
    <row r="566" spans="2:49" ht="12.75" customHeight="1" x14ac:dyDescent="0.15">
      <c r="B566" s="40"/>
      <c r="C566" s="40"/>
      <c r="D566" s="40"/>
      <c r="E566" s="40"/>
      <c r="F566" s="40"/>
      <c r="G566" s="40"/>
      <c r="H566" s="40"/>
      <c r="I566" s="53"/>
      <c r="S566" s="40"/>
      <c r="T566" s="40"/>
      <c r="U566" s="40"/>
      <c r="V566" s="40"/>
      <c r="W566" s="40"/>
      <c r="Y566" s="40"/>
      <c r="Z566" s="40"/>
      <c r="AA566" s="40"/>
      <c r="AB566" s="40"/>
      <c r="AC566" s="41"/>
      <c r="AD566" s="41"/>
      <c r="AE566" s="41"/>
      <c r="AF566" s="41"/>
      <c r="AG566" s="41"/>
      <c r="AH566" s="40"/>
      <c r="AI566" s="40"/>
      <c r="AJ566" s="5"/>
      <c r="AK566" s="5"/>
      <c r="AL566" s="40"/>
      <c r="AM566" s="40"/>
      <c r="AN566" s="40"/>
      <c r="AO566" s="40"/>
      <c r="AP566" s="40"/>
      <c r="AQ566" s="40"/>
      <c r="AR566" s="40"/>
      <c r="AS566" s="40"/>
      <c r="AU566" s="40"/>
      <c r="AW566" s="40"/>
    </row>
    <row r="567" spans="2:49" ht="12.75" customHeight="1" x14ac:dyDescent="0.15">
      <c r="B567" s="40"/>
      <c r="C567" s="40"/>
      <c r="D567" s="40"/>
      <c r="E567" s="40"/>
      <c r="F567" s="40"/>
      <c r="G567" s="40"/>
      <c r="H567" s="40"/>
      <c r="I567" s="53"/>
      <c r="S567" s="40"/>
      <c r="T567" s="40"/>
      <c r="U567" s="40"/>
      <c r="V567" s="40"/>
      <c r="W567" s="40"/>
      <c r="Y567" s="40"/>
      <c r="Z567" s="40"/>
      <c r="AA567" s="40"/>
      <c r="AB567" s="40"/>
      <c r="AC567" s="41"/>
      <c r="AD567" s="41"/>
      <c r="AE567" s="41"/>
      <c r="AF567" s="41"/>
      <c r="AG567" s="41"/>
      <c r="AH567" s="40"/>
      <c r="AI567" s="40"/>
      <c r="AJ567" s="5"/>
      <c r="AK567" s="5"/>
      <c r="AL567" s="40"/>
      <c r="AM567" s="40"/>
      <c r="AN567" s="40"/>
      <c r="AO567" s="40"/>
      <c r="AP567" s="40"/>
      <c r="AQ567" s="40"/>
      <c r="AR567" s="40"/>
      <c r="AS567" s="40"/>
      <c r="AU567" s="40"/>
      <c r="AW567" s="40"/>
    </row>
    <row r="568" spans="2:49" ht="12.75" customHeight="1" x14ac:dyDescent="0.15">
      <c r="B568" s="40"/>
      <c r="C568" s="40"/>
      <c r="D568" s="40"/>
      <c r="E568" s="40"/>
      <c r="F568" s="40"/>
      <c r="G568" s="40"/>
      <c r="H568" s="40"/>
      <c r="I568" s="53"/>
      <c r="S568" s="40"/>
      <c r="T568" s="40"/>
      <c r="U568" s="40"/>
      <c r="V568" s="40"/>
      <c r="W568" s="40"/>
      <c r="Y568" s="40"/>
      <c r="Z568" s="40"/>
      <c r="AA568" s="40"/>
      <c r="AB568" s="40"/>
      <c r="AC568" s="41"/>
      <c r="AD568" s="41"/>
      <c r="AE568" s="41"/>
      <c r="AF568" s="41"/>
      <c r="AG568" s="41"/>
      <c r="AH568" s="40"/>
      <c r="AI568" s="40"/>
      <c r="AJ568" s="5"/>
      <c r="AK568" s="5"/>
      <c r="AL568" s="40"/>
      <c r="AM568" s="40"/>
      <c r="AN568" s="40"/>
      <c r="AO568" s="40"/>
      <c r="AP568" s="40"/>
      <c r="AQ568" s="40"/>
      <c r="AR568" s="40"/>
      <c r="AS568" s="40"/>
      <c r="AU568" s="40"/>
      <c r="AW568" s="40"/>
    </row>
    <row r="569" spans="2:49" ht="12.75" customHeight="1" x14ac:dyDescent="0.15">
      <c r="B569" s="40"/>
      <c r="C569" s="40"/>
      <c r="D569" s="40"/>
      <c r="E569" s="40"/>
      <c r="F569" s="40"/>
      <c r="G569" s="40"/>
      <c r="H569" s="40"/>
      <c r="I569" s="53"/>
      <c r="S569" s="40"/>
      <c r="T569" s="40"/>
      <c r="U569" s="40"/>
      <c r="V569" s="40"/>
      <c r="W569" s="40"/>
      <c r="Y569" s="40"/>
      <c r="Z569" s="40"/>
      <c r="AA569" s="40"/>
      <c r="AB569" s="40"/>
      <c r="AC569" s="41"/>
      <c r="AD569" s="41"/>
      <c r="AE569" s="41"/>
      <c r="AF569" s="41"/>
      <c r="AG569" s="41"/>
      <c r="AH569" s="40"/>
      <c r="AI569" s="40"/>
      <c r="AJ569" s="5"/>
      <c r="AK569" s="5"/>
      <c r="AL569" s="40"/>
      <c r="AM569" s="40"/>
      <c r="AN569" s="40"/>
      <c r="AO569" s="40"/>
      <c r="AP569" s="40"/>
      <c r="AQ569" s="40"/>
      <c r="AR569" s="40"/>
      <c r="AS569" s="40"/>
      <c r="AU569" s="40"/>
      <c r="AW569" s="40"/>
    </row>
    <row r="570" spans="2:49" ht="12.75" customHeight="1" x14ac:dyDescent="0.15">
      <c r="B570" s="40"/>
      <c r="C570" s="40"/>
      <c r="D570" s="40"/>
      <c r="E570" s="40"/>
      <c r="F570" s="40"/>
      <c r="G570" s="40"/>
      <c r="H570" s="40"/>
      <c r="I570" s="53"/>
      <c r="S570" s="40"/>
      <c r="T570" s="40"/>
      <c r="U570" s="40"/>
      <c r="V570" s="40"/>
      <c r="W570" s="40"/>
      <c r="Y570" s="40"/>
      <c r="Z570" s="40"/>
      <c r="AA570" s="40"/>
      <c r="AB570" s="40"/>
      <c r="AC570" s="41"/>
      <c r="AD570" s="41"/>
      <c r="AE570" s="41"/>
      <c r="AF570" s="41"/>
      <c r="AG570" s="41"/>
      <c r="AH570" s="40"/>
      <c r="AI570" s="40"/>
      <c r="AJ570" s="5"/>
      <c r="AK570" s="5"/>
      <c r="AL570" s="40"/>
      <c r="AM570" s="40"/>
      <c r="AN570" s="40"/>
      <c r="AO570" s="40"/>
      <c r="AP570" s="40"/>
      <c r="AQ570" s="40"/>
      <c r="AR570" s="40"/>
      <c r="AS570" s="40"/>
      <c r="AU570" s="40"/>
      <c r="AW570" s="40"/>
    </row>
    <row r="571" spans="2:49" ht="12.75" customHeight="1" x14ac:dyDescent="0.15">
      <c r="B571" s="40"/>
      <c r="C571" s="40"/>
      <c r="D571" s="40"/>
      <c r="E571" s="40"/>
      <c r="F571" s="40"/>
      <c r="G571" s="40"/>
      <c r="H571" s="40"/>
      <c r="I571" s="53"/>
      <c r="S571" s="40"/>
      <c r="T571" s="40"/>
      <c r="U571" s="40"/>
      <c r="V571" s="40"/>
      <c r="W571" s="40"/>
      <c r="Y571" s="40"/>
      <c r="Z571" s="40"/>
      <c r="AA571" s="40"/>
      <c r="AB571" s="40"/>
      <c r="AC571" s="41"/>
      <c r="AD571" s="41"/>
      <c r="AE571" s="41"/>
      <c r="AF571" s="41"/>
      <c r="AG571" s="41"/>
      <c r="AH571" s="40"/>
      <c r="AI571" s="40"/>
      <c r="AJ571" s="5"/>
      <c r="AK571" s="5"/>
      <c r="AL571" s="40"/>
      <c r="AM571" s="40"/>
      <c r="AN571" s="40"/>
      <c r="AO571" s="40"/>
      <c r="AP571" s="40"/>
      <c r="AQ571" s="40"/>
      <c r="AR571" s="40"/>
      <c r="AS571" s="40"/>
      <c r="AU571" s="40"/>
      <c r="AW571" s="40"/>
    </row>
    <row r="572" spans="2:49" ht="12.75" customHeight="1" x14ac:dyDescent="0.15">
      <c r="B572" s="40"/>
      <c r="C572" s="40"/>
      <c r="D572" s="40"/>
      <c r="E572" s="40"/>
      <c r="F572" s="40"/>
      <c r="G572" s="40"/>
      <c r="H572" s="40"/>
      <c r="I572" s="53"/>
      <c r="S572" s="40"/>
      <c r="T572" s="40"/>
      <c r="U572" s="40"/>
      <c r="V572" s="40"/>
      <c r="W572" s="40"/>
      <c r="Y572" s="40"/>
      <c r="Z572" s="40"/>
      <c r="AA572" s="40"/>
      <c r="AB572" s="40"/>
      <c r="AC572" s="41"/>
      <c r="AD572" s="41"/>
      <c r="AE572" s="41"/>
      <c r="AF572" s="41"/>
      <c r="AG572" s="41"/>
      <c r="AH572" s="40"/>
      <c r="AI572" s="40"/>
      <c r="AJ572" s="5"/>
      <c r="AK572" s="5"/>
      <c r="AL572" s="40"/>
      <c r="AM572" s="40"/>
      <c r="AN572" s="40"/>
      <c r="AO572" s="40"/>
      <c r="AP572" s="40"/>
      <c r="AQ572" s="40"/>
      <c r="AR572" s="40"/>
      <c r="AS572" s="40"/>
      <c r="AU572" s="40"/>
      <c r="AW572" s="40"/>
    </row>
    <row r="573" spans="2:49" ht="12.75" customHeight="1" x14ac:dyDescent="0.15">
      <c r="B573" s="40"/>
      <c r="C573" s="40"/>
      <c r="D573" s="40"/>
      <c r="E573" s="40"/>
      <c r="F573" s="40"/>
      <c r="G573" s="40"/>
      <c r="H573" s="40"/>
      <c r="I573" s="53"/>
      <c r="S573" s="40"/>
      <c r="T573" s="40"/>
      <c r="U573" s="40"/>
      <c r="V573" s="40"/>
      <c r="W573" s="40"/>
      <c r="Y573" s="40"/>
      <c r="Z573" s="40"/>
      <c r="AA573" s="40"/>
      <c r="AB573" s="40"/>
      <c r="AC573" s="41"/>
      <c r="AD573" s="41"/>
      <c r="AE573" s="41"/>
      <c r="AF573" s="41"/>
      <c r="AG573" s="41"/>
      <c r="AH573" s="40"/>
      <c r="AI573" s="40"/>
      <c r="AJ573" s="5"/>
      <c r="AK573" s="5"/>
      <c r="AL573" s="40"/>
      <c r="AM573" s="40"/>
      <c r="AN573" s="40"/>
      <c r="AO573" s="40"/>
      <c r="AP573" s="40"/>
      <c r="AQ573" s="40"/>
      <c r="AR573" s="40"/>
      <c r="AS573" s="40"/>
      <c r="AU573" s="40"/>
      <c r="AW573" s="40"/>
    </row>
    <row r="574" spans="2:49" ht="12.75" customHeight="1" x14ac:dyDescent="0.15">
      <c r="B574" s="40"/>
      <c r="C574" s="40"/>
      <c r="D574" s="40"/>
      <c r="E574" s="40"/>
      <c r="F574" s="40"/>
      <c r="G574" s="40"/>
      <c r="H574" s="40"/>
      <c r="I574" s="53"/>
      <c r="S574" s="40"/>
      <c r="T574" s="40"/>
      <c r="U574" s="40"/>
      <c r="V574" s="40"/>
      <c r="W574" s="40"/>
      <c r="Y574" s="40"/>
      <c r="Z574" s="40"/>
      <c r="AA574" s="40"/>
      <c r="AB574" s="40"/>
      <c r="AC574" s="41"/>
      <c r="AD574" s="41"/>
      <c r="AE574" s="41"/>
      <c r="AF574" s="41"/>
      <c r="AG574" s="41"/>
      <c r="AH574" s="40"/>
      <c r="AI574" s="40"/>
      <c r="AJ574" s="5"/>
      <c r="AK574" s="5"/>
      <c r="AL574" s="40"/>
      <c r="AM574" s="40"/>
      <c r="AN574" s="40"/>
      <c r="AO574" s="40"/>
      <c r="AP574" s="40"/>
      <c r="AQ574" s="40"/>
      <c r="AR574" s="40"/>
      <c r="AS574" s="40"/>
      <c r="AU574" s="40"/>
      <c r="AW574" s="40"/>
    </row>
    <row r="575" spans="2:49" ht="12.75" customHeight="1" x14ac:dyDescent="0.15">
      <c r="B575" s="40"/>
      <c r="C575" s="40"/>
      <c r="D575" s="40"/>
      <c r="E575" s="40"/>
      <c r="F575" s="40"/>
      <c r="G575" s="40"/>
      <c r="H575" s="40"/>
      <c r="I575" s="53"/>
      <c r="S575" s="40"/>
      <c r="T575" s="40"/>
      <c r="U575" s="40"/>
      <c r="V575" s="40"/>
      <c r="W575" s="40"/>
      <c r="Y575" s="40"/>
      <c r="Z575" s="40"/>
      <c r="AA575" s="40"/>
      <c r="AB575" s="40"/>
      <c r="AC575" s="41"/>
      <c r="AD575" s="41"/>
      <c r="AE575" s="41"/>
      <c r="AF575" s="41"/>
      <c r="AG575" s="41"/>
      <c r="AH575" s="40"/>
      <c r="AI575" s="40"/>
      <c r="AJ575" s="5"/>
      <c r="AK575" s="5"/>
      <c r="AL575" s="40"/>
      <c r="AM575" s="40"/>
      <c r="AN575" s="40"/>
      <c r="AO575" s="40"/>
      <c r="AP575" s="40"/>
      <c r="AQ575" s="40"/>
      <c r="AR575" s="40"/>
      <c r="AS575" s="40"/>
      <c r="AU575" s="40"/>
      <c r="AW575" s="40"/>
    </row>
    <row r="576" spans="2:49" ht="12.75" customHeight="1" x14ac:dyDescent="0.15">
      <c r="B576" s="40"/>
      <c r="C576" s="40"/>
      <c r="D576" s="40"/>
      <c r="E576" s="40"/>
      <c r="F576" s="40"/>
      <c r="G576" s="40"/>
      <c r="H576" s="40"/>
      <c r="I576" s="53"/>
      <c r="S576" s="40"/>
      <c r="T576" s="40"/>
      <c r="U576" s="40"/>
      <c r="V576" s="40"/>
      <c r="W576" s="40"/>
      <c r="Y576" s="40"/>
      <c r="Z576" s="40"/>
      <c r="AA576" s="40"/>
      <c r="AB576" s="40"/>
      <c r="AC576" s="41"/>
      <c r="AD576" s="41"/>
      <c r="AE576" s="41"/>
      <c r="AF576" s="41"/>
      <c r="AG576" s="41"/>
      <c r="AH576" s="40"/>
      <c r="AI576" s="40"/>
      <c r="AJ576" s="5"/>
      <c r="AK576" s="5"/>
      <c r="AL576" s="40"/>
      <c r="AM576" s="40"/>
      <c r="AN576" s="40"/>
      <c r="AO576" s="40"/>
      <c r="AP576" s="40"/>
      <c r="AQ576" s="40"/>
      <c r="AR576" s="40"/>
      <c r="AS576" s="40"/>
      <c r="AU576" s="40"/>
      <c r="AW576" s="40"/>
    </row>
    <row r="577" spans="2:49" ht="12.75" customHeight="1" x14ac:dyDescent="0.15">
      <c r="B577" s="40"/>
      <c r="C577" s="40"/>
      <c r="D577" s="40"/>
      <c r="E577" s="40"/>
      <c r="F577" s="40"/>
      <c r="G577" s="40"/>
      <c r="H577" s="40"/>
      <c r="I577" s="53"/>
      <c r="S577" s="40"/>
      <c r="T577" s="40"/>
      <c r="U577" s="40"/>
      <c r="V577" s="40"/>
      <c r="W577" s="40"/>
      <c r="Y577" s="40"/>
      <c r="Z577" s="40"/>
      <c r="AA577" s="40"/>
      <c r="AB577" s="40"/>
      <c r="AC577" s="41"/>
      <c r="AD577" s="41"/>
      <c r="AE577" s="41"/>
      <c r="AF577" s="41"/>
      <c r="AG577" s="41"/>
      <c r="AH577" s="40"/>
      <c r="AI577" s="40"/>
      <c r="AJ577" s="5"/>
      <c r="AK577" s="5"/>
      <c r="AL577" s="40"/>
      <c r="AM577" s="40"/>
      <c r="AN577" s="40"/>
      <c r="AO577" s="40"/>
      <c r="AP577" s="40"/>
      <c r="AQ577" s="40"/>
      <c r="AR577" s="40"/>
      <c r="AS577" s="40"/>
      <c r="AU577" s="40"/>
      <c r="AW577" s="40"/>
    </row>
    <row r="578" spans="2:49" ht="12.75" customHeight="1" x14ac:dyDescent="0.15">
      <c r="B578" s="40"/>
      <c r="C578" s="40"/>
      <c r="D578" s="40"/>
      <c r="E578" s="40"/>
      <c r="F578" s="40"/>
      <c r="G578" s="40"/>
      <c r="H578" s="40"/>
      <c r="I578" s="53"/>
      <c r="S578" s="40"/>
      <c r="T578" s="40"/>
      <c r="U578" s="40"/>
      <c r="V578" s="40"/>
      <c r="W578" s="40"/>
      <c r="Y578" s="40"/>
      <c r="Z578" s="40"/>
      <c r="AA578" s="40"/>
      <c r="AB578" s="40"/>
      <c r="AC578" s="41"/>
      <c r="AD578" s="41"/>
      <c r="AE578" s="41"/>
      <c r="AF578" s="41"/>
      <c r="AG578" s="41"/>
      <c r="AH578" s="40"/>
      <c r="AI578" s="40"/>
      <c r="AJ578" s="5"/>
      <c r="AK578" s="5"/>
      <c r="AL578" s="40"/>
      <c r="AM578" s="40"/>
      <c r="AN578" s="40"/>
      <c r="AO578" s="40"/>
      <c r="AP578" s="40"/>
      <c r="AQ578" s="40"/>
      <c r="AR578" s="40"/>
      <c r="AS578" s="40"/>
      <c r="AU578" s="40"/>
      <c r="AW578" s="40"/>
    </row>
    <row r="579" spans="2:49" ht="12.75" customHeight="1" x14ac:dyDescent="0.15">
      <c r="B579" s="40"/>
      <c r="C579" s="40"/>
      <c r="D579" s="40"/>
      <c r="E579" s="40"/>
      <c r="F579" s="40"/>
      <c r="G579" s="40"/>
      <c r="H579" s="40"/>
      <c r="I579" s="53"/>
      <c r="S579" s="40"/>
      <c r="T579" s="40"/>
      <c r="U579" s="40"/>
      <c r="V579" s="40"/>
      <c r="W579" s="40"/>
      <c r="Y579" s="40"/>
      <c r="Z579" s="40"/>
      <c r="AA579" s="40"/>
      <c r="AB579" s="40"/>
      <c r="AC579" s="41"/>
      <c r="AD579" s="41"/>
      <c r="AE579" s="41"/>
      <c r="AF579" s="41"/>
      <c r="AG579" s="41"/>
      <c r="AH579" s="40"/>
      <c r="AI579" s="40"/>
      <c r="AJ579" s="5"/>
      <c r="AK579" s="5"/>
      <c r="AL579" s="40"/>
      <c r="AM579" s="40"/>
      <c r="AN579" s="40"/>
      <c r="AO579" s="40"/>
      <c r="AP579" s="40"/>
      <c r="AQ579" s="40"/>
      <c r="AR579" s="40"/>
      <c r="AS579" s="40"/>
      <c r="AU579" s="40"/>
      <c r="AW579" s="40"/>
    </row>
    <row r="580" spans="2:49" ht="12.75" customHeight="1" x14ac:dyDescent="0.15">
      <c r="B580" s="40"/>
      <c r="C580" s="40"/>
      <c r="D580" s="40"/>
      <c r="E580" s="40"/>
      <c r="F580" s="40"/>
      <c r="G580" s="40"/>
      <c r="H580" s="40"/>
      <c r="I580" s="53"/>
      <c r="S580" s="40"/>
      <c r="T580" s="40"/>
      <c r="U580" s="40"/>
      <c r="V580" s="40"/>
      <c r="W580" s="40"/>
      <c r="Y580" s="40"/>
      <c r="Z580" s="40"/>
      <c r="AA580" s="40"/>
      <c r="AB580" s="40"/>
      <c r="AC580" s="41"/>
      <c r="AD580" s="41"/>
      <c r="AE580" s="41"/>
      <c r="AF580" s="41"/>
      <c r="AG580" s="41"/>
      <c r="AH580" s="40"/>
      <c r="AI580" s="40"/>
      <c r="AJ580" s="5"/>
      <c r="AK580" s="5"/>
      <c r="AL580" s="40"/>
      <c r="AM580" s="40"/>
      <c r="AN580" s="40"/>
      <c r="AO580" s="40"/>
      <c r="AP580" s="40"/>
      <c r="AQ580" s="40"/>
      <c r="AR580" s="40"/>
      <c r="AS580" s="40"/>
      <c r="AU580" s="40"/>
      <c r="AW580" s="40"/>
    </row>
    <row r="581" spans="2:49" ht="12.75" customHeight="1" x14ac:dyDescent="0.15">
      <c r="B581" s="40"/>
      <c r="C581" s="40"/>
      <c r="D581" s="40"/>
      <c r="E581" s="40"/>
      <c r="F581" s="40"/>
      <c r="G581" s="40"/>
      <c r="H581" s="40"/>
      <c r="I581" s="53"/>
      <c r="S581" s="40"/>
      <c r="T581" s="40"/>
      <c r="U581" s="40"/>
      <c r="V581" s="40"/>
      <c r="W581" s="40"/>
      <c r="Y581" s="40"/>
      <c r="Z581" s="40"/>
      <c r="AA581" s="40"/>
      <c r="AB581" s="40"/>
      <c r="AC581" s="41"/>
      <c r="AD581" s="41"/>
      <c r="AE581" s="41"/>
      <c r="AF581" s="41"/>
      <c r="AG581" s="41"/>
      <c r="AH581" s="40"/>
      <c r="AI581" s="40"/>
      <c r="AJ581" s="5"/>
      <c r="AK581" s="5"/>
      <c r="AL581" s="40"/>
      <c r="AM581" s="40"/>
      <c r="AN581" s="40"/>
      <c r="AO581" s="40"/>
      <c r="AP581" s="40"/>
      <c r="AQ581" s="40"/>
      <c r="AR581" s="40"/>
      <c r="AS581" s="40"/>
      <c r="AU581" s="40"/>
      <c r="AW581" s="40"/>
    </row>
    <row r="582" spans="2:49" ht="12.75" customHeight="1" x14ac:dyDescent="0.15">
      <c r="B582" s="40"/>
      <c r="C582" s="40"/>
      <c r="D582" s="40"/>
      <c r="E582" s="40"/>
      <c r="F582" s="40"/>
      <c r="G582" s="40"/>
      <c r="H582" s="40"/>
      <c r="I582" s="53"/>
      <c r="S582" s="40"/>
      <c r="T582" s="40"/>
      <c r="U582" s="40"/>
      <c r="V582" s="40"/>
      <c r="W582" s="40"/>
      <c r="Y582" s="40"/>
      <c r="Z582" s="40"/>
      <c r="AA582" s="40"/>
      <c r="AB582" s="40"/>
      <c r="AC582" s="41"/>
      <c r="AD582" s="41"/>
      <c r="AE582" s="41"/>
      <c r="AF582" s="41"/>
      <c r="AG582" s="41"/>
      <c r="AH582" s="40"/>
      <c r="AI582" s="40"/>
      <c r="AJ582" s="5"/>
      <c r="AK582" s="5"/>
      <c r="AL582" s="40"/>
      <c r="AM582" s="40"/>
      <c r="AN582" s="40"/>
      <c r="AO582" s="40"/>
      <c r="AP582" s="40"/>
      <c r="AQ582" s="40"/>
      <c r="AR582" s="40"/>
      <c r="AS582" s="40"/>
      <c r="AU582" s="40"/>
      <c r="AW582" s="40"/>
    </row>
    <row r="583" spans="2:49" ht="12.75" customHeight="1" x14ac:dyDescent="0.15">
      <c r="B583" s="40"/>
      <c r="C583" s="40"/>
      <c r="D583" s="40"/>
      <c r="E583" s="40"/>
      <c r="F583" s="40"/>
      <c r="G583" s="40"/>
      <c r="H583" s="40"/>
      <c r="I583" s="53"/>
      <c r="S583" s="40"/>
      <c r="T583" s="40"/>
      <c r="U583" s="40"/>
      <c r="V583" s="40"/>
      <c r="W583" s="40"/>
      <c r="Y583" s="40"/>
      <c r="Z583" s="40"/>
      <c r="AA583" s="40"/>
      <c r="AB583" s="40"/>
      <c r="AC583" s="41"/>
      <c r="AD583" s="41"/>
      <c r="AE583" s="41"/>
      <c r="AF583" s="41"/>
      <c r="AG583" s="41"/>
      <c r="AH583" s="40"/>
      <c r="AI583" s="40"/>
      <c r="AJ583" s="5"/>
      <c r="AK583" s="5"/>
      <c r="AL583" s="40"/>
      <c r="AM583" s="40"/>
      <c r="AN583" s="40"/>
      <c r="AO583" s="40"/>
      <c r="AP583" s="40"/>
      <c r="AQ583" s="40"/>
      <c r="AR583" s="40"/>
      <c r="AS583" s="40"/>
      <c r="AU583" s="40"/>
      <c r="AW583" s="40"/>
    </row>
    <row r="584" spans="2:49" ht="12.75" customHeight="1" x14ac:dyDescent="0.15">
      <c r="B584" s="40"/>
      <c r="C584" s="40"/>
      <c r="D584" s="40"/>
      <c r="E584" s="40"/>
      <c r="F584" s="40"/>
      <c r="G584" s="40"/>
      <c r="H584" s="40"/>
      <c r="I584" s="53"/>
      <c r="S584" s="40"/>
      <c r="T584" s="40"/>
      <c r="U584" s="40"/>
      <c r="V584" s="40"/>
      <c r="W584" s="40"/>
      <c r="Y584" s="40"/>
      <c r="Z584" s="40"/>
      <c r="AA584" s="40"/>
      <c r="AB584" s="40"/>
      <c r="AC584" s="41"/>
      <c r="AD584" s="41"/>
      <c r="AE584" s="41"/>
      <c r="AF584" s="41"/>
      <c r="AG584" s="41"/>
      <c r="AH584" s="40"/>
      <c r="AI584" s="40"/>
      <c r="AJ584" s="5"/>
      <c r="AK584" s="5"/>
      <c r="AL584" s="40"/>
      <c r="AM584" s="40"/>
      <c r="AN584" s="40"/>
      <c r="AO584" s="40"/>
      <c r="AP584" s="40"/>
      <c r="AQ584" s="40"/>
      <c r="AR584" s="40"/>
      <c r="AS584" s="40"/>
      <c r="AU584" s="40"/>
      <c r="AW584" s="40"/>
    </row>
    <row r="585" spans="2:49" ht="12.75" customHeight="1" x14ac:dyDescent="0.15">
      <c r="B585" s="40"/>
      <c r="C585" s="40"/>
      <c r="D585" s="40"/>
      <c r="E585" s="40"/>
      <c r="F585" s="40"/>
      <c r="G585" s="40"/>
      <c r="H585" s="40"/>
      <c r="I585" s="53"/>
      <c r="S585" s="40"/>
      <c r="T585" s="40"/>
      <c r="U585" s="40"/>
      <c r="V585" s="40"/>
      <c r="W585" s="40"/>
      <c r="Y585" s="40"/>
      <c r="Z585" s="40"/>
      <c r="AA585" s="40"/>
      <c r="AB585" s="40"/>
      <c r="AC585" s="41"/>
      <c r="AD585" s="41"/>
      <c r="AE585" s="41"/>
      <c r="AF585" s="41"/>
      <c r="AG585" s="41"/>
      <c r="AH585" s="40"/>
      <c r="AI585" s="40"/>
      <c r="AJ585" s="5"/>
      <c r="AK585" s="5"/>
      <c r="AL585" s="40"/>
      <c r="AM585" s="40"/>
      <c r="AN585" s="40"/>
      <c r="AO585" s="40"/>
      <c r="AP585" s="40"/>
      <c r="AQ585" s="40"/>
      <c r="AR585" s="40"/>
      <c r="AS585" s="40"/>
      <c r="AU585" s="40"/>
      <c r="AW585" s="40"/>
    </row>
    <row r="586" spans="2:49" ht="12.75" customHeight="1" x14ac:dyDescent="0.15">
      <c r="B586" s="40"/>
      <c r="C586" s="40"/>
      <c r="D586" s="40"/>
      <c r="E586" s="40"/>
      <c r="F586" s="40"/>
      <c r="G586" s="40"/>
      <c r="H586" s="40"/>
      <c r="I586" s="53"/>
      <c r="S586" s="40"/>
      <c r="T586" s="40"/>
      <c r="U586" s="40"/>
      <c r="V586" s="40"/>
      <c r="W586" s="40"/>
      <c r="Y586" s="40"/>
      <c r="Z586" s="40"/>
      <c r="AA586" s="40"/>
      <c r="AB586" s="40"/>
      <c r="AC586" s="41"/>
      <c r="AD586" s="41"/>
      <c r="AE586" s="41"/>
      <c r="AF586" s="41"/>
      <c r="AG586" s="41"/>
      <c r="AH586" s="40"/>
      <c r="AI586" s="40"/>
      <c r="AJ586" s="5"/>
      <c r="AK586" s="5"/>
      <c r="AL586" s="40"/>
      <c r="AM586" s="40"/>
      <c r="AN586" s="40"/>
      <c r="AO586" s="40"/>
      <c r="AP586" s="40"/>
      <c r="AQ586" s="40"/>
      <c r="AR586" s="40"/>
      <c r="AS586" s="40"/>
      <c r="AU586" s="40"/>
      <c r="AW586" s="40"/>
    </row>
    <row r="587" spans="2:49" ht="12.75" customHeight="1" x14ac:dyDescent="0.15">
      <c r="B587" s="40"/>
      <c r="C587" s="40"/>
      <c r="D587" s="40"/>
      <c r="E587" s="40"/>
      <c r="F587" s="40"/>
      <c r="G587" s="40"/>
      <c r="H587" s="40"/>
      <c r="I587" s="53"/>
      <c r="S587" s="40"/>
      <c r="T587" s="40"/>
      <c r="U587" s="40"/>
      <c r="V587" s="40"/>
      <c r="W587" s="40"/>
      <c r="Y587" s="40"/>
      <c r="Z587" s="40"/>
      <c r="AA587" s="40"/>
      <c r="AB587" s="40"/>
      <c r="AC587" s="41"/>
      <c r="AD587" s="41"/>
      <c r="AE587" s="41"/>
      <c r="AF587" s="41"/>
      <c r="AG587" s="41"/>
      <c r="AH587" s="40"/>
      <c r="AI587" s="40"/>
      <c r="AJ587" s="5"/>
      <c r="AK587" s="5"/>
      <c r="AL587" s="40"/>
      <c r="AM587" s="40"/>
      <c r="AN587" s="40"/>
      <c r="AO587" s="40"/>
      <c r="AP587" s="40"/>
      <c r="AQ587" s="40"/>
      <c r="AR587" s="40"/>
      <c r="AS587" s="40"/>
      <c r="AU587" s="40"/>
      <c r="AW587" s="40"/>
    </row>
    <row r="588" spans="2:49" ht="12.75" customHeight="1" x14ac:dyDescent="0.15">
      <c r="B588" s="40"/>
      <c r="C588" s="40"/>
      <c r="D588" s="40"/>
      <c r="E588" s="40"/>
      <c r="F588" s="40"/>
      <c r="G588" s="40"/>
      <c r="H588" s="40"/>
      <c r="I588" s="53"/>
      <c r="S588" s="40"/>
      <c r="T588" s="40"/>
      <c r="U588" s="40"/>
      <c r="V588" s="40"/>
      <c r="W588" s="40"/>
      <c r="Y588" s="40"/>
      <c r="Z588" s="40"/>
      <c r="AA588" s="40"/>
      <c r="AB588" s="40"/>
      <c r="AC588" s="41"/>
      <c r="AD588" s="41"/>
      <c r="AE588" s="41"/>
      <c r="AF588" s="41"/>
      <c r="AG588" s="41"/>
      <c r="AH588" s="40"/>
      <c r="AI588" s="40"/>
      <c r="AJ588" s="5"/>
      <c r="AK588" s="5"/>
      <c r="AL588" s="40"/>
      <c r="AM588" s="40"/>
      <c r="AN588" s="40"/>
      <c r="AO588" s="40"/>
      <c r="AP588" s="40"/>
      <c r="AQ588" s="40"/>
      <c r="AR588" s="40"/>
      <c r="AS588" s="40"/>
      <c r="AU588" s="40"/>
      <c r="AW588" s="40"/>
    </row>
    <row r="589" spans="2:49" ht="12.75" customHeight="1" x14ac:dyDescent="0.15">
      <c r="B589" s="40"/>
      <c r="C589" s="40"/>
      <c r="D589" s="40"/>
      <c r="E589" s="40"/>
      <c r="F589" s="40"/>
      <c r="G589" s="40"/>
      <c r="H589" s="40"/>
      <c r="I589" s="53"/>
      <c r="S589" s="40"/>
      <c r="T589" s="40"/>
      <c r="U589" s="40"/>
      <c r="V589" s="40"/>
      <c r="W589" s="40"/>
      <c r="Y589" s="40"/>
      <c r="Z589" s="40"/>
      <c r="AA589" s="40"/>
      <c r="AB589" s="40"/>
      <c r="AC589" s="41"/>
      <c r="AD589" s="41"/>
      <c r="AE589" s="41"/>
      <c r="AF589" s="41"/>
      <c r="AG589" s="41"/>
      <c r="AH589" s="40"/>
      <c r="AI589" s="40"/>
      <c r="AJ589" s="5"/>
      <c r="AK589" s="5"/>
      <c r="AL589" s="40"/>
      <c r="AM589" s="40"/>
      <c r="AN589" s="40"/>
      <c r="AO589" s="40"/>
      <c r="AP589" s="40"/>
      <c r="AQ589" s="40"/>
      <c r="AR589" s="40"/>
      <c r="AS589" s="40"/>
      <c r="AU589" s="40"/>
      <c r="AW589" s="40"/>
    </row>
    <row r="590" spans="2:49" ht="12.75" customHeight="1" x14ac:dyDescent="0.15">
      <c r="B590" s="40"/>
      <c r="C590" s="40"/>
      <c r="D590" s="40"/>
      <c r="E590" s="40"/>
      <c r="F590" s="40"/>
      <c r="G590" s="40"/>
      <c r="H590" s="40"/>
      <c r="I590" s="53"/>
      <c r="S590" s="40"/>
      <c r="T590" s="40"/>
      <c r="U590" s="40"/>
      <c r="V590" s="40"/>
      <c r="W590" s="40"/>
      <c r="Y590" s="40"/>
      <c r="Z590" s="40"/>
      <c r="AA590" s="40"/>
      <c r="AB590" s="40"/>
      <c r="AC590" s="41"/>
      <c r="AD590" s="41"/>
      <c r="AE590" s="41"/>
      <c r="AF590" s="41"/>
      <c r="AG590" s="41"/>
      <c r="AH590" s="40"/>
      <c r="AI590" s="40"/>
      <c r="AJ590" s="5"/>
      <c r="AK590" s="5"/>
      <c r="AL590" s="40"/>
      <c r="AM590" s="40"/>
      <c r="AN590" s="40"/>
      <c r="AO590" s="40"/>
      <c r="AP590" s="40"/>
      <c r="AQ590" s="40"/>
      <c r="AR590" s="40"/>
      <c r="AS590" s="40"/>
      <c r="AU590" s="40"/>
      <c r="AW590" s="40"/>
    </row>
    <row r="591" spans="2:49" ht="12.75" customHeight="1" x14ac:dyDescent="0.15">
      <c r="B591" s="40"/>
      <c r="C591" s="40"/>
      <c r="D591" s="40"/>
      <c r="E591" s="40"/>
      <c r="F591" s="40"/>
      <c r="G591" s="40"/>
      <c r="H591" s="40"/>
      <c r="I591" s="53"/>
      <c r="S591" s="40"/>
      <c r="T591" s="40"/>
      <c r="U591" s="40"/>
      <c r="V591" s="40"/>
      <c r="W591" s="40"/>
      <c r="Y591" s="40"/>
      <c r="Z591" s="40"/>
      <c r="AA591" s="40"/>
      <c r="AB591" s="40"/>
      <c r="AC591" s="41"/>
      <c r="AD591" s="41"/>
      <c r="AE591" s="41"/>
      <c r="AF591" s="41"/>
      <c r="AG591" s="41"/>
      <c r="AH591" s="40"/>
      <c r="AI591" s="40"/>
      <c r="AJ591" s="5"/>
      <c r="AK591" s="5"/>
      <c r="AL591" s="40"/>
      <c r="AM591" s="40"/>
      <c r="AN591" s="40"/>
      <c r="AO591" s="40"/>
      <c r="AP591" s="40"/>
      <c r="AQ591" s="40"/>
      <c r="AR591" s="40"/>
      <c r="AS591" s="40"/>
      <c r="AU591" s="40"/>
      <c r="AW591" s="40"/>
    </row>
    <row r="592" spans="2:49" ht="12.75" customHeight="1" x14ac:dyDescent="0.15">
      <c r="B592" s="40"/>
      <c r="C592" s="40"/>
      <c r="D592" s="40"/>
      <c r="E592" s="40"/>
      <c r="F592" s="40"/>
      <c r="G592" s="40"/>
      <c r="H592" s="40"/>
      <c r="I592" s="53"/>
      <c r="S592" s="40"/>
      <c r="T592" s="40"/>
      <c r="U592" s="40"/>
      <c r="V592" s="40"/>
      <c r="W592" s="40"/>
      <c r="Y592" s="40"/>
      <c r="Z592" s="40"/>
      <c r="AA592" s="40"/>
      <c r="AB592" s="40"/>
      <c r="AC592" s="41"/>
      <c r="AD592" s="41"/>
      <c r="AE592" s="41"/>
      <c r="AF592" s="41"/>
      <c r="AG592" s="41"/>
      <c r="AH592" s="40"/>
      <c r="AI592" s="40"/>
      <c r="AJ592" s="5"/>
      <c r="AK592" s="5"/>
      <c r="AL592" s="40"/>
      <c r="AM592" s="40"/>
      <c r="AN592" s="40"/>
      <c r="AO592" s="40"/>
      <c r="AP592" s="40"/>
      <c r="AQ592" s="40"/>
      <c r="AR592" s="40"/>
      <c r="AS592" s="40"/>
      <c r="AU592" s="40"/>
      <c r="AW592" s="40"/>
    </row>
    <row r="593" spans="2:49" ht="12.75" customHeight="1" x14ac:dyDescent="0.15">
      <c r="B593" s="40"/>
      <c r="C593" s="40"/>
      <c r="D593" s="40"/>
      <c r="E593" s="40"/>
      <c r="F593" s="40"/>
      <c r="G593" s="40"/>
      <c r="H593" s="40"/>
      <c r="I593" s="53"/>
      <c r="S593" s="40"/>
      <c r="T593" s="40"/>
      <c r="U593" s="40"/>
      <c r="V593" s="40"/>
      <c r="W593" s="40"/>
      <c r="Y593" s="40"/>
      <c r="Z593" s="40"/>
      <c r="AA593" s="40"/>
      <c r="AB593" s="40"/>
      <c r="AC593" s="41"/>
      <c r="AD593" s="41"/>
      <c r="AE593" s="41"/>
      <c r="AF593" s="41"/>
      <c r="AG593" s="41"/>
      <c r="AH593" s="40"/>
      <c r="AI593" s="40"/>
      <c r="AJ593" s="5"/>
      <c r="AK593" s="5"/>
      <c r="AL593" s="40"/>
      <c r="AM593" s="40"/>
      <c r="AN593" s="40"/>
      <c r="AO593" s="40"/>
      <c r="AP593" s="40"/>
      <c r="AQ593" s="40"/>
      <c r="AR593" s="40"/>
      <c r="AS593" s="40"/>
      <c r="AU593" s="40"/>
      <c r="AW593" s="40"/>
    </row>
    <row r="594" spans="2:49" ht="12.75" customHeight="1" x14ac:dyDescent="0.15">
      <c r="B594" s="40"/>
      <c r="C594" s="40"/>
      <c r="D594" s="40"/>
      <c r="E594" s="40"/>
      <c r="F594" s="40"/>
      <c r="G594" s="40"/>
      <c r="H594" s="40"/>
      <c r="I594" s="53"/>
      <c r="S594" s="40"/>
      <c r="T594" s="40"/>
      <c r="U594" s="40"/>
      <c r="V594" s="40"/>
      <c r="W594" s="40"/>
      <c r="Y594" s="40"/>
      <c r="Z594" s="40"/>
      <c r="AA594" s="40"/>
      <c r="AB594" s="40"/>
      <c r="AC594" s="41"/>
      <c r="AD594" s="41"/>
      <c r="AE594" s="41"/>
      <c r="AF594" s="41"/>
      <c r="AG594" s="41"/>
      <c r="AH594" s="40"/>
      <c r="AI594" s="40"/>
      <c r="AJ594" s="5"/>
      <c r="AK594" s="5"/>
      <c r="AL594" s="40"/>
      <c r="AM594" s="40"/>
      <c r="AN594" s="40"/>
      <c r="AO594" s="40"/>
      <c r="AP594" s="40"/>
      <c r="AQ594" s="40"/>
      <c r="AR594" s="40"/>
      <c r="AS594" s="40"/>
      <c r="AU594" s="40"/>
      <c r="AW594" s="40"/>
    </row>
    <row r="595" spans="2:49" ht="12.75" customHeight="1" x14ac:dyDescent="0.15">
      <c r="B595" s="40"/>
      <c r="C595" s="40"/>
      <c r="D595" s="40"/>
      <c r="E595" s="40"/>
      <c r="F595" s="40"/>
      <c r="G595" s="40"/>
      <c r="H595" s="40"/>
      <c r="I595" s="53"/>
      <c r="S595" s="40"/>
      <c r="T595" s="40"/>
      <c r="U595" s="40"/>
      <c r="V595" s="40"/>
      <c r="W595" s="40"/>
      <c r="Y595" s="40"/>
      <c r="Z595" s="40"/>
      <c r="AA595" s="40"/>
      <c r="AB595" s="40"/>
      <c r="AC595" s="41"/>
      <c r="AD595" s="41"/>
      <c r="AE595" s="41"/>
      <c r="AF595" s="41"/>
      <c r="AG595" s="41"/>
      <c r="AH595" s="40"/>
      <c r="AI595" s="40"/>
      <c r="AJ595" s="5"/>
      <c r="AK595" s="5"/>
      <c r="AL595" s="40"/>
      <c r="AM595" s="40"/>
      <c r="AN595" s="40"/>
      <c r="AO595" s="40"/>
      <c r="AP595" s="40"/>
      <c r="AQ595" s="40"/>
      <c r="AR595" s="40"/>
      <c r="AS595" s="40"/>
      <c r="AU595" s="40"/>
      <c r="AW595" s="40"/>
    </row>
    <row r="596" spans="2:49" ht="12.75" customHeight="1" x14ac:dyDescent="0.15">
      <c r="B596" s="40"/>
      <c r="C596" s="40"/>
      <c r="D596" s="40"/>
      <c r="E596" s="40"/>
      <c r="F596" s="40"/>
      <c r="G596" s="40"/>
      <c r="H596" s="40"/>
      <c r="I596" s="53"/>
      <c r="S596" s="40"/>
      <c r="T596" s="40"/>
      <c r="U596" s="40"/>
      <c r="V596" s="40"/>
      <c r="W596" s="40"/>
      <c r="Y596" s="40"/>
      <c r="Z596" s="40"/>
      <c r="AA596" s="40"/>
      <c r="AB596" s="40"/>
      <c r="AC596" s="41"/>
      <c r="AD596" s="41"/>
      <c r="AE596" s="41"/>
      <c r="AF596" s="41"/>
      <c r="AG596" s="41"/>
      <c r="AH596" s="40"/>
      <c r="AI596" s="40"/>
      <c r="AJ596" s="5"/>
      <c r="AK596" s="5"/>
      <c r="AL596" s="40"/>
      <c r="AM596" s="40"/>
      <c r="AN596" s="40"/>
      <c r="AO596" s="40"/>
      <c r="AP596" s="40"/>
      <c r="AQ596" s="40"/>
      <c r="AR596" s="40"/>
      <c r="AS596" s="40"/>
      <c r="AU596" s="40"/>
      <c r="AW596" s="40"/>
    </row>
    <row r="597" spans="2:49" ht="12.75" customHeight="1" x14ac:dyDescent="0.15">
      <c r="B597" s="40"/>
      <c r="C597" s="40"/>
      <c r="D597" s="40"/>
      <c r="E597" s="40"/>
      <c r="F597" s="40"/>
      <c r="G597" s="40"/>
      <c r="H597" s="40"/>
      <c r="I597" s="53"/>
      <c r="S597" s="40"/>
      <c r="T597" s="40"/>
      <c r="U597" s="40"/>
      <c r="V597" s="40"/>
      <c r="W597" s="40"/>
      <c r="Y597" s="40"/>
      <c r="Z597" s="40"/>
      <c r="AA597" s="40"/>
      <c r="AB597" s="40"/>
      <c r="AC597" s="41"/>
      <c r="AD597" s="41"/>
      <c r="AE597" s="41"/>
      <c r="AF597" s="41"/>
      <c r="AG597" s="41"/>
      <c r="AH597" s="40"/>
      <c r="AI597" s="40"/>
      <c r="AJ597" s="5"/>
      <c r="AK597" s="5"/>
      <c r="AL597" s="40"/>
      <c r="AM597" s="40"/>
      <c r="AN597" s="40"/>
      <c r="AO597" s="40"/>
      <c r="AP597" s="40"/>
      <c r="AQ597" s="40"/>
      <c r="AR597" s="40"/>
      <c r="AS597" s="40"/>
      <c r="AU597" s="40"/>
      <c r="AW597" s="40"/>
    </row>
    <row r="598" spans="2:49" ht="12.75" customHeight="1" x14ac:dyDescent="0.15">
      <c r="B598" s="40"/>
      <c r="C598" s="40"/>
      <c r="D598" s="40"/>
      <c r="E598" s="40"/>
      <c r="F598" s="40"/>
      <c r="G598" s="40"/>
      <c r="H598" s="40"/>
      <c r="I598" s="53"/>
      <c r="S598" s="40"/>
      <c r="T598" s="40"/>
      <c r="U598" s="40"/>
      <c r="V598" s="40"/>
      <c r="W598" s="40"/>
      <c r="Y598" s="40"/>
      <c r="Z598" s="40"/>
      <c r="AA598" s="40"/>
      <c r="AB598" s="40"/>
      <c r="AC598" s="41"/>
      <c r="AD598" s="41"/>
      <c r="AE598" s="41"/>
      <c r="AF598" s="41"/>
      <c r="AG598" s="41"/>
      <c r="AH598" s="40"/>
      <c r="AI598" s="40"/>
      <c r="AJ598" s="5"/>
      <c r="AK598" s="5"/>
      <c r="AL598" s="40"/>
      <c r="AM598" s="40"/>
      <c r="AN598" s="40"/>
      <c r="AO598" s="40"/>
      <c r="AP598" s="40"/>
      <c r="AQ598" s="40"/>
      <c r="AR598" s="40"/>
      <c r="AS598" s="40"/>
      <c r="AU598" s="40"/>
      <c r="AW598" s="40"/>
    </row>
    <row r="599" spans="2:49" ht="12.75" customHeight="1" x14ac:dyDescent="0.15">
      <c r="B599" s="40"/>
      <c r="C599" s="40"/>
      <c r="D599" s="40"/>
      <c r="E599" s="40"/>
      <c r="F599" s="40"/>
      <c r="G599" s="40"/>
      <c r="H599" s="40"/>
      <c r="I599" s="53"/>
      <c r="S599" s="40"/>
      <c r="T599" s="40"/>
      <c r="U599" s="40"/>
      <c r="V599" s="40"/>
      <c r="W599" s="40"/>
      <c r="Y599" s="40"/>
      <c r="Z599" s="40"/>
      <c r="AA599" s="40"/>
      <c r="AB599" s="40"/>
      <c r="AC599" s="41"/>
      <c r="AD599" s="41"/>
      <c r="AE599" s="41"/>
      <c r="AF599" s="41"/>
      <c r="AG599" s="41"/>
      <c r="AH599" s="40"/>
      <c r="AI599" s="40"/>
      <c r="AJ599" s="5"/>
      <c r="AK599" s="5"/>
      <c r="AL599" s="40"/>
      <c r="AM599" s="40"/>
      <c r="AN599" s="40"/>
      <c r="AO599" s="40"/>
      <c r="AP599" s="40"/>
      <c r="AQ599" s="40"/>
      <c r="AR599" s="40"/>
      <c r="AS599" s="40"/>
      <c r="AU599" s="40"/>
      <c r="AW599" s="40"/>
    </row>
    <row r="600" spans="2:49" ht="12.75" customHeight="1" x14ac:dyDescent="0.15">
      <c r="B600" s="40"/>
      <c r="C600" s="40"/>
      <c r="D600" s="40"/>
      <c r="E600" s="40"/>
      <c r="F600" s="40"/>
      <c r="G600" s="40"/>
      <c r="H600" s="40"/>
      <c r="I600" s="53"/>
      <c r="S600" s="40"/>
      <c r="T600" s="40"/>
      <c r="U600" s="40"/>
      <c r="V600" s="40"/>
      <c r="W600" s="40"/>
      <c r="Y600" s="40"/>
      <c r="Z600" s="40"/>
      <c r="AA600" s="40"/>
      <c r="AB600" s="40"/>
      <c r="AC600" s="41"/>
      <c r="AD600" s="41"/>
      <c r="AE600" s="41"/>
      <c r="AF600" s="41"/>
      <c r="AG600" s="41"/>
      <c r="AH600" s="40"/>
      <c r="AI600" s="40"/>
      <c r="AJ600" s="5"/>
      <c r="AK600" s="5"/>
      <c r="AL600" s="40"/>
      <c r="AM600" s="40"/>
      <c r="AN600" s="40"/>
      <c r="AO600" s="40"/>
      <c r="AP600" s="40"/>
      <c r="AQ600" s="40"/>
      <c r="AR600" s="40"/>
      <c r="AS600" s="40"/>
      <c r="AU600" s="40"/>
      <c r="AW600" s="40"/>
    </row>
    <row r="601" spans="2:49" ht="12.75" customHeight="1" x14ac:dyDescent="0.15">
      <c r="B601" s="40"/>
      <c r="C601" s="40"/>
      <c r="D601" s="40"/>
      <c r="E601" s="40"/>
      <c r="F601" s="40"/>
      <c r="G601" s="40"/>
      <c r="H601" s="40"/>
      <c r="I601" s="53"/>
      <c r="S601" s="40"/>
      <c r="T601" s="40"/>
      <c r="U601" s="40"/>
      <c r="V601" s="40"/>
      <c r="W601" s="40"/>
      <c r="Y601" s="40"/>
      <c r="Z601" s="40"/>
      <c r="AA601" s="40"/>
      <c r="AB601" s="40"/>
      <c r="AC601" s="41"/>
      <c r="AD601" s="41"/>
      <c r="AE601" s="41"/>
      <c r="AF601" s="41"/>
      <c r="AG601" s="41"/>
      <c r="AH601" s="40"/>
      <c r="AI601" s="40"/>
      <c r="AJ601" s="5"/>
      <c r="AK601" s="5"/>
      <c r="AL601" s="40"/>
      <c r="AM601" s="40"/>
      <c r="AN601" s="40"/>
      <c r="AO601" s="40"/>
      <c r="AP601" s="40"/>
      <c r="AQ601" s="40"/>
      <c r="AR601" s="40"/>
      <c r="AS601" s="40"/>
      <c r="AU601" s="40"/>
      <c r="AW601" s="40"/>
    </row>
    <row r="602" spans="2:49" ht="12.75" customHeight="1" x14ac:dyDescent="0.15">
      <c r="B602" s="40"/>
      <c r="C602" s="40"/>
      <c r="D602" s="40"/>
      <c r="E602" s="40"/>
      <c r="F602" s="40"/>
      <c r="G602" s="40"/>
      <c r="H602" s="40"/>
      <c r="I602" s="53"/>
      <c r="S602" s="40"/>
      <c r="T602" s="40"/>
      <c r="U602" s="40"/>
      <c r="V602" s="40"/>
      <c r="W602" s="40"/>
      <c r="Y602" s="40"/>
      <c r="Z602" s="40"/>
      <c r="AA602" s="40"/>
      <c r="AB602" s="40"/>
      <c r="AC602" s="41"/>
      <c r="AD602" s="41"/>
      <c r="AE602" s="41"/>
      <c r="AF602" s="41"/>
      <c r="AG602" s="41"/>
      <c r="AH602" s="40"/>
      <c r="AI602" s="40"/>
      <c r="AJ602" s="5"/>
      <c r="AK602" s="5"/>
      <c r="AL602" s="40"/>
      <c r="AM602" s="40"/>
      <c r="AN602" s="40"/>
      <c r="AO602" s="40"/>
      <c r="AP602" s="40"/>
      <c r="AQ602" s="40"/>
      <c r="AR602" s="40"/>
      <c r="AS602" s="40"/>
      <c r="AU602" s="40"/>
      <c r="AW602" s="40"/>
    </row>
    <row r="603" spans="2:49" ht="12.75" customHeight="1" x14ac:dyDescent="0.15">
      <c r="B603" s="40"/>
      <c r="C603" s="40"/>
      <c r="D603" s="40"/>
      <c r="E603" s="40"/>
      <c r="F603" s="40"/>
      <c r="G603" s="40"/>
      <c r="H603" s="40"/>
      <c r="I603" s="53"/>
      <c r="S603" s="40"/>
      <c r="T603" s="40"/>
      <c r="U603" s="40"/>
      <c r="V603" s="40"/>
      <c r="W603" s="40"/>
      <c r="Y603" s="40"/>
      <c r="Z603" s="40"/>
      <c r="AA603" s="40"/>
      <c r="AB603" s="40"/>
      <c r="AC603" s="41"/>
      <c r="AD603" s="41"/>
      <c r="AE603" s="41"/>
      <c r="AF603" s="41"/>
      <c r="AG603" s="41"/>
      <c r="AH603" s="40"/>
      <c r="AI603" s="40"/>
      <c r="AJ603" s="5"/>
      <c r="AK603" s="5"/>
      <c r="AL603" s="40"/>
      <c r="AM603" s="40"/>
      <c r="AN603" s="40"/>
      <c r="AO603" s="40"/>
      <c r="AP603" s="40"/>
      <c r="AQ603" s="40"/>
      <c r="AR603" s="40"/>
      <c r="AS603" s="40"/>
      <c r="AU603" s="40"/>
      <c r="AW603" s="40"/>
    </row>
    <row r="604" spans="2:49" ht="12.75" customHeight="1" x14ac:dyDescent="0.15">
      <c r="B604" s="40"/>
      <c r="C604" s="40"/>
      <c r="D604" s="40"/>
      <c r="E604" s="40"/>
      <c r="F604" s="40"/>
      <c r="G604" s="40"/>
      <c r="H604" s="40"/>
      <c r="I604" s="53"/>
      <c r="S604" s="40"/>
      <c r="T604" s="40"/>
      <c r="U604" s="40"/>
      <c r="V604" s="40"/>
      <c r="W604" s="40"/>
      <c r="Y604" s="40"/>
      <c r="Z604" s="40"/>
      <c r="AA604" s="40"/>
      <c r="AB604" s="40"/>
      <c r="AC604" s="41"/>
      <c r="AD604" s="41"/>
      <c r="AE604" s="41"/>
      <c r="AF604" s="41"/>
      <c r="AG604" s="41"/>
      <c r="AH604" s="40"/>
      <c r="AI604" s="40"/>
      <c r="AJ604" s="5"/>
      <c r="AK604" s="5"/>
      <c r="AL604" s="40"/>
      <c r="AM604" s="40"/>
      <c r="AN604" s="40"/>
      <c r="AO604" s="40"/>
      <c r="AP604" s="40"/>
      <c r="AQ604" s="40"/>
      <c r="AR604" s="40"/>
      <c r="AS604" s="40"/>
      <c r="AU604" s="40"/>
      <c r="AW604" s="40"/>
    </row>
    <row r="605" spans="2:49" ht="12.75" customHeight="1" x14ac:dyDescent="0.15">
      <c r="B605" s="40"/>
      <c r="C605" s="40"/>
      <c r="D605" s="40"/>
      <c r="E605" s="40"/>
      <c r="F605" s="40"/>
      <c r="G605" s="40"/>
      <c r="H605" s="40"/>
      <c r="I605" s="53"/>
      <c r="S605" s="40"/>
      <c r="T605" s="40"/>
      <c r="U605" s="40"/>
      <c r="V605" s="40"/>
      <c r="W605" s="40"/>
      <c r="Y605" s="40"/>
      <c r="Z605" s="40"/>
      <c r="AA605" s="40"/>
      <c r="AB605" s="40"/>
      <c r="AC605" s="41"/>
      <c r="AD605" s="41"/>
      <c r="AE605" s="41"/>
      <c r="AF605" s="41"/>
      <c r="AG605" s="41"/>
      <c r="AH605" s="40"/>
      <c r="AI605" s="40"/>
      <c r="AJ605" s="5"/>
      <c r="AK605" s="5"/>
      <c r="AL605" s="40"/>
      <c r="AM605" s="40"/>
      <c r="AN605" s="40"/>
      <c r="AO605" s="40"/>
      <c r="AP605" s="40"/>
      <c r="AQ605" s="40"/>
      <c r="AR605" s="40"/>
      <c r="AS605" s="40"/>
      <c r="AU605" s="40"/>
      <c r="AW605" s="40"/>
    </row>
    <row r="606" spans="2:49" ht="12.75" customHeight="1" x14ac:dyDescent="0.15">
      <c r="B606" s="40"/>
      <c r="C606" s="40"/>
      <c r="D606" s="40"/>
      <c r="E606" s="40"/>
      <c r="F606" s="40"/>
      <c r="G606" s="40"/>
      <c r="H606" s="40"/>
      <c r="I606" s="53"/>
      <c r="S606" s="40"/>
      <c r="T606" s="40"/>
      <c r="U606" s="40"/>
      <c r="V606" s="40"/>
      <c r="W606" s="40"/>
      <c r="Y606" s="40"/>
      <c r="Z606" s="40"/>
      <c r="AA606" s="40"/>
      <c r="AB606" s="40"/>
      <c r="AC606" s="41"/>
      <c r="AD606" s="41"/>
      <c r="AE606" s="41"/>
      <c r="AF606" s="41"/>
      <c r="AG606" s="41"/>
      <c r="AH606" s="40"/>
      <c r="AI606" s="40"/>
      <c r="AJ606" s="5"/>
      <c r="AK606" s="5"/>
      <c r="AL606" s="40"/>
      <c r="AM606" s="40"/>
      <c r="AN606" s="40"/>
      <c r="AO606" s="40"/>
      <c r="AP606" s="40"/>
      <c r="AQ606" s="40"/>
      <c r="AR606" s="40"/>
      <c r="AS606" s="40"/>
      <c r="AU606" s="40"/>
      <c r="AW606" s="40"/>
    </row>
    <row r="607" spans="2:49" ht="12.75" customHeight="1" x14ac:dyDescent="0.15">
      <c r="B607" s="40"/>
      <c r="C607" s="40"/>
      <c r="D607" s="40"/>
      <c r="E607" s="40"/>
      <c r="F607" s="40"/>
      <c r="G607" s="40"/>
      <c r="H607" s="40"/>
      <c r="I607" s="53"/>
      <c r="S607" s="40"/>
      <c r="T607" s="40"/>
      <c r="U607" s="40"/>
      <c r="V607" s="40"/>
      <c r="W607" s="40"/>
      <c r="Y607" s="40"/>
      <c r="Z607" s="40"/>
      <c r="AA607" s="40"/>
      <c r="AB607" s="40"/>
      <c r="AC607" s="41"/>
      <c r="AD607" s="41"/>
      <c r="AE607" s="41"/>
      <c r="AF607" s="41"/>
      <c r="AG607" s="41"/>
      <c r="AH607" s="40"/>
      <c r="AI607" s="40"/>
      <c r="AJ607" s="5"/>
      <c r="AK607" s="5"/>
      <c r="AL607" s="40"/>
      <c r="AM607" s="40"/>
      <c r="AN607" s="40"/>
      <c r="AO607" s="40"/>
      <c r="AP607" s="40"/>
      <c r="AQ607" s="40"/>
      <c r="AR607" s="40"/>
      <c r="AS607" s="40"/>
      <c r="AU607" s="40"/>
      <c r="AW607" s="40"/>
    </row>
    <row r="608" spans="2:49" ht="12.75" customHeight="1" x14ac:dyDescent="0.15">
      <c r="B608" s="40"/>
      <c r="C608" s="40"/>
      <c r="D608" s="40"/>
      <c r="E608" s="40"/>
      <c r="F608" s="40"/>
      <c r="G608" s="40"/>
      <c r="H608" s="40"/>
      <c r="I608" s="53"/>
      <c r="S608" s="40"/>
      <c r="T608" s="40"/>
      <c r="U608" s="40"/>
      <c r="V608" s="40"/>
      <c r="W608" s="40"/>
      <c r="Y608" s="40"/>
      <c r="Z608" s="40"/>
      <c r="AA608" s="40"/>
      <c r="AB608" s="40"/>
      <c r="AC608" s="41"/>
      <c r="AD608" s="41"/>
      <c r="AE608" s="41"/>
      <c r="AF608" s="41"/>
      <c r="AG608" s="41"/>
      <c r="AH608" s="40"/>
      <c r="AI608" s="40"/>
      <c r="AJ608" s="5"/>
      <c r="AK608" s="5"/>
      <c r="AL608" s="40"/>
      <c r="AM608" s="40"/>
      <c r="AN608" s="40"/>
      <c r="AO608" s="40"/>
      <c r="AP608" s="40"/>
      <c r="AQ608" s="40"/>
      <c r="AR608" s="40"/>
      <c r="AS608" s="40"/>
      <c r="AU608" s="40"/>
      <c r="AW608" s="40"/>
    </row>
    <row r="609" spans="2:49" ht="12.75" customHeight="1" x14ac:dyDescent="0.15">
      <c r="B609" s="40"/>
      <c r="C609" s="40"/>
      <c r="D609" s="40"/>
      <c r="E609" s="40"/>
      <c r="F609" s="40"/>
      <c r="G609" s="40"/>
      <c r="H609" s="40"/>
      <c r="I609" s="53"/>
      <c r="S609" s="40"/>
      <c r="T609" s="40"/>
      <c r="U609" s="40"/>
      <c r="V609" s="40"/>
      <c r="W609" s="40"/>
      <c r="Y609" s="40"/>
      <c r="Z609" s="40"/>
      <c r="AA609" s="40"/>
      <c r="AB609" s="40"/>
      <c r="AC609" s="41"/>
      <c r="AD609" s="41"/>
      <c r="AE609" s="41"/>
      <c r="AF609" s="41"/>
      <c r="AG609" s="41"/>
      <c r="AH609" s="40"/>
      <c r="AI609" s="40"/>
      <c r="AJ609" s="5"/>
      <c r="AK609" s="5"/>
      <c r="AL609" s="40"/>
      <c r="AM609" s="40"/>
      <c r="AN609" s="40"/>
      <c r="AO609" s="40"/>
      <c r="AP609" s="40"/>
      <c r="AQ609" s="40"/>
      <c r="AR609" s="40"/>
      <c r="AS609" s="40"/>
      <c r="AU609" s="40"/>
      <c r="AW609" s="40"/>
    </row>
    <row r="610" spans="2:49" ht="12.75" customHeight="1" x14ac:dyDescent="0.15">
      <c r="B610" s="40"/>
      <c r="C610" s="40"/>
      <c r="D610" s="40"/>
      <c r="E610" s="40"/>
      <c r="F610" s="40"/>
      <c r="G610" s="40"/>
      <c r="H610" s="40"/>
      <c r="I610" s="53"/>
      <c r="S610" s="40"/>
      <c r="T610" s="40"/>
      <c r="U610" s="40"/>
      <c r="V610" s="40"/>
      <c r="W610" s="40"/>
      <c r="Y610" s="40"/>
      <c r="Z610" s="40"/>
      <c r="AA610" s="40"/>
      <c r="AB610" s="40"/>
      <c r="AC610" s="41"/>
      <c r="AD610" s="41"/>
      <c r="AE610" s="41"/>
      <c r="AF610" s="41"/>
      <c r="AG610" s="41"/>
      <c r="AH610" s="40"/>
      <c r="AI610" s="40"/>
      <c r="AJ610" s="5"/>
      <c r="AK610" s="5"/>
      <c r="AL610" s="40"/>
      <c r="AM610" s="40"/>
      <c r="AN610" s="40"/>
      <c r="AO610" s="40"/>
      <c r="AP610" s="40"/>
      <c r="AQ610" s="40"/>
      <c r="AR610" s="40"/>
      <c r="AS610" s="40"/>
      <c r="AU610" s="40"/>
      <c r="AW610" s="40"/>
    </row>
    <row r="611" spans="2:49" ht="12.75" customHeight="1" x14ac:dyDescent="0.15">
      <c r="B611" s="40"/>
      <c r="C611" s="40"/>
      <c r="D611" s="40"/>
      <c r="E611" s="40"/>
      <c r="F611" s="40"/>
      <c r="G611" s="40"/>
      <c r="H611" s="40"/>
      <c r="I611" s="53"/>
      <c r="S611" s="40"/>
      <c r="T611" s="40"/>
      <c r="U611" s="40"/>
      <c r="V611" s="40"/>
      <c r="W611" s="40"/>
      <c r="Y611" s="40"/>
      <c r="Z611" s="40"/>
      <c r="AA611" s="40"/>
      <c r="AB611" s="40"/>
      <c r="AC611" s="41"/>
      <c r="AD611" s="41"/>
      <c r="AE611" s="41"/>
      <c r="AF611" s="41"/>
      <c r="AG611" s="41"/>
      <c r="AH611" s="40"/>
      <c r="AI611" s="40"/>
      <c r="AJ611" s="5"/>
      <c r="AK611" s="5"/>
      <c r="AL611" s="40"/>
      <c r="AM611" s="40"/>
      <c r="AN611" s="40"/>
      <c r="AO611" s="40"/>
      <c r="AP611" s="40"/>
      <c r="AQ611" s="40"/>
      <c r="AR611" s="40"/>
      <c r="AS611" s="40"/>
      <c r="AU611" s="40"/>
      <c r="AW611" s="40"/>
    </row>
    <row r="612" spans="2:49" ht="12.75" customHeight="1" x14ac:dyDescent="0.15">
      <c r="B612" s="40"/>
      <c r="C612" s="40"/>
      <c r="D612" s="40"/>
      <c r="E612" s="40"/>
      <c r="F612" s="40"/>
      <c r="G612" s="40"/>
      <c r="H612" s="40"/>
      <c r="I612" s="53"/>
      <c r="S612" s="40"/>
      <c r="T612" s="40"/>
      <c r="U612" s="40"/>
      <c r="V612" s="40"/>
      <c r="W612" s="40"/>
      <c r="Y612" s="40"/>
      <c r="Z612" s="40"/>
      <c r="AA612" s="40"/>
      <c r="AB612" s="40"/>
      <c r="AC612" s="41"/>
      <c r="AD612" s="41"/>
      <c r="AE612" s="41"/>
      <c r="AF612" s="41"/>
      <c r="AG612" s="41"/>
      <c r="AH612" s="40"/>
      <c r="AI612" s="40"/>
      <c r="AJ612" s="5"/>
      <c r="AK612" s="5"/>
      <c r="AL612" s="40"/>
      <c r="AM612" s="40"/>
      <c r="AN612" s="40"/>
      <c r="AO612" s="40"/>
      <c r="AP612" s="40"/>
      <c r="AQ612" s="40"/>
      <c r="AR612" s="40"/>
      <c r="AS612" s="40"/>
      <c r="AU612" s="40"/>
      <c r="AW612" s="40"/>
    </row>
    <row r="613" spans="2:49" ht="12.75" customHeight="1" x14ac:dyDescent="0.15">
      <c r="B613" s="40"/>
      <c r="C613" s="40"/>
      <c r="D613" s="40"/>
      <c r="E613" s="40"/>
      <c r="F613" s="40"/>
      <c r="G613" s="40"/>
      <c r="H613" s="40"/>
      <c r="I613" s="53"/>
      <c r="S613" s="40"/>
      <c r="T613" s="40"/>
      <c r="U613" s="40"/>
      <c r="V613" s="40"/>
      <c r="W613" s="40"/>
      <c r="Y613" s="40"/>
      <c r="Z613" s="40"/>
      <c r="AA613" s="40"/>
      <c r="AB613" s="40"/>
      <c r="AC613" s="41"/>
      <c r="AD613" s="41"/>
      <c r="AE613" s="41"/>
      <c r="AF613" s="41"/>
      <c r="AG613" s="41"/>
      <c r="AH613" s="40"/>
      <c r="AI613" s="40"/>
      <c r="AJ613" s="5"/>
      <c r="AK613" s="5"/>
      <c r="AL613" s="40"/>
      <c r="AM613" s="40"/>
      <c r="AN613" s="40"/>
      <c r="AO613" s="40"/>
      <c r="AP613" s="40"/>
      <c r="AQ613" s="40"/>
      <c r="AR613" s="40"/>
      <c r="AS613" s="40"/>
      <c r="AU613" s="40"/>
      <c r="AW613" s="40"/>
    </row>
    <row r="614" spans="2:49" ht="12.75" customHeight="1" x14ac:dyDescent="0.15">
      <c r="B614" s="40"/>
      <c r="C614" s="40"/>
      <c r="D614" s="40"/>
      <c r="E614" s="40"/>
      <c r="F614" s="40"/>
      <c r="G614" s="40"/>
      <c r="H614" s="40"/>
      <c r="I614" s="53"/>
      <c r="S614" s="40"/>
      <c r="T614" s="40"/>
      <c r="U614" s="40"/>
      <c r="V614" s="40"/>
      <c r="W614" s="40"/>
      <c r="Y614" s="40"/>
      <c r="Z614" s="40"/>
      <c r="AA614" s="40"/>
      <c r="AB614" s="40"/>
      <c r="AC614" s="41"/>
      <c r="AD614" s="41"/>
      <c r="AE614" s="41"/>
      <c r="AF614" s="41"/>
      <c r="AG614" s="41"/>
      <c r="AH614" s="40"/>
      <c r="AI614" s="40"/>
      <c r="AJ614" s="5"/>
      <c r="AK614" s="5"/>
      <c r="AL614" s="40"/>
      <c r="AM614" s="40"/>
      <c r="AN614" s="40"/>
      <c r="AO614" s="40"/>
      <c r="AP614" s="40"/>
      <c r="AQ614" s="40"/>
      <c r="AR614" s="40"/>
      <c r="AS614" s="40"/>
      <c r="AU614" s="40"/>
      <c r="AW614" s="40"/>
    </row>
    <row r="615" spans="2:49" ht="12.75" customHeight="1" x14ac:dyDescent="0.15">
      <c r="B615" s="40"/>
      <c r="C615" s="40"/>
      <c r="D615" s="40"/>
      <c r="E615" s="40"/>
      <c r="F615" s="40"/>
      <c r="G615" s="40"/>
      <c r="H615" s="40"/>
      <c r="I615" s="53"/>
      <c r="S615" s="40"/>
      <c r="T615" s="40"/>
      <c r="U615" s="40"/>
      <c r="V615" s="40"/>
      <c r="W615" s="40"/>
      <c r="Y615" s="40"/>
      <c r="Z615" s="40"/>
      <c r="AA615" s="40"/>
      <c r="AB615" s="40"/>
      <c r="AC615" s="41"/>
      <c r="AD615" s="41"/>
      <c r="AE615" s="41"/>
      <c r="AF615" s="41"/>
      <c r="AG615" s="41"/>
      <c r="AH615" s="40"/>
      <c r="AI615" s="40"/>
      <c r="AJ615" s="5"/>
      <c r="AK615" s="5"/>
      <c r="AL615" s="40"/>
      <c r="AM615" s="40"/>
      <c r="AN615" s="40"/>
      <c r="AO615" s="40"/>
      <c r="AP615" s="40"/>
      <c r="AQ615" s="40"/>
      <c r="AR615" s="40"/>
      <c r="AS615" s="40"/>
      <c r="AU615" s="40"/>
      <c r="AW615" s="40"/>
    </row>
    <row r="616" spans="2:49" ht="12.75" customHeight="1" x14ac:dyDescent="0.15">
      <c r="B616" s="40"/>
      <c r="C616" s="40"/>
      <c r="D616" s="40"/>
      <c r="E616" s="40"/>
      <c r="F616" s="40"/>
      <c r="G616" s="40"/>
      <c r="H616" s="40"/>
      <c r="I616" s="53"/>
      <c r="S616" s="40"/>
      <c r="T616" s="40"/>
      <c r="U616" s="40"/>
      <c r="V616" s="40"/>
      <c r="W616" s="40"/>
      <c r="Y616" s="40"/>
      <c r="Z616" s="40"/>
      <c r="AA616" s="40"/>
      <c r="AB616" s="40"/>
      <c r="AC616" s="41"/>
      <c r="AD616" s="41"/>
      <c r="AE616" s="41"/>
      <c r="AF616" s="41"/>
      <c r="AG616" s="41"/>
      <c r="AH616" s="40"/>
      <c r="AI616" s="40"/>
      <c r="AJ616" s="5"/>
      <c r="AK616" s="5"/>
      <c r="AL616" s="40"/>
      <c r="AM616" s="40"/>
      <c r="AN616" s="40"/>
      <c r="AO616" s="40"/>
      <c r="AP616" s="40"/>
      <c r="AQ616" s="40"/>
      <c r="AR616" s="40"/>
      <c r="AS616" s="40"/>
      <c r="AU616" s="40"/>
      <c r="AW616" s="40"/>
    </row>
    <row r="617" spans="2:49" ht="12.75" customHeight="1" x14ac:dyDescent="0.15">
      <c r="B617" s="40"/>
      <c r="C617" s="40"/>
      <c r="D617" s="40"/>
      <c r="E617" s="40"/>
      <c r="F617" s="40"/>
      <c r="G617" s="40"/>
      <c r="H617" s="40"/>
      <c r="I617" s="53"/>
      <c r="S617" s="40"/>
      <c r="T617" s="40"/>
      <c r="U617" s="40"/>
      <c r="V617" s="40"/>
      <c r="W617" s="40"/>
      <c r="Y617" s="40"/>
      <c r="Z617" s="40"/>
      <c r="AA617" s="40"/>
      <c r="AB617" s="40"/>
      <c r="AC617" s="41"/>
      <c r="AD617" s="41"/>
      <c r="AE617" s="41"/>
      <c r="AF617" s="41"/>
      <c r="AG617" s="41"/>
      <c r="AH617" s="40"/>
      <c r="AI617" s="40"/>
      <c r="AJ617" s="5"/>
      <c r="AK617" s="5"/>
      <c r="AL617" s="40"/>
      <c r="AM617" s="40"/>
      <c r="AN617" s="40"/>
      <c r="AO617" s="40"/>
      <c r="AP617" s="40"/>
      <c r="AQ617" s="40"/>
      <c r="AR617" s="40"/>
      <c r="AS617" s="40"/>
      <c r="AU617" s="40"/>
      <c r="AW617" s="40"/>
    </row>
    <row r="618" spans="2:49" ht="12.75" customHeight="1" x14ac:dyDescent="0.15">
      <c r="B618" s="40"/>
      <c r="C618" s="40"/>
      <c r="D618" s="40"/>
      <c r="E618" s="40"/>
      <c r="F618" s="40"/>
      <c r="G618" s="40"/>
      <c r="H618" s="40"/>
      <c r="I618" s="53"/>
      <c r="S618" s="40"/>
      <c r="T618" s="40"/>
      <c r="U618" s="40"/>
      <c r="V618" s="40"/>
      <c r="W618" s="40"/>
      <c r="Y618" s="40"/>
      <c r="Z618" s="40"/>
      <c r="AA618" s="40"/>
      <c r="AB618" s="40"/>
      <c r="AC618" s="41"/>
      <c r="AD618" s="41"/>
      <c r="AE618" s="41"/>
      <c r="AF618" s="41"/>
      <c r="AG618" s="41"/>
      <c r="AH618" s="40"/>
      <c r="AI618" s="40"/>
      <c r="AJ618" s="5"/>
      <c r="AK618" s="5"/>
      <c r="AL618" s="40"/>
      <c r="AM618" s="40"/>
      <c r="AN618" s="40"/>
      <c r="AO618" s="40"/>
      <c r="AP618" s="40"/>
      <c r="AQ618" s="40"/>
      <c r="AR618" s="40"/>
      <c r="AS618" s="40"/>
      <c r="AU618" s="40"/>
      <c r="AW618" s="40"/>
    </row>
    <row r="619" spans="2:49" ht="12.75" customHeight="1" x14ac:dyDescent="0.15">
      <c r="B619" s="40"/>
      <c r="C619" s="40"/>
      <c r="D619" s="40"/>
      <c r="E619" s="40"/>
      <c r="F619" s="40"/>
      <c r="G619" s="40"/>
      <c r="H619" s="40"/>
      <c r="I619" s="53"/>
      <c r="S619" s="40"/>
      <c r="T619" s="40"/>
      <c r="U619" s="40"/>
      <c r="V619" s="40"/>
      <c r="W619" s="40"/>
      <c r="Y619" s="40"/>
      <c r="Z619" s="40"/>
      <c r="AA619" s="40"/>
      <c r="AB619" s="40"/>
      <c r="AC619" s="41"/>
      <c r="AD619" s="41"/>
      <c r="AE619" s="41"/>
      <c r="AF619" s="41"/>
      <c r="AG619" s="41"/>
      <c r="AH619" s="40"/>
      <c r="AI619" s="40"/>
      <c r="AJ619" s="5"/>
      <c r="AK619" s="5"/>
      <c r="AL619" s="40"/>
      <c r="AM619" s="40"/>
      <c r="AN619" s="40"/>
      <c r="AO619" s="40"/>
      <c r="AP619" s="40"/>
      <c r="AQ619" s="40"/>
      <c r="AR619" s="40"/>
      <c r="AS619" s="40"/>
      <c r="AU619" s="40"/>
      <c r="AW619" s="40"/>
    </row>
    <row r="620" spans="2:49" ht="12.75" customHeight="1" x14ac:dyDescent="0.15">
      <c r="B620" s="40"/>
      <c r="C620" s="40"/>
      <c r="D620" s="40"/>
      <c r="E620" s="40"/>
      <c r="F620" s="40"/>
      <c r="G620" s="40"/>
      <c r="H620" s="40"/>
      <c r="I620" s="53"/>
      <c r="S620" s="40"/>
      <c r="T620" s="40"/>
      <c r="U620" s="40"/>
      <c r="V620" s="40"/>
      <c r="W620" s="40"/>
      <c r="Y620" s="40"/>
      <c r="Z620" s="40"/>
      <c r="AA620" s="40"/>
      <c r="AB620" s="40"/>
      <c r="AC620" s="41"/>
      <c r="AD620" s="41"/>
      <c r="AE620" s="41"/>
      <c r="AF620" s="41"/>
      <c r="AG620" s="41"/>
      <c r="AH620" s="40"/>
      <c r="AI620" s="40"/>
      <c r="AJ620" s="5"/>
      <c r="AK620" s="5"/>
      <c r="AL620" s="40"/>
      <c r="AM620" s="40"/>
      <c r="AN620" s="40"/>
      <c r="AO620" s="40"/>
      <c r="AP620" s="40"/>
      <c r="AQ620" s="40"/>
      <c r="AR620" s="40"/>
      <c r="AS620" s="40"/>
      <c r="AU620" s="40"/>
      <c r="AW620" s="40"/>
    </row>
    <row r="621" spans="2:49" ht="12.75" customHeight="1" x14ac:dyDescent="0.15">
      <c r="B621" s="40"/>
      <c r="C621" s="40"/>
      <c r="D621" s="40"/>
      <c r="E621" s="40"/>
      <c r="F621" s="40"/>
      <c r="G621" s="40"/>
      <c r="H621" s="40"/>
      <c r="I621" s="53"/>
      <c r="S621" s="40"/>
      <c r="T621" s="40"/>
      <c r="U621" s="40"/>
      <c r="V621" s="40"/>
      <c r="W621" s="40"/>
      <c r="Y621" s="40"/>
      <c r="Z621" s="40"/>
      <c r="AA621" s="40"/>
      <c r="AB621" s="40"/>
      <c r="AC621" s="41"/>
      <c r="AD621" s="41"/>
      <c r="AE621" s="41"/>
      <c r="AF621" s="41"/>
      <c r="AG621" s="41"/>
      <c r="AH621" s="40"/>
      <c r="AI621" s="40"/>
      <c r="AJ621" s="5"/>
      <c r="AK621" s="5"/>
      <c r="AL621" s="40"/>
      <c r="AM621" s="40"/>
      <c r="AN621" s="40"/>
      <c r="AO621" s="40"/>
      <c r="AP621" s="40"/>
      <c r="AQ621" s="40"/>
      <c r="AR621" s="40"/>
      <c r="AS621" s="40"/>
      <c r="AU621" s="40"/>
      <c r="AW621" s="40"/>
    </row>
    <row r="622" spans="2:49" ht="12.75" customHeight="1" x14ac:dyDescent="0.15">
      <c r="B622" s="40"/>
      <c r="C622" s="40"/>
      <c r="D622" s="40"/>
      <c r="E622" s="40"/>
      <c r="F622" s="40"/>
      <c r="G622" s="40"/>
      <c r="H622" s="40"/>
      <c r="I622" s="53"/>
      <c r="S622" s="40"/>
      <c r="T622" s="40"/>
      <c r="U622" s="40"/>
      <c r="V622" s="40"/>
      <c r="W622" s="40"/>
      <c r="Y622" s="40"/>
      <c r="Z622" s="40"/>
      <c r="AA622" s="40"/>
      <c r="AB622" s="40"/>
      <c r="AC622" s="41"/>
      <c r="AD622" s="41"/>
      <c r="AE622" s="41"/>
      <c r="AF622" s="41"/>
      <c r="AG622" s="41"/>
      <c r="AH622" s="40"/>
      <c r="AI622" s="40"/>
      <c r="AJ622" s="5"/>
      <c r="AK622" s="5"/>
      <c r="AL622" s="40"/>
      <c r="AM622" s="40"/>
      <c r="AN622" s="40"/>
      <c r="AO622" s="40"/>
      <c r="AP622" s="40"/>
      <c r="AQ622" s="40"/>
      <c r="AR622" s="40"/>
      <c r="AS622" s="40"/>
      <c r="AU622" s="40"/>
      <c r="AW622" s="40"/>
    </row>
    <row r="623" spans="2:49" ht="12.75" customHeight="1" x14ac:dyDescent="0.15">
      <c r="B623" s="40"/>
      <c r="C623" s="40"/>
      <c r="D623" s="40"/>
      <c r="E623" s="40"/>
      <c r="F623" s="40"/>
      <c r="G623" s="40"/>
      <c r="H623" s="40"/>
      <c r="I623" s="53"/>
      <c r="S623" s="40"/>
      <c r="T623" s="40"/>
      <c r="U623" s="40"/>
      <c r="V623" s="40"/>
      <c r="W623" s="40"/>
      <c r="Y623" s="40"/>
      <c r="Z623" s="40"/>
      <c r="AA623" s="40"/>
      <c r="AB623" s="40"/>
      <c r="AC623" s="41"/>
      <c r="AD623" s="41"/>
      <c r="AE623" s="41"/>
      <c r="AF623" s="41"/>
      <c r="AG623" s="41"/>
      <c r="AH623" s="40"/>
      <c r="AI623" s="40"/>
      <c r="AJ623" s="5"/>
      <c r="AK623" s="5"/>
      <c r="AL623" s="40"/>
      <c r="AM623" s="40"/>
      <c r="AN623" s="40"/>
      <c r="AO623" s="40"/>
      <c r="AP623" s="40"/>
      <c r="AQ623" s="40"/>
      <c r="AR623" s="40"/>
      <c r="AS623" s="40"/>
      <c r="AU623" s="40"/>
      <c r="AW623" s="40"/>
    </row>
    <row r="624" spans="2:49" ht="12.75" customHeight="1" x14ac:dyDescent="0.15">
      <c r="B624" s="40"/>
      <c r="C624" s="40"/>
      <c r="D624" s="40"/>
      <c r="E624" s="40"/>
      <c r="F624" s="40"/>
      <c r="G624" s="40"/>
      <c r="H624" s="40"/>
      <c r="I624" s="53"/>
      <c r="S624" s="40"/>
      <c r="T624" s="40"/>
      <c r="U624" s="40"/>
      <c r="V624" s="40"/>
      <c r="W624" s="40"/>
      <c r="Y624" s="40"/>
      <c r="Z624" s="40"/>
      <c r="AA624" s="40"/>
      <c r="AB624" s="40"/>
      <c r="AC624" s="41"/>
      <c r="AD624" s="41"/>
      <c r="AE624" s="41"/>
      <c r="AF624" s="41"/>
      <c r="AG624" s="41"/>
      <c r="AH624" s="40"/>
      <c r="AI624" s="40"/>
      <c r="AJ624" s="5"/>
      <c r="AK624" s="5"/>
      <c r="AL624" s="40"/>
      <c r="AM624" s="40"/>
      <c r="AN624" s="40"/>
      <c r="AO624" s="40"/>
      <c r="AP624" s="40"/>
      <c r="AQ624" s="40"/>
      <c r="AR624" s="40"/>
      <c r="AS624" s="40"/>
      <c r="AU624" s="40"/>
      <c r="AW624" s="40"/>
    </row>
    <row r="625" spans="2:49" ht="12.75" customHeight="1" x14ac:dyDescent="0.15">
      <c r="B625" s="40"/>
      <c r="C625" s="40"/>
      <c r="D625" s="40"/>
      <c r="E625" s="40"/>
      <c r="F625" s="40"/>
      <c r="G625" s="40"/>
      <c r="H625" s="40"/>
      <c r="I625" s="53"/>
      <c r="S625" s="40"/>
      <c r="T625" s="40"/>
      <c r="U625" s="40"/>
      <c r="V625" s="40"/>
      <c r="W625" s="40"/>
      <c r="Y625" s="40"/>
      <c r="Z625" s="40"/>
      <c r="AA625" s="40"/>
      <c r="AB625" s="40"/>
      <c r="AC625" s="41"/>
      <c r="AD625" s="41"/>
      <c r="AE625" s="41"/>
      <c r="AF625" s="41"/>
      <c r="AG625" s="41"/>
      <c r="AH625" s="40"/>
      <c r="AI625" s="40"/>
      <c r="AJ625" s="5"/>
      <c r="AK625" s="5"/>
      <c r="AL625" s="40"/>
      <c r="AM625" s="40"/>
      <c r="AN625" s="40"/>
      <c r="AO625" s="40"/>
      <c r="AP625" s="40"/>
      <c r="AQ625" s="40"/>
      <c r="AR625" s="40"/>
      <c r="AS625" s="40"/>
      <c r="AU625" s="40"/>
      <c r="AW625" s="40"/>
    </row>
    <row r="626" spans="2:49" ht="12.75" customHeight="1" x14ac:dyDescent="0.15">
      <c r="B626" s="40"/>
      <c r="C626" s="40"/>
      <c r="D626" s="40"/>
      <c r="E626" s="40"/>
      <c r="F626" s="40"/>
      <c r="G626" s="40"/>
      <c r="H626" s="40"/>
      <c r="I626" s="53"/>
      <c r="S626" s="40"/>
      <c r="T626" s="40"/>
      <c r="U626" s="40"/>
      <c r="V626" s="40"/>
      <c r="W626" s="40"/>
      <c r="Y626" s="40"/>
      <c r="Z626" s="40"/>
      <c r="AA626" s="40"/>
      <c r="AB626" s="40"/>
      <c r="AC626" s="41"/>
      <c r="AD626" s="41"/>
      <c r="AE626" s="41"/>
      <c r="AF626" s="41"/>
      <c r="AG626" s="41"/>
      <c r="AH626" s="40"/>
      <c r="AI626" s="40"/>
      <c r="AJ626" s="5"/>
      <c r="AK626" s="5"/>
      <c r="AL626" s="40"/>
      <c r="AM626" s="40"/>
      <c r="AN626" s="40"/>
      <c r="AO626" s="40"/>
      <c r="AP626" s="40"/>
      <c r="AQ626" s="40"/>
      <c r="AR626" s="40"/>
      <c r="AS626" s="40"/>
      <c r="AU626" s="40"/>
      <c r="AW626" s="40"/>
    </row>
    <row r="627" spans="2:49" ht="12.75" customHeight="1" x14ac:dyDescent="0.15">
      <c r="B627" s="40"/>
      <c r="C627" s="40"/>
      <c r="D627" s="40"/>
      <c r="E627" s="40"/>
      <c r="F627" s="40"/>
      <c r="G627" s="40"/>
      <c r="H627" s="40"/>
      <c r="I627" s="53"/>
      <c r="S627" s="40"/>
      <c r="T627" s="40"/>
      <c r="U627" s="40"/>
      <c r="V627" s="40"/>
      <c r="W627" s="40"/>
      <c r="Y627" s="40"/>
      <c r="Z627" s="40"/>
      <c r="AA627" s="40"/>
      <c r="AB627" s="40"/>
      <c r="AC627" s="41"/>
      <c r="AD627" s="41"/>
      <c r="AE627" s="41"/>
      <c r="AF627" s="41"/>
      <c r="AG627" s="41"/>
      <c r="AH627" s="40"/>
      <c r="AI627" s="40"/>
      <c r="AJ627" s="5"/>
      <c r="AK627" s="5"/>
      <c r="AL627" s="40"/>
      <c r="AM627" s="40"/>
      <c r="AN627" s="40"/>
      <c r="AO627" s="40"/>
      <c r="AP627" s="40"/>
      <c r="AQ627" s="40"/>
      <c r="AR627" s="40"/>
      <c r="AS627" s="40"/>
      <c r="AU627" s="40"/>
      <c r="AW627" s="40"/>
    </row>
    <row r="628" spans="2:49" ht="12.75" customHeight="1" x14ac:dyDescent="0.15">
      <c r="B628" s="40"/>
      <c r="C628" s="40"/>
      <c r="D628" s="40"/>
      <c r="E628" s="40"/>
      <c r="F628" s="40"/>
      <c r="G628" s="40"/>
      <c r="H628" s="40"/>
      <c r="I628" s="53"/>
      <c r="S628" s="40"/>
      <c r="T628" s="40"/>
      <c r="U628" s="40"/>
      <c r="V628" s="40"/>
      <c r="W628" s="40"/>
      <c r="Y628" s="40"/>
      <c r="Z628" s="40"/>
      <c r="AA628" s="40"/>
      <c r="AB628" s="40"/>
      <c r="AC628" s="41"/>
      <c r="AD628" s="41"/>
      <c r="AE628" s="41"/>
      <c r="AF628" s="41"/>
      <c r="AG628" s="41"/>
      <c r="AH628" s="40"/>
      <c r="AI628" s="40"/>
      <c r="AJ628" s="5"/>
      <c r="AK628" s="5"/>
      <c r="AL628" s="40"/>
      <c r="AM628" s="40"/>
      <c r="AN628" s="40"/>
      <c r="AO628" s="40"/>
      <c r="AP628" s="40"/>
      <c r="AQ628" s="40"/>
      <c r="AR628" s="40"/>
      <c r="AS628" s="40"/>
      <c r="AU628" s="40"/>
      <c r="AW628" s="40"/>
    </row>
    <row r="629" spans="2:49" ht="12.75" customHeight="1" x14ac:dyDescent="0.15">
      <c r="B629" s="40"/>
      <c r="C629" s="40"/>
      <c r="D629" s="40"/>
      <c r="E629" s="40"/>
      <c r="F629" s="40"/>
      <c r="G629" s="40"/>
      <c r="H629" s="40"/>
      <c r="I629" s="53"/>
      <c r="S629" s="40"/>
      <c r="T629" s="40"/>
      <c r="U629" s="40"/>
      <c r="V629" s="40"/>
      <c r="W629" s="40"/>
      <c r="Y629" s="40"/>
      <c r="Z629" s="40"/>
      <c r="AA629" s="40"/>
      <c r="AB629" s="40"/>
      <c r="AC629" s="41"/>
      <c r="AD629" s="41"/>
      <c r="AE629" s="41"/>
      <c r="AF629" s="41"/>
      <c r="AG629" s="41"/>
      <c r="AH629" s="40"/>
      <c r="AI629" s="40"/>
      <c r="AJ629" s="5"/>
      <c r="AK629" s="5"/>
      <c r="AL629" s="40"/>
      <c r="AM629" s="40"/>
      <c r="AN629" s="40"/>
      <c r="AO629" s="40"/>
      <c r="AP629" s="40"/>
      <c r="AQ629" s="40"/>
      <c r="AR629" s="40"/>
      <c r="AS629" s="40"/>
      <c r="AU629" s="40"/>
      <c r="AW629" s="40"/>
    </row>
    <row r="630" spans="2:49" ht="12.75" customHeight="1" x14ac:dyDescent="0.15">
      <c r="B630" s="40"/>
      <c r="C630" s="40"/>
      <c r="D630" s="40"/>
      <c r="E630" s="40"/>
      <c r="F630" s="40"/>
      <c r="G630" s="40"/>
      <c r="H630" s="40"/>
      <c r="I630" s="53"/>
      <c r="S630" s="40"/>
      <c r="T630" s="40"/>
      <c r="U630" s="40"/>
      <c r="V630" s="40"/>
      <c r="W630" s="40"/>
      <c r="Y630" s="40"/>
      <c r="Z630" s="40"/>
      <c r="AA630" s="40"/>
      <c r="AB630" s="40"/>
      <c r="AC630" s="41"/>
      <c r="AD630" s="41"/>
      <c r="AE630" s="41"/>
      <c r="AF630" s="41"/>
      <c r="AG630" s="41"/>
      <c r="AH630" s="40"/>
      <c r="AI630" s="40"/>
      <c r="AJ630" s="5"/>
      <c r="AK630" s="5"/>
      <c r="AL630" s="40"/>
      <c r="AM630" s="40"/>
      <c r="AN630" s="40"/>
      <c r="AO630" s="40"/>
      <c r="AP630" s="40"/>
      <c r="AQ630" s="40"/>
      <c r="AR630" s="40"/>
      <c r="AS630" s="40"/>
      <c r="AU630" s="40"/>
      <c r="AW630" s="40"/>
    </row>
    <row r="631" spans="2:49" ht="12.75" customHeight="1" x14ac:dyDescent="0.15">
      <c r="B631" s="40"/>
      <c r="C631" s="40"/>
      <c r="D631" s="40"/>
      <c r="E631" s="40"/>
      <c r="F631" s="40"/>
      <c r="G631" s="40"/>
      <c r="H631" s="40"/>
      <c r="I631" s="53"/>
      <c r="S631" s="40"/>
      <c r="T631" s="40"/>
      <c r="U631" s="40"/>
      <c r="V631" s="40"/>
      <c r="W631" s="40"/>
      <c r="Y631" s="40"/>
      <c r="Z631" s="40"/>
      <c r="AA631" s="40"/>
      <c r="AB631" s="40"/>
      <c r="AC631" s="41"/>
      <c r="AD631" s="41"/>
      <c r="AE631" s="41"/>
      <c r="AF631" s="41"/>
      <c r="AG631" s="41"/>
      <c r="AH631" s="40"/>
      <c r="AI631" s="40"/>
      <c r="AJ631" s="5"/>
      <c r="AK631" s="5"/>
      <c r="AL631" s="40"/>
      <c r="AM631" s="40"/>
      <c r="AN631" s="40"/>
      <c r="AO631" s="40"/>
      <c r="AP631" s="40"/>
      <c r="AQ631" s="40"/>
      <c r="AR631" s="40"/>
      <c r="AS631" s="40"/>
      <c r="AU631" s="40"/>
      <c r="AW631" s="40"/>
    </row>
    <row r="632" spans="2:49" ht="12.75" customHeight="1" x14ac:dyDescent="0.15">
      <c r="B632" s="40"/>
      <c r="C632" s="40"/>
      <c r="D632" s="40"/>
      <c r="E632" s="40"/>
      <c r="F632" s="40"/>
      <c r="G632" s="40"/>
      <c r="H632" s="40"/>
      <c r="I632" s="53"/>
      <c r="S632" s="40"/>
      <c r="T632" s="40"/>
      <c r="U632" s="40"/>
      <c r="V632" s="40"/>
      <c r="W632" s="40"/>
      <c r="Y632" s="40"/>
      <c r="Z632" s="40"/>
      <c r="AA632" s="40"/>
      <c r="AB632" s="40"/>
      <c r="AC632" s="41"/>
      <c r="AD632" s="41"/>
      <c r="AE632" s="41"/>
      <c r="AF632" s="41"/>
      <c r="AG632" s="41"/>
      <c r="AH632" s="40"/>
      <c r="AI632" s="40"/>
      <c r="AJ632" s="5"/>
      <c r="AK632" s="5"/>
      <c r="AL632" s="40"/>
      <c r="AM632" s="40"/>
      <c r="AN632" s="40"/>
      <c r="AO632" s="40"/>
      <c r="AP632" s="40"/>
      <c r="AQ632" s="40"/>
      <c r="AR632" s="40"/>
      <c r="AS632" s="40"/>
      <c r="AU632" s="40"/>
      <c r="AW632" s="40"/>
    </row>
    <row r="633" spans="2:49" ht="12.75" customHeight="1" x14ac:dyDescent="0.15">
      <c r="B633" s="40"/>
      <c r="C633" s="40"/>
      <c r="D633" s="40"/>
      <c r="E633" s="40"/>
      <c r="F633" s="40"/>
      <c r="G633" s="40"/>
      <c r="H633" s="40"/>
      <c r="I633" s="53"/>
      <c r="S633" s="40"/>
      <c r="T633" s="40"/>
      <c r="U633" s="40"/>
      <c r="V633" s="40"/>
      <c r="W633" s="40"/>
      <c r="Y633" s="40"/>
      <c r="Z633" s="40"/>
      <c r="AA633" s="40"/>
      <c r="AB633" s="40"/>
      <c r="AC633" s="41"/>
      <c r="AD633" s="41"/>
      <c r="AE633" s="41"/>
      <c r="AF633" s="41"/>
      <c r="AG633" s="41"/>
      <c r="AH633" s="40"/>
      <c r="AI633" s="40"/>
      <c r="AJ633" s="5"/>
      <c r="AK633" s="5"/>
      <c r="AL633" s="40"/>
      <c r="AM633" s="40"/>
      <c r="AN633" s="40"/>
      <c r="AO633" s="40"/>
      <c r="AP633" s="40"/>
      <c r="AQ633" s="40"/>
      <c r="AR633" s="40"/>
      <c r="AS633" s="40"/>
      <c r="AU633" s="40"/>
      <c r="AW633" s="40"/>
    </row>
    <row r="634" spans="2:49" ht="12.75" customHeight="1" x14ac:dyDescent="0.15">
      <c r="B634" s="40"/>
      <c r="C634" s="40"/>
      <c r="D634" s="40"/>
      <c r="E634" s="40"/>
      <c r="F634" s="40"/>
      <c r="G634" s="40"/>
      <c r="H634" s="40"/>
      <c r="I634" s="53"/>
      <c r="S634" s="40"/>
      <c r="T634" s="40"/>
      <c r="U634" s="40"/>
      <c r="V634" s="40"/>
      <c r="W634" s="40"/>
      <c r="Y634" s="40"/>
      <c r="Z634" s="40"/>
      <c r="AA634" s="40"/>
      <c r="AB634" s="40"/>
      <c r="AC634" s="41"/>
      <c r="AD634" s="41"/>
      <c r="AE634" s="41"/>
      <c r="AF634" s="41"/>
      <c r="AG634" s="41"/>
      <c r="AH634" s="40"/>
      <c r="AI634" s="40"/>
      <c r="AJ634" s="5"/>
      <c r="AK634" s="5"/>
      <c r="AL634" s="40"/>
      <c r="AM634" s="40"/>
      <c r="AN634" s="40"/>
      <c r="AO634" s="40"/>
      <c r="AP634" s="40"/>
      <c r="AQ634" s="40"/>
      <c r="AR634" s="40"/>
      <c r="AS634" s="40"/>
      <c r="AU634" s="40"/>
      <c r="AW634" s="40"/>
    </row>
    <row r="635" spans="2:49" ht="12.75" customHeight="1" x14ac:dyDescent="0.15">
      <c r="B635" s="40"/>
      <c r="C635" s="40"/>
      <c r="D635" s="40"/>
      <c r="E635" s="40"/>
      <c r="F635" s="40"/>
      <c r="G635" s="40"/>
      <c r="H635" s="40"/>
      <c r="I635" s="53"/>
      <c r="S635" s="40"/>
      <c r="T635" s="40"/>
      <c r="U635" s="40"/>
      <c r="V635" s="40"/>
      <c r="W635" s="40"/>
      <c r="Y635" s="40"/>
      <c r="Z635" s="40"/>
      <c r="AA635" s="40"/>
      <c r="AB635" s="40"/>
      <c r="AC635" s="41"/>
      <c r="AD635" s="41"/>
      <c r="AE635" s="41"/>
      <c r="AF635" s="41"/>
      <c r="AG635" s="41"/>
      <c r="AH635" s="40"/>
      <c r="AI635" s="40"/>
      <c r="AJ635" s="5"/>
      <c r="AK635" s="5"/>
      <c r="AL635" s="40"/>
      <c r="AM635" s="40"/>
      <c r="AN635" s="40"/>
      <c r="AO635" s="40"/>
      <c r="AP635" s="40"/>
      <c r="AQ635" s="40"/>
      <c r="AR635" s="40"/>
      <c r="AS635" s="40"/>
      <c r="AU635" s="40"/>
      <c r="AW635" s="40"/>
    </row>
    <row r="636" spans="2:49" ht="12.75" customHeight="1" x14ac:dyDescent="0.15">
      <c r="B636" s="40"/>
      <c r="C636" s="40"/>
      <c r="D636" s="40"/>
      <c r="E636" s="40"/>
      <c r="F636" s="40"/>
      <c r="G636" s="40"/>
      <c r="H636" s="40"/>
      <c r="I636" s="53"/>
      <c r="S636" s="40"/>
      <c r="T636" s="40"/>
      <c r="U636" s="40"/>
      <c r="V636" s="40"/>
      <c r="W636" s="40"/>
      <c r="Y636" s="40"/>
      <c r="Z636" s="40"/>
      <c r="AA636" s="40"/>
      <c r="AB636" s="40"/>
      <c r="AC636" s="41"/>
      <c r="AD636" s="41"/>
      <c r="AE636" s="41"/>
      <c r="AF636" s="41"/>
      <c r="AG636" s="41"/>
      <c r="AH636" s="40"/>
      <c r="AI636" s="40"/>
      <c r="AJ636" s="5"/>
      <c r="AK636" s="5"/>
      <c r="AL636" s="40"/>
      <c r="AM636" s="40"/>
      <c r="AN636" s="40"/>
      <c r="AO636" s="40"/>
      <c r="AP636" s="40"/>
      <c r="AQ636" s="40"/>
      <c r="AR636" s="40"/>
      <c r="AS636" s="40"/>
      <c r="AU636" s="40"/>
      <c r="AW636" s="40"/>
    </row>
    <row r="637" spans="2:49" ht="12.75" customHeight="1" x14ac:dyDescent="0.15">
      <c r="B637" s="40"/>
      <c r="C637" s="40"/>
      <c r="D637" s="40"/>
      <c r="E637" s="40"/>
      <c r="F637" s="40"/>
      <c r="G637" s="40"/>
      <c r="H637" s="40"/>
      <c r="I637" s="53"/>
      <c r="S637" s="40"/>
      <c r="T637" s="40"/>
      <c r="U637" s="40"/>
      <c r="V637" s="40"/>
      <c r="W637" s="40"/>
      <c r="Y637" s="40"/>
      <c r="Z637" s="40"/>
      <c r="AA637" s="40"/>
      <c r="AB637" s="40"/>
      <c r="AC637" s="41"/>
      <c r="AD637" s="41"/>
      <c r="AE637" s="41"/>
      <c r="AF637" s="41"/>
      <c r="AG637" s="41"/>
      <c r="AH637" s="40"/>
      <c r="AI637" s="40"/>
      <c r="AJ637" s="5"/>
      <c r="AK637" s="5"/>
      <c r="AL637" s="40"/>
      <c r="AM637" s="40"/>
      <c r="AN637" s="40"/>
      <c r="AO637" s="40"/>
      <c r="AP637" s="40"/>
      <c r="AQ637" s="40"/>
      <c r="AR637" s="40"/>
      <c r="AS637" s="40"/>
      <c r="AU637" s="40"/>
      <c r="AW637" s="40"/>
    </row>
    <row r="638" spans="2:49" ht="12.75" customHeight="1" x14ac:dyDescent="0.15">
      <c r="B638" s="40"/>
      <c r="C638" s="40"/>
      <c r="D638" s="40"/>
      <c r="E638" s="40"/>
      <c r="F638" s="40"/>
      <c r="G638" s="40"/>
      <c r="H638" s="40"/>
      <c r="I638" s="53"/>
      <c r="S638" s="40"/>
      <c r="T638" s="40"/>
      <c r="U638" s="40"/>
      <c r="V638" s="40"/>
      <c r="W638" s="40"/>
      <c r="Y638" s="40"/>
      <c r="Z638" s="40"/>
      <c r="AA638" s="40"/>
      <c r="AB638" s="40"/>
      <c r="AC638" s="41"/>
      <c r="AD638" s="41"/>
      <c r="AE638" s="41"/>
      <c r="AF638" s="41"/>
      <c r="AG638" s="41"/>
      <c r="AH638" s="40"/>
      <c r="AI638" s="40"/>
      <c r="AJ638" s="5"/>
      <c r="AK638" s="5"/>
      <c r="AL638" s="40"/>
      <c r="AM638" s="40"/>
      <c r="AN638" s="40"/>
      <c r="AO638" s="40"/>
      <c r="AP638" s="40"/>
      <c r="AQ638" s="40"/>
      <c r="AR638" s="40"/>
      <c r="AS638" s="40"/>
      <c r="AU638" s="40"/>
      <c r="AW638" s="40"/>
    </row>
    <row r="639" spans="2:49" ht="12.75" customHeight="1" x14ac:dyDescent="0.15">
      <c r="B639" s="40"/>
      <c r="C639" s="40"/>
      <c r="D639" s="40"/>
      <c r="E639" s="40"/>
      <c r="F639" s="40"/>
      <c r="G639" s="40"/>
      <c r="H639" s="40"/>
      <c r="I639" s="53"/>
      <c r="S639" s="40"/>
      <c r="T639" s="40"/>
      <c r="U639" s="40"/>
      <c r="V639" s="40"/>
      <c r="W639" s="40"/>
      <c r="Y639" s="40"/>
      <c r="Z639" s="40"/>
      <c r="AA639" s="40"/>
      <c r="AB639" s="40"/>
      <c r="AC639" s="41"/>
      <c r="AD639" s="41"/>
      <c r="AE639" s="41"/>
      <c r="AF639" s="41"/>
      <c r="AG639" s="41"/>
      <c r="AH639" s="40"/>
      <c r="AI639" s="40"/>
      <c r="AJ639" s="5"/>
      <c r="AK639" s="5"/>
      <c r="AL639" s="40"/>
      <c r="AM639" s="40"/>
      <c r="AN639" s="40"/>
      <c r="AO639" s="40"/>
      <c r="AP639" s="40"/>
      <c r="AQ639" s="40"/>
      <c r="AR639" s="40"/>
      <c r="AS639" s="40"/>
      <c r="AU639" s="40"/>
      <c r="AW639" s="40"/>
    </row>
    <row r="640" spans="2:49" ht="12.75" customHeight="1" x14ac:dyDescent="0.15">
      <c r="B640" s="40"/>
      <c r="C640" s="40"/>
      <c r="D640" s="40"/>
      <c r="E640" s="40"/>
      <c r="F640" s="40"/>
      <c r="G640" s="40"/>
      <c r="H640" s="40"/>
      <c r="I640" s="53"/>
      <c r="S640" s="40"/>
      <c r="T640" s="40"/>
      <c r="U640" s="40"/>
      <c r="V640" s="40"/>
      <c r="W640" s="40"/>
      <c r="Y640" s="40"/>
      <c r="Z640" s="40"/>
      <c r="AA640" s="40"/>
      <c r="AB640" s="40"/>
      <c r="AC640" s="41"/>
      <c r="AD640" s="41"/>
      <c r="AE640" s="41"/>
      <c r="AF640" s="41"/>
      <c r="AG640" s="41"/>
      <c r="AH640" s="40"/>
      <c r="AI640" s="40"/>
      <c r="AJ640" s="5"/>
      <c r="AK640" s="5"/>
      <c r="AL640" s="40"/>
      <c r="AM640" s="40"/>
      <c r="AN640" s="40"/>
      <c r="AO640" s="40"/>
      <c r="AP640" s="40"/>
      <c r="AQ640" s="40"/>
      <c r="AR640" s="40"/>
      <c r="AS640" s="40"/>
      <c r="AU640" s="40"/>
      <c r="AW640" s="40"/>
    </row>
    <row r="641" spans="2:49" ht="12.75" customHeight="1" x14ac:dyDescent="0.15">
      <c r="B641" s="40"/>
      <c r="C641" s="40"/>
      <c r="D641" s="40"/>
      <c r="E641" s="40"/>
      <c r="F641" s="40"/>
      <c r="G641" s="40"/>
      <c r="H641" s="40"/>
      <c r="I641" s="53"/>
      <c r="S641" s="40"/>
      <c r="T641" s="40"/>
      <c r="U641" s="40"/>
      <c r="V641" s="40"/>
      <c r="W641" s="40"/>
      <c r="Y641" s="40"/>
      <c r="Z641" s="40"/>
      <c r="AA641" s="40"/>
      <c r="AB641" s="40"/>
      <c r="AC641" s="41"/>
      <c r="AD641" s="41"/>
      <c r="AE641" s="41"/>
      <c r="AF641" s="41"/>
      <c r="AG641" s="41"/>
      <c r="AH641" s="40"/>
      <c r="AI641" s="40"/>
      <c r="AJ641" s="5"/>
      <c r="AK641" s="5"/>
      <c r="AL641" s="40"/>
      <c r="AM641" s="40"/>
      <c r="AN641" s="40"/>
      <c r="AO641" s="40"/>
      <c r="AP641" s="40"/>
      <c r="AQ641" s="40"/>
      <c r="AR641" s="40"/>
      <c r="AS641" s="40"/>
      <c r="AU641" s="40"/>
      <c r="AW641" s="40"/>
    </row>
    <row r="642" spans="2:49" ht="12.75" customHeight="1" x14ac:dyDescent="0.15">
      <c r="B642" s="40"/>
      <c r="C642" s="40"/>
      <c r="D642" s="40"/>
      <c r="E642" s="40"/>
      <c r="F642" s="40"/>
      <c r="G642" s="40"/>
      <c r="H642" s="40"/>
      <c r="I642" s="53"/>
      <c r="S642" s="40"/>
      <c r="T642" s="40"/>
      <c r="U642" s="40"/>
      <c r="V642" s="40"/>
      <c r="W642" s="40"/>
      <c r="Y642" s="40"/>
      <c r="Z642" s="40"/>
      <c r="AA642" s="40"/>
      <c r="AB642" s="40"/>
      <c r="AC642" s="41"/>
      <c r="AD642" s="41"/>
      <c r="AE642" s="41"/>
      <c r="AF642" s="41"/>
      <c r="AG642" s="41"/>
      <c r="AH642" s="40"/>
      <c r="AI642" s="40"/>
      <c r="AJ642" s="5"/>
      <c r="AK642" s="5"/>
      <c r="AL642" s="40"/>
      <c r="AM642" s="40"/>
      <c r="AN642" s="40"/>
      <c r="AO642" s="40"/>
      <c r="AP642" s="40"/>
      <c r="AQ642" s="40"/>
      <c r="AR642" s="40"/>
      <c r="AS642" s="40"/>
      <c r="AU642" s="40"/>
      <c r="AW642" s="40"/>
    </row>
    <row r="643" spans="2:49" ht="12.75" customHeight="1" x14ac:dyDescent="0.15">
      <c r="B643" s="40"/>
      <c r="C643" s="40"/>
      <c r="D643" s="40"/>
      <c r="E643" s="40"/>
      <c r="F643" s="40"/>
      <c r="G643" s="40"/>
      <c r="H643" s="40"/>
      <c r="I643" s="53"/>
      <c r="S643" s="40"/>
      <c r="T643" s="40"/>
      <c r="U643" s="40"/>
      <c r="V643" s="40"/>
      <c r="W643" s="40"/>
      <c r="Y643" s="40"/>
      <c r="Z643" s="40"/>
      <c r="AA643" s="40"/>
      <c r="AB643" s="40"/>
      <c r="AC643" s="41"/>
      <c r="AD643" s="41"/>
      <c r="AE643" s="41"/>
      <c r="AF643" s="41"/>
      <c r="AG643" s="41"/>
      <c r="AH643" s="40"/>
      <c r="AI643" s="40"/>
      <c r="AJ643" s="5"/>
      <c r="AK643" s="5"/>
      <c r="AL643" s="40"/>
      <c r="AM643" s="40"/>
      <c r="AN643" s="40"/>
      <c r="AO643" s="40"/>
      <c r="AP643" s="40"/>
      <c r="AQ643" s="40"/>
      <c r="AR643" s="40"/>
      <c r="AS643" s="40"/>
      <c r="AU643" s="40"/>
      <c r="AW643" s="40"/>
    </row>
    <row r="644" spans="2:49" ht="12.75" customHeight="1" x14ac:dyDescent="0.15">
      <c r="B644" s="40"/>
      <c r="C644" s="40"/>
      <c r="D644" s="40"/>
      <c r="E644" s="40"/>
      <c r="F644" s="40"/>
      <c r="G644" s="40"/>
      <c r="H644" s="40"/>
      <c r="I644" s="53"/>
      <c r="S644" s="40"/>
      <c r="T644" s="40"/>
      <c r="U644" s="40"/>
      <c r="V644" s="40"/>
      <c r="W644" s="40"/>
      <c r="Y644" s="40"/>
      <c r="Z644" s="40"/>
      <c r="AA644" s="40"/>
      <c r="AB644" s="40"/>
      <c r="AC644" s="41"/>
      <c r="AD644" s="41"/>
      <c r="AE644" s="41"/>
      <c r="AF644" s="41"/>
      <c r="AG644" s="41"/>
      <c r="AH644" s="40"/>
      <c r="AI644" s="40"/>
      <c r="AJ644" s="5"/>
      <c r="AK644" s="5"/>
      <c r="AL644" s="40"/>
      <c r="AM644" s="40"/>
      <c r="AN644" s="40"/>
      <c r="AO644" s="40"/>
      <c r="AP644" s="40"/>
      <c r="AQ644" s="40"/>
      <c r="AR644" s="40"/>
      <c r="AS644" s="40"/>
      <c r="AU644" s="40"/>
      <c r="AW644" s="40"/>
    </row>
    <row r="645" spans="2:49" ht="12.75" customHeight="1" x14ac:dyDescent="0.15">
      <c r="B645" s="40"/>
      <c r="C645" s="40"/>
      <c r="D645" s="40"/>
      <c r="E645" s="40"/>
      <c r="F645" s="40"/>
      <c r="G645" s="40"/>
      <c r="H645" s="40"/>
      <c r="I645" s="53"/>
      <c r="S645" s="40"/>
      <c r="T645" s="40"/>
      <c r="U645" s="40"/>
      <c r="V645" s="40"/>
      <c r="W645" s="40"/>
      <c r="Y645" s="40"/>
      <c r="Z645" s="40"/>
      <c r="AA645" s="40"/>
      <c r="AB645" s="40"/>
      <c r="AC645" s="41"/>
      <c r="AD645" s="41"/>
      <c r="AE645" s="41"/>
      <c r="AF645" s="41"/>
      <c r="AG645" s="41"/>
      <c r="AH645" s="40"/>
      <c r="AI645" s="40"/>
      <c r="AJ645" s="5"/>
      <c r="AK645" s="5"/>
      <c r="AL645" s="40"/>
      <c r="AM645" s="40"/>
      <c r="AN645" s="40"/>
      <c r="AO645" s="40"/>
      <c r="AP645" s="40"/>
      <c r="AQ645" s="40"/>
      <c r="AR645" s="40"/>
      <c r="AS645" s="40"/>
      <c r="AU645" s="40"/>
      <c r="AW645" s="40"/>
    </row>
    <row r="646" spans="2:49" ht="12.75" customHeight="1" x14ac:dyDescent="0.15">
      <c r="B646" s="40"/>
      <c r="C646" s="40"/>
      <c r="D646" s="40"/>
      <c r="E646" s="40"/>
      <c r="F646" s="40"/>
      <c r="G646" s="40"/>
      <c r="H646" s="40"/>
      <c r="I646" s="53"/>
      <c r="S646" s="40"/>
      <c r="T646" s="40"/>
      <c r="U646" s="40"/>
      <c r="V646" s="40"/>
      <c r="W646" s="40"/>
      <c r="Y646" s="40"/>
      <c r="Z646" s="40"/>
      <c r="AA646" s="40"/>
      <c r="AB646" s="40"/>
      <c r="AC646" s="41"/>
      <c r="AD646" s="41"/>
      <c r="AE646" s="41"/>
      <c r="AF646" s="41"/>
      <c r="AG646" s="41"/>
      <c r="AH646" s="40"/>
      <c r="AI646" s="40"/>
      <c r="AJ646" s="5"/>
      <c r="AK646" s="5"/>
      <c r="AL646" s="40"/>
      <c r="AM646" s="40"/>
      <c r="AN646" s="40"/>
      <c r="AO646" s="40"/>
      <c r="AP646" s="40"/>
      <c r="AQ646" s="40"/>
      <c r="AR646" s="40"/>
      <c r="AS646" s="40"/>
      <c r="AU646" s="40"/>
      <c r="AW646" s="40"/>
    </row>
    <row r="647" spans="2:49" ht="12.75" customHeight="1" x14ac:dyDescent="0.15">
      <c r="B647" s="40"/>
      <c r="C647" s="40"/>
      <c r="D647" s="40"/>
      <c r="E647" s="40"/>
      <c r="F647" s="40"/>
      <c r="G647" s="40"/>
      <c r="H647" s="40"/>
      <c r="I647" s="53"/>
      <c r="S647" s="40"/>
      <c r="T647" s="40"/>
      <c r="U647" s="40"/>
      <c r="V647" s="40"/>
      <c r="W647" s="40"/>
      <c r="Y647" s="40"/>
      <c r="Z647" s="40"/>
      <c r="AA647" s="40"/>
      <c r="AB647" s="40"/>
      <c r="AC647" s="41"/>
      <c r="AD647" s="41"/>
      <c r="AE647" s="41"/>
      <c r="AF647" s="41"/>
      <c r="AG647" s="41"/>
      <c r="AH647" s="40"/>
      <c r="AI647" s="40"/>
      <c r="AJ647" s="5"/>
      <c r="AK647" s="5"/>
      <c r="AL647" s="40"/>
      <c r="AM647" s="40"/>
      <c r="AN647" s="40"/>
      <c r="AO647" s="40"/>
      <c r="AP647" s="40"/>
      <c r="AQ647" s="40"/>
      <c r="AR647" s="40"/>
      <c r="AS647" s="40"/>
      <c r="AU647" s="40"/>
      <c r="AW647" s="40"/>
    </row>
    <row r="648" spans="2:49" ht="12.75" customHeight="1" x14ac:dyDescent="0.15">
      <c r="B648" s="40"/>
      <c r="C648" s="40"/>
      <c r="D648" s="40"/>
      <c r="E648" s="40"/>
      <c r="F648" s="40"/>
      <c r="G648" s="40"/>
      <c r="H648" s="40"/>
      <c r="I648" s="53"/>
      <c r="S648" s="40"/>
      <c r="T648" s="40"/>
      <c r="U648" s="40"/>
      <c r="V648" s="40"/>
      <c r="W648" s="40"/>
      <c r="Y648" s="40"/>
      <c r="Z648" s="40"/>
      <c r="AA648" s="40"/>
      <c r="AB648" s="40"/>
      <c r="AC648" s="41"/>
      <c r="AD648" s="41"/>
      <c r="AE648" s="41"/>
      <c r="AF648" s="41"/>
      <c r="AG648" s="41"/>
      <c r="AH648" s="40"/>
      <c r="AI648" s="40"/>
      <c r="AJ648" s="5"/>
      <c r="AK648" s="5"/>
      <c r="AL648" s="40"/>
      <c r="AM648" s="40"/>
      <c r="AN648" s="40"/>
      <c r="AO648" s="40"/>
      <c r="AP648" s="40"/>
      <c r="AQ648" s="40"/>
      <c r="AR648" s="40"/>
      <c r="AS648" s="40"/>
      <c r="AU648" s="40"/>
      <c r="AW648" s="40"/>
    </row>
    <row r="649" spans="2:49" ht="12.75" customHeight="1" x14ac:dyDescent="0.15">
      <c r="B649" s="40"/>
      <c r="C649" s="40"/>
      <c r="D649" s="40"/>
      <c r="E649" s="40"/>
      <c r="F649" s="40"/>
      <c r="G649" s="40"/>
      <c r="H649" s="40"/>
      <c r="I649" s="53"/>
      <c r="S649" s="40"/>
      <c r="T649" s="40"/>
      <c r="U649" s="40"/>
      <c r="V649" s="40"/>
      <c r="W649" s="40"/>
      <c r="Y649" s="40"/>
      <c r="Z649" s="40"/>
      <c r="AA649" s="40"/>
      <c r="AB649" s="40"/>
      <c r="AC649" s="41"/>
      <c r="AD649" s="41"/>
      <c r="AE649" s="41"/>
      <c r="AF649" s="41"/>
      <c r="AG649" s="41"/>
      <c r="AH649" s="40"/>
      <c r="AI649" s="40"/>
      <c r="AJ649" s="5"/>
      <c r="AK649" s="5"/>
      <c r="AL649" s="40"/>
      <c r="AM649" s="40"/>
      <c r="AN649" s="40"/>
      <c r="AO649" s="40"/>
      <c r="AP649" s="40"/>
      <c r="AQ649" s="40"/>
      <c r="AR649" s="40"/>
      <c r="AS649" s="40"/>
      <c r="AU649" s="40"/>
      <c r="AW649" s="40"/>
    </row>
    <row r="650" spans="2:49" ht="12.75" customHeight="1" x14ac:dyDescent="0.15">
      <c r="B650" s="40"/>
      <c r="C650" s="40"/>
      <c r="D650" s="40"/>
      <c r="E650" s="40"/>
      <c r="F650" s="40"/>
      <c r="G650" s="40"/>
      <c r="H650" s="40"/>
      <c r="I650" s="53"/>
      <c r="S650" s="40"/>
      <c r="T650" s="40"/>
      <c r="U650" s="40"/>
      <c r="V650" s="40"/>
      <c r="W650" s="40"/>
      <c r="Y650" s="40"/>
      <c r="Z650" s="40"/>
      <c r="AA650" s="40"/>
      <c r="AB650" s="40"/>
      <c r="AC650" s="41"/>
      <c r="AD650" s="41"/>
      <c r="AE650" s="41"/>
      <c r="AF650" s="41"/>
      <c r="AG650" s="41"/>
      <c r="AH650" s="40"/>
      <c r="AI650" s="40"/>
      <c r="AJ650" s="5"/>
      <c r="AK650" s="5"/>
      <c r="AL650" s="40"/>
      <c r="AM650" s="40"/>
      <c r="AN650" s="40"/>
      <c r="AO650" s="40"/>
      <c r="AP650" s="40"/>
      <c r="AQ650" s="40"/>
      <c r="AR650" s="40"/>
      <c r="AS650" s="40"/>
      <c r="AU650" s="40"/>
      <c r="AW650" s="40"/>
    </row>
    <row r="651" spans="2:49" ht="12.75" customHeight="1" x14ac:dyDescent="0.15">
      <c r="B651" s="40"/>
      <c r="C651" s="40"/>
      <c r="D651" s="40"/>
      <c r="E651" s="40"/>
      <c r="F651" s="40"/>
      <c r="G651" s="40"/>
      <c r="H651" s="40"/>
      <c r="I651" s="53"/>
      <c r="S651" s="40"/>
      <c r="T651" s="40"/>
      <c r="U651" s="40"/>
      <c r="V651" s="40"/>
      <c r="W651" s="40"/>
      <c r="Y651" s="40"/>
      <c r="Z651" s="40"/>
      <c r="AA651" s="40"/>
      <c r="AB651" s="40"/>
      <c r="AC651" s="41"/>
      <c r="AD651" s="41"/>
      <c r="AE651" s="41"/>
      <c r="AF651" s="41"/>
      <c r="AG651" s="41"/>
      <c r="AH651" s="40"/>
      <c r="AI651" s="40"/>
      <c r="AJ651" s="5"/>
      <c r="AK651" s="5"/>
      <c r="AL651" s="40"/>
      <c r="AM651" s="40"/>
      <c r="AN651" s="40"/>
      <c r="AO651" s="40"/>
      <c r="AP651" s="40"/>
      <c r="AQ651" s="40"/>
      <c r="AR651" s="40"/>
      <c r="AS651" s="40"/>
      <c r="AU651" s="40"/>
      <c r="AW651" s="40"/>
    </row>
    <row r="652" spans="2:49" ht="12.75" customHeight="1" x14ac:dyDescent="0.15">
      <c r="B652" s="40"/>
      <c r="C652" s="40"/>
      <c r="D652" s="40"/>
      <c r="E652" s="40"/>
      <c r="F652" s="40"/>
      <c r="G652" s="40"/>
      <c r="H652" s="40"/>
      <c r="I652" s="53"/>
      <c r="S652" s="40"/>
      <c r="T652" s="40"/>
      <c r="U652" s="40"/>
      <c r="V652" s="40"/>
      <c r="W652" s="40"/>
      <c r="Y652" s="40"/>
      <c r="Z652" s="40"/>
      <c r="AA652" s="40"/>
      <c r="AB652" s="40"/>
      <c r="AC652" s="41"/>
      <c r="AD652" s="41"/>
      <c r="AE652" s="41"/>
      <c r="AF652" s="41"/>
      <c r="AG652" s="41"/>
      <c r="AH652" s="40"/>
      <c r="AI652" s="40"/>
      <c r="AJ652" s="5"/>
      <c r="AK652" s="5"/>
      <c r="AL652" s="40"/>
      <c r="AM652" s="40"/>
      <c r="AN652" s="40"/>
      <c r="AO652" s="40"/>
      <c r="AP652" s="40"/>
      <c r="AQ652" s="40"/>
      <c r="AR652" s="40"/>
      <c r="AS652" s="40"/>
      <c r="AU652" s="40"/>
      <c r="AW652" s="40"/>
    </row>
    <row r="653" spans="2:49" ht="12.75" customHeight="1" x14ac:dyDescent="0.15">
      <c r="B653" s="40"/>
      <c r="C653" s="40"/>
      <c r="D653" s="40"/>
      <c r="E653" s="40"/>
      <c r="F653" s="40"/>
      <c r="G653" s="40"/>
      <c r="H653" s="40"/>
      <c r="I653" s="53"/>
      <c r="S653" s="40"/>
      <c r="T653" s="40"/>
      <c r="U653" s="40"/>
      <c r="V653" s="40"/>
      <c r="W653" s="40"/>
      <c r="Y653" s="40"/>
      <c r="Z653" s="40"/>
      <c r="AA653" s="40"/>
      <c r="AB653" s="40"/>
      <c r="AC653" s="41"/>
      <c r="AD653" s="41"/>
      <c r="AE653" s="41"/>
      <c r="AF653" s="41"/>
      <c r="AG653" s="41"/>
      <c r="AH653" s="40"/>
      <c r="AI653" s="40"/>
      <c r="AJ653" s="5"/>
      <c r="AK653" s="5"/>
      <c r="AL653" s="40"/>
      <c r="AM653" s="40"/>
      <c r="AN653" s="40"/>
      <c r="AO653" s="40"/>
      <c r="AP653" s="40"/>
      <c r="AQ653" s="40"/>
      <c r="AR653" s="40"/>
      <c r="AS653" s="40"/>
      <c r="AU653" s="40"/>
      <c r="AW653" s="40"/>
    </row>
    <row r="654" spans="2:49" ht="12.75" customHeight="1" x14ac:dyDescent="0.15">
      <c r="B654" s="40"/>
      <c r="C654" s="40"/>
      <c r="D654" s="40"/>
      <c r="E654" s="40"/>
      <c r="F654" s="40"/>
      <c r="G654" s="40"/>
      <c r="H654" s="40"/>
      <c r="I654" s="53"/>
      <c r="S654" s="40"/>
      <c r="T654" s="40"/>
      <c r="U654" s="40"/>
      <c r="V654" s="40"/>
      <c r="W654" s="40"/>
      <c r="Y654" s="40"/>
      <c r="Z654" s="40"/>
      <c r="AA654" s="40"/>
      <c r="AB654" s="40"/>
      <c r="AC654" s="41"/>
      <c r="AD654" s="41"/>
      <c r="AE654" s="41"/>
      <c r="AF654" s="41"/>
      <c r="AG654" s="41"/>
      <c r="AH654" s="40"/>
      <c r="AI654" s="40"/>
      <c r="AJ654" s="5"/>
      <c r="AK654" s="5"/>
      <c r="AL654" s="40"/>
      <c r="AM654" s="40"/>
      <c r="AN654" s="40"/>
      <c r="AO654" s="40"/>
      <c r="AP654" s="40"/>
      <c r="AQ654" s="40"/>
      <c r="AR654" s="40"/>
      <c r="AS654" s="40"/>
      <c r="AU654" s="40"/>
      <c r="AW654" s="40"/>
    </row>
    <row r="655" spans="2:49" ht="12.75" customHeight="1" x14ac:dyDescent="0.15">
      <c r="B655" s="40"/>
      <c r="C655" s="40"/>
      <c r="D655" s="40"/>
      <c r="E655" s="40"/>
      <c r="F655" s="40"/>
      <c r="G655" s="40"/>
      <c r="H655" s="40"/>
      <c r="I655" s="53"/>
      <c r="S655" s="40"/>
      <c r="T655" s="40"/>
      <c r="U655" s="40"/>
      <c r="V655" s="40"/>
      <c r="W655" s="40"/>
      <c r="Y655" s="40"/>
      <c r="Z655" s="40"/>
      <c r="AA655" s="40"/>
      <c r="AB655" s="40"/>
      <c r="AC655" s="41"/>
      <c r="AD655" s="41"/>
      <c r="AE655" s="41"/>
      <c r="AF655" s="41"/>
      <c r="AG655" s="41"/>
      <c r="AH655" s="40"/>
      <c r="AI655" s="40"/>
      <c r="AJ655" s="5"/>
      <c r="AK655" s="5"/>
      <c r="AL655" s="40"/>
      <c r="AM655" s="40"/>
      <c r="AN655" s="40"/>
      <c r="AO655" s="40"/>
      <c r="AP655" s="40"/>
      <c r="AQ655" s="40"/>
      <c r="AR655" s="40"/>
      <c r="AS655" s="40"/>
      <c r="AU655" s="40"/>
      <c r="AW655" s="40"/>
    </row>
    <row r="656" spans="2:49" ht="12.75" customHeight="1" x14ac:dyDescent="0.15">
      <c r="B656" s="40"/>
      <c r="C656" s="40"/>
      <c r="D656" s="40"/>
      <c r="E656" s="40"/>
      <c r="F656" s="40"/>
      <c r="G656" s="40"/>
      <c r="H656" s="40"/>
      <c r="I656" s="53"/>
      <c r="S656" s="40"/>
      <c r="T656" s="40"/>
      <c r="U656" s="40"/>
      <c r="V656" s="40"/>
      <c r="W656" s="40"/>
      <c r="Y656" s="40"/>
      <c r="Z656" s="40"/>
      <c r="AA656" s="40"/>
      <c r="AB656" s="40"/>
      <c r="AC656" s="41"/>
      <c r="AD656" s="41"/>
      <c r="AE656" s="41"/>
      <c r="AF656" s="41"/>
      <c r="AG656" s="41"/>
      <c r="AH656" s="40"/>
      <c r="AI656" s="40"/>
      <c r="AJ656" s="5"/>
      <c r="AK656" s="5"/>
      <c r="AL656" s="40"/>
      <c r="AM656" s="40"/>
      <c r="AN656" s="40"/>
      <c r="AO656" s="40"/>
      <c r="AP656" s="40"/>
      <c r="AQ656" s="40"/>
      <c r="AR656" s="40"/>
      <c r="AS656" s="40"/>
      <c r="AU656" s="40"/>
      <c r="AW656" s="40"/>
    </row>
    <row r="657" spans="2:49" ht="12.75" customHeight="1" x14ac:dyDescent="0.15">
      <c r="B657" s="40"/>
      <c r="C657" s="40"/>
      <c r="D657" s="40"/>
      <c r="E657" s="40"/>
      <c r="F657" s="40"/>
      <c r="G657" s="40"/>
      <c r="H657" s="40"/>
      <c r="I657" s="53"/>
      <c r="S657" s="40"/>
      <c r="T657" s="40"/>
      <c r="U657" s="40"/>
      <c r="V657" s="40"/>
      <c r="W657" s="40"/>
      <c r="Y657" s="40"/>
      <c r="Z657" s="40"/>
      <c r="AA657" s="40"/>
      <c r="AB657" s="40"/>
      <c r="AC657" s="41"/>
      <c r="AD657" s="41"/>
      <c r="AE657" s="41"/>
      <c r="AF657" s="41"/>
      <c r="AG657" s="41"/>
      <c r="AH657" s="40"/>
      <c r="AI657" s="40"/>
      <c r="AJ657" s="5"/>
      <c r="AK657" s="5"/>
      <c r="AL657" s="40"/>
      <c r="AM657" s="40"/>
      <c r="AN657" s="40"/>
      <c r="AO657" s="40"/>
      <c r="AP657" s="40"/>
      <c r="AQ657" s="40"/>
      <c r="AR657" s="40"/>
      <c r="AS657" s="40"/>
      <c r="AU657" s="40"/>
      <c r="AW657" s="40"/>
    </row>
    <row r="658" spans="2:49" ht="12.75" customHeight="1" x14ac:dyDescent="0.15">
      <c r="B658" s="40"/>
      <c r="C658" s="40"/>
      <c r="D658" s="40"/>
      <c r="E658" s="40"/>
      <c r="F658" s="40"/>
      <c r="G658" s="40"/>
      <c r="H658" s="40"/>
      <c r="I658" s="53"/>
      <c r="S658" s="40"/>
      <c r="T658" s="40"/>
      <c r="U658" s="40"/>
      <c r="V658" s="40"/>
      <c r="W658" s="40"/>
      <c r="Y658" s="40"/>
      <c r="Z658" s="40"/>
      <c r="AA658" s="40"/>
      <c r="AB658" s="40"/>
      <c r="AC658" s="41"/>
      <c r="AD658" s="41"/>
      <c r="AE658" s="41"/>
      <c r="AF658" s="41"/>
      <c r="AG658" s="41"/>
      <c r="AH658" s="40"/>
      <c r="AI658" s="40"/>
      <c r="AJ658" s="5"/>
      <c r="AK658" s="5"/>
      <c r="AL658" s="40"/>
      <c r="AM658" s="40"/>
      <c r="AN658" s="40"/>
      <c r="AO658" s="40"/>
      <c r="AP658" s="40"/>
      <c r="AQ658" s="40"/>
      <c r="AR658" s="40"/>
      <c r="AS658" s="40"/>
      <c r="AU658" s="40"/>
      <c r="AW658" s="40"/>
    </row>
    <row r="659" spans="2:49" ht="12.75" customHeight="1" x14ac:dyDescent="0.15">
      <c r="B659" s="40"/>
      <c r="C659" s="40"/>
      <c r="D659" s="40"/>
      <c r="E659" s="40"/>
      <c r="F659" s="40"/>
      <c r="G659" s="40"/>
      <c r="H659" s="40"/>
      <c r="I659" s="53"/>
      <c r="S659" s="40"/>
      <c r="T659" s="40"/>
      <c r="U659" s="40"/>
      <c r="V659" s="40"/>
      <c r="W659" s="40"/>
      <c r="Y659" s="40"/>
      <c r="Z659" s="40"/>
      <c r="AA659" s="40"/>
      <c r="AB659" s="40"/>
      <c r="AC659" s="41"/>
      <c r="AD659" s="41"/>
      <c r="AE659" s="41"/>
      <c r="AF659" s="41"/>
      <c r="AG659" s="41"/>
      <c r="AH659" s="40"/>
      <c r="AI659" s="40"/>
      <c r="AJ659" s="5"/>
      <c r="AK659" s="5"/>
      <c r="AL659" s="40"/>
      <c r="AM659" s="40"/>
      <c r="AN659" s="40"/>
      <c r="AO659" s="40"/>
      <c r="AP659" s="40"/>
      <c r="AQ659" s="40"/>
      <c r="AR659" s="40"/>
      <c r="AS659" s="40"/>
      <c r="AU659" s="40"/>
      <c r="AW659" s="40"/>
    </row>
    <row r="660" spans="2:49" ht="12.75" customHeight="1" x14ac:dyDescent="0.15">
      <c r="B660" s="40"/>
      <c r="C660" s="40"/>
      <c r="D660" s="40"/>
      <c r="E660" s="40"/>
      <c r="F660" s="40"/>
      <c r="G660" s="40"/>
      <c r="H660" s="40"/>
      <c r="I660" s="53"/>
      <c r="S660" s="40"/>
      <c r="T660" s="40"/>
      <c r="U660" s="40"/>
      <c r="V660" s="40"/>
      <c r="W660" s="40"/>
      <c r="Y660" s="40"/>
      <c r="Z660" s="40"/>
      <c r="AA660" s="40"/>
      <c r="AB660" s="40"/>
      <c r="AC660" s="41"/>
      <c r="AD660" s="41"/>
      <c r="AE660" s="41"/>
      <c r="AF660" s="41"/>
      <c r="AG660" s="41"/>
      <c r="AH660" s="40"/>
      <c r="AI660" s="40"/>
      <c r="AJ660" s="5"/>
      <c r="AK660" s="5"/>
      <c r="AL660" s="40"/>
      <c r="AM660" s="40"/>
      <c r="AN660" s="40"/>
      <c r="AO660" s="40"/>
      <c r="AP660" s="40"/>
      <c r="AQ660" s="40"/>
      <c r="AR660" s="40"/>
      <c r="AS660" s="40"/>
      <c r="AU660" s="40"/>
      <c r="AW660" s="40"/>
    </row>
    <row r="661" spans="2:49" ht="12.75" customHeight="1" x14ac:dyDescent="0.15">
      <c r="B661" s="40"/>
      <c r="C661" s="40"/>
      <c r="D661" s="40"/>
      <c r="E661" s="40"/>
      <c r="F661" s="40"/>
      <c r="G661" s="40"/>
      <c r="H661" s="40"/>
      <c r="I661" s="53"/>
      <c r="S661" s="40"/>
      <c r="T661" s="40"/>
      <c r="U661" s="40"/>
      <c r="V661" s="40"/>
      <c r="W661" s="40"/>
      <c r="Y661" s="40"/>
      <c r="Z661" s="40"/>
      <c r="AA661" s="40"/>
      <c r="AB661" s="40"/>
      <c r="AC661" s="41"/>
      <c r="AD661" s="41"/>
      <c r="AE661" s="41"/>
      <c r="AF661" s="41"/>
      <c r="AG661" s="41"/>
      <c r="AH661" s="40"/>
      <c r="AI661" s="40"/>
      <c r="AJ661" s="5"/>
      <c r="AK661" s="5"/>
      <c r="AL661" s="40"/>
      <c r="AM661" s="40"/>
      <c r="AN661" s="40"/>
      <c r="AO661" s="40"/>
      <c r="AP661" s="40"/>
      <c r="AQ661" s="40"/>
      <c r="AR661" s="40"/>
      <c r="AS661" s="40"/>
      <c r="AU661" s="40"/>
      <c r="AW661" s="40"/>
    </row>
    <row r="662" spans="2:49" ht="12.75" customHeight="1" x14ac:dyDescent="0.15">
      <c r="B662" s="40"/>
      <c r="C662" s="40"/>
      <c r="D662" s="40"/>
      <c r="E662" s="40"/>
      <c r="F662" s="40"/>
      <c r="G662" s="40"/>
      <c r="H662" s="40"/>
      <c r="I662" s="53"/>
      <c r="S662" s="40"/>
      <c r="T662" s="40"/>
      <c r="U662" s="40"/>
      <c r="V662" s="40"/>
      <c r="W662" s="40"/>
      <c r="Y662" s="40"/>
      <c r="Z662" s="40"/>
      <c r="AA662" s="40"/>
      <c r="AB662" s="40"/>
      <c r="AC662" s="41"/>
      <c r="AD662" s="41"/>
      <c r="AE662" s="41"/>
      <c r="AF662" s="41"/>
      <c r="AG662" s="41"/>
      <c r="AH662" s="40"/>
      <c r="AI662" s="40"/>
      <c r="AJ662" s="5"/>
      <c r="AK662" s="5"/>
      <c r="AL662" s="40"/>
      <c r="AM662" s="40"/>
      <c r="AN662" s="40"/>
      <c r="AO662" s="40"/>
      <c r="AP662" s="40"/>
      <c r="AQ662" s="40"/>
      <c r="AR662" s="40"/>
      <c r="AS662" s="40"/>
      <c r="AU662" s="40"/>
      <c r="AW662" s="40"/>
    </row>
    <row r="663" spans="2:49" ht="12.75" customHeight="1" x14ac:dyDescent="0.15">
      <c r="B663" s="40"/>
      <c r="C663" s="40"/>
      <c r="D663" s="40"/>
      <c r="E663" s="40"/>
      <c r="F663" s="40"/>
      <c r="G663" s="40"/>
      <c r="H663" s="40"/>
      <c r="I663" s="53"/>
      <c r="S663" s="40"/>
      <c r="T663" s="40"/>
      <c r="U663" s="40"/>
      <c r="V663" s="40"/>
      <c r="W663" s="40"/>
      <c r="Y663" s="40"/>
      <c r="Z663" s="40"/>
      <c r="AA663" s="40"/>
      <c r="AB663" s="40"/>
      <c r="AC663" s="41"/>
      <c r="AD663" s="41"/>
      <c r="AE663" s="41"/>
      <c r="AF663" s="41"/>
      <c r="AG663" s="41"/>
      <c r="AH663" s="40"/>
      <c r="AI663" s="40"/>
      <c r="AJ663" s="5"/>
      <c r="AK663" s="5"/>
      <c r="AL663" s="40"/>
      <c r="AM663" s="40"/>
      <c r="AN663" s="40"/>
      <c r="AO663" s="40"/>
      <c r="AP663" s="40"/>
      <c r="AQ663" s="40"/>
      <c r="AR663" s="40"/>
      <c r="AS663" s="40"/>
      <c r="AU663" s="40"/>
      <c r="AW663" s="40"/>
    </row>
    <row r="664" spans="2:49" ht="12.75" customHeight="1" x14ac:dyDescent="0.15">
      <c r="B664" s="40"/>
      <c r="C664" s="40"/>
      <c r="D664" s="40"/>
      <c r="E664" s="40"/>
      <c r="F664" s="40"/>
      <c r="G664" s="40"/>
      <c r="H664" s="40"/>
      <c r="I664" s="53"/>
      <c r="S664" s="40"/>
      <c r="T664" s="40"/>
      <c r="U664" s="40"/>
      <c r="V664" s="40"/>
      <c r="W664" s="40"/>
      <c r="Y664" s="40"/>
      <c r="Z664" s="40"/>
      <c r="AA664" s="40"/>
      <c r="AB664" s="40"/>
      <c r="AC664" s="41"/>
      <c r="AD664" s="41"/>
      <c r="AE664" s="41"/>
      <c r="AF664" s="41"/>
      <c r="AG664" s="41"/>
      <c r="AH664" s="40"/>
      <c r="AI664" s="40"/>
      <c r="AJ664" s="5"/>
      <c r="AK664" s="5"/>
      <c r="AL664" s="40"/>
      <c r="AM664" s="40"/>
      <c r="AN664" s="40"/>
      <c r="AO664" s="40"/>
      <c r="AP664" s="40"/>
      <c r="AQ664" s="40"/>
      <c r="AR664" s="40"/>
      <c r="AS664" s="40"/>
      <c r="AU664" s="40"/>
      <c r="AW664" s="40"/>
    </row>
    <row r="665" spans="2:49" ht="12.75" customHeight="1" x14ac:dyDescent="0.15">
      <c r="B665" s="40"/>
      <c r="C665" s="40"/>
      <c r="D665" s="40"/>
      <c r="E665" s="40"/>
      <c r="F665" s="40"/>
      <c r="G665" s="40"/>
      <c r="H665" s="40"/>
      <c r="I665" s="53"/>
      <c r="S665" s="40"/>
      <c r="T665" s="40"/>
      <c r="U665" s="40"/>
      <c r="V665" s="40"/>
      <c r="W665" s="40"/>
      <c r="Y665" s="40"/>
      <c r="Z665" s="40"/>
      <c r="AA665" s="40"/>
      <c r="AB665" s="40"/>
      <c r="AC665" s="41"/>
      <c r="AD665" s="41"/>
      <c r="AE665" s="41"/>
      <c r="AF665" s="41"/>
      <c r="AG665" s="41"/>
      <c r="AH665" s="40"/>
      <c r="AI665" s="40"/>
      <c r="AJ665" s="5"/>
      <c r="AK665" s="5"/>
      <c r="AL665" s="40"/>
      <c r="AM665" s="40"/>
      <c r="AN665" s="40"/>
      <c r="AO665" s="40"/>
      <c r="AP665" s="40"/>
      <c r="AQ665" s="40"/>
      <c r="AR665" s="40"/>
      <c r="AS665" s="40"/>
      <c r="AU665" s="40"/>
      <c r="AW665" s="40"/>
    </row>
    <row r="666" spans="2:49" ht="12.75" customHeight="1" x14ac:dyDescent="0.15">
      <c r="B666" s="40"/>
      <c r="C666" s="40"/>
      <c r="D666" s="40"/>
      <c r="E666" s="40"/>
      <c r="F666" s="40"/>
      <c r="G666" s="40"/>
      <c r="H666" s="40"/>
      <c r="I666" s="53"/>
      <c r="S666" s="40"/>
      <c r="T666" s="40"/>
      <c r="U666" s="40"/>
      <c r="V666" s="40"/>
      <c r="W666" s="40"/>
      <c r="Y666" s="40"/>
      <c r="Z666" s="40"/>
      <c r="AA666" s="40"/>
      <c r="AB666" s="40"/>
      <c r="AC666" s="41"/>
      <c r="AD666" s="41"/>
      <c r="AE666" s="41"/>
      <c r="AF666" s="41"/>
      <c r="AG666" s="41"/>
      <c r="AH666" s="40"/>
      <c r="AI666" s="40"/>
      <c r="AJ666" s="5"/>
      <c r="AK666" s="5"/>
      <c r="AL666" s="40"/>
      <c r="AM666" s="40"/>
      <c r="AN666" s="40"/>
      <c r="AO666" s="40"/>
      <c r="AP666" s="40"/>
      <c r="AQ666" s="40"/>
      <c r="AR666" s="40"/>
      <c r="AS666" s="40"/>
      <c r="AU666" s="40"/>
      <c r="AW666" s="40"/>
    </row>
    <row r="667" spans="2:49" ht="12.75" customHeight="1" x14ac:dyDescent="0.15">
      <c r="B667" s="40"/>
      <c r="C667" s="40"/>
      <c r="D667" s="40"/>
      <c r="E667" s="40"/>
      <c r="F667" s="40"/>
      <c r="G667" s="40"/>
      <c r="H667" s="40"/>
      <c r="I667" s="53"/>
      <c r="S667" s="40"/>
      <c r="T667" s="40"/>
      <c r="U667" s="40"/>
      <c r="V667" s="40"/>
      <c r="W667" s="40"/>
      <c r="Y667" s="40"/>
      <c r="Z667" s="40"/>
      <c r="AA667" s="40"/>
      <c r="AB667" s="40"/>
      <c r="AC667" s="41"/>
      <c r="AD667" s="41"/>
      <c r="AE667" s="41"/>
      <c r="AF667" s="41"/>
      <c r="AG667" s="41"/>
      <c r="AH667" s="40"/>
      <c r="AI667" s="40"/>
      <c r="AJ667" s="5"/>
      <c r="AK667" s="5"/>
      <c r="AL667" s="40"/>
      <c r="AM667" s="40"/>
      <c r="AN667" s="40"/>
      <c r="AO667" s="40"/>
      <c r="AP667" s="40"/>
      <c r="AQ667" s="40"/>
      <c r="AR667" s="40"/>
      <c r="AS667" s="40"/>
      <c r="AU667" s="40"/>
      <c r="AW667" s="40"/>
    </row>
    <row r="668" spans="2:49" ht="12.75" customHeight="1" x14ac:dyDescent="0.15">
      <c r="B668" s="40"/>
      <c r="C668" s="40"/>
      <c r="D668" s="40"/>
      <c r="E668" s="40"/>
      <c r="F668" s="40"/>
      <c r="G668" s="40"/>
      <c r="H668" s="40"/>
      <c r="I668" s="53"/>
      <c r="S668" s="40"/>
      <c r="T668" s="40"/>
      <c r="U668" s="40"/>
      <c r="V668" s="40"/>
      <c r="W668" s="40"/>
      <c r="Y668" s="40"/>
      <c r="Z668" s="40"/>
      <c r="AA668" s="40"/>
      <c r="AB668" s="40"/>
      <c r="AC668" s="41"/>
      <c r="AD668" s="41"/>
      <c r="AE668" s="41"/>
      <c r="AF668" s="41"/>
      <c r="AG668" s="41"/>
      <c r="AH668" s="40"/>
      <c r="AI668" s="40"/>
      <c r="AJ668" s="5"/>
      <c r="AK668" s="5"/>
      <c r="AL668" s="40"/>
      <c r="AM668" s="40"/>
      <c r="AN668" s="40"/>
      <c r="AO668" s="40"/>
      <c r="AP668" s="40"/>
      <c r="AQ668" s="40"/>
      <c r="AR668" s="40"/>
      <c r="AS668" s="40"/>
      <c r="AU668" s="40"/>
      <c r="AW668" s="40"/>
    </row>
    <row r="669" spans="2:49" ht="12.75" customHeight="1" x14ac:dyDescent="0.15">
      <c r="B669" s="40"/>
      <c r="C669" s="40"/>
      <c r="D669" s="40"/>
      <c r="E669" s="40"/>
      <c r="F669" s="40"/>
      <c r="G669" s="40"/>
      <c r="H669" s="40"/>
      <c r="I669" s="53"/>
      <c r="S669" s="40"/>
      <c r="T669" s="40"/>
      <c r="U669" s="40"/>
      <c r="V669" s="40"/>
      <c r="W669" s="40"/>
      <c r="Y669" s="40"/>
      <c r="Z669" s="40"/>
      <c r="AA669" s="40"/>
      <c r="AB669" s="40"/>
      <c r="AC669" s="41"/>
      <c r="AD669" s="41"/>
      <c r="AE669" s="41"/>
      <c r="AF669" s="41"/>
      <c r="AG669" s="41"/>
      <c r="AH669" s="40"/>
      <c r="AI669" s="40"/>
      <c r="AJ669" s="5"/>
      <c r="AK669" s="5"/>
      <c r="AL669" s="40"/>
      <c r="AM669" s="40"/>
      <c r="AN669" s="40"/>
      <c r="AO669" s="40"/>
      <c r="AP669" s="40"/>
      <c r="AQ669" s="40"/>
      <c r="AR669" s="40"/>
      <c r="AS669" s="40"/>
      <c r="AU669" s="40"/>
      <c r="AW669" s="40"/>
    </row>
    <row r="670" spans="2:49" ht="12.75" customHeight="1" x14ac:dyDescent="0.15">
      <c r="B670" s="40"/>
      <c r="C670" s="40"/>
      <c r="D670" s="40"/>
      <c r="E670" s="40"/>
      <c r="F670" s="40"/>
      <c r="G670" s="40"/>
      <c r="H670" s="40"/>
      <c r="I670" s="53"/>
      <c r="S670" s="40"/>
      <c r="T670" s="40"/>
      <c r="U670" s="40"/>
      <c r="V670" s="40"/>
      <c r="W670" s="40"/>
      <c r="Y670" s="40"/>
      <c r="Z670" s="40"/>
      <c r="AA670" s="40"/>
      <c r="AB670" s="40"/>
      <c r="AC670" s="41"/>
      <c r="AD670" s="41"/>
      <c r="AE670" s="41"/>
      <c r="AF670" s="41"/>
      <c r="AG670" s="41"/>
      <c r="AH670" s="40"/>
      <c r="AI670" s="40"/>
      <c r="AJ670" s="5"/>
      <c r="AK670" s="5"/>
      <c r="AL670" s="40"/>
      <c r="AM670" s="40"/>
      <c r="AN670" s="40"/>
      <c r="AO670" s="40"/>
      <c r="AP670" s="40"/>
      <c r="AQ670" s="40"/>
      <c r="AR670" s="40"/>
      <c r="AS670" s="40"/>
      <c r="AU670" s="40"/>
      <c r="AW670" s="40"/>
    </row>
    <row r="671" spans="2:49" ht="12.75" customHeight="1" x14ac:dyDescent="0.15">
      <c r="B671" s="40"/>
      <c r="C671" s="40"/>
      <c r="D671" s="40"/>
      <c r="E671" s="40"/>
      <c r="F671" s="40"/>
      <c r="G671" s="40"/>
      <c r="H671" s="40"/>
      <c r="I671" s="53"/>
      <c r="S671" s="40"/>
      <c r="T671" s="40"/>
      <c r="U671" s="40"/>
      <c r="V671" s="40"/>
      <c r="W671" s="40"/>
      <c r="Y671" s="40"/>
      <c r="Z671" s="40"/>
      <c r="AA671" s="40"/>
      <c r="AB671" s="40"/>
      <c r="AC671" s="41"/>
      <c r="AD671" s="41"/>
      <c r="AE671" s="41"/>
      <c r="AF671" s="41"/>
      <c r="AG671" s="41"/>
      <c r="AH671" s="40"/>
      <c r="AI671" s="40"/>
      <c r="AJ671" s="5"/>
      <c r="AK671" s="5"/>
      <c r="AL671" s="40"/>
      <c r="AM671" s="40"/>
      <c r="AN671" s="40"/>
      <c r="AO671" s="40"/>
      <c r="AP671" s="40"/>
      <c r="AQ671" s="40"/>
      <c r="AR671" s="40"/>
      <c r="AS671" s="40"/>
      <c r="AU671" s="40"/>
      <c r="AW671" s="40"/>
    </row>
    <row r="672" spans="2:49" ht="12.75" customHeight="1" x14ac:dyDescent="0.15">
      <c r="B672" s="40"/>
      <c r="C672" s="40"/>
      <c r="D672" s="40"/>
      <c r="E672" s="40"/>
      <c r="F672" s="40"/>
      <c r="G672" s="40"/>
      <c r="H672" s="40"/>
      <c r="I672" s="53"/>
      <c r="S672" s="40"/>
      <c r="T672" s="40"/>
      <c r="U672" s="40"/>
      <c r="V672" s="40"/>
      <c r="W672" s="40"/>
      <c r="Y672" s="40"/>
      <c r="Z672" s="40"/>
      <c r="AA672" s="40"/>
      <c r="AB672" s="40"/>
      <c r="AC672" s="41"/>
      <c r="AD672" s="41"/>
      <c r="AE672" s="41"/>
      <c r="AF672" s="41"/>
      <c r="AG672" s="41"/>
      <c r="AH672" s="40"/>
      <c r="AI672" s="40"/>
      <c r="AJ672" s="5"/>
      <c r="AK672" s="5"/>
      <c r="AL672" s="40"/>
      <c r="AM672" s="40"/>
      <c r="AN672" s="40"/>
      <c r="AO672" s="40"/>
      <c r="AP672" s="40"/>
      <c r="AQ672" s="40"/>
      <c r="AR672" s="40"/>
      <c r="AS672" s="40"/>
      <c r="AU672" s="40"/>
      <c r="AW672" s="40"/>
    </row>
    <row r="673" spans="2:49" ht="12.75" customHeight="1" x14ac:dyDescent="0.15">
      <c r="B673" s="40"/>
      <c r="C673" s="40"/>
      <c r="D673" s="40"/>
      <c r="E673" s="40"/>
      <c r="F673" s="40"/>
      <c r="G673" s="40"/>
      <c r="H673" s="40"/>
      <c r="I673" s="53"/>
      <c r="S673" s="40"/>
      <c r="T673" s="40"/>
      <c r="U673" s="40"/>
      <c r="V673" s="40"/>
      <c r="W673" s="40"/>
      <c r="Y673" s="40"/>
      <c r="Z673" s="40"/>
      <c r="AA673" s="40"/>
      <c r="AB673" s="40"/>
      <c r="AC673" s="41"/>
      <c r="AD673" s="41"/>
      <c r="AE673" s="41"/>
      <c r="AF673" s="41"/>
      <c r="AG673" s="41"/>
      <c r="AH673" s="40"/>
      <c r="AI673" s="40"/>
      <c r="AJ673" s="5"/>
      <c r="AK673" s="5"/>
      <c r="AL673" s="40"/>
      <c r="AM673" s="40"/>
      <c r="AN673" s="40"/>
      <c r="AO673" s="40"/>
      <c r="AP673" s="40"/>
      <c r="AQ673" s="40"/>
      <c r="AR673" s="40"/>
      <c r="AS673" s="40"/>
      <c r="AU673" s="40"/>
      <c r="AW673" s="40"/>
    </row>
    <row r="674" spans="2:49" ht="12.75" customHeight="1" x14ac:dyDescent="0.15">
      <c r="B674" s="40"/>
      <c r="C674" s="40"/>
      <c r="D674" s="40"/>
      <c r="E674" s="40"/>
      <c r="F674" s="40"/>
      <c r="G674" s="40"/>
      <c r="H674" s="40"/>
      <c r="I674" s="53"/>
      <c r="S674" s="40"/>
      <c r="T674" s="40"/>
      <c r="U674" s="40"/>
      <c r="V674" s="40"/>
      <c r="W674" s="40"/>
      <c r="Y674" s="40"/>
      <c r="Z674" s="40"/>
      <c r="AA674" s="40"/>
      <c r="AB674" s="40"/>
      <c r="AC674" s="41"/>
      <c r="AD674" s="41"/>
      <c r="AE674" s="41"/>
      <c r="AF674" s="41"/>
      <c r="AG674" s="41"/>
      <c r="AH674" s="40"/>
      <c r="AI674" s="40"/>
      <c r="AJ674" s="5"/>
      <c r="AK674" s="5"/>
      <c r="AL674" s="40"/>
      <c r="AM674" s="40"/>
      <c r="AN674" s="40"/>
      <c r="AO674" s="40"/>
      <c r="AP674" s="40"/>
      <c r="AQ674" s="40"/>
      <c r="AR674" s="40"/>
      <c r="AS674" s="40"/>
      <c r="AU674" s="40"/>
      <c r="AW674" s="40"/>
    </row>
    <row r="675" spans="2:49" ht="12.75" customHeight="1" x14ac:dyDescent="0.15">
      <c r="B675" s="40"/>
      <c r="C675" s="40"/>
      <c r="D675" s="40"/>
      <c r="E675" s="40"/>
      <c r="F675" s="40"/>
      <c r="G675" s="40"/>
      <c r="H675" s="40"/>
      <c r="I675" s="53"/>
      <c r="S675" s="40"/>
      <c r="T675" s="40"/>
      <c r="U675" s="40"/>
      <c r="V675" s="40"/>
      <c r="W675" s="40"/>
      <c r="Y675" s="40"/>
      <c r="Z675" s="40"/>
      <c r="AA675" s="40"/>
      <c r="AB675" s="40"/>
      <c r="AC675" s="41"/>
      <c r="AD675" s="41"/>
      <c r="AE675" s="41"/>
      <c r="AF675" s="41"/>
      <c r="AG675" s="41"/>
      <c r="AH675" s="40"/>
      <c r="AI675" s="40"/>
      <c r="AJ675" s="5"/>
      <c r="AK675" s="5"/>
      <c r="AL675" s="40"/>
      <c r="AM675" s="40"/>
      <c r="AN675" s="40"/>
      <c r="AO675" s="40"/>
      <c r="AP675" s="40"/>
      <c r="AQ675" s="40"/>
      <c r="AR675" s="40"/>
      <c r="AS675" s="40"/>
      <c r="AU675" s="40"/>
      <c r="AW675" s="40"/>
    </row>
    <row r="676" spans="2:49" ht="12.75" customHeight="1" x14ac:dyDescent="0.15">
      <c r="B676" s="40"/>
      <c r="C676" s="40"/>
      <c r="D676" s="40"/>
      <c r="E676" s="40"/>
      <c r="F676" s="40"/>
      <c r="G676" s="40"/>
      <c r="H676" s="40"/>
      <c r="I676" s="53"/>
      <c r="S676" s="40"/>
      <c r="T676" s="40"/>
      <c r="U676" s="40"/>
      <c r="V676" s="40"/>
      <c r="W676" s="40"/>
      <c r="Y676" s="40"/>
      <c r="Z676" s="40"/>
      <c r="AA676" s="40"/>
      <c r="AB676" s="40"/>
      <c r="AC676" s="41"/>
      <c r="AD676" s="41"/>
      <c r="AE676" s="41"/>
      <c r="AF676" s="41"/>
      <c r="AG676" s="41"/>
      <c r="AH676" s="40"/>
      <c r="AI676" s="40"/>
      <c r="AJ676" s="5"/>
      <c r="AK676" s="5"/>
      <c r="AL676" s="40"/>
      <c r="AM676" s="40"/>
      <c r="AN676" s="40"/>
      <c r="AO676" s="40"/>
      <c r="AP676" s="40"/>
      <c r="AQ676" s="40"/>
      <c r="AR676" s="40"/>
      <c r="AS676" s="40"/>
      <c r="AU676" s="40"/>
      <c r="AW676" s="40"/>
    </row>
    <row r="677" spans="2:49" ht="12.75" customHeight="1" x14ac:dyDescent="0.15">
      <c r="B677" s="40"/>
      <c r="C677" s="40"/>
      <c r="D677" s="40"/>
      <c r="E677" s="40"/>
      <c r="F677" s="40"/>
      <c r="G677" s="40"/>
      <c r="H677" s="40"/>
      <c r="I677" s="53"/>
      <c r="S677" s="40"/>
      <c r="T677" s="40"/>
      <c r="U677" s="40"/>
      <c r="V677" s="40"/>
      <c r="W677" s="40"/>
      <c r="Y677" s="40"/>
      <c r="Z677" s="40"/>
      <c r="AA677" s="40"/>
      <c r="AB677" s="40"/>
      <c r="AC677" s="41"/>
      <c r="AD677" s="41"/>
      <c r="AE677" s="41"/>
      <c r="AF677" s="41"/>
      <c r="AG677" s="41"/>
      <c r="AH677" s="40"/>
      <c r="AI677" s="40"/>
      <c r="AJ677" s="5"/>
      <c r="AK677" s="5"/>
      <c r="AL677" s="40"/>
      <c r="AM677" s="40"/>
      <c r="AN677" s="40"/>
      <c r="AO677" s="40"/>
      <c r="AP677" s="40"/>
      <c r="AQ677" s="40"/>
      <c r="AR677" s="40"/>
      <c r="AS677" s="40"/>
      <c r="AU677" s="40"/>
      <c r="AW677" s="40"/>
    </row>
    <row r="678" spans="2:49" ht="12.75" customHeight="1" x14ac:dyDescent="0.15">
      <c r="B678" s="40"/>
      <c r="C678" s="40"/>
      <c r="D678" s="40"/>
      <c r="E678" s="40"/>
      <c r="F678" s="40"/>
      <c r="G678" s="40"/>
      <c r="H678" s="40"/>
      <c r="I678" s="53"/>
      <c r="S678" s="40"/>
      <c r="T678" s="40"/>
      <c r="U678" s="40"/>
      <c r="V678" s="40"/>
      <c r="W678" s="40"/>
      <c r="Y678" s="40"/>
      <c r="Z678" s="40"/>
      <c r="AA678" s="40"/>
      <c r="AB678" s="40"/>
      <c r="AC678" s="41"/>
      <c r="AD678" s="41"/>
      <c r="AE678" s="41"/>
      <c r="AF678" s="41"/>
      <c r="AG678" s="41"/>
      <c r="AH678" s="40"/>
      <c r="AI678" s="40"/>
      <c r="AJ678" s="5"/>
      <c r="AK678" s="5"/>
      <c r="AL678" s="40"/>
      <c r="AM678" s="40"/>
      <c r="AN678" s="40"/>
      <c r="AO678" s="40"/>
      <c r="AP678" s="40"/>
      <c r="AQ678" s="40"/>
      <c r="AR678" s="40"/>
      <c r="AS678" s="40"/>
      <c r="AU678" s="40"/>
      <c r="AW678" s="40"/>
    </row>
    <row r="679" spans="2:49" ht="12.75" customHeight="1" x14ac:dyDescent="0.15">
      <c r="B679" s="40"/>
      <c r="C679" s="40"/>
      <c r="D679" s="40"/>
      <c r="E679" s="40"/>
      <c r="F679" s="40"/>
      <c r="G679" s="40"/>
      <c r="H679" s="40"/>
      <c r="I679" s="53"/>
      <c r="S679" s="40"/>
      <c r="T679" s="40"/>
      <c r="U679" s="40"/>
      <c r="V679" s="40"/>
      <c r="W679" s="40"/>
      <c r="Y679" s="40"/>
      <c r="Z679" s="40"/>
      <c r="AA679" s="40"/>
      <c r="AB679" s="40"/>
      <c r="AC679" s="41"/>
      <c r="AD679" s="41"/>
      <c r="AE679" s="41"/>
      <c r="AF679" s="41"/>
      <c r="AG679" s="41"/>
      <c r="AH679" s="40"/>
      <c r="AI679" s="40"/>
      <c r="AJ679" s="5"/>
      <c r="AK679" s="5"/>
      <c r="AL679" s="40"/>
      <c r="AM679" s="40"/>
      <c r="AN679" s="40"/>
      <c r="AO679" s="40"/>
      <c r="AP679" s="40"/>
      <c r="AQ679" s="40"/>
      <c r="AR679" s="40"/>
      <c r="AS679" s="40"/>
      <c r="AU679" s="40"/>
      <c r="AW679" s="40"/>
    </row>
    <row r="680" spans="2:49" ht="12.75" customHeight="1" x14ac:dyDescent="0.15">
      <c r="B680" s="40"/>
      <c r="C680" s="40"/>
      <c r="D680" s="40"/>
      <c r="E680" s="40"/>
      <c r="F680" s="40"/>
      <c r="G680" s="40"/>
      <c r="H680" s="40"/>
      <c r="I680" s="53"/>
      <c r="S680" s="40"/>
      <c r="T680" s="40"/>
      <c r="U680" s="40"/>
      <c r="V680" s="40"/>
      <c r="W680" s="40"/>
      <c r="Y680" s="40"/>
      <c r="Z680" s="40"/>
      <c r="AA680" s="40"/>
      <c r="AB680" s="40"/>
      <c r="AC680" s="41"/>
      <c r="AD680" s="41"/>
      <c r="AE680" s="41"/>
      <c r="AF680" s="41"/>
      <c r="AG680" s="41"/>
      <c r="AH680" s="40"/>
      <c r="AI680" s="40"/>
      <c r="AJ680" s="5"/>
      <c r="AK680" s="5"/>
      <c r="AL680" s="40"/>
      <c r="AM680" s="40"/>
      <c r="AN680" s="40"/>
      <c r="AO680" s="40"/>
      <c r="AP680" s="40"/>
      <c r="AQ680" s="40"/>
      <c r="AR680" s="40"/>
      <c r="AS680" s="40"/>
      <c r="AU680" s="40"/>
      <c r="AW680" s="40"/>
    </row>
    <row r="681" spans="2:49" ht="12.75" customHeight="1" x14ac:dyDescent="0.15">
      <c r="B681" s="40"/>
      <c r="C681" s="40"/>
      <c r="D681" s="40"/>
      <c r="E681" s="40"/>
      <c r="F681" s="40"/>
      <c r="G681" s="40"/>
      <c r="H681" s="40"/>
      <c r="I681" s="53"/>
      <c r="S681" s="40"/>
      <c r="T681" s="40"/>
      <c r="U681" s="40"/>
      <c r="V681" s="40"/>
      <c r="W681" s="40"/>
      <c r="Y681" s="40"/>
      <c r="Z681" s="40"/>
      <c r="AA681" s="40"/>
      <c r="AB681" s="40"/>
      <c r="AC681" s="41"/>
      <c r="AD681" s="41"/>
      <c r="AE681" s="41"/>
      <c r="AF681" s="41"/>
      <c r="AG681" s="41"/>
      <c r="AH681" s="40"/>
      <c r="AI681" s="40"/>
      <c r="AJ681" s="5"/>
      <c r="AK681" s="5"/>
      <c r="AL681" s="40"/>
      <c r="AM681" s="40"/>
      <c r="AN681" s="40"/>
      <c r="AO681" s="40"/>
      <c r="AP681" s="40"/>
      <c r="AQ681" s="40"/>
      <c r="AR681" s="40"/>
      <c r="AS681" s="40"/>
      <c r="AU681" s="40"/>
      <c r="AW681" s="40"/>
    </row>
    <row r="682" spans="2:49" ht="12.75" customHeight="1" x14ac:dyDescent="0.15">
      <c r="B682" s="40"/>
      <c r="C682" s="40"/>
      <c r="D682" s="40"/>
      <c r="E682" s="40"/>
      <c r="F682" s="40"/>
      <c r="G682" s="40"/>
      <c r="H682" s="40"/>
      <c r="I682" s="53"/>
      <c r="S682" s="40"/>
      <c r="T682" s="40"/>
      <c r="U682" s="40"/>
      <c r="V682" s="40"/>
      <c r="W682" s="40"/>
      <c r="Y682" s="40"/>
      <c r="Z682" s="40"/>
      <c r="AA682" s="40"/>
      <c r="AB682" s="40"/>
      <c r="AC682" s="41"/>
      <c r="AD682" s="41"/>
      <c r="AE682" s="41"/>
      <c r="AF682" s="41"/>
      <c r="AG682" s="41"/>
      <c r="AH682" s="40"/>
      <c r="AI682" s="40"/>
      <c r="AJ682" s="5"/>
      <c r="AK682" s="5"/>
      <c r="AL682" s="40"/>
      <c r="AM682" s="40"/>
      <c r="AN682" s="40"/>
      <c r="AO682" s="40"/>
      <c r="AP682" s="40"/>
      <c r="AQ682" s="40"/>
      <c r="AR682" s="40"/>
      <c r="AS682" s="40"/>
      <c r="AU682" s="40"/>
      <c r="AW682" s="40"/>
    </row>
    <row r="683" spans="2:49" ht="12.75" customHeight="1" x14ac:dyDescent="0.15">
      <c r="B683" s="40"/>
      <c r="C683" s="40"/>
      <c r="D683" s="40"/>
      <c r="E683" s="40"/>
      <c r="F683" s="40"/>
      <c r="G683" s="40"/>
      <c r="H683" s="40"/>
      <c r="I683" s="53"/>
      <c r="S683" s="40"/>
      <c r="T683" s="40"/>
      <c r="U683" s="40"/>
      <c r="V683" s="40"/>
      <c r="W683" s="40"/>
      <c r="Y683" s="40"/>
      <c r="Z683" s="40"/>
      <c r="AA683" s="40"/>
      <c r="AB683" s="40"/>
      <c r="AC683" s="41"/>
      <c r="AD683" s="41"/>
      <c r="AE683" s="41"/>
      <c r="AF683" s="41"/>
      <c r="AG683" s="41"/>
      <c r="AH683" s="40"/>
      <c r="AI683" s="40"/>
      <c r="AJ683" s="5"/>
      <c r="AK683" s="5"/>
      <c r="AL683" s="40"/>
      <c r="AM683" s="40"/>
      <c r="AN683" s="40"/>
      <c r="AO683" s="40"/>
      <c r="AP683" s="40"/>
      <c r="AQ683" s="40"/>
      <c r="AR683" s="40"/>
      <c r="AS683" s="40"/>
      <c r="AU683" s="40"/>
      <c r="AW683" s="40"/>
    </row>
    <row r="684" spans="2:49" ht="12.75" customHeight="1" x14ac:dyDescent="0.15">
      <c r="B684" s="40"/>
      <c r="C684" s="40"/>
      <c r="D684" s="40"/>
      <c r="E684" s="40"/>
      <c r="F684" s="40"/>
      <c r="G684" s="40"/>
      <c r="H684" s="40"/>
      <c r="I684" s="53"/>
      <c r="S684" s="40"/>
      <c r="T684" s="40"/>
      <c r="U684" s="40"/>
      <c r="V684" s="40"/>
      <c r="W684" s="40"/>
      <c r="Y684" s="40"/>
      <c r="Z684" s="40"/>
      <c r="AA684" s="40"/>
      <c r="AB684" s="40"/>
      <c r="AC684" s="41"/>
      <c r="AD684" s="41"/>
      <c r="AE684" s="41"/>
      <c r="AF684" s="41"/>
      <c r="AG684" s="41"/>
      <c r="AH684" s="40"/>
      <c r="AI684" s="40"/>
      <c r="AJ684" s="5"/>
      <c r="AK684" s="5"/>
      <c r="AL684" s="40"/>
      <c r="AM684" s="40"/>
      <c r="AN684" s="40"/>
      <c r="AO684" s="40"/>
      <c r="AP684" s="40"/>
      <c r="AQ684" s="40"/>
      <c r="AR684" s="40"/>
      <c r="AS684" s="40"/>
      <c r="AU684" s="40"/>
      <c r="AW684" s="40"/>
    </row>
    <row r="685" spans="2:49" ht="12.75" customHeight="1" x14ac:dyDescent="0.15">
      <c r="B685" s="40"/>
      <c r="C685" s="40"/>
      <c r="D685" s="40"/>
      <c r="E685" s="40"/>
      <c r="F685" s="40"/>
      <c r="G685" s="40"/>
      <c r="H685" s="40"/>
      <c r="I685" s="53"/>
      <c r="S685" s="40"/>
      <c r="T685" s="40"/>
      <c r="U685" s="40"/>
      <c r="V685" s="40"/>
      <c r="W685" s="40"/>
      <c r="Y685" s="40"/>
      <c r="Z685" s="40"/>
      <c r="AA685" s="40"/>
      <c r="AB685" s="40"/>
      <c r="AC685" s="41"/>
      <c r="AD685" s="41"/>
      <c r="AE685" s="41"/>
      <c r="AF685" s="41"/>
      <c r="AG685" s="41"/>
      <c r="AH685" s="40"/>
      <c r="AI685" s="40"/>
      <c r="AJ685" s="5"/>
      <c r="AK685" s="5"/>
      <c r="AL685" s="40"/>
      <c r="AM685" s="40"/>
      <c r="AN685" s="40"/>
      <c r="AO685" s="40"/>
      <c r="AP685" s="40"/>
      <c r="AQ685" s="40"/>
      <c r="AR685" s="40"/>
      <c r="AS685" s="40"/>
      <c r="AU685" s="40"/>
      <c r="AW685" s="40"/>
    </row>
    <row r="686" spans="2:49" ht="12.75" customHeight="1" x14ac:dyDescent="0.15">
      <c r="B686" s="40"/>
      <c r="C686" s="40"/>
      <c r="D686" s="40"/>
      <c r="E686" s="40"/>
      <c r="F686" s="40"/>
      <c r="G686" s="40"/>
      <c r="H686" s="40"/>
      <c r="I686" s="53"/>
      <c r="S686" s="40"/>
      <c r="T686" s="40"/>
      <c r="U686" s="40"/>
      <c r="V686" s="40"/>
      <c r="W686" s="40"/>
      <c r="Y686" s="40"/>
      <c r="Z686" s="40"/>
      <c r="AA686" s="40"/>
      <c r="AB686" s="40"/>
      <c r="AC686" s="41"/>
      <c r="AD686" s="41"/>
      <c r="AE686" s="41"/>
      <c r="AF686" s="41"/>
      <c r="AG686" s="41"/>
      <c r="AH686" s="40"/>
      <c r="AI686" s="40"/>
      <c r="AJ686" s="5"/>
      <c r="AK686" s="5"/>
      <c r="AL686" s="40"/>
      <c r="AM686" s="40"/>
      <c r="AN686" s="40"/>
      <c r="AO686" s="40"/>
      <c r="AP686" s="40"/>
      <c r="AQ686" s="40"/>
      <c r="AR686" s="40"/>
      <c r="AS686" s="40"/>
      <c r="AU686" s="40"/>
      <c r="AW686" s="40"/>
    </row>
    <row r="687" spans="2:49" ht="12.75" customHeight="1" x14ac:dyDescent="0.15">
      <c r="B687" s="40"/>
      <c r="C687" s="40"/>
      <c r="D687" s="40"/>
      <c r="E687" s="40"/>
      <c r="F687" s="40"/>
      <c r="G687" s="40"/>
      <c r="H687" s="40"/>
      <c r="I687" s="53"/>
      <c r="S687" s="40"/>
      <c r="T687" s="40"/>
      <c r="U687" s="40"/>
      <c r="V687" s="40"/>
      <c r="W687" s="40"/>
      <c r="Y687" s="40"/>
      <c r="Z687" s="40"/>
      <c r="AA687" s="40"/>
      <c r="AB687" s="40"/>
      <c r="AC687" s="41"/>
      <c r="AD687" s="41"/>
      <c r="AE687" s="41"/>
      <c r="AF687" s="41"/>
      <c r="AG687" s="41"/>
      <c r="AH687" s="40"/>
      <c r="AI687" s="40"/>
      <c r="AJ687" s="5"/>
      <c r="AK687" s="5"/>
      <c r="AL687" s="40"/>
      <c r="AM687" s="40"/>
      <c r="AN687" s="40"/>
      <c r="AO687" s="40"/>
      <c r="AP687" s="40"/>
      <c r="AQ687" s="40"/>
      <c r="AR687" s="40"/>
      <c r="AS687" s="40"/>
      <c r="AU687" s="40"/>
      <c r="AW687" s="40"/>
    </row>
    <row r="688" spans="2:49" ht="12.75" customHeight="1" x14ac:dyDescent="0.15">
      <c r="B688" s="40"/>
      <c r="C688" s="40"/>
      <c r="D688" s="40"/>
      <c r="E688" s="40"/>
      <c r="F688" s="40"/>
      <c r="G688" s="40"/>
      <c r="H688" s="40"/>
      <c r="I688" s="53"/>
      <c r="S688" s="40"/>
      <c r="T688" s="40"/>
      <c r="U688" s="40"/>
      <c r="V688" s="40"/>
      <c r="W688" s="40"/>
      <c r="Y688" s="40"/>
      <c r="Z688" s="40"/>
      <c r="AA688" s="40"/>
      <c r="AB688" s="40"/>
      <c r="AC688" s="41"/>
      <c r="AD688" s="41"/>
      <c r="AE688" s="41"/>
      <c r="AF688" s="41"/>
      <c r="AG688" s="41"/>
      <c r="AH688" s="40"/>
      <c r="AI688" s="40"/>
      <c r="AJ688" s="5"/>
      <c r="AK688" s="5"/>
      <c r="AL688" s="40"/>
      <c r="AM688" s="40"/>
      <c r="AN688" s="40"/>
      <c r="AO688" s="40"/>
      <c r="AP688" s="40"/>
      <c r="AQ688" s="40"/>
      <c r="AR688" s="40"/>
      <c r="AS688" s="40"/>
      <c r="AU688" s="40"/>
      <c r="AW688" s="40"/>
    </row>
    <row r="689" spans="2:49" ht="12.75" customHeight="1" x14ac:dyDescent="0.15">
      <c r="B689" s="40"/>
      <c r="C689" s="40"/>
      <c r="D689" s="40"/>
      <c r="E689" s="40"/>
      <c r="F689" s="40"/>
      <c r="G689" s="40"/>
      <c r="H689" s="40"/>
      <c r="I689" s="53"/>
      <c r="S689" s="40"/>
      <c r="T689" s="40"/>
      <c r="U689" s="40"/>
      <c r="V689" s="40"/>
      <c r="W689" s="40"/>
      <c r="Y689" s="40"/>
      <c r="Z689" s="40"/>
      <c r="AA689" s="40"/>
      <c r="AB689" s="40"/>
      <c r="AC689" s="41"/>
      <c r="AD689" s="41"/>
      <c r="AE689" s="41"/>
      <c r="AF689" s="41"/>
      <c r="AG689" s="41"/>
      <c r="AH689" s="40"/>
      <c r="AI689" s="40"/>
      <c r="AJ689" s="5"/>
      <c r="AK689" s="5"/>
      <c r="AL689" s="40"/>
      <c r="AM689" s="40"/>
      <c r="AN689" s="40"/>
      <c r="AO689" s="40"/>
      <c r="AP689" s="40"/>
      <c r="AQ689" s="40"/>
      <c r="AR689" s="40"/>
      <c r="AS689" s="40"/>
      <c r="AU689" s="40"/>
      <c r="AW689" s="40"/>
    </row>
    <row r="690" spans="2:49" ht="12.75" customHeight="1" x14ac:dyDescent="0.15">
      <c r="B690" s="40"/>
      <c r="C690" s="40"/>
      <c r="D690" s="40"/>
      <c r="E690" s="40"/>
      <c r="F690" s="40"/>
      <c r="G690" s="40"/>
      <c r="H690" s="40"/>
      <c r="I690" s="53"/>
      <c r="S690" s="40"/>
      <c r="T690" s="40"/>
      <c r="U690" s="40"/>
      <c r="V690" s="40"/>
      <c r="W690" s="40"/>
      <c r="Y690" s="40"/>
      <c r="Z690" s="40"/>
      <c r="AA690" s="40"/>
      <c r="AB690" s="40"/>
      <c r="AC690" s="41"/>
      <c r="AD690" s="41"/>
      <c r="AE690" s="41"/>
      <c r="AF690" s="41"/>
      <c r="AG690" s="41"/>
      <c r="AH690" s="40"/>
      <c r="AI690" s="40"/>
      <c r="AJ690" s="5"/>
      <c r="AK690" s="5"/>
      <c r="AL690" s="40"/>
      <c r="AM690" s="40"/>
      <c r="AN690" s="40"/>
      <c r="AO690" s="40"/>
      <c r="AP690" s="40"/>
      <c r="AQ690" s="40"/>
      <c r="AR690" s="40"/>
      <c r="AS690" s="40"/>
      <c r="AU690" s="40"/>
      <c r="AW690" s="40"/>
    </row>
    <row r="691" spans="2:49" ht="12.75" customHeight="1" x14ac:dyDescent="0.15">
      <c r="B691" s="40"/>
      <c r="C691" s="40"/>
      <c r="D691" s="40"/>
      <c r="E691" s="40"/>
      <c r="F691" s="40"/>
      <c r="G691" s="40"/>
      <c r="H691" s="40"/>
      <c r="I691" s="53"/>
      <c r="S691" s="40"/>
      <c r="T691" s="40"/>
      <c r="U691" s="40"/>
      <c r="V691" s="40"/>
      <c r="W691" s="40"/>
      <c r="Y691" s="40"/>
      <c r="Z691" s="40"/>
      <c r="AA691" s="40"/>
      <c r="AB691" s="40"/>
      <c r="AC691" s="41"/>
      <c r="AD691" s="41"/>
      <c r="AE691" s="41"/>
      <c r="AF691" s="41"/>
      <c r="AG691" s="41"/>
      <c r="AH691" s="40"/>
      <c r="AI691" s="40"/>
      <c r="AJ691" s="5"/>
      <c r="AK691" s="5"/>
      <c r="AL691" s="40"/>
      <c r="AM691" s="40"/>
      <c r="AN691" s="40"/>
      <c r="AO691" s="40"/>
      <c r="AP691" s="40"/>
      <c r="AQ691" s="40"/>
      <c r="AR691" s="40"/>
      <c r="AS691" s="40"/>
      <c r="AU691" s="40"/>
      <c r="AW691" s="40"/>
    </row>
    <row r="692" spans="2:49" ht="12.75" customHeight="1" x14ac:dyDescent="0.15">
      <c r="B692" s="40"/>
      <c r="C692" s="40"/>
      <c r="D692" s="40"/>
      <c r="E692" s="40"/>
      <c r="F692" s="40"/>
      <c r="G692" s="40"/>
      <c r="H692" s="40"/>
      <c r="I692" s="53"/>
      <c r="S692" s="40"/>
      <c r="T692" s="40"/>
      <c r="U692" s="40"/>
      <c r="V692" s="40"/>
      <c r="W692" s="40"/>
      <c r="Y692" s="40"/>
      <c r="Z692" s="40"/>
      <c r="AA692" s="40"/>
      <c r="AB692" s="40"/>
      <c r="AC692" s="41"/>
      <c r="AD692" s="41"/>
      <c r="AE692" s="41"/>
      <c r="AF692" s="41"/>
      <c r="AG692" s="41"/>
      <c r="AH692" s="40"/>
      <c r="AI692" s="40"/>
      <c r="AJ692" s="5"/>
      <c r="AK692" s="5"/>
      <c r="AL692" s="40"/>
      <c r="AM692" s="40"/>
      <c r="AN692" s="40"/>
      <c r="AO692" s="40"/>
      <c r="AP692" s="40"/>
      <c r="AQ692" s="40"/>
      <c r="AR692" s="40"/>
      <c r="AS692" s="40"/>
      <c r="AU692" s="40"/>
      <c r="AW692" s="40"/>
    </row>
    <row r="693" spans="2:49" ht="12.75" customHeight="1" x14ac:dyDescent="0.15">
      <c r="B693" s="40"/>
      <c r="C693" s="40"/>
      <c r="D693" s="40"/>
      <c r="E693" s="40"/>
      <c r="F693" s="40"/>
      <c r="G693" s="40"/>
      <c r="H693" s="40"/>
      <c r="I693" s="53"/>
      <c r="S693" s="40"/>
      <c r="T693" s="40"/>
      <c r="U693" s="40"/>
      <c r="V693" s="40"/>
      <c r="W693" s="40"/>
      <c r="Y693" s="40"/>
      <c r="Z693" s="40"/>
      <c r="AA693" s="40"/>
      <c r="AB693" s="40"/>
      <c r="AC693" s="41"/>
      <c r="AD693" s="41"/>
      <c r="AE693" s="41"/>
      <c r="AF693" s="41"/>
      <c r="AG693" s="41"/>
      <c r="AH693" s="40"/>
      <c r="AI693" s="40"/>
      <c r="AJ693" s="5"/>
      <c r="AK693" s="5"/>
      <c r="AL693" s="40"/>
      <c r="AM693" s="40"/>
      <c r="AN693" s="40"/>
      <c r="AO693" s="40"/>
      <c r="AP693" s="40"/>
      <c r="AQ693" s="40"/>
      <c r="AR693" s="40"/>
      <c r="AS693" s="40"/>
      <c r="AU693" s="40"/>
      <c r="AW693" s="40"/>
    </row>
    <row r="694" spans="2:49" ht="12.75" customHeight="1" x14ac:dyDescent="0.15">
      <c r="B694" s="40"/>
      <c r="C694" s="40"/>
      <c r="D694" s="40"/>
      <c r="E694" s="40"/>
      <c r="F694" s="40"/>
      <c r="G694" s="40"/>
      <c r="H694" s="40"/>
      <c r="I694" s="53"/>
      <c r="S694" s="40"/>
      <c r="T694" s="40"/>
      <c r="U694" s="40"/>
      <c r="V694" s="40"/>
      <c r="W694" s="40"/>
      <c r="Y694" s="40"/>
      <c r="Z694" s="40"/>
      <c r="AA694" s="40"/>
      <c r="AB694" s="40"/>
      <c r="AC694" s="41"/>
      <c r="AD694" s="41"/>
      <c r="AE694" s="41"/>
      <c r="AF694" s="41"/>
      <c r="AG694" s="41"/>
      <c r="AH694" s="40"/>
      <c r="AI694" s="40"/>
      <c r="AJ694" s="5"/>
      <c r="AK694" s="5"/>
      <c r="AL694" s="40"/>
      <c r="AM694" s="40"/>
      <c r="AN694" s="40"/>
      <c r="AO694" s="40"/>
      <c r="AP694" s="40"/>
      <c r="AQ694" s="40"/>
      <c r="AR694" s="40"/>
      <c r="AS694" s="40"/>
      <c r="AU694" s="40"/>
      <c r="AW694" s="40"/>
    </row>
    <row r="695" spans="2:49" ht="12.75" customHeight="1" x14ac:dyDescent="0.15">
      <c r="B695" s="40"/>
      <c r="C695" s="40"/>
      <c r="D695" s="40"/>
      <c r="E695" s="40"/>
      <c r="F695" s="40"/>
      <c r="G695" s="40"/>
      <c r="H695" s="40"/>
      <c r="I695" s="53"/>
      <c r="S695" s="40"/>
      <c r="T695" s="40"/>
      <c r="U695" s="40"/>
      <c r="V695" s="40"/>
      <c r="W695" s="40"/>
      <c r="Y695" s="40"/>
      <c r="Z695" s="40"/>
      <c r="AA695" s="40"/>
      <c r="AB695" s="40"/>
      <c r="AC695" s="41"/>
      <c r="AD695" s="41"/>
      <c r="AE695" s="41"/>
      <c r="AF695" s="41"/>
      <c r="AG695" s="41"/>
      <c r="AH695" s="40"/>
      <c r="AI695" s="40"/>
      <c r="AJ695" s="5"/>
      <c r="AK695" s="5"/>
      <c r="AL695" s="40"/>
      <c r="AM695" s="40"/>
      <c r="AN695" s="40"/>
      <c r="AO695" s="40"/>
      <c r="AP695" s="40"/>
      <c r="AQ695" s="40"/>
      <c r="AR695" s="40"/>
      <c r="AS695" s="40"/>
      <c r="AU695" s="40"/>
      <c r="AW695" s="40"/>
    </row>
    <row r="696" spans="2:49" ht="12.75" customHeight="1" x14ac:dyDescent="0.15">
      <c r="B696" s="40"/>
      <c r="C696" s="40"/>
      <c r="D696" s="40"/>
      <c r="E696" s="40"/>
      <c r="F696" s="40"/>
      <c r="G696" s="40"/>
      <c r="H696" s="40"/>
      <c r="I696" s="53"/>
      <c r="S696" s="40"/>
      <c r="T696" s="40"/>
      <c r="U696" s="40"/>
      <c r="V696" s="40"/>
      <c r="W696" s="40"/>
      <c r="Y696" s="40"/>
      <c r="Z696" s="40"/>
      <c r="AA696" s="40"/>
      <c r="AB696" s="40"/>
      <c r="AC696" s="41"/>
      <c r="AD696" s="41"/>
      <c r="AE696" s="41"/>
      <c r="AF696" s="41"/>
      <c r="AG696" s="41"/>
      <c r="AH696" s="40"/>
      <c r="AI696" s="40"/>
      <c r="AJ696" s="5"/>
      <c r="AK696" s="5"/>
      <c r="AL696" s="40"/>
      <c r="AM696" s="40"/>
      <c r="AN696" s="40"/>
      <c r="AO696" s="40"/>
      <c r="AP696" s="40"/>
      <c r="AQ696" s="40"/>
      <c r="AR696" s="40"/>
      <c r="AS696" s="40"/>
      <c r="AU696" s="40"/>
      <c r="AW696" s="40"/>
    </row>
    <row r="697" spans="2:49" ht="12.75" customHeight="1" x14ac:dyDescent="0.15">
      <c r="B697" s="40"/>
      <c r="C697" s="40"/>
      <c r="D697" s="40"/>
      <c r="E697" s="40"/>
      <c r="F697" s="40"/>
      <c r="G697" s="40"/>
      <c r="H697" s="40"/>
      <c r="I697" s="53"/>
      <c r="S697" s="40"/>
      <c r="T697" s="40"/>
      <c r="U697" s="40"/>
      <c r="V697" s="40"/>
      <c r="W697" s="40"/>
      <c r="Y697" s="40"/>
      <c r="Z697" s="40"/>
      <c r="AA697" s="40"/>
      <c r="AB697" s="40"/>
      <c r="AC697" s="41"/>
      <c r="AD697" s="41"/>
      <c r="AE697" s="41"/>
      <c r="AF697" s="41"/>
      <c r="AG697" s="41"/>
      <c r="AH697" s="40"/>
      <c r="AI697" s="40"/>
      <c r="AJ697" s="5"/>
      <c r="AK697" s="5"/>
      <c r="AL697" s="40"/>
      <c r="AM697" s="40"/>
      <c r="AN697" s="40"/>
      <c r="AO697" s="40"/>
      <c r="AP697" s="40"/>
      <c r="AQ697" s="40"/>
      <c r="AR697" s="40"/>
      <c r="AS697" s="40"/>
      <c r="AU697" s="40"/>
      <c r="AW697" s="40"/>
    </row>
    <row r="698" spans="2:49" ht="12.75" customHeight="1" x14ac:dyDescent="0.15">
      <c r="B698" s="40"/>
      <c r="C698" s="40"/>
      <c r="D698" s="40"/>
      <c r="E698" s="40"/>
      <c r="F698" s="40"/>
      <c r="G698" s="40"/>
      <c r="H698" s="40"/>
      <c r="I698" s="53"/>
      <c r="S698" s="40"/>
      <c r="T698" s="40"/>
      <c r="U698" s="40"/>
      <c r="V698" s="40"/>
      <c r="W698" s="40"/>
      <c r="Y698" s="40"/>
      <c r="Z698" s="40"/>
      <c r="AA698" s="40"/>
      <c r="AB698" s="40"/>
      <c r="AC698" s="41"/>
      <c r="AD698" s="41"/>
      <c r="AE698" s="41"/>
      <c r="AF698" s="41"/>
      <c r="AG698" s="41"/>
      <c r="AH698" s="40"/>
      <c r="AI698" s="40"/>
      <c r="AJ698" s="5"/>
      <c r="AK698" s="5"/>
      <c r="AL698" s="40"/>
      <c r="AM698" s="40"/>
      <c r="AN698" s="40"/>
      <c r="AO698" s="40"/>
      <c r="AP698" s="40"/>
      <c r="AQ698" s="40"/>
      <c r="AR698" s="40"/>
      <c r="AS698" s="40"/>
      <c r="AU698" s="40"/>
      <c r="AW698" s="40"/>
    </row>
    <row r="699" spans="2:49" ht="12.75" customHeight="1" x14ac:dyDescent="0.15">
      <c r="B699" s="40"/>
      <c r="C699" s="40"/>
      <c r="D699" s="40"/>
      <c r="E699" s="40"/>
      <c r="F699" s="40"/>
      <c r="G699" s="40"/>
      <c r="H699" s="40"/>
      <c r="I699" s="53"/>
      <c r="S699" s="40"/>
      <c r="T699" s="40"/>
      <c r="U699" s="40"/>
      <c r="V699" s="40"/>
      <c r="W699" s="40"/>
      <c r="Y699" s="40"/>
      <c r="Z699" s="40"/>
      <c r="AA699" s="40"/>
      <c r="AB699" s="40"/>
      <c r="AC699" s="41"/>
      <c r="AD699" s="41"/>
      <c r="AE699" s="41"/>
      <c r="AF699" s="41"/>
      <c r="AG699" s="41"/>
      <c r="AH699" s="40"/>
      <c r="AI699" s="40"/>
      <c r="AJ699" s="5"/>
      <c r="AK699" s="5"/>
      <c r="AL699" s="40"/>
      <c r="AM699" s="40"/>
      <c r="AN699" s="40"/>
      <c r="AO699" s="40"/>
      <c r="AP699" s="40"/>
      <c r="AQ699" s="40"/>
      <c r="AR699" s="40"/>
      <c r="AS699" s="40"/>
      <c r="AU699" s="40"/>
      <c r="AW699" s="40"/>
    </row>
    <row r="700" spans="2:49" ht="12.75" customHeight="1" x14ac:dyDescent="0.15">
      <c r="B700" s="40"/>
      <c r="C700" s="40"/>
      <c r="D700" s="40"/>
      <c r="E700" s="40"/>
      <c r="F700" s="40"/>
      <c r="G700" s="40"/>
      <c r="H700" s="40"/>
      <c r="I700" s="53"/>
      <c r="S700" s="40"/>
      <c r="T700" s="40"/>
      <c r="U700" s="40"/>
      <c r="V700" s="40"/>
      <c r="W700" s="40"/>
      <c r="Y700" s="40"/>
      <c r="Z700" s="40"/>
      <c r="AA700" s="40"/>
      <c r="AB700" s="40"/>
      <c r="AC700" s="41"/>
      <c r="AD700" s="41"/>
      <c r="AE700" s="41"/>
      <c r="AF700" s="41"/>
      <c r="AG700" s="41"/>
      <c r="AH700" s="40"/>
      <c r="AI700" s="40"/>
      <c r="AJ700" s="5"/>
      <c r="AK700" s="5"/>
      <c r="AL700" s="40"/>
      <c r="AM700" s="40"/>
      <c r="AN700" s="40"/>
      <c r="AO700" s="40"/>
      <c r="AP700" s="40"/>
      <c r="AQ700" s="40"/>
      <c r="AR700" s="40"/>
      <c r="AS700" s="40"/>
      <c r="AU700" s="40"/>
      <c r="AW700" s="40"/>
    </row>
    <row r="701" spans="2:49" ht="12.75" customHeight="1" x14ac:dyDescent="0.15">
      <c r="B701" s="40"/>
      <c r="C701" s="40"/>
      <c r="D701" s="40"/>
      <c r="E701" s="40"/>
      <c r="F701" s="40"/>
      <c r="G701" s="40"/>
      <c r="H701" s="40"/>
      <c r="I701" s="53"/>
      <c r="S701" s="40"/>
      <c r="T701" s="40"/>
      <c r="U701" s="40"/>
      <c r="V701" s="40"/>
      <c r="W701" s="40"/>
      <c r="Y701" s="40"/>
      <c r="Z701" s="40"/>
      <c r="AA701" s="40"/>
      <c r="AB701" s="40"/>
      <c r="AC701" s="41"/>
      <c r="AD701" s="41"/>
      <c r="AE701" s="41"/>
      <c r="AF701" s="41"/>
      <c r="AG701" s="41"/>
      <c r="AH701" s="40"/>
      <c r="AI701" s="40"/>
      <c r="AJ701" s="5"/>
      <c r="AK701" s="5"/>
      <c r="AL701" s="40"/>
      <c r="AM701" s="40"/>
      <c r="AN701" s="40"/>
      <c r="AO701" s="40"/>
      <c r="AP701" s="40"/>
      <c r="AQ701" s="40"/>
      <c r="AR701" s="40"/>
      <c r="AS701" s="40"/>
      <c r="AU701" s="40"/>
      <c r="AW701" s="40"/>
    </row>
    <row r="702" spans="2:49" ht="12.75" customHeight="1" x14ac:dyDescent="0.15">
      <c r="B702" s="40"/>
      <c r="C702" s="40"/>
      <c r="D702" s="40"/>
      <c r="E702" s="40"/>
      <c r="F702" s="40"/>
      <c r="G702" s="40"/>
      <c r="H702" s="40"/>
      <c r="I702" s="53"/>
      <c r="S702" s="40"/>
      <c r="T702" s="40"/>
      <c r="U702" s="40"/>
      <c r="V702" s="40"/>
      <c r="W702" s="40"/>
      <c r="Y702" s="40"/>
      <c r="Z702" s="40"/>
      <c r="AA702" s="40"/>
      <c r="AB702" s="40"/>
      <c r="AC702" s="41"/>
      <c r="AD702" s="41"/>
      <c r="AE702" s="41"/>
      <c r="AF702" s="41"/>
      <c r="AG702" s="41"/>
      <c r="AH702" s="40"/>
      <c r="AI702" s="40"/>
      <c r="AJ702" s="5"/>
      <c r="AK702" s="5"/>
      <c r="AL702" s="40"/>
      <c r="AM702" s="40"/>
      <c r="AN702" s="40"/>
      <c r="AO702" s="40"/>
      <c r="AP702" s="40"/>
      <c r="AQ702" s="40"/>
      <c r="AR702" s="40"/>
      <c r="AS702" s="40"/>
      <c r="AU702" s="40"/>
      <c r="AW702" s="40"/>
    </row>
    <row r="703" spans="2:49" ht="12.75" customHeight="1" x14ac:dyDescent="0.15">
      <c r="B703" s="40"/>
      <c r="C703" s="40"/>
      <c r="D703" s="40"/>
      <c r="E703" s="40"/>
      <c r="F703" s="40"/>
      <c r="G703" s="40"/>
      <c r="H703" s="40"/>
      <c r="I703" s="53"/>
      <c r="S703" s="40"/>
      <c r="T703" s="40"/>
      <c r="U703" s="40"/>
      <c r="V703" s="40"/>
      <c r="W703" s="40"/>
      <c r="Y703" s="40"/>
      <c r="Z703" s="40"/>
      <c r="AA703" s="40"/>
      <c r="AB703" s="40"/>
      <c r="AC703" s="41"/>
      <c r="AD703" s="41"/>
      <c r="AE703" s="41"/>
      <c r="AF703" s="41"/>
      <c r="AG703" s="41"/>
      <c r="AH703" s="40"/>
      <c r="AI703" s="40"/>
      <c r="AJ703" s="5"/>
      <c r="AK703" s="5"/>
      <c r="AL703" s="40"/>
      <c r="AM703" s="40"/>
      <c r="AN703" s="40"/>
      <c r="AO703" s="40"/>
      <c r="AP703" s="40"/>
      <c r="AQ703" s="40"/>
      <c r="AR703" s="40"/>
      <c r="AS703" s="40"/>
      <c r="AU703" s="40"/>
      <c r="AW703" s="40"/>
    </row>
    <row r="704" spans="2:49" ht="12.75" customHeight="1" x14ac:dyDescent="0.15">
      <c r="B704" s="40"/>
      <c r="C704" s="40"/>
      <c r="D704" s="40"/>
      <c r="E704" s="40"/>
      <c r="F704" s="40"/>
      <c r="G704" s="40"/>
      <c r="H704" s="40"/>
      <c r="I704" s="53"/>
      <c r="S704" s="40"/>
      <c r="T704" s="40"/>
      <c r="U704" s="40"/>
      <c r="V704" s="40"/>
      <c r="W704" s="40"/>
      <c r="Y704" s="40"/>
      <c r="Z704" s="40"/>
      <c r="AA704" s="40"/>
      <c r="AB704" s="40"/>
      <c r="AC704" s="41"/>
      <c r="AD704" s="41"/>
      <c r="AE704" s="41"/>
      <c r="AF704" s="41"/>
      <c r="AG704" s="41"/>
      <c r="AH704" s="40"/>
      <c r="AI704" s="40"/>
      <c r="AJ704" s="5"/>
      <c r="AK704" s="5"/>
      <c r="AL704" s="40"/>
      <c r="AM704" s="40"/>
      <c r="AN704" s="40"/>
      <c r="AO704" s="40"/>
      <c r="AP704" s="40"/>
      <c r="AQ704" s="40"/>
      <c r="AR704" s="40"/>
      <c r="AS704" s="40"/>
      <c r="AU704" s="40"/>
      <c r="AW704" s="40"/>
    </row>
    <row r="705" spans="2:49" ht="12.75" customHeight="1" x14ac:dyDescent="0.15">
      <c r="B705" s="40"/>
      <c r="C705" s="40"/>
      <c r="D705" s="40"/>
      <c r="E705" s="40"/>
      <c r="F705" s="40"/>
      <c r="G705" s="40"/>
      <c r="H705" s="40"/>
      <c r="I705" s="53"/>
      <c r="S705" s="40"/>
      <c r="T705" s="40"/>
      <c r="U705" s="40"/>
      <c r="V705" s="40"/>
      <c r="W705" s="40"/>
      <c r="Y705" s="40"/>
      <c r="Z705" s="40"/>
      <c r="AA705" s="40"/>
      <c r="AB705" s="40"/>
      <c r="AC705" s="41"/>
      <c r="AD705" s="41"/>
      <c r="AE705" s="41"/>
      <c r="AF705" s="41"/>
      <c r="AG705" s="41"/>
      <c r="AH705" s="40"/>
      <c r="AI705" s="40"/>
      <c r="AJ705" s="5"/>
      <c r="AK705" s="5"/>
      <c r="AL705" s="40"/>
      <c r="AM705" s="40"/>
      <c r="AN705" s="40"/>
      <c r="AO705" s="40"/>
      <c r="AP705" s="40"/>
      <c r="AQ705" s="40"/>
      <c r="AR705" s="40"/>
      <c r="AS705" s="40"/>
      <c r="AU705" s="40"/>
      <c r="AW705" s="40"/>
    </row>
    <row r="706" spans="2:49" ht="12.75" customHeight="1" x14ac:dyDescent="0.15">
      <c r="B706" s="40"/>
      <c r="C706" s="40"/>
      <c r="D706" s="40"/>
      <c r="E706" s="40"/>
      <c r="F706" s="40"/>
      <c r="G706" s="40"/>
      <c r="H706" s="40"/>
      <c r="I706" s="53"/>
      <c r="S706" s="40"/>
      <c r="T706" s="40"/>
      <c r="U706" s="40"/>
      <c r="V706" s="40"/>
      <c r="W706" s="40"/>
      <c r="Y706" s="40"/>
      <c r="Z706" s="40"/>
      <c r="AA706" s="40"/>
      <c r="AB706" s="40"/>
      <c r="AC706" s="41"/>
      <c r="AD706" s="41"/>
      <c r="AE706" s="41"/>
      <c r="AF706" s="41"/>
      <c r="AG706" s="41"/>
      <c r="AH706" s="40"/>
      <c r="AI706" s="40"/>
      <c r="AJ706" s="5"/>
      <c r="AK706" s="5"/>
      <c r="AL706" s="40"/>
      <c r="AM706" s="40"/>
      <c r="AN706" s="40"/>
      <c r="AO706" s="40"/>
      <c r="AP706" s="40"/>
      <c r="AQ706" s="40"/>
      <c r="AR706" s="40"/>
      <c r="AS706" s="40"/>
      <c r="AU706" s="40"/>
      <c r="AW706" s="40"/>
    </row>
    <row r="707" spans="2:49" ht="12.75" customHeight="1" x14ac:dyDescent="0.15">
      <c r="B707" s="40"/>
      <c r="C707" s="40"/>
      <c r="D707" s="40"/>
      <c r="E707" s="40"/>
      <c r="F707" s="40"/>
      <c r="G707" s="40"/>
      <c r="H707" s="40"/>
      <c r="I707" s="53"/>
      <c r="S707" s="40"/>
      <c r="T707" s="40"/>
      <c r="U707" s="40"/>
      <c r="V707" s="40"/>
      <c r="W707" s="40"/>
      <c r="Y707" s="40"/>
      <c r="Z707" s="40"/>
      <c r="AA707" s="40"/>
      <c r="AB707" s="40"/>
      <c r="AC707" s="41"/>
      <c r="AD707" s="41"/>
      <c r="AE707" s="41"/>
      <c r="AF707" s="41"/>
      <c r="AG707" s="41"/>
      <c r="AH707" s="40"/>
      <c r="AI707" s="40"/>
      <c r="AJ707" s="5"/>
      <c r="AK707" s="5"/>
      <c r="AL707" s="40"/>
      <c r="AM707" s="40"/>
      <c r="AN707" s="40"/>
      <c r="AO707" s="40"/>
      <c r="AP707" s="40"/>
      <c r="AQ707" s="40"/>
      <c r="AR707" s="40"/>
      <c r="AS707" s="40"/>
      <c r="AU707" s="40"/>
      <c r="AW707" s="40"/>
    </row>
    <row r="708" spans="2:49" ht="12.75" customHeight="1" x14ac:dyDescent="0.15">
      <c r="B708" s="40"/>
      <c r="C708" s="40"/>
      <c r="D708" s="40"/>
      <c r="E708" s="40"/>
      <c r="F708" s="40"/>
      <c r="G708" s="40"/>
      <c r="H708" s="40"/>
      <c r="I708" s="53"/>
      <c r="S708" s="40"/>
      <c r="T708" s="40"/>
      <c r="U708" s="40"/>
      <c r="V708" s="40"/>
      <c r="W708" s="40"/>
      <c r="Y708" s="40"/>
      <c r="Z708" s="40"/>
      <c r="AA708" s="40"/>
      <c r="AB708" s="40"/>
      <c r="AC708" s="41"/>
      <c r="AD708" s="41"/>
      <c r="AE708" s="41"/>
      <c r="AF708" s="41"/>
      <c r="AG708" s="41"/>
      <c r="AH708" s="40"/>
      <c r="AI708" s="40"/>
      <c r="AJ708" s="5"/>
      <c r="AK708" s="5"/>
      <c r="AL708" s="40"/>
      <c r="AM708" s="40"/>
      <c r="AN708" s="40"/>
      <c r="AO708" s="40"/>
      <c r="AP708" s="40"/>
      <c r="AQ708" s="40"/>
      <c r="AR708" s="40"/>
      <c r="AS708" s="40"/>
      <c r="AU708" s="40"/>
      <c r="AW708" s="40"/>
    </row>
    <row r="709" spans="2:49" ht="12.75" customHeight="1" x14ac:dyDescent="0.15">
      <c r="B709" s="40"/>
      <c r="C709" s="40"/>
      <c r="D709" s="40"/>
      <c r="E709" s="40"/>
      <c r="F709" s="40"/>
      <c r="G709" s="40"/>
      <c r="H709" s="40"/>
      <c r="I709" s="53"/>
      <c r="S709" s="40"/>
      <c r="T709" s="40"/>
      <c r="U709" s="40"/>
      <c r="V709" s="40"/>
      <c r="W709" s="40"/>
      <c r="Y709" s="40"/>
      <c r="Z709" s="40"/>
      <c r="AA709" s="40"/>
      <c r="AB709" s="40"/>
      <c r="AC709" s="41"/>
      <c r="AD709" s="41"/>
      <c r="AE709" s="41"/>
      <c r="AF709" s="41"/>
      <c r="AG709" s="41"/>
      <c r="AH709" s="40"/>
      <c r="AI709" s="40"/>
      <c r="AJ709" s="5"/>
      <c r="AK709" s="5"/>
      <c r="AL709" s="40"/>
      <c r="AM709" s="40"/>
      <c r="AN709" s="40"/>
      <c r="AO709" s="40"/>
      <c r="AP709" s="40"/>
      <c r="AQ709" s="40"/>
      <c r="AR709" s="40"/>
      <c r="AS709" s="40"/>
      <c r="AU709" s="40"/>
      <c r="AW709" s="40"/>
    </row>
    <row r="710" spans="2:49" ht="12.75" customHeight="1" x14ac:dyDescent="0.15">
      <c r="B710" s="40"/>
      <c r="C710" s="40"/>
      <c r="D710" s="40"/>
      <c r="E710" s="40"/>
      <c r="F710" s="40"/>
      <c r="G710" s="40"/>
      <c r="H710" s="40"/>
      <c r="I710" s="53"/>
      <c r="S710" s="40"/>
      <c r="T710" s="40"/>
      <c r="U710" s="40"/>
      <c r="V710" s="40"/>
      <c r="W710" s="40"/>
      <c r="Y710" s="40"/>
      <c r="Z710" s="40"/>
      <c r="AA710" s="40"/>
      <c r="AB710" s="40"/>
      <c r="AC710" s="41"/>
      <c r="AD710" s="41"/>
      <c r="AE710" s="41"/>
      <c r="AF710" s="41"/>
      <c r="AG710" s="41"/>
      <c r="AH710" s="40"/>
      <c r="AI710" s="40"/>
      <c r="AJ710" s="5"/>
      <c r="AK710" s="5"/>
      <c r="AL710" s="40"/>
      <c r="AM710" s="40"/>
      <c r="AN710" s="40"/>
      <c r="AO710" s="40"/>
      <c r="AP710" s="40"/>
      <c r="AQ710" s="40"/>
      <c r="AR710" s="40"/>
      <c r="AS710" s="40"/>
      <c r="AU710" s="40"/>
      <c r="AW710" s="40"/>
    </row>
    <row r="711" spans="2:49" ht="12.75" customHeight="1" x14ac:dyDescent="0.15">
      <c r="B711" s="40"/>
      <c r="C711" s="40"/>
      <c r="D711" s="40"/>
      <c r="E711" s="40"/>
      <c r="F711" s="40"/>
      <c r="G711" s="40"/>
      <c r="H711" s="40"/>
      <c r="I711" s="53"/>
      <c r="S711" s="40"/>
      <c r="T711" s="40"/>
      <c r="U711" s="40"/>
      <c r="V711" s="40"/>
      <c r="W711" s="40"/>
      <c r="Y711" s="40"/>
      <c r="Z711" s="40"/>
      <c r="AA711" s="40"/>
      <c r="AB711" s="40"/>
      <c r="AC711" s="41"/>
      <c r="AD711" s="41"/>
      <c r="AE711" s="41"/>
      <c r="AF711" s="41"/>
      <c r="AG711" s="41"/>
      <c r="AH711" s="40"/>
      <c r="AI711" s="40"/>
      <c r="AJ711" s="5"/>
      <c r="AK711" s="5"/>
      <c r="AL711" s="40"/>
      <c r="AM711" s="40"/>
      <c r="AN711" s="40"/>
      <c r="AO711" s="40"/>
      <c r="AP711" s="40"/>
      <c r="AQ711" s="40"/>
      <c r="AR711" s="40"/>
      <c r="AS711" s="40"/>
      <c r="AU711" s="40"/>
      <c r="AW711" s="40"/>
    </row>
    <row r="712" spans="2:49" ht="12.75" customHeight="1" x14ac:dyDescent="0.15">
      <c r="B712" s="40"/>
      <c r="C712" s="40"/>
      <c r="D712" s="40"/>
      <c r="E712" s="40"/>
      <c r="F712" s="40"/>
      <c r="G712" s="40"/>
      <c r="H712" s="40"/>
      <c r="I712" s="53"/>
      <c r="S712" s="40"/>
      <c r="T712" s="40"/>
      <c r="U712" s="40"/>
      <c r="V712" s="40"/>
      <c r="W712" s="40"/>
      <c r="Y712" s="40"/>
      <c r="Z712" s="40"/>
      <c r="AA712" s="40"/>
      <c r="AB712" s="40"/>
      <c r="AC712" s="41"/>
      <c r="AD712" s="41"/>
      <c r="AE712" s="41"/>
      <c r="AF712" s="41"/>
      <c r="AG712" s="41"/>
      <c r="AH712" s="40"/>
      <c r="AI712" s="40"/>
      <c r="AJ712" s="5"/>
      <c r="AK712" s="5"/>
      <c r="AL712" s="40"/>
      <c r="AM712" s="40"/>
      <c r="AN712" s="40"/>
      <c r="AO712" s="40"/>
      <c r="AP712" s="40"/>
      <c r="AQ712" s="40"/>
      <c r="AR712" s="40"/>
      <c r="AS712" s="40"/>
      <c r="AU712" s="40"/>
      <c r="AW712" s="40"/>
    </row>
    <row r="713" spans="2:49" ht="12.75" customHeight="1" x14ac:dyDescent="0.15">
      <c r="B713" s="40"/>
      <c r="C713" s="40"/>
      <c r="D713" s="40"/>
      <c r="E713" s="40"/>
      <c r="F713" s="40"/>
      <c r="G713" s="40"/>
      <c r="H713" s="40"/>
      <c r="I713" s="53"/>
      <c r="S713" s="40"/>
      <c r="T713" s="40"/>
      <c r="U713" s="40"/>
      <c r="V713" s="40"/>
      <c r="W713" s="40"/>
      <c r="Y713" s="40"/>
      <c r="Z713" s="40"/>
      <c r="AA713" s="40"/>
      <c r="AB713" s="40"/>
      <c r="AC713" s="41"/>
      <c r="AD713" s="41"/>
      <c r="AE713" s="41"/>
      <c r="AF713" s="41"/>
      <c r="AG713" s="41"/>
      <c r="AH713" s="40"/>
      <c r="AI713" s="40"/>
      <c r="AJ713" s="5"/>
      <c r="AK713" s="5"/>
      <c r="AL713" s="40"/>
      <c r="AM713" s="40"/>
      <c r="AN713" s="40"/>
      <c r="AO713" s="40"/>
      <c r="AP713" s="40"/>
      <c r="AQ713" s="40"/>
      <c r="AR713" s="40"/>
      <c r="AS713" s="40"/>
      <c r="AU713" s="40"/>
      <c r="AW713" s="40"/>
    </row>
    <row r="714" spans="2:49" ht="12.75" customHeight="1" x14ac:dyDescent="0.15">
      <c r="B714" s="40"/>
      <c r="C714" s="40"/>
      <c r="D714" s="40"/>
      <c r="E714" s="40"/>
      <c r="F714" s="40"/>
      <c r="G714" s="40"/>
      <c r="H714" s="40"/>
      <c r="I714" s="53"/>
      <c r="S714" s="40"/>
      <c r="T714" s="40"/>
      <c r="U714" s="40"/>
      <c r="V714" s="40"/>
      <c r="W714" s="40"/>
      <c r="Y714" s="40"/>
      <c r="Z714" s="40"/>
      <c r="AA714" s="40"/>
      <c r="AB714" s="40"/>
      <c r="AC714" s="41"/>
      <c r="AD714" s="41"/>
      <c r="AE714" s="41"/>
      <c r="AF714" s="41"/>
      <c r="AG714" s="41"/>
      <c r="AH714" s="40"/>
      <c r="AI714" s="40"/>
      <c r="AJ714" s="5"/>
      <c r="AK714" s="5"/>
      <c r="AL714" s="40"/>
      <c r="AM714" s="40"/>
      <c r="AN714" s="40"/>
      <c r="AO714" s="40"/>
      <c r="AP714" s="40"/>
      <c r="AQ714" s="40"/>
      <c r="AR714" s="40"/>
      <c r="AS714" s="40"/>
      <c r="AU714" s="40"/>
      <c r="AW714" s="40"/>
    </row>
    <row r="715" spans="2:49" ht="12.75" customHeight="1" x14ac:dyDescent="0.15">
      <c r="B715" s="40"/>
      <c r="C715" s="40"/>
      <c r="D715" s="40"/>
      <c r="E715" s="40"/>
      <c r="F715" s="40"/>
      <c r="G715" s="40"/>
      <c r="H715" s="40"/>
      <c r="I715" s="53"/>
      <c r="S715" s="40"/>
      <c r="T715" s="40"/>
      <c r="U715" s="40"/>
      <c r="V715" s="40"/>
      <c r="W715" s="40"/>
      <c r="Y715" s="40"/>
      <c r="Z715" s="40"/>
      <c r="AA715" s="40"/>
      <c r="AB715" s="40"/>
      <c r="AC715" s="41"/>
      <c r="AD715" s="41"/>
      <c r="AE715" s="41"/>
      <c r="AF715" s="41"/>
      <c r="AG715" s="41"/>
      <c r="AH715" s="40"/>
      <c r="AI715" s="40"/>
      <c r="AJ715" s="5"/>
      <c r="AK715" s="5"/>
      <c r="AL715" s="40"/>
      <c r="AM715" s="40"/>
      <c r="AN715" s="40"/>
      <c r="AO715" s="40"/>
      <c r="AP715" s="40"/>
      <c r="AQ715" s="40"/>
      <c r="AR715" s="40"/>
      <c r="AS715" s="40"/>
      <c r="AU715" s="40"/>
      <c r="AW715" s="40"/>
    </row>
    <row r="716" spans="2:49" ht="12.75" customHeight="1" x14ac:dyDescent="0.15">
      <c r="B716" s="40"/>
      <c r="C716" s="40"/>
      <c r="D716" s="40"/>
      <c r="E716" s="40"/>
      <c r="F716" s="40"/>
      <c r="G716" s="40"/>
      <c r="H716" s="40"/>
      <c r="I716" s="53"/>
      <c r="S716" s="40"/>
      <c r="T716" s="40"/>
      <c r="U716" s="40"/>
      <c r="V716" s="40"/>
      <c r="W716" s="40"/>
      <c r="Y716" s="40"/>
      <c r="Z716" s="40"/>
      <c r="AA716" s="40"/>
      <c r="AB716" s="40"/>
      <c r="AC716" s="41"/>
      <c r="AD716" s="41"/>
      <c r="AE716" s="41"/>
      <c r="AF716" s="41"/>
      <c r="AG716" s="41"/>
      <c r="AH716" s="40"/>
      <c r="AI716" s="40"/>
      <c r="AJ716" s="5"/>
      <c r="AK716" s="5"/>
      <c r="AL716" s="40"/>
      <c r="AM716" s="40"/>
      <c r="AN716" s="40"/>
      <c r="AO716" s="40"/>
      <c r="AP716" s="40"/>
      <c r="AQ716" s="40"/>
      <c r="AR716" s="40"/>
      <c r="AS716" s="40"/>
      <c r="AU716" s="40"/>
      <c r="AW716" s="40"/>
    </row>
    <row r="717" spans="2:49" ht="12.75" customHeight="1" x14ac:dyDescent="0.15">
      <c r="B717" s="40"/>
      <c r="C717" s="40"/>
      <c r="D717" s="40"/>
      <c r="E717" s="40"/>
      <c r="F717" s="40"/>
      <c r="G717" s="40"/>
      <c r="H717" s="40"/>
      <c r="I717" s="53"/>
      <c r="S717" s="40"/>
      <c r="T717" s="40"/>
      <c r="U717" s="40"/>
      <c r="V717" s="40"/>
      <c r="W717" s="40"/>
      <c r="Y717" s="40"/>
      <c r="Z717" s="40"/>
      <c r="AA717" s="40"/>
      <c r="AB717" s="40"/>
      <c r="AC717" s="41"/>
      <c r="AD717" s="41"/>
      <c r="AE717" s="41"/>
      <c r="AF717" s="41"/>
      <c r="AG717" s="41"/>
      <c r="AH717" s="40"/>
      <c r="AI717" s="40"/>
      <c r="AJ717" s="5"/>
      <c r="AK717" s="5"/>
      <c r="AL717" s="40"/>
      <c r="AM717" s="40"/>
      <c r="AN717" s="40"/>
      <c r="AO717" s="40"/>
      <c r="AP717" s="40"/>
      <c r="AQ717" s="40"/>
      <c r="AR717" s="40"/>
      <c r="AS717" s="40"/>
      <c r="AU717" s="40"/>
      <c r="AW717" s="40"/>
    </row>
    <row r="718" spans="2:49" ht="12.75" customHeight="1" x14ac:dyDescent="0.15">
      <c r="B718" s="40"/>
      <c r="C718" s="40"/>
      <c r="D718" s="40"/>
      <c r="E718" s="40"/>
      <c r="F718" s="40"/>
      <c r="G718" s="40"/>
      <c r="H718" s="40"/>
      <c r="I718" s="53"/>
      <c r="S718" s="40"/>
      <c r="T718" s="40"/>
      <c r="U718" s="40"/>
      <c r="V718" s="40"/>
      <c r="W718" s="40"/>
      <c r="Y718" s="40"/>
      <c r="Z718" s="40"/>
      <c r="AA718" s="40"/>
      <c r="AB718" s="40"/>
      <c r="AC718" s="41"/>
      <c r="AD718" s="41"/>
      <c r="AE718" s="41"/>
      <c r="AF718" s="41"/>
      <c r="AG718" s="41"/>
      <c r="AH718" s="40"/>
      <c r="AI718" s="40"/>
      <c r="AJ718" s="5"/>
      <c r="AK718" s="5"/>
      <c r="AL718" s="40"/>
      <c r="AM718" s="40"/>
      <c r="AN718" s="40"/>
      <c r="AO718" s="40"/>
      <c r="AP718" s="40"/>
      <c r="AQ718" s="40"/>
      <c r="AR718" s="40"/>
      <c r="AS718" s="40"/>
      <c r="AU718" s="40"/>
      <c r="AW718" s="40"/>
    </row>
    <row r="719" spans="2:49" ht="12.75" customHeight="1" x14ac:dyDescent="0.15">
      <c r="B719" s="40"/>
      <c r="C719" s="40"/>
      <c r="D719" s="40"/>
      <c r="E719" s="40"/>
      <c r="F719" s="40"/>
      <c r="G719" s="40"/>
      <c r="H719" s="40"/>
      <c r="I719" s="53"/>
      <c r="S719" s="40"/>
      <c r="T719" s="40"/>
      <c r="U719" s="40"/>
      <c r="V719" s="40"/>
      <c r="W719" s="40"/>
      <c r="Y719" s="40"/>
      <c r="Z719" s="40"/>
      <c r="AA719" s="40"/>
      <c r="AB719" s="40"/>
      <c r="AC719" s="41"/>
      <c r="AD719" s="41"/>
      <c r="AE719" s="41"/>
      <c r="AF719" s="41"/>
      <c r="AG719" s="41"/>
      <c r="AH719" s="40"/>
      <c r="AI719" s="40"/>
      <c r="AJ719" s="5"/>
      <c r="AK719" s="5"/>
      <c r="AL719" s="40"/>
      <c r="AM719" s="40"/>
      <c r="AN719" s="40"/>
      <c r="AO719" s="40"/>
      <c r="AP719" s="40"/>
      <c r="AQ719" s="40"/>
      <c r="AR719" s="40"/>
      <c r="AS719" s="40"/>
      <c r="AU719" s="40"/>
      <c r="AW719" s="40"/>
    </row>
    <row r="720" spans="2:49" ht="12.75" customHeight="1" x14ac:dyDescent="0.15">
      <c r="B720" s="40"/>
      <c r="C720" s="40"/>
      <c r="D720" s="40"/>
      <c r="E720" s="40"/>
      <c r="F720" s="40"/>
      <c r="G720" s="40"/>
      <c r="H720" s="40"/>
      <c r="I720" s="53"/>
      <c r="S720" s="40"/>
      <c r="T720" s="40"/>
      <c r="U720" s="40"/>
      <c r="V720" s="40"/>
      <c r="W720" s="40"/>
      <c r="Y720" s="40"/>
      <c r="Z720" s="40"/>
      <c r="AA720" s="40"/>
      <c r="AB720" s="40"/>
      <c r="AC720" s="41"/>
      <c r="AD720" s="41"/>
      <c r="AE720" s="41"/>
      <c r="AF720" s="41"/>
      <c r="AG720" s="41"/>
      <c r="AH720" s="40"/>
      <c r="AI720" s="40"/>
      <c r="AJ720" s="5"/>
      <c r="AK720" s="5"/>
      <c r="AL720" s="40"/>
      <c r="AM720" s="40"/>
      <c r="AN720" s="40"/>
      <c r="AO720" s="40"/>
      <c r="AP720" s="40"/>
      <c r="AQ720" s="40"/>
      <c r="AR720" s="40"/>
      <c r="AS720" s="40"/>
      <c r="AU720" s="40"/>
      <c r="AW720" s="40"/>
    </row>
    <row r="721" spans="2:49" ht="12.75" customHeight="1" x14ac:dyDescent="0.15">
      <c r="B721" s="40"/>
      <c r="C721" s="40"/>
      <c r="D721" s="40"/>
      <c r="E721" s="40"/>
      <c r="F721" s="40"/>
      <c r="G721" s="40"/>
      <c r="H721" s="40"/>
      <c r="I721" s="53"/>
      <c r="S721" s="40"/>
      <c r="T721" s="40"/>
      <c r="U721" s="40"/>
      <c r="V721" s="40"/>
      <c r="W721" s="40"/>
      <c r="Y721" s="40"/>
      <c r="Z721" s="40"/>
      <c r="AA721" s="40"/>
      <c r="AB721" s="40"/>
      <c r="AC721" s="41"/>
      <c r="AD721" s="41"/>
      <c r="AE721" s="41"/>
      <c r="AF721" s="41"/>
      <c r="AG721" s="41"/>
      <c r="AH721" s="40"/>
      <c r="AI721" s="40"/>
      <c r="AJ721" s="5"/>
      <c r="AK721" s="5"/>
      <c r="AL721" s="40"/>
      <c r="AM721" s="40"/>
      <c r="AN721" s="40"/>
      <c r="AO721" s="40"/>
      <c r="AP721" s="40"/>
      <c r="AQ721" s="40"/>
      <c r="AR721" s="40"/>
      <c r="AS721" s="40"/>
      <c r="AU721" s="40"/>
      <c r="AW721" s="40"/>
    </row>
    <row r="722" spans="2:49" ht="12.75" customHeight="1" x14ac:dyDescent="0.15">
      <c r="B722" s="40"/>
      <c r="C722" s="40"/>
      <c r="D722" s="40"/>
      <c r="E722" s="40"/>
      <c r="F722" s="40"/>
      <c r="G722" s="40"/>
      <c r="H722" s="40"/>
      <c r="I722" s="53"/>
      <c r="S722" s="40"/>
      <c r="T722" s="40"/>
      <c r="U722" s="40"/>
      <c r="V722" s="40"/>
      <c r="W722" s="40"/>
      <c r="Y722" s="40"/>
      <c r="Z722" s="40"/>
      <c r="AA722" s="40"/>
      <c r="AB722" s="40"/>
      <c r="AC722" s="41"/>
      <c r="AD722" s="41"/>
      <c r="AE722" s="41"/>
      <c r="AF722" s="41"/>
      <c r="AG722" s="41"/>
      <c r="AH722" s="40"/>
      <c r="AI722" s="40"/>
      <c r="AJ722" s="5"/>
      <c r="AK722" s="5"/>
      <c r="AL722" s="40"/>
      <c r="AM722" s="40"/>
      <c r="AN722" s="40"/>
      <c r="AO722" s="40"/>
      <c r="AP722" s="40"/>
      <c r="AQ722" s="40"/>
      <c r="AR722" s="40"/>
      <c r="AS722" s="40"/>
      <c r="AU722" s="40"/>
      <c r="AW722" s="40"/>
    </row>
    <row r="723" spans="2:49" ht="12.75" customHeight="1" x14ac:dyDescent="0.15">
      <c r="B723" s="40"/>
      <c r="C723" s="40"/>
      <c r="D723" s="40"/>
      <c r="E723" s="40"/>
      <c r="F723" s="40"/>
      <c r="G723" s="40"/>
      <c r="H723" s="40"/>
      <c r="I723" s="53"/>
      <c r="S723" s="40"/>
      <c r="T723" s="40"/>
      <c r="U723" s="40"/>
      <c r="V723" s="40"/>
      <c r="W723" s="40"/>
      <c r="Y723" s="40"/>
      <c r="Z723" s="40"/>
      <c r="AA723" s="40"/>
      <c r="AB723" s="40"/>
      <c r="AC723" s="41"/>
      <c r="AD723" s="41"/>
      <c r="AE723" s="41"/>
      <c r="AF723" s="41"/>
      <c r="AG723" s="41"/>
      <c r="AH723" s="40"/>
      <c r="AI723" s="40"/>
      <c r="AJ723" s="5"/>
      <c r="AK723" s="5"/>
      <c r="AL723" s="40"/>
      <c r="AM723" s="40"/>
      <c r="AN723" s="40"/>
      <c r="AO723" s="40"/>
      <c r="AP723" s="40"/>
      <c r="AQ723" s="40"/>
      <c r="AR723" s="40"/>
      <c r="AS723" s="40"/>
      <c r="AU723" s="40"/>
      <c r="AW723" s="40"/>
    </row>
    <row r="724" spans="2:49" ht="12.75" customHeight="1" x14ac:dyDescent="0.15">
      <c r="B724" s="40"/>
      <c r="C724" s="40"/>
      <c r="D724" s="40"/>
      <c r="E724" s="40"/>
      <c r="F724" s="40"/>
      <c r="G724" s="40"/>
      <c r="H724" s="40"/>
      <c r="I724" s="53"/>
      <c r="S724" s="40"/>
      <c r="T724" s="40"/>
      <c r="U724" s="40"/>
      <c r="V724" s="40"/>
      <c r="W724" s="40"/>
      <c r="Y724" s="40"/>
      <c r="Z724" s="40"/>
      <c r="AA724" s="40"/>
      <c r="AB724" s="40"/>
      <c r="AC724" s="41"/>
      <c r="AD724" s="41"/>
      <c r="AE724" s="41"/>
      <c r="AF724" s="41"/>
      <c r="AG724" s="41"/>
      <c r="AH724" s="40"/>
      <c r="AI724" s="40"/>
      <c r="AJ724" s="5"/>
      <c r="AK724" s="5"/>
      <c r="AL724" s="40"/>
      <c r="AM724" s="40"/>
      <c r="AN724" s="40"/>
      <c r="AO724" s="40"/>
      <c r="AP724" s="40"/>
      <c r="AQ724" s="40"/>
      <c r="AR724" s="40"/>
      <c r="AS724" s="40"/>
      <c r="AU724" s="40"/>
      <c r="AW724" s="40"/>
    </row>
    <row r="725" spans="2:49" ht="12.75" customHeight="1" x14ac:dyDescent="0.15">
      <c r="B725" s="40"/>
      <c r="C725" s="40"/>
      <c r="D725" s="40"/>
      <c r="E725" s="40"/>
      <c r="F725" s="40"/>
      <c r="G725" s="40"/>
      <c r="H725" s="40"/>
      <c r="I725" s="53"/>
      <c r="S725" s="40"/>
      <c r="T725" s="40"/>
      <c r="U725" s="40"/>
      <c r="V725" s="40"/>
      <c r="W725" s="40"/>
      <c r="Y725" s="40"/>
      <c r="Z725" s="40"/>
      <c r="AA725" s="40"/>
      <c r="AB725" s="40"/>
      <c r="AC725" s="41"/>
      <c r="AD725" s="41"/>
      <c r="AE725" s="41"/>
      <c r="AF725" s="41"/>
      <c r="AG725" s="41"/>
      <c r="AH725" s="40"/>
      <c r="AI725" s="40"/>
      <c r="AJ725" s="5"/>
      <c r="AK725" s="5"/>
      <c r="AL725" s="40"/>
      <c r="AM725" s="40"/>
      <c r="AN725" s="40"/>
      <c r="AO725" s="40"/>
      <c r="AP725" s="40"/>
      <c r="AQ725" s="40"/>
      <c r="AR725" s="40"/>
      <c r="AS725" s="40"/>
      <c r="AU725" s="40"/>
      <c r="AW725" s="40"/>
    </row>
    <row r="726" spans="2:49" ht="12.75" customHeight="1" x14ac:dyDescent="0.15">
      <c r="B726" s="40"/>
      <c r="C726" s="40"/>
      <c r="D726" s="40"/>
      <c r="E726" s="40"/>
      <c r="F726" s="40"/>
      <c r="G726" s="40"/>
      <c r="H726" s="40"/>
      <c r="I726" s="53"/>
      <c r="S726" s="40"/>
      <c r="T726" s="40"/>
      <c r="U726" s="40"/>
      <c r="V726" s="40"/>
      <c r="W726" s="40"/>
      <c r="Y726" s="40"/>
      <c r="Z726" s="40"/>
      <c r="AA726" s="40"/>
      <c r="AB726" s="40"/>
      <c r="AC726" s="41"/>
      <c r="AD726" s="41"/>
      <c r="AE726" s="41"/>
      <c r="AF726" s="41"/>
      <c r="AG726" s="41"/>
      <c r="AH726" s="40"/>
      <c r="AI726" s="40"/>
      <c r="AJ726" s="5"/>
      <c r="AK726" s="5"/>
      <c r="AL726" s="40"/>
      <c r="AM726" s="40"/>
      <c r="AN726" s="40"/>
      <c r="AO726" s="40"/>
      <c r="AP726" s="40"/>
      <c r="AQ726" s="40"/>
      <c r="AR726" s="40"/>
      <c r="AS726" s="40"/>
      <c r="AU726" s="40"/>
      <c r="AW726" s="40"/>
    </row>
    <row r="727" spans="2:49" ht="12.75" customHeight="1" x14ac:dyDescent="0.15">
      <c r="B727" s="40"/>
      <c r="C727" s="40"/>
      <c r="D727" s="40"/>
      <c r="E727" s="40"/>
      <c r="F727" s="40"/>
      <c r="G727" s="40"/>
      <c r="H727" s="40"/>
      <c r="I727" s="53"/>
      <c r="S727" s="40"/>
      <c r="T727" s="40"/>
      <c r="U727" s="40"/>
      <c r="V727" s="40"/>
      <c r="W727" s="40"/>
      <c r="Y727" s="40"/>
      <c r="Z727" s="40"/>
      <c r="AA727" s="40"/>
      <c r="AB727" s="40"/>
      <c r="AC727" s="41"/>
      <c r="AD727" s="41"/>
      <c r="AE727" s="41"/>
      <c r="AF727" s="41"/>
      <c r="AG727" s="41"/>
      <c r="AH727" s="40"/>
      <c r="AI727" s="40"/>
      <c r="AJ727" s="5"/>
      <c r="AK727" s="5"/>
      <c r="AL727" s="40"/>
      <c r="AM727" s="40"/>
      <c r="AN727" s="40"/>
      <c r="AO727" s="40"/>
      <c r="AP727" s="40"/>
      <c r="AQ727" s="40"/>
      <c r="AR727" s="40"/>
      <c r="AS727" s="40"/>
      <c r="AU727" s="40"/>
      <c r="AW727" s="40"/>
    </row>
    <row r="728" spans="2:49" ht="12.75" customHeight="1" x14ac:dyDescent="0.15">
      <c r="B728" s="40"/>
      <c r="C728" s="40"/>
      <c r="D728" s="40"/>
      <c r="E728" s="40"/>
      <c r="F728" s="40"/>
      <c r="G728" s="40"/>
      <c r="H728" s="40"/>
      <c r="I728" s="53"/>
      <c r="S728" s="40"/>
      <c r="T728" s="40"/>
      <c r="U728" s="40"/>
      <c r="V728" s="40"/>
      <c r="W728" s="40"/>
      <c r="Y728" s="40"/>
      <c r="Z728" s="40"/>
      <c r="AA728" s="40"/>
      <c r="AB728" s="40"/>
      <c r="AC728" s="41"/>
      <c r="AD728" s="41"/>
      <c r="AE728" s="41"/>
      <c r="AF728" s="41"/>
      <c r="AG728" s="41"/>
      <c r="AH728" s="40"/>
      <c r="AI728" s="40"/>
      <c r="AJ728" s="5"/>
      <c r="AK728" s="5"/>
      <c r="AL728" s="40"/>
      <c r="AM728" s="40"/>
      <c r="AN728" s="40"/>
      <c r="AO728" s="40"/>
      <c r="AP728" s="40"/>
      <c r="AQ728" s="40"/>
      <c r="AR728" s="40"/>
      <c r="AS728" s="40"/>
      <c r="AU728" s="40"/>
      <c r="AW728" s="40"/>
    </row>
    <row r="729" spans="2:49" ht="12.75" customHeight="1" x14ac:dyDescent="0.15">
      <c r="B729" s="40"/>
      <c r="C729" s="40"/>
      <c r="D729" s="40"/>
      <c r="E729" s="40"/>
      <c r="F729" s="40"/>
      <c r="G729" s="40"/>
      <c r="H729" s="40"/>
      <c r="I729" s="53"/>
      <c r="S729" s="40"/>
      <c r="T729" s="40"/>
      <c r="U729" s="40"/>
      <c r="V729" s="40"/>
      <c r="W729" s="40"/>
      <c r="Y729" s="40"/>
      <c r="Z729" s="40"/>
      <c r="AA729" s="40"/>
      <c r="AB729" s="40"/>
      <c r="AC729" s="41"/>
      <c r="AD729" s="41"/>
      <c r="AE729" s="41"/>
      <c r="AF729" s="41"/>
      <c r="AG729" s="41"/>
      <c r="AH729" s="40"/>
      <c r="AI729" s="40"/>
      <c r="AJ729" s="5"/>
      <c r="AK729" s="5"/>
      <c r="AL729" s="40"/>
      <c r="AM729" s="40"/>
      <c r="AN729" s="40"/>
      <c r="AO729" s="40"/>
      <c r="AP729" s="40"/>
      <c r="AQ729" s="40"/>
      <c r="AR729" s="40"/>
      <c r="AS729" s="40"/>
      <c r="AU729" s="40"/>
      <c r="AW729" s="40"/>
    </row>
    <row r="730" spans="2:49" ht="12.75" customHeight="1" x14ac:dyDescent="0.15">
      <c r="B730" s="40"/>
      <c r="C730" s="40"/>
      <c r="D730" s="40"/>
      <c r="E730" s="40"/>
      <c r="F730" s="40"/>
      <c r="G730" s="40"/>
      <c r="H730" s="40"/>
      <c r="I730" s="53"/>
      <c r="S730" s="40"/>
      <c r="T730" s="40"/>
      <c r="U730" s="40"/>
      <c r="V730" s="40"/>
      <c r="W730" s="40"/>
      <c r="Y730" s="40"/>
      <c r="Z730" s="40"/>
      <c r="AA730" s="40"/>
      <c r="AB730" s="40"/>
      <c r="AC730" s="41"/>
      <c r="AD730" s="41"/>
      <c r="AE730" s="41"/>
      <c r="AF730" s="41"/>
      <c r="AG730" s="41"/>
      <c r="AH730" s="40"/>
      <c r="AI730" s="40"/>
      <c r="AJ730" s="5"/>
      <c r="AK730" s="5"/>
      <c r="AL730" s="40"/>
      <c r="AM730" s="40"/>
      <c r="AN730" s="40"/>
      <c r="AO730" s="40"/>
      <c r="AP730" s="40"/>
      <c r="AQ730" s="40"/>
      <c r="AR730" s="40"/>
      <c r="AS730" s="40"/>
      <c r="AU730" s="40"/>
      <c r="AW730" s="40"/>
    </row>
    <row r="731" spans="2:49" ht="12.75" customHeight="1" x14ac:dyDescent="0.15">
      <c r="B731" s="40"/>
      <c r="C731" s="40"/>
      <c r="D731" s="40"/>
      <c r="E731" s="40"/>
      <c r="F731" s="40"/>
      <c r="G731" s="40"/>
      <c r="H731" s="40"/>
      <c r="I731" s="53"/>
      <c r="S731" s="40"/>
      <c r="T731" s="40"/>
      <c r="U731" s="40"/>
      <c r="V731" s="40"/>
      <c r="W731" s="40"/>
      <c r="Y731" s="40"/>
      <c r="Z731" s="40"/>
      <c r="AA731" s="40"/>
      <c r="AB731" s="40"/>
      <c r="AC731" s="41"/>
      <c r="AD731" s="41"/>
      <c r="AE731" s="41"/>
      <c r="AF731" s="41"/>
      <c r="AG731" s="41"/>
      <c r="AH731" s="40"/>
      <c r="AI731" s="40"/>
      <c r="AJ731" s="5"/>
      <c r="AK731" s="5"/>
      <c r="AL731" s="40"/>
      <c r="AM731" s="40"/>
      <c r="AN731" s="40"/>
      <c r="AO731" s="40"/>
      <c r="AP731" s="40"/>
      <c r="AQ731" s="40"/>
      <c r="AR731" s="40"/>
      <c r="AS731" s="40"/>
      <c r="AU731" s="40"/>
      <c r="AW731" s="40"/>
    </row>
    <row r="732" spans="2:49" ht="12.75" customHeight="1" x14ac:dyDescent="0.15">
      <c r="B732" s="40"/>
      <c r="C732" s="40"/>
      <c r="D732" s="40"/>
      <c r="E732" s="40"/>
      <c r="F732" s="40"/>
      <c r="G732" s="40"/>
      <c r="H732" s="40"/>
      <c r="I732" s="53"/>
      <c r="S732" s="40"/>
      <c r="T732" s="40"/>
      <c r="U732" s="40"/>
      <c r="V732" s="40"/>
      <c r="W732" s="40"/>
      <c r="Y732" s="40"/>
      <c r="Z732" s="40"/>
      <c r="AA732" s="40"/>
      <c r="AB732" s="40"/>
      <c r="AC732" s="41"/>
      <c r="AD732" s="41"/>
      <c r="AE732" s="41"/>
      <c r="AF732" s="41"/>
      <c r="AG732" s="41"/>
      <c r="AH732" s="40"/>
      <c r="AI732" s="40"/>
      <c r="AJ732" s="5"/>
      <c r="AK732" s="5"/>
      <c r="AL732" s="40"/>
      <c r="AM732" s="40"/>
      <c r="AN732" s="40"/>
      <c r="AO732" s="40"/>
      <c r="AP732" s="40"/>
      <c r="AQ732" s="40"/>
      <c r="AR732" s="40"/>
      <c r="AS732" s="40"/>
      <c r="AU732" s="40"/>
      <c r="AW732" s="40"/>
    </row>
    <row r="733" spans="2:49" ht="12.75" customHeight="1" x14ac:dyDescent="0.15">
      <c r="B733" s="40"/>
      <c r="C733" s="40"/>
      <c r="D733" s="40"/>
      <c r="E733" s="40"/>
      <c r="F733" s="40"/>
      <c r="G733" s="40"/>
      <c r="H733" s="40"/>
      <c r="I733" s="53"/>
      <c r="S733" s="40"/>
      <c r="T733" s="40"/>
      <c r="U733" s="40"/>
      <c r="V733" s="40"/>
      <c r="W733" s="40"/>
      <c r="Y733" s="40"/>
      <c r="Z733" s="40"/>
      <c r="AA733" s="40"/>
      <c r="AB733" s="40"/>
      <c r="AC733" s="41"/>
      <c r="AD733" s="41"/>
      <c r="AE733" s="41"/>
      <c r="AF733" s="41"/>
      <c r="AG733" s="41"/>
      <c r="AH733" s="40"/>
      <c r="AI733" s="40"/>
      <c r="AJ733" s="5"/>
      <c r="AK733" s="5"/>
      <c r="AL733" s="40"/>
      <c r="AM733" s="40"/>
      <c r="AN733" s="40"/>
      <c r="AO733" s="40"/>
      <c r="AP733" s="40"/>
      <c r="AQ733" s="40"/>
      <c r="AR733" s="40"/>
      <c r="AS733" s="40"/>
      <c r="AU733" s="40"/>
      <c r="AW733" s="40"/>
    </row>
    <row r="734" spans="2:49" ht="12.75" customHeight="1" x14ac:dyDescent="0.15">
      <c r="B734" s="40"/>
      <c r="C734" s="40"/>
      <c r="D734" s="40"/>
      <c r="E734" s="40"/>
      <c r="F734" s="40"/>
      <c r="G734" s="40"/>
      <c r="H734" s="40"/>
      <c r="I734" s="53"/>
      <c r="S734" s="40"/>
      <c r="T734" s="40"/>
      <c r="U734" s="40"/>
      <c r="V734" s="40"/>
      <c r="W734" s="40"/>
      <c r="Y734" s="40"/>
      <c r="Z734" s="40"/>
      <c r="AA734" s="40"/>
      <c r="AB734" s="40"/>
      <c r="AC734" s="41"/>
      <c r="AD734" s="41"/>
      <c r="AE734" s="41"/>
      <c r="AF734" s="41"/>
      <c r="AG734" s="41"/>
      <c r="AH734" s="40"/>
      <c r="AI734" s="40"/>
      <c r="AJ734" s="5"/>
      <c r="AK734" s="5"/>
      <c r="AL734" s="40"/>
      <c r="AM734" s="40"/>
      <c r="AN734" s="40"/>
      <c r="AO734" s="40"/>
      <c r="AP734" s="40"/>
      <c r="AQ734" s="40"/>
      <c r="AR734" s="40"/>
      <c r="AS734" s="40"/>
      <c r="AU734" s="40"/>
      <c r="AW734" s="40"/>
    </row>
    <row r="735" spans="2:49" ht="12.75" customHeight="1" x14ac:dyDescent="0.15">
      <c r="B735" s="40"/>
      <c r="C735" s="40"/>
      <c r="D735" s="40"/>
      <c r="E735" s="40"/>
      <c r="F735" s="40"/>
      <c r="G735" s="40"/>
      <c r="H735" s="40"/>
      <c r="I735" s="53"/>
      <c r="S735" s="40"/>
      <c r="T735" s="40"/>
      <c r="U735" s="40"/>
      <c r="V735" s="40"/>
      <c r="W735" s="40"/>
      <c r="Y735" s="40"/>
      <c r="Z735" s="40"/>
      <c r="AA735" s="40"/>
      <c r="AB735" s="40"/>
      <c r="AC735" s="41"/>
      <c r="AD735" s="41"/>
      <c r="AE735" s="41"/>
      <c r="AF735" s="41"/>
      <c r="AG735" s="41"/>
      <c r="AH735" s="40"/>
      <c r="AI735" s="40"/>
      <c r="AJ735" s="5"/>
      <c r="AK735" s="5"/>
      <c r="AL735" s="40"/>
      <c r="AM735" s="40"/>
      <c r="AN735" s="40"/>
      <c r="AO735" s="40"/>
      <c r="AP735" s="40"/>
      <c r="AQ735" s="40"/>
      <c r="AR735" s="40"/>
      <c r="AS735" s="40"/>
      <c r="AU735" s="40"/>
      <c r="AW735" s="40"/>
    </row>
    <row r="736" spans="2:49" ht="12.75" customHeight="1" x14ac:dyDescent="0.15">
      <c r="B736" s="40"/>
      <c r="C736" s="40"/>
      <c r="D736" s="40"/>
      <c r="E736" s="40"/>
      <c r="F736" s="40"/>
      <c r="G736" s="40"/>
      <c r="H736" s="40"/>
      <c r="I736" s="53"/>
      <c r="S736" s="40"/>
      <c r="T736" s="40"/>
      <c r="U736" s="40"/>
      <c r="V736" s="40"/>
      <c r="W736" s="40"/>
      <c r="Y736" s="40"/>
      <c r="Z736" s="40"/>
      <c r="AA736" s="40"/>
      <c r="AB736" s="40"/>
      <c r="AC736" s="41"/>
      <c r="AD736" s="41"/>
      <c r="AE736" s="41"/>
      <c r="AF736" s="41"/>
      <c r="AG736" s="41"/>
      <c r="AH736" s="40"/>
      <c r="AI736" s="40"/>
      <c r="AJ736" s="5"/>
      <c r="AK736" s="5"/>
      <c r="AL736" s="40"/>
      <c r="AM736" s="40"/>
      <c r="AN736" s="40"/>
      <c r="AO736" s="40"/>
      <c r="AP736" s="40"/>
      <c r="AQ736" s="40"/>
      <c r="AR736" s="40"/>
      <c r="AS736" s="40"/>
      <c r="AU736" s="40"/>
      <c r="AW736" s="40"/>
    </row>
    <row r="737" spans="2:49" ht="12.75" customHeight="1" x14ac:dyDescent="0.15">
      <c r="B737" s="40"/>
      <c r="C737" s="40"/>
      <c r="D737" s="40"/>
      <c r="E737" s="40"/>
      <c r="F737" s="40"/>
      <c r="G737" s="40"/>
      <c r="H737" s="40"/>
      <c r="I737" s="53"/>
      <c r="S737" s="40"/>
      <c r="T737" s="40"/>
      <c r="U737" s="40"/>
      <c r="V737" s="40"/>
      <c r="W737" s="40"/>
      <c r="Y737" s="40"/>
      <c r="Z737" s="40"/>
      <c r="AA737" s="40"/>
      <c r="AB737" s="40"/>
      <c r="AC737" s="41"/>
      <c r="AD737" s="41"/>
      <c r="AE737" s="41"/>
      <c r="AF737" s="41"/>
      <c r="AG737" s="41"/>
      <c r="AH737" s="40"/>
      <c r="AI737" s="40"/>
      <c r="AJ737" s="5"/>
      <c r="AK737" s="5"/>
      <c r="AL737" s="40"/>
      <c r="AM737" s="40"/>
      <c r="AN737" s="40"/>
      <c r="AO737" s="40"/>
      <c r="AP737" s="40"/>
      <c r="AQ737" s="40"/>
      <c r="AR737" s="40"/>
      <c r="AS737" s="40"/>
      <c r="AU737" s="40"/>
      <c r="AW737" s="40"/>
    </row>
    <row r="738" spans="2:49" ht="12.75" customHeight="1" x14ac:dyDescent="0.15">
      <c r="B738" s="40"/>
      <c r="C738" s="40"/>
      <c r="D738" s="40"/>
      <c r="E738" s="40"/>
      <c r="F738" s="40"/>
      <c r="G738" s="40"/>
      <c r="H738" s="40"/>
      <c r="I738" s="53"/>
      <c r="S738" s="40"/>
      <c r="T738" s="40"/>
      <c r="U738" s="40"/>
      <c r="V738" s="40"/>
      <c r="W738" s="40"/>
      <c r="Y738" s="40"/>
      <c r="Z738" s="40"/>
      <c r="AA738" s="40"/>
      <c r="AB738" s="40"/>
      <c r="AC738" s="41"/>
      <c r="AD738" s="41"/>
      <c r="AE738" s="41"/>
      <c r="AF738" s="41"/>
      <c r="AG738" s="41"/>
      <c r="AH738" s="40"/>
      <c r="AI738" s="40"/>
      <c r="AJ738" s="5"/>
      <c r="AK738" s="5"/>
      <c r="AL738" s="40"/>
      <c r="AM738" s="40"/>
      <c r="AN738" s="40"/>
      <c r="AO738" s="40"/>
      <c r="AP738" s="40"/>
      <c r="AQ738" s="40"/>
      <c r="AR738" s="40"/>
      <c r="AS738" s="40"/>
      <c r="AU738" s="40"/>
      <c r="AW738" s="40"/>
    </row>
    <row r="739" spans="2:49" ht="12.75" customHeight="1" x14ac:dyDescent="0.15">
      <c r="B739" s="40"/>
      <c r="C739" s="40"/>
      <c r="D739" s="40"/>
      <c r="E739" s="40"/>
      <c r="F739" s="40"/>
      <c r="G739" s="40"/>
      <c r="H739" s="40"/>
      <c r="I739" s="53"/>
      <c r="S739" s="40"/>
      <c r="T739" s="40"/>
      <c r="U739" s="40"/>
      <c r="V739" s="40"/>
      <c r="W739" s="40"/>
      <c r="Y739" s="40"/>
      <c r="Z739" s="40"/>
      <c r="AA739" s="40"/>
      <c r="AB739" s="40"/>
      <c r="AC739" s="41"/>
      <c r="AD739" s="41"/>
      <c r="AE739" s="41"/>
      <c r="AF739" s="41"/>
      <c r="AG739" s="41"/>
      <c r="AH739" s="40"/>
      <c r="AI739" s="40"/>
      <c r="AJ739" s="5"/>
      <c r="AK739" s="5"/>
      <c r="AL739" s="40"/>
      <c r="AM739" s="40"/>
      <c r="AN739" s="40"/>
      <c r="AO739" s="40"/>
      <c r="AP739" s="40"/>
      <c r="AQ739" s="40"/>
      <c r="AR739" s="40"/>
      <c r="AS739" s="40"/>
      <c r="AU739" s="40"/>
      <c r="AW739" s="40"/>
    </row>
    <row r="740" spans="2:49" ht="12.75" customHeight="1" x14ac:dyDescent="0.15">
      <c r="B740" s="40"/>
      <c r="C740" s="40"/>
      <c r="D740" s="40"/>
      <c r="E740" s="40"/>
      <c r="F740" s="40"/>
      <c r="G740" s="40"/>
      <c r="H740" s="40"/>
      <c r="I740" s="53"/>
      <c r="S740" s="40"/>
      <c r="T740" s="40"/>
      <c r="U740" s="40"/>
      <c r="V740" s="40"/>
      <c r="W740" s="40"/>
      <c r="Y740" s="40"/>
      <c r="Z740" s="40"/>
      <c r="AA740" s="40"/>
      <c r="AB740" s="40"/>
      <c r="AC740" s="41"/>
      <c r="AD740" s="41"/>
      <c r="AE740" s="41"/>
      <c r="AF740" s="41"/>
      <c r="AG740" s="41"/>
      <c r="AH740" s="40"/>
      <c r="AI740" s="40"/>
      <c r="AJ740" s="5"/>
      <c r="AK740" s="5"/>
      <c r="AL740" s="40"/>
      <c r="AM740" s="40"/>
      <c r="AN740" s="40"/>
      <c r="AO740" s="40"/>
      <c r="AP740" s="40"/>
      <c r="AQ740" s="40"/>
      <c r="AR740" s="40"/>
      <c r="AS740" s="40"/>
      <c r="AU740" s="40"/>
      <c r="AW740" s="40"/>
    </row>
    <row r="741" spans="2:49" ht="12.75" customHeight="1" x14ac:dyDescent="0.15">
      <c r="B741" s="40"/>
      <c r="C741" s="40"/>
      <c r="D741" s="40"/>
      <c r="E741" s="40"/>
      <c r="F741" s="40"/>
      <c r="G741" s="40"/>
      <c r="H741" s="40"/>
      <c r="I741" s="53"/>
      <c r="S741" s="40"/>
      <c r="T741" s="40"/>
      <c r="U741" s="40"/>
      <c r="V741" s="40"/>
      <c r="W741" s="40"/>
      <c r="Y741" s="40"/>
      <c r="Z741" s="40"/>
      <c r="AA741" s="40"/>
      <c r="AB741" s="40"/>
      <c r="AC741" s="41"/>
      <c r="AD741" s="41"/>
      <c r="AE741" s="41"/>
      <c r="AF741" s="41"/>
      <c r="AG741" s="41"/>
      <c r="AH741" s="40"/>
      <c r="AI741" s="40"/>
      <c r="AJ741" s="5"/>
      <c r="AK741" s="5"/>
      <c r="AL741" s="40"/>
      <c r="AM741" s="40"/>
      <c r="AN741" s="40"/>
      <c r="AO741" s="40"/>
      <c r="AP741" s="40"/>
      <c r="AQ741" s="40"/>
      <c r="AR741" s="40"/>
      <c r="AS741" s="40"/>
      <c r="AU741" s="40"/>
      <c r="AW741" s="40"/>
    </row>
    <row r="742" spans="2:49" ht="12.75" customHeight="1" x14ac:dyDescent="0.15">
      <c r="B742" s="40"/>
      <c r="C742" s="40"/>
      <c r="D742" s="40"/>
      <c r="E742" s="40"/>
      <c r="F742" s="40"/>
      <c r="G742" s="40"/>
      <c r="H742" s="40"/>
      <c r="I742" s="53"/>
      <c r="S742" s="40"/>
      <c r="T742" s="40"/>
      <c r="U742" s="40"/>
      <c r="V742" s="40"/>
      <c r="W742" s="40"/>
      <c r="Y742" s="40"/>
      <c r="Z742" s="40"/>
      <c r="AA742" s="40"/>
      <c r="AB742" s="40"/>
      <c r="AC742" s="41"/>
      <c r="AD742" s="41"/>
      <c r="AE742" s="41"/>
      <c r="AF742" s="41"/>
      <c r="AG742" s="41"/>
      <c r="AH742" s="40"/>
      <c r="AI742" s="40"/>
      <c r="AJ742" s="5"/>
      <c r="AK742" s="5"/>
      <c r="AL742" s="40"/>
      <c r="AM742" s="40"/>
      <c r="AN742" s="40"/>
      <c r="AO742" s="40"/>
      <c r="AP742" s="40"/>
      <c r="AQ742" s="40"/>
      <c r="AR742" s="40"/>
      <c r="AS742" s="40"/>
      <c r="AU742" s="40"/>
      <c r="AW742" s="40"/>
    </row>
    <row r="743" spans="2:49" ht="12.75" customHeight="1" x14ac:dyDescent="0.15">
      <c r="B743" s="40"/>
      <c r="C743" s="40"/>
      <c r="D743" s="40"/>
      <c r="E743" s="40"/>
      <c r="F743" s="40"/>
      <c r="G743" s="40"/>
      <c r="H743" s="40"/>
      <c r="I743" s="53"/>
      <c r="S743" s="40"/>
      <c r="T743" s="40"/>
      <c r="U743" s="40"/>
      <c r="V743" s="40"/>
      <c r="W743" s="40"/>
      <c r="Y743" s="40"/>
      <c r="Z743" s="40"/>
      <c r="AA743" s="40"/>
      <c r="AB743" s="40"/>
      <c r="AC743" s="41"/>
      <c r="AD743" s="41"/>
      <c r="AE743" s="41"/>
      <c r="AF743" s="41"/>
      <c r="AG743" s="41"/>
      <c r="AH743" s="40"/>
      <c r="AI743" s="40"/>
      <c r="AJ743" s="5"/>
      <c r="AK743" s="5"/>
      <c r="AL743" s="40"/>
      <c r="AM743" s="40"/>
      <c r="AN743" s="40"/>
      <c r="AO743" s="40"/>
      <c r="AP743" s="40"/>
      <c r="AQ743" s="40"/>
      <c r="AR743" s="40"/>
      <c r="AS743" s="40"/>
      <c r="AU743" s="40"/>
      <c r="AW743" s="40"/>
    </row>
    <row r="744" spans="2:49" ht="12.75" customHeight="1" x14ac:dyDescent="0.15">
      <c r="B744" s="40"/>
      <c r="C744" s="40"/>
      <c r="D744" s="40"/>
      <c r="E744" s="40"/>
      <c r="F744" s="40"/>
      <c r="G744" s="40"/>
      <c r="H744" s="40"/>
      <c r="I744" s="53"/>
      <c r="S744" s="40"/>
      <c r="T744" s="40"/>
      <c r="U744" s="40"/>
      <c r="V744" s="40"/>
      <c r="W744" s="40"/>
      <c r="Y744" s="40"/>
      <c r="Z744" s="40"/>
      <c r="AA744" s="40"/>
      <c r="AB744" s="40"/>
      <c r="AC744" s="41"/>
      <c r="AD744" s="41"/>
      <c r="AE744" s="41"/>
      <c r="AF744" s="41"/>
      <c r="AG744" s="41"/>
      <c r="AH744" s="40"/>
      <c r="AI744" s="40"/>
      <c r="AJ744" s="5"/>
      <c r="AK744" s="5"/>
      <c r="AL744" s="40"/>
      <c r="AM744" s="40"/>
      <c r="AN744" s="40"/>
      <c r="AO744" s="40"/>
      <c r="AP744" s="40"/>
      <c r="AQ744" s="40"/>
      <c r="AR744" s="40"/>
      <c r="AS744" s="40"/>
      <c r="AU744" s="40"/>
      <c r="AW744" s="40"/>
    </row>
    <row r="745" spans="2:49" ht="12.75" customHeight="1" x14ac:dyDescent="0.15">
      <c r="B745" s="40"/>
      <c r="C745" s="40"/>
      <c r="D745" s="40"/>
      <c r="E745" s="40"/>
      <c r="F745" s="40"/>
      <c r="G745" s="40"/>
      <c r="H745" s="40"/>
      <c r="I745" s="53"/>
      <c r="S745" s="40"/>
      <c r="T745" s="40"/>
      <c r="U745" s="40"/>
      <c r="V745" s="40"/>
      <c r="W745" s="40"/>
      <c r="Y745" s="40"/>
      <c r="Z745" s="40"/>
      <c r="AA745" s="40"/>
      <c r="AB745" s="40"/>
      <c r="AC745" s="41"/>
      <c r="AD745" s="41"/>
      <c r="AE745" s="41"/>
      <c r="AF745" s="41"/>
      <c r="AG745" s="41"/>
      <c r="AH745" s="40"/>
      <c r="AI745" s="40"/>
      <c r="AJ745" s="5"/>
      <c r="AK745" s="5"/>
      <c r="AL745" s="40"/>
      <c r="AM745" s="40"/>
      <c r="AN745" s="40"/>
      <c r="AO745" s="40"/>
      <c r="AP745" s="40"/>
      <c r="AQ745" s="40"/>
      <c r="AR745" s="40"/>
      <c r="AS745" s="40"/>
      <c r="AU745" s="40"/>
      <c r="AW745" s="40"/>
    </row>
    <row r="746" spans="2:49" ht="12.75" customHeight="1" x14ac:dyDescent="0.15">
      <c r="B746" s="40"/>
      <c r="C746" s="40"/>
      <c r="D746" s="40"/>
      <c r="E746" s="40"/>
      <c r="F746" s="40"/>
      <c r="G746" s="40"/>
      <c r="H746" s="40"/>
      <c r="I746" s="53"/>
      <c r="S746" s="40"/>
      <c r="T746" s="40"/>
      <c r="U746" s="40"/>
      <c r="V746" s="40"/>
      <c r="W746" s="40"/>
      <c r="Y746" s="40"/>
      <c r="Z746" s="40"/>
      <c r="AA746" s="40"/>
      <c r="AB746" s="40"/>
      <c r="AC746" s="41"/>
      <c r="AD746" s="41"/>
      <c r="AE746" s="41"/>
      <c r="AF746" s="41"/>
      <c r="AG746" s="41"/>
      <c r="AH746" s="40"/>
      <c r="AI746" s="40"/>
      <c r="AJ746" s="5"/>
      <c r="AK746" s="5"/>
      <c r="AL746" s="40"/>
      <c r="AM746" s="40"/>
      <c r="AN746" s="40"/>
      <c r="AO746" s="40"/>
      <c r="AP746" s="40"/>
      <c r="AQ746" s="40"/>
      <c r="AR746" s="40"/>
      <c r="AS746" s="40"/>
      <c r="AU746" s="40"/>
      <c r="AW746" s="40"/>
    </row>
    <row r="747" spans="2:49" ht="12.75" customHeight="1" x14ac:dyDescent="0.15">
      <c r="B747" s="40"/>
      <c r="C747" s="40"/>
      <c r="D747" s="40"/>
      <c r="E747" s="40"/>
      <c r="F747" s="40"/>
      <c r="G747" s="40"/>
      <c r="H747" s="40"/>
      <c r="I747" s="53"/>
      <c r="S747" s="40"/>
      <c r="T747" s="40"/>
      <c r="U747" s="40"/>
      <c r="V747" s="40"/>
      <c r="W747" s="40"/>
      <c r="Y747" s="40"/>
      <c r="Z747" s="40"/>
      <c r="AA747" s="40"/>
      <c r="AB747" s="40"/>
      <c r="AC747" s="41"/>
      <c r="AD747" s="41"/>
      <c r="AE747" s="41"/>
      <c r="AF747" s="41"/>
      <c r="AG747" s="41"/>
      <c r="AH747" s="40"/>
      <c r="AI747" s="40"/>
      <c r="AJ747" s="5"/>
      <c r="AK747" s="5"/>
      <c r="AL747" s="40"/>
      <c r="AM747" s="40"/>
      <c r="AN747" s="40"/>
      <c r="AO747" s="40"/>
      <c r="AP747" s="40"/>
      <c r="AQ747" s="40"/>
      <c r="AR747" s="40"/>
      <c r="AS747" s="40"/>
      <c r="AU747" s="40"/>
      <c r="AW747" s="40"/>
    </row>
    <row r="748" spans="2:49" ht="12.75" customHeight="1" x14ac:dyDescent="0.15">
      <c r="B748" s="40"/>
      <c r="C748" s="40"/>
      <c r="D748" s="40"/>
      <c r="E748" s="40"/>
      <c r="F748" s="40"/>
      <c r="G748" s="40"/>
      <c r="H748" s="40"/>
      <c r="I748" s="53"/>
      <c r="S748" s="40"/>
      <c r="T748" s="40"/>
      <c r="U748" s="40"/>
      <c r="V748" s="40"/>
      <c r="W748" s="40"/>
      <c r="Y748" s="40"/>
      <c r="Z748" s="40"/>
      <c r="AA748" s="40"/>
      <c r="AB748" s="40"/>
      <c r="AC748" s="41"/>
      <c r="AD748" s="41"/>
      <c r="AE748" s="41"/>
      <c r="AF748" s="41"/>
      <c r="AG748" s="41"/>
      <c r="AH748" s="40"/>
      <c r="AI748" s="40"/>
      <c r="AJ748" s="5"/>
      <c r="AK748" s="5"/>
      <c r="AL748" s="40"/>
      <c r="AM748" s="40"/>
      <c r="AN748" s="40"/>
      <c r="AO748" s="40"/>
      <c r="AP748" s="40"/>
      <c r="AQ748" s="40"/>
      <c r="AR748" s="40"/>
      <c r="AS748" s="40"/>
      <c r="AU748" s="40"/>
      <c r="AW748" s="40"/>
    </row>
    <row r="749" spans="2:49" ht="12.75" customHeight="1" x14ac:dyDescent="0.15">
      <c r="B749" s="40"/>
      <c r="C749" s="40"/>
      <c r="D749" s="40"/>
      <c r="E749" s="40"/>
      <c r="F749" s="40"/>
      <c r="G749" s="40"/>
      <c r="H749" s="40"/>
      <c r="I749" s="53"/>
      <c r="S749" s="40"/>
      <c r="T749" s="40"/>
      <c r="U749" s="40"/>
      <c r="V749" s="40"/>
      <c r="W749" s="40"/>
      <c r="Y749" s="40"/>
      <c r="Z749" s="40"/>
      <c r="AA749" s="40"/>
      <c r="AB749" s="40"/>
      <c r="AC749" s="41"/>
      <c r="AD749" s="41"/>
      <c r="AE749" s="41"/>
      <c r="AF749" s="41"/>
      <c r="AG749" s="41"/>
      <c r="AH749" s="40"/>
      <c r="AI749" s="40"/>
      <c r="AJ749" s="5"/>
      <c r="AK749" s="5"/>
      <c r="AL749" s="40"/>
      <c r="AM749" s="40"/>
      <c r="AN749" s="40"/>
      <c r="AO749" s="40"/>
      <c r="AP749" s="40"/>
      <c r="AQ749" s="40"/>
      <c r="AR749" s="40"/>
      <c r="AS749" s="40"/>
      <c r="AU749" s="40"/>
      <c r="AW749" s="40"/>
    </row>
    <row r="750" spans="2:49" ht="12.75" customHeight="1" x14ac:dyDescent="0.15">
      <c r="B750" s="40"/>
      <c r="C750" s="40"/>
      <c r="D750" s="40"/>
      <c r="E750" s="40"/>
      <c r="F750" s="40"/>
      <c r="G750" s="40"/>
      <c r="H750" s="40"/>
      <c r="I750" s="53"/>
      <c r="S750" s="40"/>
      <c r="T750" s="40"/>
      <c r="U750" s="40"/>
      <c r="V750" s="40"/>
      <c r="W750" s="40"/>
      <c r="Y750" s="40"/>
      <c r="Z750" s="40"/>
      <c r="AA750" s="40"/>
      <c r="AB750" s="40"/>
      <c r="AC750" s="41"/>
      <c r="AD750" s="41"/>
      <c r="AE750" s="41"/>
      <c r="AF750" s="41"/>
      <c r="AG750" s="41"/>
      <c r="AH750" s="40"/>
      <c r="AI750" s="40"/>
      <c r="AJ750" s="5"/>
      <c r="AK750" s="5"/>
      <c r="AL750" s="40"/>
      <c r="AM750" s="40"/>
      <c r="AN750" s="40"/>
      <c r="AO750" s="40"/>
      <c r="AP750" s="40"/>
      <c r="AQ750" s="40"/>
      <c r="AR750" s="40"/>
      <c r="AS750" s="40"/>
      <c r="AU750" s="40"/>
      <c r="AW750" s="40"/>
    </row>
    <row r="751" spans="2:49" ht="12.75" customHeight="1" x14ac:dyDescent="0.15">
      <c r="B751" s="40"/>
      <c r="C751" s="40"/>
      <c r="D751" s="40"/>
      <c r="E751" s="40"/>
      <c r="F751" s="40"/>
      <c r="G751" s="40"/>
      <c r="H751" s="40"/>
      <c r="I751" s="53"/>
      <c r="S751" s="40"/>
      <c r="T751" s="40"/>
      <c r="U751" s="40"/>
      <c r="V751" s="40"/>
      <c r="W751" s="40"/>
      <c r="Y751" s="40"/>
      <c r="Z751" s="40"/>
      <c r="AA751" s="40"/>
      <c r="AB751" s="40"/>
      <c r="AC751" s="41"/>
      <c r="AD751" s="41"/>
      <c r="AE751" s="41"/>
      <c r="AF751" s="41"/>
      <c r="AG751" s="41"/>
      <c r="AH751" s="40"/>
      <c r="AI751" s="40"/>
      <c r="AJ751" s="5"/>
      <c r="AK751" s="5"/>
      <c r="AL751" s="40"/>
      <c r="AM751" s="40"/>
      <c r="AN751" s="40"/>
      <c r="AO751" s="40"/>
      <c r="AP751" s="40"/>
      <c r="AQ751" s="40"/>
      <c r="AR751" s="40"/>
      <c r="AS751" s="40"/>
      <c r="AU751" s="40"/>
      <c r="AW751" s="40"/>
    </row>
    <row r="752" spans="2:49" ht="12.75" customHeight="1" x14ac:dyDescent="0.15">
      <c r="B752" s="40"/>
      <c r="C752" s="40"/>
      <c r="D752" s="40"/>
      <c r="E752" s="40"/>
      <c r="F752" s="40"/>
      <c r="G752" s="40"/>
      <c r="H752" s="40"/>
      <c r="I752" s="53"/>
      <c r="S752" s="40"/>
      <c r="T752" s="40"/>
      <c r="U752" s="40"/>
      <c r="V752" s="40"/>
      <c r="W752" s="40"/>
      <c r="Y752" s="40"/>
      <c r="Z752" s="40"/>
      <c r="AA752" s="40"/>
      <c r="AB752" s="40"/>
      <c r="AC752" s="41"/>
      <c r="AD752" s="41"/>
      <c r="AE752" s="41"/>
      <c r="AF752" s="41"/>
      <c r="AG752" s="41"/>
      <c r="AH752" s="40"/>
      <c r="AI752" s="40"/>
      <c r="AJ752" s="5"/>
      <c r="AK752" s="5"/>
      <c r="AL752" s="40"/>
      <c r="AM752" s="40"/>
      <c r="AN752" s="40"/>
      <c r="AO752" s="40"/>
      <c r="AP752" s="40"/>
      <c r="AQ752" s="40"/>
      <c r="AR752" s="40"/>
      <c r="AS752" s="40"/>
      <c r="AU752" s="40"/>
      <c r="AW752" s="40"/>
    </row>
    <row r="753" spans="2:49" ht="12.75" customHeight="1" x14ac:dyDescent="0.15">
      <c r="B753" s="40"/>
      <c r="C753" s="40"/>
      <c r="D753" s="40"/>
      <c r="E753" s="40"/>
      <c r="F753" s="40"/>
      <c r="G753" s="40"/>
      <c r="H753" s="40"/>
      <c r="I753" s="53"/>
      <c r="S753" s="40"/>
      <c r="T753" s="40"/>
      <c r="U753" s="40"/>
      <c r="V753" s="40"/>
      <c r="W753" s="40"/>
      <c r="Y753" s="40"/>
      <c r="Z753" s="40"/>
      <c r="AA753" s="40"/>
      <c r="AB753" s="40"/>
      <c r="AC753" s="41"/>
      <c r="AD753" s="41"/>
      <c r="AE753" s="41"/>
      <c r="AF753" s="41"/>
      <c r="AG753" s="41"/>
      <c r="AH753" s="40"/>
      <c r="AI753" s="40"/>
      <c r="AJ753" s="5"/>
      <c r="AK753" s="5"/>
      <c r="AL753" s="40"/>
      <c r="AM753" s="40"/>
      <c r="AN753" s="40"/>
      <c r="AO753" s="40"/>
      <c r="AP753" s="40"/>
      <c r="AQ753" s="40"/>
      <c r="AR753" s="40"/>
      <c r="AS753" s="40"/>
      <c r="AU753" s="40"/>
      <c r="AW753" s="40"/>
    </row>
    <row r="754" spans="2:49" ht="12.75" customHeight="1" x14ac:dyDescent="0.15">
      <c r="B754" s="40"/>
      <c r="C754" s="40"/>
      <c r="D754" s="40"/>
      <c r="E754" s="40"/>
      <c r="F754" s="40"/>
      <c r="G754" s="40"/>
      <c r="H754" s="40"/>
      <c r="I754" s="53"/>
      <c r="S754" s="40"/>
      <c r="T754" s="40"/>
      <c r="U754" s="40"/>
      <c r="V754" s="40"/>
      <c r="W754" s="40"/>
      <c r="Y754" s="40"/>
      <c r="Z754" s="40"/>
      <c r="AA754" s="40"/>
      <c r="AB754" s="40"/>
      <c r="AC754" s="41"/>
      <c r="AD754" s="41"/>
      <c r="AE754" s="41"/>
      <c r="AF754" s="41"/>
      <c r="AG754" s="41"/>
      <c r="AH754" s="40"/>
      <c r="AI754" s="40"/>
      <c r="AJ754" s="5"/>
      <c r="AK754" s="5"/>
      <c r="AL754" s="40"/>
      <c r="AM754" s="40"/>
      <c r="AN754" s="40"/>
      <c r="AO754" s="40"/>
      <c r="AP754" s="40"/>
      <c r="AQ754" s="40"/>
      <c r="AR754" s="40"/>
      <c r="AS754" s="40"/>
      <c r="AU754" s="40"/>
      <c r="AW754" s="40"/>
    </row>
    <row r="755" spans="2:49" ht="12.75" customHeight="1" x14ac:dyDescent="0.15">
      <c r="B755" s="40"/>
      <c r="C755" s="40"/>
      <c r="D755" s="40"/>
      <c r="E755" s="40"/>
      <c r="F755" s="40"/>
      <c r="G755" s="40"/>
      <c r="H755" s="40"/>
      <c r="I755" s="53"/>
      <c r="S755" s="40"/>
      <c r="T755" s="40"/>
      <c r="U755" s="40"/>
      <c r="V755" s="40"/>
      <c r="W755" s="40"/>
      <c r="Y755" s="40"/>
      <c r="Z755" s="40"/>
      <c r="AA755" s="40"/>
      <c r="AB755" s="40"/>
      <c r="AC755" s="41"/>
      <c r="AD755" s="41"/>
      <c r="AE755" s="41"/>
      <c r="AF755" s="41"/>
      <c r="AG755" s="41"/>
      <c r="AH755" s="40"/>
      <c r="AI755" s="40"/>
      <c r="AJ755" s="5"/>
      <c r="AK755" s="5"/>
      <c r="AL755" s="40"/>
      <c r="AM755" s="40"/>
      <c r="AN755" s="40"/>
      <c r="AO755" s="40"/>
      <c r="AP755" s="40"/>
      <c r="AQ755" s="40"/>
      <c r="AR755" s="40"/>
      <c r="AS755" s="40"/>
      <c r="AU755" s="40"/>
      <c r="AW755" s="40"/>
    </row>
    <row r="756" spans="2:49" ht="12.75" customHeight="1" x14ac:dyDescent="0.15">
      <c r="B756" s="40"/>
      <c r="C756" s="40"/>
      <c r="D756" s="40"/>
      <c r="E756" s="40"/>
      <c r="F756" s="40"/>
      <c r="G756" s="40"/>
      <c r="H756" s="40"/>
      <c r="I756" s="53"/>
      <c r="S756" s="40"/>
      <c r="T756" s="40"/>
      <c r="U756" s="40"/>
      <c r="V756" s="40"/>
      <c r="W756" s="40"/>
      <c r="Y756" s="40"/>
      <c r="Z756" s="40"/>
      <c r="AA756" s="40"/>
      <c r="AB756" s="40"/>
      <c r="AC756" s="41"/>
      <c r="AD756" s="41"/>
      <c r="AE756" s="41"/>
      <c r="AF756" s="41"/>
      <c r="AG756" s="41"/>
      <c r="AH756" s="40"/>
      <c r="AI756" s="40"/>
      <c r="AJ756" s="5"/>
      <c r="AK756" s="5"/>
      <c r="AL756" s="40"/>
      <c r="AM756" s="40"/>
      <c r="AN756" s="40"/>
      <c r="AO756" s="40"/>
      <c r="AP756" s="40"/>
      <c r="AQ756" s="40"/>
      <c r="AR756" s="40"/>
      <c r="AS756" s="40"/>
      <c r="AU756" s="40"/>
      <c r="AW756" s="40"/>
    </row>
    <row r="757" spans="2:49" ht="12.75" customHeight="1" x14ac:dyDescent="0.15">
      <c r="B757" s="40"/>
      <c r="C757" s="40"/>
      <c r="D757" s="40"/>
      <c r="E757" s="40"/>
      <c r="F757" s="40"/>
      <c r="G757" s="40"/>
      <c r="H757" s="40"/>
      <c r="I757" s="53"/>
      <c r="S757" s="40"/>
      <c r="T757" s="40"/>
      <c r="U757" s="40"/>
      <c r="V757" s="40"/>
      <c r="W757" s="40"/>
      <c r="Y757" s="40"/>
      <c r="Z757" s="40"/>
      <c r="AA757" s="40"/>
      <c r="AB757" s="40"/>
      <c r="AC757" s="41"/>
      <c r="AD757" s="41"/>
      <c r="AE757" s="41"/>
      <c r="AF757" s="41"/>
      <c r="AG757" s="41"/>
      <c r="AH757" s="40"/>
      <c r="AI757" s="40"/>
      <c r="AJ757" s="5"/>
      <c r="AK757" s="5"/>
      <c r="AL757" s="40"/>
      <c r="AM757" s="40"/>
      <c r="AN757" s="40"/>
      <c r="AO757" s="40"/>
      <c r="AP757" s="40"/>
      <c r="AQ757" s="40"/>
      <c r="AR757" s="40"/>
      <c r="AS757" s="40"/>
      <c r="AU757" s="40"/>
      <c r="AW757" s="40"/>
    </row>
    <row r="758" spans="2:49" ht="12.75" customHeight="1" x14ac:dyDescent="0.15">
      <c r="B758" s="40"/>
      <c r="C758" s="40"/>
      <c r="D758" s="40"/>
      <c r="E758" s="40"/>
      <c r="F758" s="40"/>
      <c r="G758" s="40"/>
      <c r="H758" s="40"/>
      <c r="I758" s="53"/>
      <c r="S758" s="40"/>
      <c r="T758" s="40"/>
      <c r="U758" s="40"/>
      <c r="V758" s="40"/>
      <c r="W758" s="40"/>
      <c r="Y758" s="40"/>
      <c r="Z758" s="40"/>
      <c r="AA758" s="40"/>
      <c r="AB758" s="40"/>
      <c r="AC758" s="41"/>
      <c r="AD758" s="41"/>
      <c r="AE758" s="41"/>
      <c r="AF758" s="41"/>
      <c r="AG758" s="41"/>
      <c r="AH758" s="40"/>
      <c r="AI758" s="40"/>
      <c r="AJ758" s="5"/>
      <c r="AK758" s="5"/>
      <c r="AL758" s="40"/>
      <c r="AM758" s="40"/>
      <c r="AN758" s="40"/>
      <c r="AO758" s="40"/>
      <c r="AP758" s="40"/>
      <c r="AQ758" s="40"/>
      <c r="AR758" s="40"/>
      <c r="AS758" s="40"/>
      <c r="AU758" s="40"/>
      <c r="AW758" s="40"/>
    </row>
    <row r="759" spans="2:49" ht="12.75" customHeight="1" x14ac:dyDescent="0.15">
      <c r="B759" s="40"/>
      <c r="C759" s="40"/>
      <c r="D759" s="40"/>
      <c r="E759" s="40"/>
      <c r="F759" s="40"/>
      <c r="G759" s="40"/>
      <c r="H759" s="40"/>
      <c r="I759" s="53"/>
      <c r="S759" s="40"/>
      <c r="T759" s="40"/>
      <c r="U759" s="40"/>
      <c r="V759" s="40"/>
      <c r="W759" s="40"/>
      <c r="Y759" s="40"/>
      <c r="Z759" s="40"/>
      <c r="AA759" s="40"/>
      <c r="AB759" s="40"/>
      <c r="AC759" s="41"/>
      <c r="AD759" s="41"/>
      <c r="AE759" s="41"/>
      <c r="AF759" s="41"/>
      <c r="AG759" s="41"/>
      <c r="AH759" s="40"/>
      <c r="AI759" s="40"/>
      <c r="AJ759" s="5"/>
      <c r="AK759" s="5"/>
      <c r="AL759" s="40"/>
      <c r="AM759" s="40"/>
      <c r="AN759" s="40"/>
      <c r="AO759" s="40"/>
      <c r="AP759" s="40"/>
      <c r="AQ759" s="40"/>
      <c r="AR759" s="40"/>
      <c r="AS759" s="40"/>
      <c r="AU759" s="40"/>
      <c r="AW759" s="40"/>
    </row>
    <row r="760" spans="2:49" ht="12.75" customHeight="1" x14ac:dyDescent="0.15">
      <c r="B760" s="40"/>
      <c r="C760" s="40"/>
      <c r="D760" s="40"/>
      <c r="E760" s="40"/>
      <c r="F760" s="40"/>
      <c r="G760" s="40"/>
      <c r="H760" s="40"/>
      <c r="I760" s="53"/>
      <c r="S760" s="40"/>
      <c r="T760" s="40"/>
      <c r="U760" s="40"/>
      <c r="V760" s="40"/>
      <c r="W760" s="40"/>
      <c r="Y760" s="40"/>
      <c r="Z760" s="40"/>
      <c r="AA760" s="40"/>
      <c r="AB760" s="40"/>
      <c r="AC760" s="41"/>
      <c r="AD760" s="41"/>
      <c r="AE760" s="41"/>
      <c r="AF760" s="41"/>
      <c r="AG760" s="41"/>
      <c r="AH760" s="40"/>
      <c r="AI760" s="40"/>
      <c r="AJ760" s="5"/>
      <c r="AK760" s="5"/>
      <c r="AL760" s="40"/>
      <c r="AM760" s="40"/>
      <c r="AN760" s="40"/>
      <c r="AO760" s="40"/>
      <c r="AP760" s="40"/>
      <c r="AQ760" s="40"/>
      <c r="AR760" s="40"/>
      <c r="AS760" s="40"/>
      <c r="AU760" s="40"/>
      <c r="AW760" s="40"/>
    </row>
    <row r="761" spans="2:49" ht="12.75" customHeight="1" x14ac:dyDescent="0.15">
      <c r="B761" s="40"/>
      <c r="C761" s="40"/>
      <c r="D761" s="40"/>
      <c r="E761" s="40"/>
      <c r="F761" s="40"/>
      <c r="G761" s="40"/>
      <c r="H761" s="40"/>
      <c r="I761" s="53"/>
      <c r="S761" s="40"/>
      <c r="T761" s="40"/>
      <c r="U761" s="40"/>
      <c r="V761" s="40"/>
      <c r="W761" s="40"/>
      <c r="Y761" s="40"/>
      <c r="Z761" s="40"/>
      <c r="AA761" s="40"/>
      <c r="AB761" s="40"/>
      <c r="AC761" s="41"/>
      <c r="AD761" s="41"/>
      <c r="AE761" s="41"/>
      <c r="AF761" s="41"/>
      <c r="AG761" s="41"/>
      <c r="AH761" s="40"/>
      <c r="AI761" s="40"/>
      <c r="AJ761" s="5"/>
      <c r="AK761" s="5"/>
      <c r="AL761" s="40"/>
      <c r="AM761" s="40"/>
      <c r="AN761" s="40"/>
      <c r="AO761" s="40"/>
      <c r="AP761" s="40"/>
      <c r="AQ761" s="40"/>
      <c r="AR761" s="40"/>
      <c r="AS761" s="40"/>
      <c r="AU761" s="40"/>
      <c r="AW761" s="40"/>
    </row>
    <row r="762" spans="2:49" ht="12.75" customHeight="1" x14ac:dyDescent="0.15">
      <c r="B762" s="40"/>
      <c r="C762" s="40"/>
      <c r="D762" s="40"/>
      <c r="E762" s="40"/>
      <c r="F762" s="40"/>
      <c r="G762" s="40"/>
      <c r="H762" s="40"/>
      <c r="I762" s="53"/>
      <c r="S762" s="40"/>
      <c r="T762" s="40"/>
      <c r="U762" s="40"/>
      <c r="V762" s="40"/>
      <c r="W762" s="40"/>
      <c r="Y762" s="40"/>
      <c r="Z762" s="40"/>
      <c r="AA762" s="40"/>
      <c r="AB762" s="40"/>
      <c r="AC762" s="41"/>
      <c r="AD762" s="41"/>
      <c r="AE762" s="41"/>
      <c r="AF762" s="41"/>
      <c r="AG762" s="41"/>
      <c r="AH762" s="40"/>
      <c r="AI762" s="40"/>
      <c r="AJ762" s="5"/>
      <c r="AK762" s="5"/>
      <c r="AL762" s="40"/>
      <c r="AM762" s="40"/>
      <c r="AN762" s="40"/>
      <c r="AO762" s="40"/>
      <c r="AP762" s="40"/>
      <c r="AQ762" s="40"/>
      <c r="AR762" s="40"/>
      <c r="AS762" s="40"/>
      <c r="AU762" s="40"/>
      <c r="AW762" s="40"/>
    </row>
    <row r="763" spans="2:49" ht="12.75" customHeight="1" x14ac:dyDescent="0.15">
      <c r="B763" s="40"/>
      <c r="C763" s="40"/>
      <c r="D763" s="40"/>
      <c r="E763" s="40"/>
      <c r="F763" s="40"/>
      <c r="G763" s="40"/>
      <c r="H763" s="40"/>
      <c r="I763" s="53"/>
      <c r="S763" s="40"/>
      <c r="T763" s="40"/>
      <c r="U763" s="40"/>
      <c r="V763" s="40"/>
      <c r="W763" s="40"/>
      <c r="Y763" s="40"/>
      <c r="Z763" s="40"/>
      <c r="AA763" s="40"/>
      <c r="AB763" s="40"/>
      <c r="AC763" s="41"/>
      <c r="AD763" s="41"/>
      <c r="AE763" s="41"/>
      <c r="AF763" s="41"/>
      <c r="AG763" s="41"/>
      <c r="AH763" s="40"/>
      <c r="AI763" s="40"/>
      <c r="AJ763" s="5"/>
      <c r="AK763" s="5"/>
      <c r="AL763" s="40"/>
      <c r="AM763" s="40"/>
      <c r="AN763" s="40"/>
      <c r="AO763" s="40"/>
      <c r="AP763" s="40"/>
      <c r="AQ763" s="40"/>
      <c r="AR763" s="40"/>
      <c r="AS763" s="40"/>
      <c r="AU763" s="40"/>
      <c r="AW763" s="40"/>
    </row>
    <row r="764" spans="2:49" ht="12.75" customHeight="1" x14ac:dyDescent="0.15">
      <c r="B764" s="40"/>
      <c r="C764" s="40"/>
      <c r="D764" s="40"/>
      <c r="E764" s="40"/>
      <c r="F764" s="40"/>
      <c r="G764" s="40"/>
      <c r="H764" s="40"/>
      <c r="I764" s="53"/>
      <c r="S764" s="40"/>
      <c r="T764" s="40"/>
      <c r="U764" s="40"/>
      <c r="V764" s="40"/>
      <c r="W764" s="40"/>
      <c r="Y764" s="40"/>
      <c r="Z764" s="40"/>
      <c r="AA764" s="40"/>
      <c r="AB764" s="40"/>
      <c r="AC764" s="41"/>
      <c r="AD764" s="41"/>
      <c r="AE764" s="41"/>
      <c r="AF764" s="41"/>
      <c r="AG764" s="41"/>
      <c r="AH764" s="40"/>
      <c r="AI764" s="40"/>
      <c r="AJ764" s="5"/>
      <c r="AK764" s="5"/>
      <c r="AL764" s="40"/>
      <c r="AM764" s="40"/>
      <c r="AN764" s="40"/>
      <c r="AO764" s="40"/>
      <c r="AP764" s="40"/>
      <c r="AQ764" s="40"/>
      <c r="AR764" s="40"/>
      <c r="AS764" s="40"/>
      <c r="AU764" s="40"/>
      <c r="AW764" s="40"/>
    </row>
    <row r="765" spans="2:49" ht="12.75" customHeight="1" x14ac:dyDescent="0.15">
      <c r="B765" s="40"/>
      <c r="C765" s="40"/>
      <c r="D765" s="40"/>
      <c r="E765" s="40"/>
      <c r="F765" s="40"/>
      <c r="G765" s="40"/>
      <c r="H765" s="40"/>
      <c r="I765" s="53"/>
      <c r="S765" s="40"/>
      <c r="T765" s="40"/>
      <c r="U765" s="40"/>
      <c r="V765" s="40"/>
      <c r="W765" s="40"/>
      <c r="Y765" s="40"/>
      <c r="Z765" s="40"/>
      <c r="AA765" s="40"/>
      <c r="AB765" s="40"/>
      <c r="AC765" s="41"/>
      <c r="AD765" s="41"/>
      <c r="AE765" s="41"/>
      <c r="AF765" s="41"/>
      <c r="AG765" s="41"/>
      <c r="AH765" s="40"/>
      <c r="AI765" s="40"/>
      <c r="AJ765" s="5"/>
      <c r="AK765" s="5"/>
      <c r="AL765" s="40"/>
      <c r="AM765" s="40"/>
      <c r="AN765" s="40"/>
      <c r="AO765" s="40"/>
      <c r="AP765" s="40"/>
      <c r="AQ765" s="40"/>
      <c r="AR765" s="40"/>
      <c r="AS765" s="40"/>
      <c r="AU765" s="40"/>
      <c r="AW765" s="40"/>
    </row>
    <row r="766" spans="2:49" ht="12.75" customHeight="1" x14ac:dyDescent="0.15">
      <c r="B766" s="40"/>
      <c r="C766" s="40"/>
      <c r="D766" s="40"/>
      <c r="E766" s="40"/>
      <c r="F766" s="40"/>
      <c r="G766" s="40"/>
      <c r="H766" s="40"/>
      <c r="I766" s="53"/>
      <c r="S766" s="40"/>
      <c r="T766" s="40"/>
      <c r="U766" s="40"/>
      <c r="V766" s="40"/>
      <c r="W766" s="40"/>
      <c r="Y766" s="40"/>
      <c r="Z766" s="40"/>
      <c r="AA766" s="40"/>
      <c r="AB766" s="40"/>
      <c r="AC766" s="41"/>
      <c r="AD766" s="41"/>
      <c r="AE766" s="41"/>
      <c r="AF766" s="41"/>
      <c r="AG766" s="41"/>
      <c r="AH766" s="40"/>
      <c r="AI766" s="40"/>
      <c r="AJ766" s="5"/>
      <c r="AK766" s="5"/>
      <c r="AL766" s="40"/>
      <c r="AM766" s="40"/>
      <c r="AN766" s="40"/>
      <c r="AO766" s="40"/>
      <c r="AP766" s="40"/>
      <c r="AQ766" s="40"/>
      <c r="AR766" s="40"/>
      <c r="AS766" s="40"/>
      <c r="AU766" s="40"/>
      <c r="AW766" s="40"/>
    </row>
    <row r="767" spans="2:49" ht="12.75" customHeight="1" x14ac:dyDescent="0.15">
      <c r="B767" s="40"/>
      <c r="C767" s="40"/>
      <c r="D767" s="40"/>
      <c r="E767" s="40"/>
      <c r="F767" s="40"/>
      <c r="G767" s="40"/>
      <c r="H767" s="40"/>
      <c r="I767" s="53"/>
      <c r="S767" s="40"/>
      <c r="T767" s="40"/>
      <c r="U767" s="40"/>
      <c r="V767" s="40"/>
      <c r="W767" s="40"/>
      <c r="Y767" s="40"/>
      <c r="Z767" s="40"/>
      <c r="AA767" s="40"/>
      <c r="AB767" s="40"/>
      <c r="AC767" s="41"/>
      <c r="AD767" s="41"/>
      <c r="AE767" s="41"/>
      <c r="AF767" s="41"/>
      <c r="AG767" s="41"/>
      <c r="AH767" s="40"/>
      <c r="AI767" s="40"/>
      <c r="AJ767" s="5"/>
      <c r="AK767" s="5"/>
      <c r="AL767" s="40"/>
      <c r="AM767" s="40"/>
      <c r="AN767" s="40"/>
      <c r="AO767" s="40"/>
      <c r="AP767" s="40"/>
      <c r="AQ767" s="40"/>
      <c r="AR767" s="40"/>
      <c r="AS767" s="40"/>
      <c r="AU767" s="40"/>
      <c r="AW767" s="40"/>
    </row>
    <row r="768" spans="2:49" ht="12.75" customHeight="1" x14ac:dyDescent="0.15">
      <c r="B768" s="40"/>
      <c r="C768" s="40"/>
      <c r="D768" s="40"/>
      <c r="E768" s="40"/>
      <c r="F768" s="40"/>
      <c r="G768" s="40"/>
      <c r="H768" s="40"/>
      <c r="I768" s="53"/>
      <c r="S768" s="40"/>
      <c r="T768" s="40"/>
      <c r="U768" s="40"/>
      <c r="V768" s="40"/>
      <c r="W768" s="40"/>
      <c r="Y768" s="40"/>
      <c r="Z768" s="40"/>
      <c r="AA768" s="40"/>
      <c r="AB768" s="40"/>
      <c r="AC768" s="41"/>
      <c r="AD768" s="41"/>
      <c r="AE768" s="41"/>
      <c r="AF768" s="41"/>
      <c r="AG768" s="41"/>
      <c r="AH768" s="40"/>
      <c r="AI768" s="40"/>
      <c r="AJ768" s="5"/>
      <c r="AK768" s="5"/>
      <c r="AL768" s="40"/>
      <c r="AM768" s="40"/>
      <c r="AN768" s="40"/>
      <c r="AO768" s="40"/>
      <c r="AP768" s="40"/>
      <c r="AQ768" s="40"/>
      <c r="AR768" s="40"/>
      <c r="AS768" s="40"/>
      <c r="AU768" s="40"/>
      <c r="AW768" s="40"/>
    </row>
    <row r="769" spans="2:49" ht="12.75" customHeight="1" x14ac:dyDescent="0.15">
      <c r="B769" s="40"/>
      <c r="C769" s="40"/>
      <c r="D769" s="40"/>
      <c r="E769" s="40"/>
      <c r="F769" s="40"/>
      <c r="G769" s="40"/>
      <c r="H769" s="40"/>
      <c r="I769" s="53"/>
      <c r="S769" s="40"/>
      <c r="T769" s="40"/>
      <c r="U769" s="40"/>
      <c r="V769" s="40"/>
      <c r="W769" s="40"/>
      <c r="Y769" s="40"/>
      <c r="Z769" s="40"/>
      <c r="AA769" s="40"/>
      <c r="AB769" s="40"/>
      <c r="AC769" s="41"/>
      <c r="AD769" s="41"/>
      <c r="AE769" s="41"/>
      <c r="AF769" s="41"/>
      <c r="AG769" s="41"/>
      <c r="AH769" s="40"/>
      <c r="AI769" s="40"/>
      <c r="AJ769" s="5"/>
      <c r="AK769" s="5"/>
      <c r="AL769" s="40"/>
      <c r="AM769" s="40"/>
      <c r="AN769" s="40"/>
      <c r="AO769" s="40"/>
      <c r="AP769" s="40"/>
      <c r="AQ769" s="40"/>
      <c r="AR769" s="40"/>
      <c r="AS769" s="40"/>
      <c r="AU769" s="40"/>
      <c r="AW769" s="40"/>
    </row>
    <row r="770" spans="2:49" ht="12.75" customHeight="1" x14ac:dyDescent="0.15">
      <c r="B770" s="40"/>
      <c r="C770" s="40"/>
      <c r="D770" s="40"/>
      <c r="E770" s="40"/>
      <c r="F770" s="40"/>
      <c r="G770" s="40"/>
      <c r="H770" s="40"/>
      <c r="I770" s="53"/>
      <c r="S770" s="40"/>
      <c r="T770" s="40"/>
      <c r="U770" s="40"/>
      <c r="V770" s="40"/>
      <c r="W770" s="40"/>
      <c r="Y770" s="40"/>
      <c r="Z770" s="40"/>
      <c r="AA770" s="40"/>
      <c r="AB770" s="40"/>
      <c r="AC770" s="41"/>
      <c r="AD770" s="41"/>
      <c r="AE770" s="41"/>
      <c r="AF770" s="41"/>
      <c r="AG770" s="41"/>
      <c r="AH770" s="40"/>
      <c r="AI770" s="40"/>
      <c r="AJ770" s="5"/>
      <c r="AK770" s="5"/>
      <c r="AL770" s="40"/>
      <c r="AM770" s="40"/>
      <c r="AN770" s="40"/>
      <c r="AO770" s="40"/>
      <c r="AP770" s="40"/>
      <c r="AQ770" s="40"/>
      <c r="AR770" s="40"/>
      <c r="AS770" s="40"/>
      <c r="AU770" s="40"/>
      <c r="AW770" s="40"/>
    </row>
    <row r="771" spans="2:49" ht="12.75" customHeight="1" x14ac:dyDescent="0.15">
      <c r="B771" s="40"/>
      <c r="C771" s="40"/>
      <c r="D771" s="40"/>
      <c r="E771" s="40"/>
      <c r="F771" s="40"/>
      <c r="G771" s="40"/>
      <c r="H771" s="40"/>
      <c r="I771" s="53"/>
      <c r="S771" s="40"/>
      <c r="T771" s="40"/>
      <c r="U771" s="40"/>
      <c r="V771" s="40"/>
      <c r="W771" s="40"/>
      <c r="Y771" s="40"/>
      <c r="Z771" s="40"/>
      <c r="AA771" s="40"/>
      <c r="AB771" s="40"/>
      <c r="AC771" s="41"/>
      <c r="AD771" s="41"/>
      <c r="AE771" s="41"/>
      <c r="AF771" s="41"/>
      <c r="AG771" s="41"/>
      <c r="AH771" s="40"/>
      <c r="AI771" s="40"/>
      <c r="AJ771" s="5"/>
      <c r="AK771" s="5"/>
      <c r="AL771" s="40"/>
      <c r="AM771" s="40"/>
      <c r="AN771" s="40"/>
      <c r="AO771" s="40"/>
      <c r="AP771" s="40"/>
      <c r="AQ771" s="40"/>
      <c r="AR771" s="40"/>
      <c r="AS771" s="40"/>
      <c r="AU771" s="40"/>
      <c r="AW771" s="40"/>
    </row>
    <row r="772" spans="2:49" ht="12.75" customHeight="1" x14ac:dyDescent="0.15">
      <c r="B772" s="40"/>
      <c r="C772" s="40"/>
      <c r="D772" s="40"/>
      <c r="E772" s="40"/>
      <c r="F772" s="40"/>
      <c r="G772" s="40"/>
      <c r="H772" s="40"/>
      <c r="I772" s="53"/>
      <c r="S772" s="40"/>
      <c r="T772" s="40"/>
      <c r="U772" s="40"/>
      <c r="V772" s="40"/>
      <c r="W772" s="40"/>
      <c r="Y772" s="40"/>
      <c r="Z772" s="40"/>
      <c r="AA772" s="40"/>
      <c r="AB772" s="40"/>
      <c r="AC772" s="41"/>
      <c r="AD772" s="41"/>
      <c r="AE772" s="41"/>
      <c r="AF772" s="41"/>
      <c r="AG772" s="41"/>
      <c r="AH772" s="40"/>
      <c r="AI772" s="40"/>
      <c r="AJ772" s="5"/>
      <c r="AK772" s="5"/>
      <c r="AL772" s="40"/>
      <c r="AM772" s="40"/>
      <c r="AN772" s="40"/>
      <c r="AO772" s="40"/>
      <c r="AP772" s="40"/>
      <c r="AQ772" s="40"/>
      <c r="AR772" s="40"/>
      <c r="AS772" s="40"/>
      <c r="AU772" s="40"/>
      <c r="AW772" s="40"/>
    </row>
    <row r="773" spans="2:49" ht="12.75" customHeight="1" x14ac:dyDescent="0.15">
      <c r="B773" s="40"/>
      <c r="C773" s="40"/>
      <c r="D773" s="40"/>
      <c r="E773" s="40"/>
      <c r="F773" s="40"/>
      <c r="G773" s="40"/>
      <c r="H773" s="40"/>
      <c r="I773" s="53"/>
      <c r="S773" s="40"/>
      <c r="T773" s="40"/>
      <c r="U773" s="40"/>
      <c r="V773" s="40"/>
      <c r="W773" s="40"/>
      <c r="Y773" s="40"/>
      <c r="Z773" s="40"/>
      <c r="AA773" s="40"/>
      <c r="AB773" s="40"/>
      <c r="AC773" s="41"/>
      <c r="AD773" s="41"/>
      <c r="AE773" s="41"/>
      <c r="AF773" s="41"/>
      <c r="AG773" s="41"/>
      <c r="AH773" s="40"/>
      <c r="AI773" s="40"/>
      <c r="AJ773" s="5"/>
      <c r="AK773" s="5"/>
      <c r="AL773" s="40"/>
      <c r="AM773" s="40"/>
      <c r="AN773" s="40"/>
      <c r="AO773" s="40"/>
      <c r="AP773" s="40"/>
      <c r="AQ773" s="40"/>
      <c r="AR773" s="40"/>
      <c r="AS773" s="40"/>
      <c r="AU773" s="40"/>
      <c r="AW773" s="40"/>
    </row>
    <row r="774" spans="2:49" ht="12.75" customHeight="1" x14ac:dyDescent="0.15">
      <c r="B774" s="40"/>
      <c r="C774" s="40"/>
      <c r="D774" s="40"/>
      <c r="E774" s="40"/>
      <c r="F774" s="40"/>
      <c r="G774" s="40"/>
      <c r="H774" s="40"/>
      <c r="I774" s="53"/>
      <c r="S774" s="40"/>
      <c r="T774" s="40"/>
      <c r="U774" s="40"/>
      <c r="V774" s="40"/>
      <c r="W774" s="40"/>
      <c r="Y774" s="40"/>
      <c r="Z774" s="40"/>
      <c r="AA774" s="40"/>
      <c r="AB774" s="40"/>
      <c r="AC774" s="41"/>
      <c r="AD774" s="41"/>
      <c r="AE774" s="41"/>
      <c r="AF774" s="41"/>
      <c r="AG774" s="41"/>
      <c r="AH774" s="40"/>
      <c r="AI774" s="40"/>
      <c r="AJ774" s="5"/>
      <c r="AK774" s="5"/>
      <c r="AL774" s="40"/>
      <c r="AM774" s="40"/>
      <c r="AN774" s="40"/>
      <c r="AO774" s="40"/>
      <c r="AP774" s="40"/>
      <c r="AQ774" s="40"/>
      <c r="AR774" s="40"/>
      <c r="AS774" s="40"/>
      <c r="AU774" s="40"/>
      <c r="AW774" s="40"/>
    </row>
    <row r="775" spans="2:49" ht="12.75" customHeight="1" x14ac:dyDescent="0.15">
      <c r="B775" s="40"/>
      <c r="C775" s="40"/>
      <c r="D775" s="40"/>
      <c r="E775" s="40"/>
      <c r="F775" s="40"/>
      <c r="G775" s="40"/>
      <c r="H775" s="40"/>
      <c r="I775" s="53"/>
      <c r="S775" s="40"/>
      <c r="T775" s="40"/>
      <c r="U775" s="40"/>
      <c r="V775" s="40"/>
      <c r="W775" s="40"/>
      <c r="Y775" s="40"/>
      <c r="Z775" s="40"/>
      <c r="AA775" s="40"/>
      <c r="AB775" s="40"/>
      <c r="AC775" s="41"/>
      <c r="AD775" s="41"/>
      <c r="AE775" s="41"/>
      <c r="AF775" s="41"/>
      <c r="AG775" s="41"/>
      <c r="AH775" s="40"/>
      <c r="AI775" s="40"/>
      <c r="AJ775" s="5"/>
      <c r="AK775" s="5"/>
      <c r="AL775" s="40"/>
      <c r="AM775" s="40"/>
      <c r="AN775" s="40"/>
      <c r="AO775" s="40"/>
      <c r="AP775" s="40"/>
      <c r="AQ775" s="40"/>
      <c r="AR775" s="40"/>
      <c r="AS775" s="40"/>
      <c r="AU775" s="40"/>
      <c r="AW775" s="40"/>
    </row>
    <row r="776" spans="2:49" ht="12.75" customHeight="1" x14ac:dyDescent="0.15">
      <c r="B776" s="40"/>
      <c r="C776" s="40"/>
      <c r="D776" s="40"/>
      <c r="E776" s="40"/>
      <c r="F776" s="40"/>
      <c r="G776" s="40"/>
      <c r="H776" s="40"/>
      <c r="I776" s="53"/>
      <c r="S776" s="40"/>
      <c r="T776" s="40"/>
      <c r="U776" s="40"/>
      <c r="V776" s="40"/>
      <c r="W776" s="40"/>
      <c r="Y776" s="40"/>
      <c r="Z776" s="40"/>
      <c r="AA776" s="40"/>
      <c r="AB776" s="40"/>
      <c r="AC776" s="41"/>
      <c r="AD776" s="41"/>
      <c r="AE776" s="41"/>
      <c r="AF776" s="41"/>
      <c r="AG776" s="41"/>
      <c r="AH776" s="40"/>
      <c r="AI776" s="40"/>
      <c r="AJ776" s="5"/>
      <c r="AK776" s="5"/>
      <c r="AL776" s="40"/>
      <c r="AM776" s="40"/>
      <c r="AN776" s="40"/>
      <c r="AO776" s="40"/>
      <c r="AP776" s="40"/>
      <c r="AQ776" s="40"/>
      <c r="AR776" s="40"/>
      <c r="AS776" s="40"/>
      <c r="AU776" s="40"/>
      <c r="AW776" s="40"/>
    </row>
    <row r="777" spans="2:49" ht="12.75" customHeight="1" x14ac:dyDescent="0.15">
      <c r="B777" s="40"/>
      <c r="C777" s="40"/>
      <c r="D777" s="40"/>
      <c r="E777" s="40"/>
      <c r="F777" s="40"/>
      <c r="G777" s="40"/>
      <c r="H777" s="40"/>
      <c r="I777" s="53"/>
      <c r="S777" s="40"/>
      <c r="T777" s="40"/>
      <c r="U777" s="40"/>
      <c r="V777" s="40"/>
      <c r="W777" s="40"/>
      <c r="Y777" s="40"/>
      <c r="Z777" s="40"/>
      <c r="AA777" s="40"/>
      <c r="AB777" s="40"/>
      <c r="AC777" s="41"/>
      <c r="AD777" s="41"/>
      <c r="AE777" s="41"/>
      <c r="AF777" s="41"/>
      <c r="AG777" s="41"/>
      <c r="AH777" s="40"/>
      <c r="AI777" s="40"/>
      <c r="AJ777" s="5"/>
      <c r="AK777" s="5"/>
      <c r="AL777" s="40"/>
      <c r="AM777" s="40"/>
      <c r="AN777" s="40"/>
      <c r="AO777" s="40"/>
      <c r="AP777" s="40"/>
      <c r="AQ777" s="40"/>
      <c r="AR777" s="40"/>
      <c r="AS777" s="40"/>
      <c r="AU777" s="40"/>
      <c r="AW777" s="40"/>
    </row>
    <row r="778" spans="2:49" ht="12.75" customHeight="1" x14ac:dyDescent="0.15">
      <c r="B778" s="40"/>
      <c r="C778" s="40"/>
      <c r="D778" s="40"/>
      <c r="E778" s="40"/>
      <c r="F778" s="40"/>
      <c r="G778" s="40"/>
      <c r="H778" s="40"/>
      <c r="I778" s="53"/>
      <c r="S778" s="40"/>
      <c r="T778" s="40"/>
      <c r="U778" s="40"/>
      <c r="V778" s="40"/>
      <c r="W778" s="40"/>
      <c r="Y778" s="40"/>
      <c r="Z778" s="40"/>
      <c r="AA778" s="40"/>
      <c r="AB778" s="40"/>
      <c r="AC778" s="41"/>
      <c r="AD778" s="41"/>
      <c r="AE778" s="41"/>
      <c r="AF778" s="41"/>
      <c r="AG778" s="41"/>
      <c r="AH778" s="40"/>
      <c r="AI778" s="40"/>
      <c r="AJ778" s="5"/>
      <c r="AK778" s="5"/>
      <c r="AL778" s="40"/>
      <c r="AM778" s="40"/>
      <c r="AN778" s="40"/>
      <c r="AO778" s="40"/>
      <c r="AP778" s="40"/>
      <c r="AQ778" s="40"/>
      <c r="AR778" s="40"/>
      <c r="AS778" s="40"/>
      <c r="AU778" s="40"/>
      <c r="AW778" s="40"/>
    </row>
    <row r="779" spans="2:49" ht="12.75" customHeight="1" x14ac:dyDescent="0.15">
      <c r="B779" s="40"/>
      <c r="C779" s="40"/>
      <c r="D779" s="40"/>
      <c r="E779" s="40"/>
      <c r="F779" s="40"/>
      <c r="G779" s="40"/>
      <c r="H779" s="40"/>
      <c r="I779" s="53"/>
      <c r="S779" s="40"/>
      <c r="T779" s="40"/>
      <c r="U779" s="40"/>
      <c r="V779" s="40"/>
      <c r="W779" s="40"/>
      <c r="Y779" s="40"/>
      <c r="Z779" s="40"/>
      <c r="AA779" s="40"/>
      <c r="AB779" s="40"/>
      <c r="AC779" s="41"/>
      <c r="AD779" s="41"/>
      <c r="AE779" s="41"/>
      <c r="AF779" s="41"/>
      <c r="AG779" s="41"/>
      <c r="AH779" s="40"/>
      <c r="AI779" s="40"/>
      <c r="AJ779" s="5"/>
      <c r="AK779" s="5"/>
      <c r="AL779" s="40"/>
      <c r="AM779" s="40"/>
      <c r="AN779" s="40"/>
      <c r="AO779" s="40"/>
      <c r="AP779" s="40"/>
      <c r="AQ779" s="40"/>
      <c r="AR779" s="40"/>
      <c r="AS779" s="40"/>
      <c r="AU779" s="40"/>
      <c r="AW779" s="40"/>
    </row>
    <row r="780" spans="2:49" ht="12.75" customHeight="1" x14ac:dyDescent="0.15">
      <c r="B780" s="40"/>
      <c r="C780" s="40"/>
      <c r="D780" s="40"/>
      <c r="E780" s="40"/>
      <c r="F780" s="40"/>
      <c r="G780" s="40"/>
      <c r="H780" s="40"/>
      <c r="I780" s="53"/>
      <c r="S780" s="40"/>
      <c r="T780" s="40"/>
      <c r="U780" s="40"/>
      <c r="V780" s="40"/>
      <c r="W780" s="40"/>
      <c r="Y780" s="40"/>
      <c r="Z780" s="40"/>
      <c r="AA780" s="40"/>
      <c r="AB780" s="40"/>
      <c r="AC780" s="41"/>
      <c r="AD780" s="41"/>
      <c r="AE780" s="41"/>
      <c r="AF780" s="41"/>
      <c r="AG780" s="41"/>
      <c r="AH780" s="40"/>
      <c r="AI780" s="40"/>
      <c r="AJ780" s="5"/>
      <c r="AK780" s="5"/>
      <c r="AL780" s="40"/>
      <c r="AM780" s="40"/>
      <c r="AN780" s="40"/>
      <c r="AO780" s="40"/>
      <c r="AP780" s="40"/>
      <c r="AQ780" s="40"/>
      <c r="AR780" s="40"/>
      <c r="AS780" s="40"/>
      <c r="AU780" s="40"/>
      <c r="AW780" s="40"/>
    </row>
    <row r="781" spans="2:49" ht="12.75" customHeight="1" x14ac:dyDescent="0.15">
      <c r="B781" s="40"/>
      <c r="C781" s="40"/>
      <c r="D781" s="40"/>
      <c r="E781" s="40"/>
      <c r="F781" s="40"/>
      <c r="G781" s="40"/>
      <c r="H781" s="40"/>
      <c r="I781" s="53"/>
      <c r="S781" s="40"/>
      <c r="T781" s="40"/>
      <c r="U781" s="40"/>
      <c r="V781" s="40"/>
      <c r="W781" s="40"/>
      <c r="Y781" s="40"/>
      <c r="Z781" s="40"/>
      <c r="AA781" s="40"/>
      <c r="AB781" s="40"/>
      <c r="AC781" s="41"/>
      <c r="AD781" s="41"/>
      <c r="AE781" s="41"/>
      <c r="AF781" s="41"/>
      <c r="AG781" s="41"/>
      <c r="AH781" s="40"/>
      <c r="AI781" s="40"/>
      <c r="AJ781" s="5"/>
      <c r="AK781" s="5"/>
      <c r="AL781" s="40"/>
      <c r="AM781" s="40"/>
      <c r="AN781" s="40"/>
      <c r="AO781" s="40"/>
      <c r="AP781" s="40"/>
      <c r="AQ781" s="40"/>
      <c r="AR781" s="40"/>
      <c r="AS781" s="40"/>
      <c r="AU781" s="40"/>
      <c r="AW781" s="40"/>
    </row>
    <row r="782" spans="2:49" ht="12.75" customHeight="1" x14ac:dyDescent="0.15">
      <c r="B782" s="40"/>
      <c r="C782" s="40"/>
      <c r="D782" s="40"/>
      <c r="E782" s="40"/>
      <c r="F782" s="40"/>
      <c r="G782" s="40"/>
      <c r="H782" s="40"/>
      <c r="I782" s="53"/>
      <c r="S782" s="40"/>
      <c r="T782" s="40"/>
      <c r="U782" s="40"/>
      <c r="V782" s="40"/>
      <c r="W782" s="40"/>
      <c r="Y782" s="40"/>
      <c r="Z782" s="40"/>
      <c r="AA782" s="40"/>
      <c r="AB782" s="40"/>
      <c r="AC782" s="41"/>
      <c r="AD782" s="41"/>
      <c r="AE782" s="41"/>
      <c r="AF782" s="41"/>
      <c r="AG782" s="41"/>
      <c r="AH782" s="40"/>
      <c r="AI782" s="40"/>
      <c r="AJ782" s="5"/>
      <c r="AK782" s="5"/>
      <c r="AL782" s="40"/>
      <c r="AM782" s="40"/>
      <c r="AN782" s="40"/>
      <c r="AO782" s="40"/>
      <c r="AP782" s="40"/>
      <c r="AQ782" s="40"/>
      <c r="AR782" s="40"/>
      <c r="AS782" s="40"/>
      <c r="AU782" s="40"/>
      <c r="AW782" s="40"/>
    </row>
    <row r="783" spans="2:49" ht="12.75" customHeight="1" x14ac:dyDescent="0.15">
      <c r="B783" s="40"/>
      <c r="C783" s="40"/>
      <c r="D783" s="40"/>
      <c r="E783" s="40"/>
      <c r="F783" s="40"/>
      <c r="G783" s="40"/>
      <c r="H783" s="40"/>
      <c r="I783" s="53"/>
      <c r="S783" s="40"/>
      <c r="T783" s="40"/>
      <c r="U783" s="40"/>
      <c r="V783" s="40"/>
      <c r="W783" s="40"/>
      <c r="Y783" s="40"/>
      <c r="Z783" s="40"/>
      <c r="AA783" s="40"/>
      <c r="AB783" s="40"/>
      <c r="AC783" s="41"/>
      <c r="AD783" s="41"/>
      <c r="AE783" s="41"/>
      <c r="AF783" s="41"/>
      <c r="AG783" s="41"/>
      <c r="AH783" s="40"/>
      <c r="AI783" s="40"/>
      <c r="AJ783" s="5"/>
      <c r="AK783" s="5"/>
      <c r="AL783" s="40"/>
      <c r="AM783" s="40"/>
      <c r="AN783" s="40"/>
      <c r="AO783" s="40"/>
      <c r="AP783" s="40"/>
      <c r="AQ783" s="40"/>
      <c r="AR783" s="40"/>
      <c r="AS783" s="40"/>
      <c r="AU783" s="40"/>
      <c r="AW783" s="40"/>
    </row>
    <row r="784" spans="2:49" ht="12.75" customHeight="1" x14ac:dyDescent="0.15">
      <c r="B784" s="40"/>
      <c r="C784" s="40"/>
      <c r="D784" s="40"/>
      <c r="E784" s="40"/>
      <c r="F784" s="40"/>
      <c r="G784" s="40"/>
      <c r="H784" s="40"/>
      <c r="I784" s="53"/>
      <c r="S784" s="40"/>
      <c r="T784" s="40"/>
      <c r="U784" s="40"/>
      <c r="V784" s="40"/>
      <c r="W784" s="40"/>
      <c r="Y784" s="40"/>
      <c r="Z784" s="40"/>
      <c r="AA784" s="40"/>
      <c r="AB784" s="40"/>
      <c r="AC784" s="41"/>
      <c r="AD784" s="41"/>
      <c r="AE784" s="41"/>
      <c r="AF784" s="41"/>
      <c r="AG784" s="41"/>
      <c r="AH784" s="40"/>
      <c r="AI784" s="40"/>
      <c r="AJ784" s="5"/>
      <c r="AK784" s="5"/>
      <c r="AL784" s="40"/>
      <c r="AM784" s="40"/>
      <c r="AN784" s="40"/>
      <c r="AO784" s="40"/>
      <c r="AP784" s="40"/>
      <c r="AQ784" s="40"/>
      <c r="AR784" s="40"/>
      <c r="AS784" s="40"/>
      <c r="AU784" s="40"/>
      <c r="AW784" s="40"/>
    </row>
    <row r="785" spans="2:49" ht="12.75" customHeight="1" x14ac:dyDescent="0.15">
      <c r="B785" s="40"/>
      <c r="C785" s="40"/>
      <c r="D785" s="40"/>
      <c r="E785" s="40"/>
      <c r="F785" s="40"/>
      <c r="G785" s="40"/>
      <c r="H785" s="40"/>
      <c r="I785" s="53"/>
      <c r="S785" s="40"/>
      <c r="T785" s="40"/>
      <c r="U785" s="40"/>
      <c r="V785" s="40"/>
      <c r="W785" s="40"/>
      <c r="Y785" s="40"/>
      <c r="Z785" s="40"/>
      <c r="AA785" s="40"/>
      <c r="AB785" s="40"/>
      <c r="AC785" s="41"/>
      <c r="AD785" s="41"/>
      <c r="AE785" s="41"/>
      <c r="AF785" s="41"/>
      <c r="AG785" s="41"/>
      <c r="AH785" s="40"/>
      <c r="AI785" s="40"/>
      <c r="AJ785" s="5"/>
      <c r="AK785" s="5"/>
      <c r="AL785" s="40"/>
      <c r="AM785" s="40"/>
      <c r="AN785" s="40"/>
      <c r="AO785" s="40"/>
      <c r="AP785" s="40"/>
      <c r="AQ785" s="40"/>
      <c r="AR785" s="40"/>
      <c r="AS785" s="40"/>
      <c r="AU785" s="40"/>
      <c r="AW785" s="40"/>
    </row>
    <row r="786" spans="2:49" ht="12.75" customHeight="1" x14ac:dyDescent="0.15">
      <c r="B786" s="40"/>
      <c r="C786" s="40"/>
      <c r="D786" s="40"/>
      <c r="E786" s="40"/>
      <c r="F786" s="40"/>
      <c r="G786" s="40"/>
      <c r="H786" s="40"/>
      <c r="I786" s="53"/>
      <c r="S786" s="40"/>
      <c r="T786" s="40"/>
      <c r="U786" s="40"/>
      <c r="V786" s="40"/>
      <c r="W786" s="40"/>
      <c r="Y786" s="40"/>
      <c r="Z786" s="40"/>
      <c r="AA786" s="40"/>
      <c r="AB786" s="40"/>
      <c r="AC786" s="41"/>
      <c r="AD786" s="41"/>
      <c r="AE786" s="41"/>
      <c r="AF786" s="41"/>
      <c r="AG786" s="41"/>
      <c r="AH786" s="40"/>
      <c r="AI786" s="40"/>
      <c r="AJ786" s="5"/>
      <c r="AK786" s="5"/>
      <c r="AL786" s="40"/>
      <c r="AM786" s="40"/>
      <c r="AN786" s="40"/>
      <c r="AO786" s="40"/>
      <c r="AP786" s="40"/>
      <c r="AQ786" s="40"/>
      <c r="AR786" s="40"/>
      <c r="AS786" s="40"/>
      <c r="AU786" s="40"/>
      <c r="AW786" s="40"/>
    </row>
    <row r="787" spans="2:49" ht="12.75" customHeight="1" x14ac:dyDescent="0.15">
      <c r="B787" s="40"/>
      <c r="C787" s="40"/>
      <c r="D787" s="40"/>
      <c r="E787" s="40"/>
      <c r="F787" s="40"/>
      <c r="G787" s="40"/>
      <c r="H787" s="40"/>
      <c r="I787" s="53"/>
      <c r="S787" s="40"/>
      <c r="T787" s="40"/>
      <c r="U787" s="40"/>
      <c r="V787" s="40"/>
      <c r="W787" s="40"/>
      <c r="Y787" s="40"/>
      <c r="Z787" s="40"/>
      <c r="AA787" s="40"/>
      <c r="AB787" s="40"/>
      <c r="AC787" s="41"/>
      <c r="AD787" s="41"/>
      <c r="AE787" s="41"/>
      <c r="AF787" s="41"/>
      <c r="AG787" s="41"/>
      <c r="AH787" s="40"/>
      <c r="AI787" s="40"/>
      <c r="AJ787" s="5"/>
      <c r="AK787" s="5"/>
      <c r="AL787" s="40"/>
      <c r="AM787" s="40"/>
      <c r="AN787" s="40"/>
      <c r="AO787" s="40"/>
      <c r="AP787" s="40"/>
      <c r="AQ787" s="40"/>
      <c r="AR787" s="40"/>
      <c r="AS787" s="40"/>
      <c r="AU787" s="40"/>
      <c r="AW787" s="40"/>
    </row>
    <row r="788" spans="2:49" ht="12.75" customHeight="1" x14ac:dyDescent="0.15">
      <c r="B788" s="40"/>
      <c r="C788" s="40"/>
      <c r="D788" s="40"/>
      <c r="E788" s="40"/>
      <c r="F788" s="40"/>
      <c r="G788" s="40"/>
      <c r="H788" s="40"/>
      <c r="I788" s="53"/>
      <c r="S788" s="40"/>
      <c r="T788" s="40"/>
      <c r="U788" s="40"/>
      <c r="V788" s="40"/>
      <c r="W788" s="40"/>
      <c r="Y788" s="40"/>
      <c r="Z788" s="40"/>
      <c r="AA788" s="40"/>
      <c r="AB788" s="40"/>
      <c r="AC788" s="41"/>
      <c r="AD788" s="41"/>
      <c r="AE788" s="41"/>
      <c r="AF788" s="41"/>
      <c r="AG788" s="41"/>
      <c r="AH788" s="40"/>
      <c r="AI788" s="40"/>
      <c r="AJ788" s="5"/>
      <c r="AK788" s="5"/>
      <c r="AL788" s="40"/>
      <c r="AM788" s="40"/>
      <c r="AN788" s="40"/>
      <c r="AO788" s="40"/>
      <c r="AP788" s="40"/>
      <c r="AQ788" s="40"/>
      <c r="AR788" s="40"/>
      <c r="AS788" s="40"/>
      <c r="AU788" s="40"/>
      <c r="AW788" s="40"/>
    </row>
    <row r="789" spans="2:49" ht="12.75" customHeight="1" x14ac:dyDescent="0.15">
      <c r="B789" s="40"/>
      <c r="C789" s="40"/>
      <c r="D789" s="40"/>
      <c r="E789" s="40"/>
      <c r="F789" s="40"/>
      <c r="G789" s="40"/>
      <c r="H789" s="40"/>
      <c r="I789" s="53"/>
      <c r="S789" s="40"/>
      <c r="T789" s="40"/>
      <c r="U789" s="40"/>
      <c r="V789" s="40"/>
      <c r="W789" s="40"/>
      <c r="Y789" s="40"/>
      <c r="Z789" s="40"/>
      <c r="AA789" s="40"/>
      <c r="AB789" s="40"/>
      <c r="AC789" s="41"/>
      <c r="AD789" s="41"/>
      <c r="AE789" s="41"/>
      <c r="AF789" s="41"/>
      <c r="AG789" s="41"/>
      <c r="AH789" s="40"/>
      <c r="AI789" s="40"/>
      <c r="AJ789" s="5"/>
      <c r="AK789" s="5"/>
      <c r="AL789" s="40"/>
      <c r="AM789" s="40"/>
      <c r="AN789" s="40"/>
      <c r="AO789" s="40"/>
      <c r="AP789" s="40"/>
      <c r="AQ789" s="40"/>
      <c r="AR789" s="40"/>
      <c r="AS789" s="40"/>
      <c r="AU789" s="40"/>
      <c r="AW789" s="40"/>
    </row>
    <row r="790" spans="2:49" ht="12.75" customHeight="1" x14ac:dyDescent="0.15">
      <c r="B790" s="40"/>
      <c r="C790" s="40"/>
      <c r="D790" s="40"/>
      <c r="E790" s="40"/>
      <c r="F790" s="40"/>
      <c r="G790" s="40"/>
      <c r="H790" s="40"/>
      <c r="I790" s="53"/>
      <c r="S790" s="40"/>
      <c r="T790" s="40"/>
      <c r="U790" s="40"/>
      <c r="V790" s="40"/>
      <c r="W790" s="40"/>
      <c r="Y790" s="40"/>
      <c r="Z790" s="40"/>
      <c r="AA790" s="40"/>
      <c r="AB790" s="40"/>
      <c r="AC790" s="41"/>
      <c r="AD790" s="41"/>
      <c r="AE790" s="41"/>
      <c r="AF790" s="41"/>
      <c r="AG790" s="41"/>
      <c r="AH790" s="40"/>
      <c r="AI790" s="40"/>
      <c r="AJ790" s="5"/>
      <c r="AK790" s="5"/>
      <c r="AL790" s="40"/>
      <c r="AM790" s="40"/>
      <c r="AN790" s="40"/>
      <c r="AO790" s="40"/>
      <c r="AP790" s="40"/>
      <c r="AQ790" s="40"/>
      <c r="AR790" s="40"/>
      <c r="AS790" s="40"/>
      <c r="AU790" s="40"/>
      <c r="AW790" s="40"/>
    </row>
    <row r="791" spans="2:49" ht="12.75" customHeight="1" x14ac:dyDescent="0.15">
      <c r="B791" s="40"/>
      <c r="C791" s="40"/>
      <c r="D791" s="40"/>
      <c r="E791" s="40"/>
      <c r="F791" s="40"/>
      <c r="G791" s="40"/>
      <c r="H791" s="40"/>
      <c r="I791" s="53"/>
      <c r="S791" s="40"/>
      <c r="T791" s="40"/>
      <c r="U791" s="40"/>
      <c r="V791" s="40"/>
      <c r="W791" s="40"/>
      <c r="Y791" s="40"/>
      <c r="Z791" s="40"/>
      <c r="AA791" s="40"/>
      <c r="AB791" s="40"/>
      <c r="AC791" s="41"/>
      <c r="AD791" s="41"/>
      <c r="AE791" s="41"/>
      <c r="AF791" s="41"/>
      <c r="AG791" s="41"/>
      <c r="AH791" s="40"/>
      <c r="AI791" s="40"/>
      <c r="AJ791" s="5"/>
      <c r="AK791" s="5"/>
      <c r="AL791" s="40"/>
      <c r="AM791" s="40"/>
      <c r="AN791" s="40"/>
      <c r="AO791" s="40"/>
      <c r="AP791" s="40"/>
      <c r="AQ791" s="40"/>
      <c r="AR791" s="40"/>
      <c r="AS791" s="40"/>
      <c r="AU791" s="40"/>
      <c r="AW791" s="40"/>
    </row>
    <row r="792" spans="2:49" ht="12.75" customHeight="1" x14ac:dyDescent="0.15">
      <c r="B792" s="40"/>
      <c r="C792" s="40"/>
      <c r="D792" s="40"/>
      <c r="E792" s="40"/>
      <c r="F792" s="40"/>
      <c r="G792" s="40"/>
      <c r="H792" s="40"/>
      <c r="I792" s="53"/>
      <c r="S792" s="40"/>
      <c r="T792" s="40"/>
      <c r="U792" s="40"/>
      <c r="V792" s="40"/>
      <c r="W792" s="40"/>
      <c r="Y792" s="40"/>
      <c r="Z792" s="40"/>
      <c r="AA792" s="40"/>
      <c r="AB792" s="40"/>
      <c r="AC792" s="41"/>
      <c r="AD792" s="41"/>
      <c r="AE792" s="41"/>
      <c r="AF792" s="41"/>
      <c r="AG792" s="41"/>
      <c r="AH792" s="40"/>
      <c r="AI792" s="40"/>
      <c r="AJ792" s="5"/>
      <c r="AK792" s="5"/>
      <c r="AL792" s="40"/>
      <c r="AM792" s="40"/>
      <c r="AN792" s="40"/>
      <c r="AO792" s="40"/>
      <c r="AP792" s="40"/>
      <c r="AQ792" s="40"/>
      <c r="AR792" s="40"/>
      <c r="AS792" s="40"/>
      <c r="AU792" s="40"/>
      <c r="AW792" s="40"/>
    </row>
    <row r="793" spans="2:49" ht="12.75" customHeight="1" x14ac:dyDescent="0.15">
      <c r="B793" s="40"/>
      <c r="C793" s="40"/>
      <c r="D793" s="40"/>
      <c r="E793" s="40"/>
      <c r="F793" s="40"/>
      <c r="G793" s="40"/>
      <c r="H793" s="40"/>
      <c r="I793" s="53"/>
      <c r="S793" s="40"/>
      <c r="T793" s="40"/>
      <c r="U793" s="40"/>
      <c r="V793" s="40"/>
      <c r="W793" s="40"/>
      <c r="Y793" s="40"/>
      <c r="Z793" s="40"/>
      <c r="AA793" s="40"/>
      <c r="AB793" s="40"/>
      <c r="AC793" s="41"/>
      <c r="AD793" s="41"/>
      <c r="AE793" s="41"/>
      <c r="AF793" s="41"/>
      <c r="AG793" s="41"/>
      <c r="AH793" s="40"/>
      <c r="AI793" s="40"/>
      <c r="AJ793" s="5"/>
      <c r="AK793" s="5"/>
      <c r="AL793" s="40"/>
      <c r="AM793" s="40"/>
      <c r="AN793" s="40"/>
      <c r="AO793" s="40"/>
      <c r="AP793" s="40"/>
      <c r="AQ793" s="40"/>
      <c r="AR793" s="40"/>
      <c r="AS793" s="40"/>
      <c r="AU793" s="40"/>
      <c r="AW793" s="40"/>
    </row>
    <row r="794" spans="2:49" ht="12.75" customHeight="1" x14ac:dyDescent="0.15">
      <c r="B794" s="40"/>
      <c r="C794" s="40"/>
      <c r="D794" s="40"/>
      <c r="E794" s="40"/>
      <c r="F794" s="40"/>
      <c r="G794" s="40"/>
      <c r="H794" s="40"/>
      <c r="I794" s="53"/>
      <c r="S794" s="40"/>
      <c r="T794" s="40"/>
      <c r="U794" s="40"/>
      <c r="V794" s="40"/>
      <c r="W794" s="40"/>
      <c r="Y794" s="40"/>
      <c r="Z794" s="40"/>
      <c r="AA794" s="40"/>
      <c r="AB794" s="40"/>
      <c r="AC794" s="41"/>
      <c r="AD794" s="41"/>
      <c r="AE794" s="41"/>
      <c r="AF794" s="41"/>
      <c r="AG794" s="41"/>
      <c r="AH794" s="40"/>
      <c r="AI794" s="40"/>
      <c r="AJ794" s="5"/>
      <c r="AK794" s="5"/>
      <c r="AL794" s="40"/>
      <c r="AM794" s="40"/>
      <c r="AN794" s="40"/>
      <c r="AO794" s="40"/>
      <c r="AP794" s="40"/>
      <c r="AQ794" s="40"/>
      <c r="AR794" s="40"/>
      <c r="AS794" s="40"/>
      <c r="AU794" s="40"/>
      <c r="AW794" s="40"/>
    </row>
    <row r="795" spans="2:49" ht="12.75" customHeight="1" x14ac:dyDescent="0.15">
      <c r="B795" s="40"/>
      <c r="C795" s="40"/>
      <c r="D795" s="40"/>
      <c r="E795" s="40"/>
      <c r="F795" s="40"/>
      <c r="G795" s="40"/>
      <c r="H795" s="40"/>
      <c r="I795" s="53"/>
      <c r="S795" s="40"/>
      <c r="T795" s="40"/>
      <c r="U795" s="40"/>
      <c r="V795" s="40"/>
      <c r="W795" s="40"/>
      <c r="Y795" s="40"/>
      <c r="Z795" s="40"/>
      <c r="AA795" s="40"/>
      <c r="AB795" s="40"/>
      <c r="AC795" s="41"/>
      <c r="AD795" s="41"/>
      <c r="AE795" s="41"/>
      <c r="AF795" s="41"/>
      <c r="AG795" s="41"/>
      <c r="AH795" s="40"/>
      <c r="AI795" s="40"/>
      <c r="AJ795" s="5"/>
      <c r="AK795" s="5"/>
      <c r="AL795" s="40"/>
      <c r="AM795" s="40"/>
      <c r="AN795" s="40"/>
      <c r="AO795" s="40"/>
      <c r="AP795" s="40"/>
      <c r="AQ795" s="40"/>
      <c r="AR795" s="40"/>
      <c r="AS795" s="40"/>
      <c r="AU795" s="40"/>
      <c r="AW795" s="40"/>
    </row>
    <row r="796" spans="2:49" ht="12.75" customHeight="1" x14ac:dyDescent="0.15">
      <c r="B796" s="40"/>
      <c r="C796" s="40"/>
      <c r="D796" s="40"/>
      <c r="E796" s="40"/>
      <c r="F796" s="40"/>
      <c r="G796" s="40"/>
      <c r="H796" s="40"/>
      <c r="I796" s="53"/>
      <c r="S796" s="40"/>
      <c r="T796" s="40"/>
      <c r="U796" s="40"/>
      <c r="V796" s="40"/>
      <c r="W796" s="40"/>
      <c r="Y796" s="40"/>
      <c r="Z796" s="40"/>
      <c r="AA796" s="40"/>
      <c r="AB796" s="40"/>
      <c r="AC796" s="41"/>
      <c r="AD796" s="41"/>
      <c r="AE796" s="41"/>
      <c r="AF796" s="41"/>
      <c r="AG796" s="41"/>
      <c r="AH796" s="40"/>
      <c r="AI796" s="40"/>
      <c r="AJ796" s="5"/>
      <c r="AK796" s="5"/>
      <c r="AL796" s="40"/>
      <c r="AM796" s="40"/>
      <c r="AN796" s="40"/>
      <c r="AO796" s="40"/>
      <c r="AP796" s="40"/>
      <c r="AQ796" s="40"/>
      <c r="AR796" s="40"/>
      <c r="AS796" s="40"/>
      <c r="AU796" s="40"/>
      <c r="AW796" s="40"/>
    </row>
    <row r="797" spans="2:49" ht="12.75" customHeight="1" x14ac:dyDescent="0.15">
      <c r="B797" s="40"/>
      <c r="C797" s="40"/>
      <c r="D797" s="40"/>
      <c r="E797" s="40"/>
      <c r="F797" s="40"/>
      <c r="G797" s="40"/>
      <c r="H797" s="40"/>
      <c r="I797" s="53"/>
      <c r="S797" s="40"/>
      <c r="T797" s="40"/>
      <c r="U797" s="40"/>
      <c r="V797" s="40"/>
      <c r="W797" s="40"/>
      <c r="Y797" s="40"/>
      <c r="Z797" s="40"/>
      <c r="AA797" s="40"/>
      <c r="AB797" s="40"/>
      <c r="AC797" s="41"/>
      <c r="AD797" s="41"/>
      <c r="AE797" s="41"/>
      <c r="AF797" s="41"/>
      <c r="AG797" s="41"/>
      <c r="AH797" s="40"/>
      <c r="AI797" s="40"/>
      <c r="AJ797" s="5"/>
      <c r="AK797" s="5"/>
      <c r="AL797" s="40"/>
      <c r="AM797" s="40"/>
      <c r="AN797" s="40"/>
      <c r="AO797" s="40"/>
      <c r="AP797" s="40"/>
      <c r="AQ797" s="40"/>
      <c r="AR797" s="40"/>
      <c r="AS797" s="40"/>
      <c r="AU797" s="40"/>
      <c r="AW797" s="40"/>
    </row>
    <row r="798" spans="2:49" ht="12.75" customHeight="1" x14ac:dyDescent="0.15">
      <c r="B798" s="40"/>
      <c r="C798" s="40"/>
      <c r="D798" s="40"/>
      <c r="E798" s="40"/>
      <c r="F798" s="40"/>
      <c r="G798" s="40"/>
      <c r="H798" s="40"/>
      <c r="I798" s="53"/>
      <c r="S798" s="40"/>
      <c r="T798" s="40"/>
      <c r="U798" s="40"/>
      <c r="V798" s="40"/>
      <c r="W798" s="40"/>
      <c r="Y798" s="40"/>
      <c r="Z798" s="40"/>
      <c r="AA798" s="40"/>
      <c r="AB798" s="40"/>
      <c r="AC798" s="41"/>
      <c r="AD798" s="41"/>
      <c r="AE798" s="41"/>
      <c r="AF798" s="41"/>
      <c r="AG798" s="41"/>
      <c r="AH798" s="40"/>
      <c r="AI798" s="40"/>
      <c r="AJ798" s="5"/>
      <c r="AK798" s="5"/>
      <c r="AL798" s="40"/>
      <c r="AM798" s="40"/>
      <c r="AN798" s="40"/>
      <c r="AO798" s="40"/>
      <c r="AP798" s="40"/>
      <c r="AQ798" s="40"/>
      <c r="AR798" s="40"/>
      <c r="AS798" s="40"/>
      <c r="AU798" s="40"/>
      <c r="AW798" s="40"/>
    </row>
    <row r="799" spans="2:49" ht="12.75" customHeight="1" x14ac:dyDescent="0.15">
      <c r="B799" s="40"/>
      <c r="C799" s="40"/>
      <c r="D799" s="40"/>
      <c r="E799" s="40"/>
      <c r="F799" s="40"/>
      <c r="G799" s="40"/>
      <c r="H799" s="40"/>
      <c r="I799" s="53"/>
      <c r="S799" s="40"/>
      <c r="T799" s="40"/>
      <c r="U799" s="40"/>
      <c r="V799" s="40"/>
      <c r="W799" s="40"/>
      <c r="Y799" s="40"/>
      <c r="Z799" s="40"/>
      <c r="AA799" s="40"/>
      <c r="AB799" s="40"/>
      <c r="AC799" s="41"/>
      <c r="AD799" s="41"/>
      <c r="AE799" s="41"/>
      <c r="AF799" s="41"/>
      <c r="AG799" s="41"/>
      <c r="AH799" s="40"/>
      <c r="AI799" s="40"/>
      <c r="AJ799" s="5"/>
      <c r="AK799" s="5"/>
      <c r="AL799" s="40"/>
      <c r="AM799" s="40"/>
      <c r="AN799" s="40"/>
      <c r="AO799" s="40"/>
      <c r="AP799" s="40"/>
      <c r="AQ799" s="40"/>
      <c r="AR799" s="40"/>
      <c r="AS799" s="40"/>
      <c r="AU799" s="40"/>
      <c r="AW799" s="40"/>
    </row>
    <row r="800" spans="2:49" ht="12.75" customHeight="1" x14ac:dyDescent="0.15">
      <c r="B800" s="40"/>
      <c r="C800" s="40"/>
      <c r="D800" s="40"/>
      <c r="E800" s="40"/>
      <c r="F800" s="40"/>
      <c r="G800" s="40"/>
      <c r="H800" s="40"/>
      <c r="I800" s="53"/>
      <c r="S800" s="40"/>
      <c r="T800" s="40"/>
      <c r="U800" s="40"/>
      <c r="V800" s="40"/>
      <c r="W800" s="40"/>
      <c r="Y800" s="40"/>
      <c r="Z800" s="40"/>
      <c r="AA800" s="40"/>
      <c r="AB800" s="40"/>
      <c r="AC800" s="41"/>
      <c r="AD800" s="41"/>
      <c r="AE800" s="41"/>
      <c r="AF800" s="41"/>
      <c r="AG800" s="41"/>
      <c r="AH800" s="40"/>
      <c r="AI800" s="40"/>
      <c r="AJ800" s="5"/>
      <c r="AK800" s="5"/>
      <c r="AL800" s="40"/>
      <c r="AM800" s="40"/>
      <c r="AN800" s="40"/>
      <c r="AO800" s="40"/>
      <c r="AP800" s="40"/>
      <c r="AQ800" s="40"/>
      <c r="AR800" s="40"/>
      <c r="AS800" s="40"/>
      <c r="AU800" s="40"/>
      <c r="AW800" s="40"/>
    </row>
    <row r="801" spans="2:49" ht="12.75" customHeight="1" x14ac:dyDescent="0.15">
      <c r="B801" s="40"/>
      <c r="C801" s="40"/>
      <c r="D801" s="40"/>
      <c r="E801" s="40"/>
      <c r="F801" s="40"/>
      <c r="G801" s="40"/>
      <c r="H801" s="40"/>
      <c r="I801" s="53"/>
      <c r="S801" s="40"/>
      <c r="T801" s="40"/>
      <c r="U801" s="40"/>
      <c r="V801" s="40"/>
      <c r="W801" s="40"/>
      <c r="Y801" s="40"/>
      <c r="Z801" s="40"/>
      <c r="AA801" s="40"/>
      <c r="AB801" s="40"/>
      <c r="AC801" s="41"/>
      <c r="AD801" s="41"/>
      <c r="AE801" s="41"/>
      <c r="AF801" s="41"/>
      <c r="AG801" s="41"/>
      <c r="AH801" s="40"/>
      <c r="AI801" s="40"/>
      <c r="AJ801" s="5"/>
      <c r="AK801" s="5"/>
      <c r="AL801" s="40"/>
      <c r="AM801" s="40"/>
      <c r="AN801" s="40"/>
      <c r="AO801" s="40"/>
      <c r="AP801" s="40"/>
      <c r="AQ801" s="40"/>
      <c r="AR801" s="40"/>
      <c r="AS801" s="40"/>
      <c r="AU801" s="40"/>
      <c r="AW801" s="40"/>
    </row>
    <row r="802" spans="2:49" ht="12.75" customHeight="1" x14ac:dyDescent="0.15">
      <c r="B802" s="40"/>
      <c r="C802" s="40"/>
      <c r="D802" s="40"/>
      <c r="E802" s="40"/>
      <c r="F802" s="40"/>
      <c r="G802" s="40"/>
      <c r="H802" s="40"/>
      <c r="I802" s="53"/>
      <c r="S802" s="40"/>
      <c r="T802" s="40"/>
      <c r="U802" s="40"/>
      <c r="V802" s="40"/>
      <c r="W802" s="40"/>
      <c r="Y802" s="40"/>
      <c r="Z802" s="40"/>
      <c r="AA802" s="40"/>
      <c r="AB802" s="40"/>
      <c r="AC802" s="41"/>
      <c r="AD802" s="41"/>
      <c r="AE802" s="41"/>
      <c r="AF802" s="41"/>
      <c r="AG802" s="41"/>
      <c r="AH802" s="40"/>
      <c r="AI802" s="40"/>
      <c r="AJ802" s="5"/>
      <c r="AK802" s="5"/>
      <c r="AL802" s="40"/>
      <c r="AM802" s="40"/>
      <c r="AN802" s="40"/>
      <c r="AO802" s="40"/>
      <c r="AP802" s="40"/>
      <c r="AQ802" s="40"/>
      <c r="AR802" s="40"/>
      <c r="AS802" s="40"/>
      <c r="AU802" s="40"/>
      <c r="AW802" s="40"/>
    </row>
    <row r="803" spans="2:49" ht="12.75" customHeight="1" x14ac:dyDescent="0.15">
      <c r="B803" s="40"/>
      <c r="C803" s="40"/>
      <c r="D803" s="40"/>
      <c r="E803" s="40"/>
      <c r="F803" s="40"/>
      <c r="G803" s="40"/>
      <c r="H803" s="40"/>
      <c r="I803" s="53"/>
      <c r="S803" s="40"/>
      <c r="T803" s="40"/>
      <c r="U803" s="40"/>
      <c r="V803" s="40"/>
      <c r="W803" s="40"/>
      <c r="Y803" s="40"/>
      <c r="Z803" s="40"/>
      <c r="AA803" s="40"/>
      <c r="AB803" s="40"/>
      <c r="AC803" s="41"/>
      <c r="AD803" s="41"/>
      <c r="AE803" s="41"/>
      <c r="AF803" s="41"/>
      <c r="AG803" s="41"/>
      <c r="AH803" s="40"/>
      <c r="AI803" s="40"/>
      <c r="AJ803" s="5"/>
      <c r="AK803" s="5"/>
      <c r="AL803" s="40"/>
      <c r="AM803" s="40"/>
      <c r="AN803" s="40"/>
      <c r="AO803" s="40"/>
      <c r="AP803" s="40"/>
      <c r="AQ803" s="40"/>
      <c r="AR803" s="40"/>
      <c r="AS803" s="40"/>
      <c r="AU803" s="40"/>
      <c r="AW803" s="40"/>
    </row>
    <row r="804" spans="2:49" ht="12.75" customHeight="1" x14ac:dyDescent="0.15">
      <c r="B804" s="40"/>
      <c r="C804" s="40"/>
      <c r="D804" s="40"/>
      <c r="E804" s="40"/>
      <c r="F804" s="40"/>
      <c r="G804" s="40"/>
      <c r="H804" s="40"/>
      <c r="I804" s="53"/>
      <c r="S804" s="40"/>
      <c r="T804" s="40"/>
      <c r="U804" s="40"/>
      <c r="V804" s="40"/>
      <c r="W804" s="40"/>
      <c r="Y804" s="40"/>
      <c r="Z804" s="40"/>
      <c r="AA804" s="40"/>
      <c r="AB804" s="40"/>
      <c r="AC804" s="41"/>
      <c r="AD804" s="41"/>
      <c r="AE804" s="41"/>
      <c r="AF804" s="41"/>
      <c r="AG804" s="41"/>
      <c r="AH804" s="40"/>
      <c r="AI804" s="40"/>
      <c r="AJ804" s="5"/>
      <c r="AK804" s="5"/>
      <c r="AL804" s="40"/>
      <c r="AM804" s="40"/>
      <c r="AN804" s="40"/>
      <c r="AO804" s="40"/>
      <c r="AP804" s="40"/>
      <c r="AQ804" s="40"/>
      <c r="AR804" s="40"/>
      <c r="AS804" s="40"/>
      <c r="AU804" s="40"/>
      <c r="AW804" s="40"/>
    </row>
    <row r="805" spans="2:49" ht="12.75" customHeight="1" x14ac:dyDescent="0.15">
      <c r="B805" s="40"/>
      <c r="C805" s="40"/>
      <c r="D805" s="40"/>
      <c r="E805" s="40"/>
      <c r="F805" s="40"/>
      <c r="G805" s="40"/>
      <c r="H805" s="40"/>
      <c r="I805" s="53"/>
      <c r="S805" s="40"/>
      <c r="T805" s="40"/>
      <c r="U805" s="40"/>
      <c r="V805" s="40"/>
      <c r="W805" s="40"/>
      <c r="Y805" s="40"/>
      <c r="Z805" s="40"/>
      <c r="AA805" s="40"/>
      <c r="AB805" s="40"/>
      <c r="AC805" s="41"/>
      <c r="AD805" s="41"/>
      <c r="AE805" s="41"/>
      <c r="AF805" s="41"/>
      <c r="AG805" s="41"/>
      <c r="AH805" s="40"/>
      <c r="AI805" s="40"/>
      <c r="AJ805" s="5"/>
      <c r="AK805" s="5"/>
      <c r="AL805" s="40"/>
      <c r="AM805" s="40"/>
      <c r="AN805" s="40"/>
      <c r="AO805" s="40"/>
      <c r="AP805" s="40"/>
      <c r="AQ805" s="40"/>
      <c r="AR805" s="40"/>
      <c r="AS805" s="40"/>
      <c r="AU805" s="40"/>
      <c r="AW805" s="40"/>
    </row>
    <row r="806" spans="2:49" ht="12.75" customHeight="1" x14ac:dyDescent="0.15">
      <c r="B806" s="40"/>
      <c r="C806" s="40"/>
      <c r="D806" s="40"/>
      <c r="E806" s="40"/>
      <c r="F806" s="40"/>
      <c r="G806" s="40"/>
      <c r="H806" s="40"/>
      <c r="I806" s="53"/>
      <c r="S806" s="40"/>
      <c r="T806" s="40"/>
      <c r="U806" s="40"/>
      <c r="V806" s="40"/>
      <c r="W806" s="40"/>
      <c r="Y806" s="40"/>
      <c r="Z806" s="40"/>
      <c r="AA806" s="40"/>
      <c r="AB806" s="40"/>
      <c r="AC806" s="41"/>
      <c r="AD806" s="41"/>
      <c r="AE806" s="41"/>
      <c r="AF806" s="41"/>
      <c r="AG806" s="41"/>
      <c r="AH806" s="40"/>
      <c r="AI806" s="40"/>
      <c r="AJ806" s="5"/>
      <c r="AK806" s="5"/>
      <c r="AL806" s="40"/>
      <c r="AM806" s="40"/>
      <c r="AN806" s="40"/>
      <c r="AO806" s="40"/>
      <c r="AP806" s="40"/>
      <c r="AQ806" s="40"/>
      <c r="AR806" s="40"/>
      <c r="AS806" s="40"/>
      <c r="AU806" s="40"/>
      <c r="AW806" s="40"/>
    </row>
    <row r="807" spans="2:49" ht="12.75" customHeight="1" x14ac:dyDescent="0.15">
      <c r="B807" s="40"/>
      <c r="C807" s="40"/>
      <c r="D807" s="40"/>
      <c r="E807" s="40"/>
      <c r="F807" s="40"/>
      <c r="G807" s="40"/>
      <c r="H807" s="40"/>
      <c r="I807" s="53"/>
      <c r="S807" s="40"/>
      <c r="T807" s="40"/>
      <c r="U807" s="40"/>
      <c r="V807" s="40"/>
      <c r="W807" s="40"/>
      <c r="Y807" s="40"/>
      <c r="Z807" s="40"/>
      <c r="AA807" s="40"/>
      <c r="AB807" s="40"/>
      <c r="AC807" s="41"/>
      <c r="AD807" s="41"/>
      <c r="AE807" s="41"/>
      <c r="AF807" s="41"/>
      <c r="AG807" s="41"/>
      <c r="AH807" s="40"/>
      <c r="AI807" s="40"/>
      <c r="AJ807" s="5"/>
      <c r="AK807" s="5"/>
      <c r="AL807" s="40"/>
      <c r="AM807" s="40"/>
      <c r="AN807" s="40"/>
      <c r="AO807" s="40"/>
      <c r="AP807" s="40"/>
      <c r="AQ807" s="40"/>
      <c r="AR807" s="40"/>
      <c r="AS807" s="40"/>
      <c r="AU807" s="40"/>
      <c r="AW807" s="40"/>
    </row>
    <row r="808" spans="2:49" ht="12.75" customHeight="1" x14ac:dyDescent="0.15">
      <c r="B808" s="40"/>
      <c r="C808" s="40"/>
      <c r="D808" s="40"/>
      <c r="E808" s="40"/>
      <c r="F808" s="40"/>
      <c r="G808" s="40"/>
      <c r="H808" s="40"/>
      <c r="I808" s="53"/>
      <c r="S808" s="40"/>
      <c r="T808" s="40"/>
      <c r="U808" s="40"/>
      <c r="V808" s="40"/>
      <c r="W808" s="40"/>
      <c r="Y808" s="40"/>
      <c r="Z808" s="40"/>
      <c r="AA808" s="40"/>
      <c r="AB808" s="40"/>
      <c r="AC808" s="41"/>
      <c r="AD808" s="41"/>
      <c r="AE808" s="41"/>
      <c r="AF808" s="41"/>
      <c r="AG808" s="41"/>
      <c r="AH808" s="40"/>
      <c r="AI808" s="40"/>
      <c r="AJ808" s="5"/>
      <c r="AK808" s="5"/>
      <c r="AL808" s="40"/>
      <c r="AM808" s="40"/>
      <c r="AN808" s="40"/>
      <c r="AO808" s="40"/>
      <c r="AP808" s="40"/>
      <c r="AQ808" s="40"/>
      <c r="AR808" s="40"/>
      <c r="AS808" s="40"/>
      <c r="AU808" s="40"/>
      <c r="AW808" s="40"/>
    </row>
    <row r="809" spans="2:49" ht="12.75" customHeight="1" x14ac:dyDescent="0.15">
      <c r="B809" s="40"/>
      <c r="C809" s="40"/>
      <c r="D809" s="40"/>
      <c r="E809" s="40"/>
      <c r="F809" s="40"/>
      <c r="G809" s="40"/>
      <c r="H809" s="40"/>
      <c r="I809" s="53"/>
      <c r="S809" s="40"/>
      <c r="T809" s="40"/>
      <c r="U809" s="40"/>
      <c r="V809" s="40"/>
      <c r="W809" s="40"/>
      <c r="Y809" s="40"/>
      <c r="Z809" s="40"/>
      <c r="AA809" s="40"/>
      <c r="AB809" s="40"/>
      <c r="AC809" s="41"/>
      <c r="AD809" s="41"/>
      <c r="AE809" s="41"/>
      <c r="AF809" s="41"/>
      <c r="AG809" s="41"/>
      <c r="AH809" s="40"/>
      <c r="AI809" s="40"/>
      <c r="AJ809" s="5"/>
      <c r="AK809" s="5"/>
      <c r="AL809" s="40"/>
      <c r="AM809" s="40"/>
      <c r="AN809" s="40"/>
      <c r="AO809" s="40"/>
      <c r="AP809" s="40"/>
      <c r="AQ809" s="40"/>
      <c r="AR809" s="40"/>
      <c r="AS809" s="40"/>
      <c r="AU809" s="40"/>
      <c r="AW809" s="40"/>
    </row>
    <row r="810" spans="2:49" ht="12.75" customHeight="1" x14ac:dyDescent="0.15">
      <c r="B810" s="40"/>
      <c r="C810" s="40"/>
      <c r="D810" s="40"/>
      <c r="E810" s="40"/>
      <c r="F810" s="40"/>
      <c r="G810" s="40"/>
      <c r="H810" s="40"/>
      <c r="I810" s="53"/>
      <c r="S810" s="40"/>
      <c r="T810" s="40"/>
      <c r="U810" s="40"/>
      <c r="V810" s="40"/>
      <c r="W810" s="40"/>
      <c r="Y810" s="40"/>
      <c r="Z810" s="40"/>
      <c r="AA810" s="40"/>
      <c r="AB810" s="40"/>
      <c r="AC810" s="41"/>
      <c r="AD810" s="41"/>
      <c r="AE810" s="41"/>
      <c r="AF810" s="41"/>
      <c r="AG810" s="41"/>
      <c r="AH810" s="40"/>
      <c r="AI810" s="40"/>
      <c r="AJ810" s="5"/>
      <c r="AK810" s="5"/>
      <c r="AL810" s="40"/>
      <c r="AM810" s="40"/>
      <c r="AN810" s="40"/>
      <c r="AO810" s="40"/>
      <c r="AP810" s="40"/>
      <c r="AQ810" s="40"/>
      <c r="AR810" s="40"/>
      <c r="AS810" s="40"/>
      <c r="AU810" s="40"/>
      <c r="AW810" s="40"/>
    </row>
    <row r="811" spans="2:49" ht="12.75" customHeight="1" x14ac:dyDescent="0.15">
      <c r="B811" s="40"/>
      <c r="C811" s="40"/>
      <c r="D811" s="40"/>
      <c r="E811" s="40"/>
      <c r="F811" s="40"/>
      <c r="G811" s="40"/>
      <c r="H811" s="40"/>
      <c r="I811" s="53"/>
      <c r="S811" s="40"/>
      <c r="T811" s="40"/>
      <c r="U811" s="40"/>
      <c r="V811" s="40"/>
      <c r="W811" s="40"/>
      <c r="Y811" s="40"/>
      <c r="Z811" s="40"/>
      <c r="AA811" s="40"/>
      <c r="AB811" s="40"/>
      <c r="AC811" s="41"/>
      <c r="AD811" s="41"/>
      <c r="AE811" s="41"/>
      <c r="AF811" s="41"/>
      <c r="AG811" s="41"/>
      <c r="AH811" s="40"/>
      <c r="AI811" s="40"/>
      <c r="AJ811" s="5"/>
      <c r="AK811" s="5"/>
      <c r="AL811" s="40"/>
      <c r="AM811" s="40"/>
      <c r="AN811" s="40"/>
      <c r="AO811" s="40"/>
      <c r="AP811" s="40"/>
      <c r="AQ811" s="40"/>
      <c r="AR811" s="40"/>
      <c r="AS811" s="40"/>
      <c r="AU811" s="40"/>
      <c r="AW811" s="40"/>
    </row>
    <row r="812" spans="2:49" ht="12.75" customHeight="1" x14ac:dyDescent="0.15">
      <c r="B812" s="40"/>
      <c r="C812" s="40"/>
      <c r="D812" s="40"/>
      <c r="E812" s="40"/>
      <c r="F812" s="40"/>
      <c r="G812" s="40"/>
      <c r="H812" s="40"/>
      <c r="I812" s="53"/>
      <c r="S812" s="40"/>
      <c r="T812" s="40"/>
      <c r="U812" s="40"/>
      <c r="V812" s="40"/>
      <c r="W812" s="40"/>
      <c r="Y812" s="40"/>
      <c r="Z812" s="40"/>
      <c r="AA812" s="40"/>
      <c r="AB812" s="40"/>
      <c r="AC812" s="41"/>
      <c r="AD812" s="41"/>
      <c r="AE812" s="41"/>
      <c r="AF812" s="41"/>
      <c r="AG812" s="41"/>
      <c r="AH812" s="40"/>
      <c r="AI812" s="40"/>
      <c r="AJ812" s="5"/>
      <c r="AK812" s="5"/>
      <c r="AL812" s="40"/>
      <c r="AM812" s="40"/>
      <c r="AN812" s="40"/>
      <c r="AO812" s="40"/>
      <c r="AP812" s="40"/>
      <c r="AQ812" s="40"/>
      <c r="AR812" s="40"/>
      <c r="AS812" s="40"/>
      <c r="AU812" s="40"/>
      <c r="AW812" s="40"/>
    </row>
    <row r="813" spans="2:49" ht="12.75" customHeight="1" x14ac:dyDescent="0.15">
      <c r="B813" s="40"/>
      <c r="C813" s="40"/>
      <c r="D813" s="40"/>
      <c r="E813" s="40"/>
      <c r="F813" s="40"/>
      <c r="G813" s="40"/>
      <c r="H813" s="40"/>
      <c r="I813" s="53"/>
      <c r="S813" s="40"/>
      <c r="T813" s="40"/>
      <c r="U813" s="40"/>
      <c r="V813" s="40"/>
      <c r="W813" s="40"/>
      <c r="Y813" s="40"/>
      <c r="Z813" s="40"/>
      <c r="AA813" s="40"/>
      <c r="AB813" s="40"/>
      <c r="AC813" s="41"/>
      <c r="AD813" s="41"/>
      <c r="AE813" s="41"/>
      <c r="AF813" s="41"/>
      <c r="AG813" s="41"/>
      <c r="AH813" s="40"/>
      <c r="AI813" s="40"/>
      <c r="AJ813" s="5"/>
      <c r="AK813" s="5"/>
      <c r="AL813" s="40"/>
      <c r="AM813" s="40"/>
      <c r="AN813" s="40"/>
      <c r="AO813" s="40"/>
      <c r="AP813" s="40"/>
      <c r="AQ813" s="40"/>
      <c r="AR813" s="40"/>
      <c r="AS813" s="40"/>
      <c r="AU813" s="40"/>
      <c r="AW813" s="40"/>
    </row>
    <row r="814" spans="2:49" ht="12.75" customHeight="1" x14ac:dyDescent="0.15">
      <c r="B814" s="40"/>
      <c r="C814" s="40"/>
      <c r="D814" s="40"/>
      <c r="E814" s="40"/>
      <c r="F814" s="40"/>
      <c r="G814" s="40"/>
      <c r="H814" s="40"/>
      <c r="I814" s="53"/>
      <c r="S814" s="40"/>
      <c r="T814" s="40"/>
      <c r="U814" s="40"/>
      <c r="V814" s="40"/>
      <c r="W814" s="40"/>
      <c r="Y814" s="40"/>
      <c r="Z814" s="40"/>
      <c r="AA814" s="40"/>
      <c r="AB814" s="40"/>
      <c r="AC814" s="41"/>
      <c r="AD814" s="41"/>
      <c r="AE814" s="41"/>
      <c r="AF814" s="41"/>
      <c r="AG814" s="41"/>
      <c r="AH814" s="40"/>
      <c r="AI814" s="40"/>
      <c r="AJ814" s="5"/>
      <c r="AK814" s="5"/>
      <c r="AL814" s="40"/>
      <c r="AM814" s="40"/>
      <c r="AN814" s="40"/>
      <c r="AO814" s="40"/>
      <c r="AP814" s="40"/>
      <c r="AQ814" s="40"/>
      <c r="AR814" s="40"/>
      <c r="AS814" s="40"/>
      <c r="AU814" s="40"/>
      <c r="AW814" s="40"/>
    </row>
    <row r="815" spans="2:49" ht="12.75" customHeight="1" x14ac:dyDescent="0.15">
      <c r="B815" s="40"/>
      <c r="C815" s="40"/>
      <c r="D815" s="40"/>
      <c r="E815" s="40"/>
      <c r="F815" s="40"/>
      <c r="G815" s="40"/>
      <c r="H815" s="40"/>
      <c r="I815" s="53"/>
      <c r="S815" s="40"/>
      <c r="T815" s="40"/>
      <c r="U815" s="40"/>
      <c r="V815" s="40"/>
      <c r="W815" s="40"/>
      <c r="Y815" s="40"/>
      <c r="Z815" s="40"/>
      <c r="AA815" s="40"/>
      <c r="AB815" s="40"/>
      <c r="AC815" s="41"/>
      <c r="AD815" s="41"/>
      <c r="AE815" s="41"/>
      <c r="AF815" s="41"/>
      <c r="AG815" s="41"/>
      <c r="AH815" s="40"/>
      <c r="AI815" s="40"/>
      <c r="AJ815" s="5"/>
      <c r="AK815" s="5"/>
      <c r="AL815" s="40"/>
      <c r="AM815" s="40"/>
      <c r="AN815" s="40"/>
      <c r="AO815" s="40"/>
      <c r="AP815" s="40"/>
      <c r="AQ815" s="40"/>
      <c r="AR815" s="40"/>
      <c r="AS815" s="40"/>
      <c r="AU815" s="40"/>
      <c r="AW815" s="40"/>
    </row>
    <row r="816" spans="2:49" ht="12.75" customHeight="1" x14ac:dyDescent="0.15">
      <c r="B816" s="40"/>
      <c r="C816" s="40"/>
      <c r="D816" s="40"/>
      <c r="E816" s="40"/>
      <c r="F816" s="40"/>
      <c r="G816" s="40"/>
      <c r="H816" s="40"/>
      <c r="I816" s="53"/>
      <c r="S816" s="40"/>
      <c r="T816" s="40"/>
      <c r="U816" s="40"/>
      <c r="V816" s="40"/>
      <c r="W816" s="40"/>
      <c r="Y816" s="40"/>
      <c r="Z816" s="40"/>
      <c r="AA816" s="40"/>
      <c r="AB816" s="40"/>
      <c r="AC816" s="41"/>
      <c r="AD816" s="41"/>
      <c r="AE816" s="41"/>
      <c r="AF816" s="41"/>
      <c r="AG816" s="41"/>
      <c r="AH816" s="40"/>
      <c r="AI816" s="40"/>
      <c r="AJ816" s="5"/>
      <c r="AK816" s="5"/>
      <c r="AL816" s="40"/>
      <c r="AM816" s="40"/>
      <c r="AN816" s="40"/>
      <c r="AO816" s="40"/>
      <c r="AP816" s="40"/>
      <c r="AQ816" s="40"/>
      <c r="AR816" s="40"/>
      <c r="AS816" s="40"/>
      <c r="AU816" s="40"/>
      <c r="AW816" s="40"/>
    </row>
    <row r="817" spans="2:49" ht="12.75" customHeight="1" x14ac:dyDescent="0.15">
      <c r="B817" s="40"/>
      <c r="C817" s="40"/>
      <c r="D817" s="40"/>
      <c r="E817" s="40"/>
      <c r="F817" s="40"/>
      <c r="G817" s="40"/>
      <c r="H817" s="40"/>
      <c r="I817" s="53"/>
      <c r="S817" s="40"/>
      <c r="T817" s="40"/>
      <c r="U817" s="40"/>
      <c r="V817" s="40"/>
      <c r="W817" s="40"/>
      <c r="Y817" s="40"/>
      <c r="Z817" s="40"/>
      <c r="AA817" s="40"/>
      <c r="AB817" s="40"/>
      <c r="AC817" s="41"/>
      <c r="AD817" s="41"/>
      <c r="AE817" s="41"/>
      <c r="AF817" s="41"/>
      <c r="AG817" s="41"/>
      <c r="AH817" s="40"/>
      <c r="AI817" s="40"/>
      <c r="AJ817" s="5"/>
      <c r="AK817" s="5"/>
      <c r="AL817" s="40"/>
      <c r="AM817" s="40"/>
      <c r="AN817" s="40"/>
      <c r="AO817" s="40"/>
      <c r="AP817" s="40"/>
      <c r="AQ817" s="40"/>
      <c r="AR817" s="40"/>
      <c r="AS817" s="40"/>
      <c r="AU817" s="40"/>
      <c r="AW817" s="40"/>
    </row>
    <row r="818" spans="2:49" ht="12.75" customHeight="1" x14ac:dyDescent="0.15">
      <c r="B818" s="40"/>
      <c r="C818" s="40"/>
      <c r="D818" s="40"/>
      <c r="E818" s="40"/>
      <c r="F818" s="40"/>
      <c r="G818" s="40"/>
      <c r="H818" s="40"/>
      <c r="I818" s="53"/>
      <c r="S818" s="40"/>
      <c r="T818" s="40"/>
      <c r="U818" s="40"/>
      <c r="V818" s="40"/>
      <c r="W818" s="40"/>
      <c r="Y818" s="40"/>
      <c r="Z818" s="40"/>
      <c r="AA818" s="40"/>
      <c r="AB818" s="40"/>
      <c r="AC818" s="41"/>
      <c r="AD818" s="41"/>
      <c r="AE818" s="41"/>
      <c r="AF818" s="41"/>
      <c r="AG818" s="41"/>
      <c r="AH818" s="40"/>
      <c r="AI818" s="40"/>
      <c r="AJ818" s="5"/>
      <c r="AK818" s="5"/>
      <c r="AL818" s="40"/>
      <c r="AM818" s="40"/>
      <c r="AN818" s="40"/>
      <c r="AO818" s="40"/>
      <c r="AP818" s="40"/>
      <c r="AQ818" s="40"/>
      <c r="AR818" s="40"/>
      <c r="AS818" s="40"/>
      <c r="AU818" s="40"/>
      <c r="AW818" s="40"/>
    </row>
    <row r="819" spans="2:49" ht="12.75" customHeight="1" x14ac:dyDescent="0.15">
      <c r="B819" s="40"/>
      <c r="C819" s="40"/>
      <c r="D819" s="40"/>
      <c r="E819" s="40"/>
      <c r="F819" s="40"/>
      <c r="G819" s="40"/>
      <c r="H819" s="40"/>
      <c r="I819" s="53"/>
      <c r="S819" s="40"/>
      <c r="T819" s="40"/>
      <c r="U819" s="40"/>
      <c r="V819" s="40"/>
      <c r="W819" s="40"/>
      <c r="Y819" s="40"/>
      <c r="Z819" s="40"/>
      <c r="AA819" s="40"/>
      <c r="AB819" s="40"/>
      <c r="AC819" s="41"/>
      <c r="AD819" s="41"/>
      <c r="AE819" s="41"/>
      <c r="AF819" s="41"/>
      <c r="AG819" s="41"/>
      <c r="AH819" s="40"/>
      <c r="AI819" s="40"/>
      <c r="AJ819" s="5"/>
      <c r="AK819" s="5"/>
      <c r="AL819" s="40"/>
      <c r="AM819" s="40"/>
      <c r="AN819" s="40"/>
      <c r="AO819" s="40"/>
      <c r="AP819" s="40"/>
      <c r="AQ819" s="40"/>
      <c r="AR819" s="40"/>
      <c r="AS819" s="40"/>
      <c r="AU819" s="40"/>
      <c r="AW819" s="40"/>
    </row>
    <row r="820" spans="2:49" ht="12.75" customHeight="1" x14ac:dyDescent="0.15">
      <c r="B820" s="40"/>
      <c r="C820" s="40"/>
      <c r="D820" s="40"/>
      <c r="E820" s="40"/>
      <c r="F820" s="40"/>
      <c r="G820" s="40"/>
      <c r="H820" s="40"/>
      <c r="I820" s="53"/>
      <c r="S820" s="40"/>
      <c r="T820" s="40"/>
      <c r="U820" s="40"/>
      <c r="V820" s="40"/>
      <c r="W820" s="40"/>
      <c r="Y820" s="40"/>
      <c r="Z820" s="40"/>
      <c r="AA820" s="40"/>
      <c r="AB820" s="40"/>
      <c r="AC820" s="41"/>
      <c r="AD820" s="41"/>
      <c r="AE820" s="41"/>
      <c r="AF820" s="41"/>
      <c r="AG820" s="41"/>
      <c r="AH820" s="40"/>
      <c r="AI820" s="40"/>
      <c r="AJ820" s="5"/>
      <c r="AK820" s="5"/>
      <c r="AL820" s="40"/>
      <c r="AM820" s="40"/>
      <c r="AN820" s="40"/>
      <c r="AO820" s="40"/>
      <c r="AP820" s="40"/>
      <c r="AQ820" s="40"/>
      <c r="AR820" s="40"/>
      <c r="AS820" s="40"/>
      <c r="AU820" s="40"/>
      <c r="AW820" s="40"/>
    </row>
    <row r="821" spans="2:49" ht="12.75" customHeight="1" x14ac:dyDescent="0.15">
      <c r="B821" s="40"/>
      <c r="C821" s="40"/>
      <c r="D821" s="40"/>
      <c r="E821" s="40"/>
      <c r="F821" s="40"/>
      <c r="G821" s="40"/>
      <c r="H821" s="40"/>
      <c r="I821" s="53"/>
      <c r="S821" s="40"/>
      <c r="T821" s="40"/>
      <c r="U821" s="40"/>
      <c r="V821" s="40"/>
      <c r="W821" s="40"/>
      <c r="Y821" s="40"/>
      <c r="Z821" s="40"/>
      <c r="AA821" s="40"/>
      <c r="AB821" s="40"/>
      <c r="AC821" s="41"/>
      <c r="AD821" s="41"/>
      <c r="AE821" s="41"/>
      <c r="AF821" s="41"/>
      <c r="AG821" s="41"/>
      <c r="AH821" s="40"/>
      <c r="AI821" s="40"/>
      <c r="AJ821" s="5"/>
      <c r="AK821" s="5"/>
      <c r="AL821" s="40"/>
      <c r="AM821" s="40"/>
      <c r="AN821" s="40"/>
      <c r="AO821" s="40"/>
      <c r="AP821" s="40"/>
      <c r="AQ821" s="40"/>
      <c r="AR821" s="40"/>
      <c r="AS821" s="40"/>
      <c r="AU821" s="40"/>
      <c r="AW821" s="40"/>
    </row>
    <row r="822" spans="2:49" ht="12.75" customHeight="1" x14ac:dyDescent="0.15">
      <c r="B822" s="40"/>
      <c r="C822" s="40"/>
      <c r="D822" s="40"/>
      <c r="E822" s="40"/>
      <c r="F822" s="40"/>
      <c r="G822" s="40"/>
      <c r="H822" s="40"/>
      <c r="I822" s="53"/>
      <c r="S822" s="40"/>
      <c r="T822" s="40"/>
      <c r="U822" s="40"/>
      <c r="V822" s="40"/>
      <c r="W822" s="40"/>
      <c r="Y822" s="40"/>
      <c r="Z822" s="40"/>
      <c r="AA822" s="40"/>
      <c r="AB822" s="40"/>
      <c r="AC822" s="41"/>
      <c r="AD822" s="41"/>
      <c r="AE822" s="41"/>
      <c r="AF822" s="41"/>
      <c r="AG822" s="41"/>
      <c r="AH822" s="40"/>
      <c r="AI822" s="40"/>
      <c r="AJ822" s="5"/>
      <c r="AK822" s="5"/>
      <c r="AL822" s="40"/>
      <c r="AM822" s="40"/>
      <c r="AN822" s="40"/>
      <c r="AO822" s="40"/>
      <c r="AP822" s="40"/>
      <c r="AQ822" s="40"/>
      <c r="AR822" s="40"/>
      <c r="AS822" s="40"/>
      <c r="AU822" s="40"/>
      <c r="AW822" s="40"/>
    </row>
    <row r="823" spans="2:49" ht="12.75" customHeight="1" x14ac:dyDescent="0.15">
      <c r="B823" s="40"/>
      <c r="C823" s="40"/>
      <c r="D823" s="40"/>
      <c r="E823" s="40"/>
      <c r="F823" s="40"/>
      <c r="G823" s="40"/>
      <c r="H823" s="40"/>
      <c r="I823" s="53"/>
      <c r="S823" s="40"/>
      <c r="T823" s="40"/>
      <c r="U823" s="40"/>
      <c r="V823" s="40"/>
      <c r="W823" s="40"/>
      <c r="Y823" s="40"/>
      <c r="Z823" s="40"/>
      <c r="AA823" s="40"/>
      <c r="AB823" s="40"/>
      <c r="AC823" s="41"/>
      <c r="AD823" s="41"/>
      <c r="AE823" s="41"/>
      <c r="AF823" s="41"/>
      <c r="AG823" s="41"/>
      <c r="AH823" s="40"/>
      <c r="AI823" s="40"/>
      <c r="AJ823" s="5"/>
      <c r="AK823" s="5"/>
      <c r="AL823" s="40"/>
      <c r="AM823" s="40"/>
      <c r="AN823" s="40"/>
      <c r="AO823" s="40"/>
      <c r="AP823" s="40"/>
      <c r="AQ823" s="40"/>
      <c r="AR823" s="40"/>
      <c r="AS823" s="40"/>
      <c r="AU823" s="40"/>
      <c r="AW823" s="40"/>
    </row>
    <row r="824" spans="2:49" ht="12.75" customHeight="1" x14ac:dyDescent="0.15">
      <c r="B824" s="40"/>
      <c r="C824" s="40"/>
      <c r="D824" s="40"/>
      <c r="E824" s="40"/>
      <c r="F824" s="40"/>
      <c r="G824" s="40"/>
      <c r="H824" s="40"/>
      <c r="I824" s="53"/>
      <c r="S824" s="40"/>
      <c r="T824" s="40"/>
      <c r="U824" s="40"/>
      <c r="V824" s="40"/>
      <c r="W824" s="40"/>
      <c r="Y824" s="40"/>
      <c r="Z824" s="40"/>
      <c r="AA824" s="40"/>
      <c r="AB824" s="40"/>
      <c r="AC824" s="41"/>
      <c r="AD824" s="41"/>
      <c r="AE824" s="41"/>
      <c r="AF824" s="41"/>
      <c r="AG824" s="41"/>
      <c r="AH824" s="40"/>
      <c r="AI824" s="40"/>
      <c r="AJ824" s="5"/>
      <c r="AK824" s="5"/>
      <c r="AL824" s="40"/>
      <c r="AM824" s="40"/>
      <c r="AN824" s="40"/>
      <c r="AO824" s="40"/>
      <c r="AP824" s="40"/>
      <c r="AQ824" s="40"/>
      <c r="AR824" s="40"/>
      <c r="AS824" s="40"/>
      <c r="AU824" s="40"/>
      <c r="AW824" s="40"/>
    </row>
    <row r="825" spans="2:49" ht="12.75" customHeight="1" x14ac:dyDescent="0.15">
      <c r="B825" s="40"/>
      <c r="C825" s="40"/>
      <c r="D825" s="40"/>
      <c r="E825" s="40"/>
      <c r="F825" s="40"/>
      <c r="G825" s="40"/>
      <c r="H825" s="40"/>
      <c r="I825" s="53"/>
      <c r="S825" s="40"/>
      <c r="T825" s="40"/>
      <c r="U825" s="40"/>
      <c r="V825" s="40"/>
      <c r="W825" s="40"/>
      <c r="Y825" s="40"/>
      <c r="Z825" s="40"/>
      <c r="AA825" s="40"/>
      <c r="AB825" s="40"/>
      <c r="AC825" s="41"/>
      <c r="AD825" s="41"/>
      <c r="AE825" s="41"/>
      <c r="AF825" s="41"/>
      <c r="AG825" s="41"/>
      <c r="AH825" s="40"/>
      <c r="AI825" s="40"/>
      <c r="AJ825" s="5"/>
      <c r="AK825" s="5"/>
      <c r="AL825" s="40"/>
      <c r="AM825" s="40"/>
      <c r="AN825" s="40"/>
      <c r="AO825" s="40"/>
      <c r="AP825" s="40"/>
      <c r="AQ825" s="40"/>
      <c r="AR825" s="40"/>
      <c r="AS825" s="40"/>
      <c r="AU825" s="40"/>
      <c r="AW825" s="40"/>
    </row>
    <row r="826" spans="2:49" ht="12.75" customHeight="1" x14ac:dyDescent="0.15">
      <c r="B826" s="40"/>
      <c r="C826" s="40"/>
      <c r="D826" s="40"/>
      <c r="E826" s="40"/>
      <c r="F826" s="40"/>
      <c r="G826" s="40"/>
      <c r="H826" s="40"/>
      <c r="I826" s="53"/>
      <c r="S826" s="40"/>
      <c r="T826" s="40"/>
      <c r="U826" s="40"/>
      <c r="V826" s="40"/>
      <c r="W826" s="40"/>
      <c r="Y826" s="40"/>
      <c r="Z826" s="40"/>
      <c r="AA826" s="40"/>
      <c r="AB826" s="40"/>
      <c r="AC826" s="41"/>
      <c r="AD826" s="41"/>
      <c r="AE826" s="41"/>
      <c r="AF826" s="41"/>
      <c r="AG826" s="41"/>
      <c r="AH826" s="40"/>
      <c r="AI826" s="40"/>
      <c r="AJ826" s="5"/>
      <c r="AK826" s="5"/>
      <c r="AL826" s="40"/>
      <c r="AM826" s="40"/>
      <c r="AN826" s="40"/>
      <c r="AO826" s="40"/>
      <c r="AP826" s="40"/>
      <c r="AQ826" s="40"/>
      <c r="AR826" s="40"/>
      <c r="AS826" s="40"/>
      <c r="AU826" s="40"/>
      <c r="AW826" s="40"/>
    </row>
    <row r="827" spans="2:49" ht="12.75" customHeight="1" x14ac:dyDescent="0.15">
      <c r="B827" s="40"/>
      <c r="C827" s="40"/>
      <c r="D827" s="40"/>
      <c r="E827" s="40"/>
      <c r="F827" s="40"/>
      <c r="G827" s="40"/>
      <c r="H827" s="40"/>
      <c r="I827" s="53"/>
      <c r="S827" s="40"/>
      <c r="T827" s="40"/>
      <c r="U827" s="40"/>
      <c r="V827" s="40"/>
      <c r="W827" s="40"/>
      <c r="Y827" s="40"/>
      <c r="Z827" s="40"/>
      <c r="AA827" s="40"/>
      <c r="AB827" s="40"/>
      <c r="AC827" s="41"/>
      <c r="AD827" s="41"/>
      <c r="AE827" s="41"/>
      <c r="AF827" s="41"/>
      <c r="AG827" s="41"/>
      <c r="AH827" s="40"/>
      <c r="AI827" s="40"/>
      <c r="AJ827" s="5"/>
      <c r="AK827" s="5"/>
      <c r="AL827" s="40"/>
      <c r="AM827" s="40"/>
      <c r="AN827" s="40"/>
      <c r="AO827" s="40"/>
      <c r="AP827" s="40"/>
      <c r="AQ827" s="40"/>
      <c r="AR827" s="40"/>
      <c r="AS827" s="40"/>
      <c r="AU827" s="40"/>
      <c r="AW827" s="40"/>
    </row>
    <row r="828" spans="2:49" ht="12.75" customHeight="1" x14ac:dyDescent="0.15">
      <c r="B828" s="40"/>
      <c r="C828" s="40"/>
      <c r="D828" s="40"/>
      <c r="E828" s="40"/>
      <c r="F828" s="40"/>
      <c r="G828" s="40"/>
      <c r="H828" s="40"/>
      <c r="I828" s="53"/>
      <c r="S828" s="40"/>
      <c r="T828" s="40"/>
      <c r="U828" s="40"/>
      <c r="V828" s="40"/>
      <c r="W828" s="40"/>
      <c r="Y828" s="40"/>
      <c r="Z828" s="40"/>
      <c r="AA828" s="40"/>
      <c r="AB828" s="40"/>
      <c r="AC828" s="41"/>
      <c r="AD828" s="41"/>
      <c r="AE828" s="41"/>
      <c r="AF828" s="41"/>
      <c r="AG828" s="41"/>
      <c r="AH828" s="40"/>
      <c r="AI828" s="40"/>
      <c r="AJ828" s="5"/>
      <c r="AK828" s="5"/>
      <c r="AL828" s="40"/>
      <c r="AM828" s="40"/>
      <c r="AN828" s="40"/>
      <c r="AO828" s="40"/>
      <c r="AP828" s="40"/>
      <c r="AQ828" s="40"/>
      <c r="AR828" s="40"/>
      <c r="AS828" s="40"/>
      <c r="AU828" s="40"/>
      <c r="AW828" s="40"/>
    </row>
    <row r="829" spans="2:49" ht="12.75" customHeight="1" x14ac:dyDescent="0.15">
      <c r="B829" s="40"/>
      <c r="C829" s="40"/>
      <c r="D829" s="40"/>
      <c r="E829" s="40"/>
      <c r="F829" s="40"/>
      <c r="G829" s="40"/>
      <c r="H829" s="40"/>
      <c r="I829" s="53"/>
      <c r="S829" s="40"/>
      <c r="T829" s="40"/>
      <c r="U829" s="40"/>
      <c r="V829" s="40"/>
      <c r="W829" s="40"/>
      <c r="Y829" s="40"/>
      <c r="Z829" s="40"/>
      <c r="AA829" s="40"/>
      <c r="AB829" s="40"/>
      <c r="AC829" s="41"/>
      <c r="AD829" s="41"/>
      <c r="AE829" s="41"/>
      <c r="AF829" s="41"/>
      <c r="AG829" s="41"/>
      <c r="AH829" s="40"/>
      <c r="AI829" s="40"/>
      <c r="AJ829" s="5"/>
      <c r="AK829" s="5"/>
      <c r="AL829" s="40"/>
      <c r="AM829" s="40"/>
      <c r="AN829" s="40"/>
      <c r="AO829" s="40"/>
      <c r="AP829" s="40"/>
      <c r="AQ829" s="40"/>
      <c r="AR829" s="40"/>
      <c r="AS829" s="40"/>
      <c r="AU829" s="40"/>
      <c r="AW829" s="40"/>
    </row>
    <row r="830" spans="2:49" ht="12.75" customHeight="1" x14ac:dyDescent="0.15">
      <c r="B830" s="40"/>
      <c r="C830" s="40"/>
      <c r="D830" s="40"/>
      <c r="E830" s="40"/>
      <c r="F830" s="40"/>
      <c r="G830" s="40"/>
      <c r="H830" s="40"/>
      <c r="I830" s="53"/>
      <c r="S830" s="40"/>
      <c r="T830" s="40"/>
      <c r="U830" s="40"/>
      <c r="V830" s="40"/>
      <c r="W830" s="40"/>
      <c r="Y830" s="40"/>
      <c r="Z830" s="40"/>
      <c r="AA830" s="40"/>
      <c r="AB830" s="40"/>
      <c r="AC830" s="41"/>
      <c r="AD830" s="41"/>
      <c r="AE830" s="41"/>
      <c r="AF830" s="41"/>
      <c r="AG830" s="41"/>
      <c r="AH830" s="40"/>
      <c r="AI830" s="40"/>
      <c r="AJ830" s="5"/>
      <c r="AK830" s="5"/>
      <c r="AL830" s="40"/>
      <c r="AM830" s="40"/>
      <c r="AN830" s="40"/>
      <c r="AO830" s="40"/>
      <c r="AP830" s="40"/>
      <c r="AQ830" s="40"/>
      <c r="AR830" s="40"/>
      <c r="AS830" s="40"/>
      <c r="AU830" s="40"/>
      <c r="AW830" s="40"/>
    </row>
    <row r="831" spans="2:49" ht="12.75" customHeight="1" x14ac:dyDescent="0.15">
      <c r="B831" s="40"/>
      <c r="C831" s="40"/>
      <c r="D831" s="40"/>
      <c r="E831" s="40"/>
      <c r="F831" s="40"/>
      <c r="G831" s="40"/>
      <c r="H831" s="40"/>
      <c r="I831" s="53"/>
      <c r="S831" s="40"/>
      <c r="T831" s="40"/>
      <c r="U831" s="40"/>
      <c r="V831" s="40"/>
      <c r="W831" s="40"/>
      <c r="Y831" s="40"/>
      <c r="Z831" s="40"/>
      <c r="AA831" s="40"/>
      <c r="AB831" s="40"/>
      <c r="AC831" s="41"/>
      <c r="AD831" s="41"/>
      <c r="AE831" s="41"/>
      <c r="AF831" s="41"/>
      <c r="AG831" s="41"/>
      <c r="AH831" s="40"/>
      <c r="AI831" s="40"/>
      <c r="AJ831" s="5"/>
      <c r="AK831" s="5"/>
      <c r="AL831" s="40"/>
      <c r="AM831" s="40"/>
      <c r="AN831" s="40"/>
      <c r="AO831" s="40"/>
      <c r="AP831" s="40"/>
      <c r="AQ831" s="40"/>
      <c r="AR831" s="40"/>
      <c r="AS831" s="40"/>
      <c r="AU831" s="40"/>
      <c r="AW831" s="40"/>
    </row>
    <row r="832" spans="2:49" ht="12.75" customHeight="1" x14ac:dyDescent="0.15">
      <c r="B832" s="40"/>
      <c r="C832" s="40"/>
      <c r="D832" s="40"/>
      <c r="E832" s="40"/>
      <c r="F832" s="40"/>
      <c r="G832" s="40"/>
      <c r="H832" s="40"/>
      <c r="I832" s="53"/>
      <c r="S832" s="40"/>
      <c r="T832" s="40"/>
      <c r="U832" s="40"/>
      <c r="V832" s="40"/>
      <c r="W832" s="40"/>
      <c r="Y832" s="40"/>
      <c r="Z832" s="40"/>
      <c r="AA832" s="40"/>
      <c r="AB832" s="40"/>
      <c r="AC832" s="41"/>
      <c r="AD832" s="41"/>
      <c r="AE832" s="41"/>
      <c r="AF832" s="41"/>
      <c r="AG832" s="41"/>
      <c r="AH832" s="40"/>
      <c r="AI832" s="40"/>
      <c r="AJ832" s="5"/>
      <c r="AK832" s="5"/>
      <c r="AL832" s="40"/>
      <c r="AM832" s="40"/>
      <c r="AN832" s="40"/>
      <c r="AO832" s="40"/>
      <c r="AP832" s="40"/>
      <c r="AQ832" s="40"/>
      <c r="AR832" s="40"/>
      <c r="AS832" s="40"/>
      <c r="AU832" s="40"/>
      <c r="AW832" s="40"/>
    </row>
    <row r="833" spans="2:49" ht="12.75" customHeight="1" x14ac:dyDescent="0.15">
      <c r="B833" s="40"/>
      <c r="C833" s="40"/>
      <c r="D833" s="40"/>
      <c r="E833" s="40"/>
      <c r="F833" s="40"/>
      <c r="G833" s="40"/>
      <c r="H833" s="40"/>
      <c r="I833" s="53"/>
      <c r="S833" s="40"/>
      <c r="T833" s="40"/>
      <c r="U833" s="40"/>
      <c r="V833" s="40"/>
      <c r="W833" s="40"/>
      <c r="Y833" s="40"/>
      <c r="Z833" s="40"/>
      <c r="AA833" s="40"/>
      <c r="AB833" s="40"/>
      <c r="AC833" s="41"/>
      <c r="AD833" s="41"/>
      <c r="AE833" s="41"/>
      <c r="AF833" s="41"/>
      <c r="AG833" s="41"/>
      <c r="AH833" s="40"/>
      <c r="AI833" s="40"/>
      <c r="AJ833" s="5"/>
      <c r="AK833" s="5"/>
      <c r="AL833" s="40"/>
      <c r="AM833" s="40"/>
      <c r="AN833" s="40"/>
      <c r="AO833" s="40"/>
      <c r="AP833" s="40"/>
      <c r="AQ833" s="40"/>
      <c r="AR833" s="40"/>
      <c r="AS833" s="40"/>
      <c r="AU833" s="40"/>
      <c r="AW833" s="40"/>
    </row>
    <row r="834" spans="2:49" ht="12.75" customHeight="1" x14ac:dyDescent="0.15">
      <c r="B834" s="40"/>
      <c r="C834" s="40"/>
      <c r="D834" s="40"/>
      <c r="E834" s="40"/>
      <c r="F834" s="40"/>
      <c r="G834" s="40"/>
      <c r="H834" s="40"/>
      <c r="I834" s="53"/>
      <c r="S834" s="40"/>
      <c r="T834" s="40"/>
      <c r="U834" s="40"/>
      <c r="V834" s="40"/>
      <c r="W834" s="40"/>
      <c r="Y834" s="40"/>
      <c r="Z834" s="40"/>
      <c r="AA834" s="40"/>
      <c r="AB834" s="40"/>
      <c r="AC834" s="41"/>
      <c r="AD834" s="41"/>
      <c r="AE834" s="41"/>
      <c r="AF834" s="41"/>
      <c r="AG834" s="41"/>
      <c r="AH834" s="40"/>
      <c r="AI834" s="40"/>
      <c r="AJ834" s="5"/>
      <c r="AK834" s="5"/>
      <c r="AL834" s="40"/>
      <c r="AM834" s="40"/>
      <c r="AN834" s="40"/>
      <c r="AO834" s="40"/>
      <c r="AP834" s="40"/>
      <c r="AQ834" s="40"/>
      <c r="AR834" s="40"/>
      <c r="AS834" s="40"/>
      <c r="AU834" s="40"/>
      <c r="AW834" s="40"/>
    </row>
    <row r="835" spans="2:49" ht="12.75" customHeight="1" x14ac:dyDescent="0.15">
      <c r="B835" s="40"/>
      <c r="C835" s="40"/>
      <c r="D835" s="40"/>
      <c r="E835" s="40"/>
      <c r="F835" s="40"/>
      <c r="G835" s="40"/>
      <c r="H835" s="40"/>
      <c r="I835" s="53"/>
      <c r="S835" s="40"/>
      <c r="T835" s="40"/>
      <c r="U835" s="40"/>
      <c r="V835" s="40"/>
      <c r="W835" s="40"/>
      <c r="Y835" s="40"/>
      <c r="Z835" s="40"/>
      <c r="AA835" s="40"/>
      <c r="AB835" s="40"/>
      <c r="AC835" s="41"/>
      <c r="AD835" s="41"/>
      <c r="AE835" s="41"/>
      <c r="AF835" s="41"/>
      <c r="AG835" s="41"/>
      <c r="AH835" s="40"/>
      <c r="AI835" s="40"/>
      <c r="AJ835" s="5"/>
      <c r="AK835" s="5"/>
      <c r="AL835" s="40"/>
      <c r="AM835" s="40"/>
      <c r="AN835" s="40"/>
      <c r="AO835" s="40"/>
      <c r="AP835" s="40"/>
      <c r="AQ835" s="40"/>
      <c r="AR835" s="40"/>
      <c r="AS835" s="40"/>
      <c r="AU835" s="40"/>
      <c r="AW835" s="40"/>
    </row>
    <row r="836" spans="2:49" ht="12.75" customHeight="1" x14ac:dyDescent="0.15">
      <c r="B836" s="40"/>
      <c r="C836" s="40"/>
      <c r="D836" s="40"/>
      <c r="E836" s="40"/>
      <c r="F836" s="40"/>
      <c r="G836" s="40"/>
      <c r="H836" s="40"/>
      <c r="I836" s="53"/>
      <c r="S836" s="40"/>
      <c r="T836" s="40"/>
      <c r="U836" s="40"/>
      <c r="V836" s="40"/>
      <c r="W836" s="40"/>
      <c r="Y836" s="40"/>
      <c r="Z836" s="40"/>
      <c r="AA836" s="40"/>
      <c r="AB836" s="40"/>
      <c r="AC836" s="41"/>
      <c r="AD836" s="41"/>
      <c r="AE836" s="41"/>
      <c r="AF836" s="41"/>
      <c r="AG836" s="41"/>
      <c r="AH836" s="40"/>
      <c r="AI836" s="40"/>
      <c r="AJ836" s="5"/>
      <c r="AK836" s="5"/>
      <c r="AL836" s="40"/>
      <c r="AM836" s="40"/>
      <c r="AN836" s="40"/>
      <c r="AO836" s="40"/>
      <c r="AP836" s="40"/>
      <c r="AQ836" s="40"/>
      <c r="AR836" s="40"/>
      <c r="AS836" s="40"/>
      <c r="AU836" s="40"/>
      <c r="AW836" s="40"/>
    </row>
    <row r="837" spans="2:49" ht="12.75" customHeight="1" x14ac:dyDescent="0.15">
      <c r="B837" s="40"/>
      <c r="C837" s="40"/>
      <c r="D837" s="40"/>
      <c r="E837" s="40"/>
      <c r="F837" s="40"/>
      <c r="G837" s="40"/>
      <c r="H837" s="40"/>
      <c r="I837" s="53"/>
      <c r="S837" s="40"/>
      <c r="T837" s="40"/>
      <c r="U837" s="40"/>
      <c r="V837" s="40"/>
      <c r="W837" s="40"/>
      <c r="Y837" s="40"/>
      <c r="Z837" s="40"/>
      <c r="AA837" s="40"/>
      <c r="AB837" s="40"/>
      <c r="AC837" s="41"/>
      <c r="AD837" s="41"/>
      <c r="AE837" s="41"/>
      <c r="AF837" s="41"/>
      <c r="AG837" s="41"/>
      <c r="AH837" s="40"/>
      <c r="AI837" s="40"/>
      <c r="AJ837" s="5"/>
      <c r="AK837" s="5"/>
      <c r="AL837" s="40"/>
      <c r="AM837" s="40"/>
      <c r="AN837" s="40"/>
      <c r="AO837" s="40"/>
      <c r="AP837" s="40"/>
      <c r="AQ837" s="40"/>
      <c r="AR837" s="40"/>
      <c r="AS837" s="40"/>
      <c r="AU837" s="40"/>
      <c r="AW837" s="40"/>
    </row>
    <row r="838" spans="2:49" ht="12.75" customHeight="1" x14ac:dyDescent="0.15">
      <c r="B838" s="40"/>
      <c r="C838" s="40"/>
      <c r="D838" s="40"/>
      <c r="E838" s="40"/>
      <c r="F838" s="40"/>
      <c r="G838" s="40"/>
      <c r="H838" s="40"/>
      <c r="I838" s="53"/>
      <c r="S838" s="40"/>
      <c r="T838" s="40"/>
      <c r="U838" s="40"/>
      <c r="V838" s="40"/>
      <c r="W838" s="40"/>
      <c r="Y838" s="40"/>
      <c r="Z838" s="40"/>
      <c r="AA838" s="40"/>
      <c r="AB838" s="40"/>
      <c r="AC838" s="41"/>
      <c r="AD838" s="41"/>
      <c r="AE838" s="41"/>
      <c r="AF838" s="41"/>
      <c r="AG838" s="41"/>
      <c r="AH838" s="40"/>
      <c r="AI838" s="40"/>
      <c r="AJ838" s="5"/>
      <c r="AK838" s="5"/>
      <c r="AL838" s="40"/>
      <c r="AM838" s="40"/>
      <c r="AN838" s="40"/>
      <c r="AO838" s="40"/>
      <c r="AP838" s="40"/>
      <c r="AQ838" s="40"/>
      <c r="AR838" s="40"/>
      <c r="AS838" s="40"/>
      <c r="AU838" s="40"/>
      <c r="AW838" s="40"/>
    </row>
    <row r="839" spans="2:49" ht="12.75" customHeight="1" x14ac:dyDescent="0.15">
      <c r="B839" s="40"/>
      <c r="C839" s="40"/>
      <c r="D839" s="40"/>
      <c r="E839" s="40"/>
      <c r="F839" s="40"/>
      <c r="G839" s="40"/>
      <c r="H839" s="40"/>
      <c r="I839" s="53"/>
      <c r="S839" s="40"/>
      <c r="T839" s="40"/>
      <c r="U839" s="40"/>
      <c r="V839" s="40"/>
      <c r="W839" s="40"/>
      <c r="Y839" s="40"/>
      <c r="Z839" s="40"/>
      <c r="AA839" s="40"/>
      <c r="AB839" s="40"/>
      <c r="AC839" s="41"/>
      <c r="AD839" s="41"/>
      <c r="AE839" s="41"/>
      <c r="AF839" s="41"/>
      <c r="AG839" s="41"/>
      <c r="AH839" s="40"/>
      <c r="AI839" s="40"/>
      <c r="AJ839" s="5"/>
      <c r="AK839" s="5"/>
      <c r="AL839" s="40"/>
      <c r="AM839" s="40"/>
      <c r="AN839" s="40"/>
      <c r="AO839" s="40"/>
      <c r="AP839" s="40"/>
      <c r="AQ839" s="40"/>
      <c r="AR839" s="40"/>
      <c r="AS839" s="40"/>
      <c r="AU839" s="40"/>
      <c r="AW839" s="40"/>
    </row>
    <row r="840" spans="2:49" ht="12.75" customHeight="1" x14ac:dyDescent="0.15">
      <c r="B840" s="40"/>
      <c r="C840" s="40"/>
      <c r="D840" s="40"/>
      <c r="E840" s="40"/>
      <c r="F840" s="40"/>
      <c r="G840" s="40"/>
      <c r="H840" s="40"/>
      <c r="I840" s="53"/>
      <c r="S840" s="40"/>
      <c r="T840" s="40"/>
      <c r="U840" s="40"/>
      <c r="V840" s="40"/>
      <c r="W840" s="40"/>
      <c r="Y840" s="40"/>
      <c r="Z840" s="40"/>
      <c r="AA840" s="40"/>
      <c r="AB840" s="40"/>
      <c r="AC840" s="41"/>
      <c r="AD840" s="41"/>
      <c r="AE840" s="41"/>
      <c r="AF840" s="41"/>
      <c r="AG840" s="41"/>
      <c r="AH840" s="40"/>
      <c r="AI840" s="40"/>
      <c r="AJ840" s="5"/>
      <c r="AK840" s="5"/>
      <c r="AL840" s="40"/>
      <c r="AM840" s="40"/>
      <c r="AN840" s="40"/>
      <c r="AO840" s="40"/>
      <c r="AP840" s="40"/>
      <c r="AQ840" s="40"/>
      <c r="AR840" s="40"/>
      <c r="AS840" s="40"/>
      <c r="AU840" s="40"/>
      <c r="AW840" s="40"/>
    </row>
    <row r="841" spans="2:49" ht="12.75" customHeight="1" x14ac:dyDescent="0.15">
      <c r="B841" s="40"/>
      <c r="C841" s="40"/>
      <c r="D841" s="40"/>
      <c r="E841" s="40"/>
      <c r="F841" s="40"/>
      <c r="G841" s="40"/>
      <c r="H841" s="40"/>
      <c r="I841" s="53"/>
      <c r="S841" s="40"/>
      <c r="T841" s="40"/>
      <c r="U841" s="40"/>
      <c r="V841" s="40"/>
      <c r="W841" s="40"/>
      <c r="Y841" s="40"/>
      <c r="Z841" s="40"/>
      <c r="AA841" s="40"/>
      <c r="AB841" s="40"/>
      <c r="AC841" s="41"/>
      <c r="AD841" s="41"/>
      <c r="AE841" s="41"/>
      <c r="AF841" s="41"/>
      <c r="AG841" s="41"/>
      <c r="AH841" s="40"/>
      <c r="AI841" s="40"/>
      <c r="AJ841" s="5"/>
      <c r="AK841" s="5"/>
      <c r="AL841" s="40"/>
      <c r="AM841" s="40"/>
      <c r="AN841" s="40"/>
      <c r="AO841" s="40"/>
      <c r="AP841" s="40"/>
      <c r="AQ841" s="40"/>
      <c r="AR841" s="40"/>
      <c r="AS841" s="40"/>
      <c r="AU841" s="40"/>
      <c r="AW841" s="40"/>
    </row>
    <row r="842" spans="2:49" ht="12.75" customHeight="1" x14ac:dyDescent="0.15">
      <c r="B842" s="40"/>
      <c r="C842" s="40"/>
      <c r="D842" s="40"/>
      <c r="E842" s="40"/>
      <c r="F842" s="40"/>
      <c r="G842" s="40"/>
      <c r="H842" s="40"/>
      <c r="I842" s="53"/>
      <c r="S842" s="40"/>
      <c r="T842" s="40"/>
      <c r="U842" s="40"/>
      <c r="V842" s="40"/>
      <c r="W842" s="40"/>
      <c r="Y842" s="40"/>
      <c r="Z842" s="40"/>
      <c r="AA842" s="40"/>
      <c r="AB842" s="40"/>
      <c r="AC842" s="41"/>
      <c r="AD842" s="41"/>
      <c r="AE842" s="41"/>
      <c r="AF842" s="41"/>
      <c r="AG842" s="41"/>
      <c r="AH842" s="40"/>
      <c r="AI842" s="40"/>
      <c r="AJ842" s="5"/>
      <c r="AK842" s="5"/>
      <c r="AL842" s="40"/>
      <c r="AM842" s="40"/>
      <c r="AN842" s="40"/>
      <c r="AO842" s="40"/>
      <c r="AP842" s="40"/>
      <c r="AQ842" s="40"/>
      <c r="AR842" s="40"/>
      <c r="AS842" s="40"/>
      <c r="AU842" s="40"/>
      <c r="AW842" s="40"/>
    </row>
    <row r="843" spans="2:49" ht="12.75" customHeight="1" x14ac:dyDescent="0.15">
      <c r="B843" s="40"/>
      <c r="C843" s="40"/>
      <c r="D843" s="40"/>
      <c r="E843" s="40"/>
      <c r="F843" s="40"/>
      <c r="G843" s="40"/>
      <c r="H843" s="40"/>
      <c r="I843" s="53"/>
      <c r="S843" s="40"/>
      <c r="T843" s="40"/>
      <c r="U843" s="40"/>
      <c r="V843" s="40"/>
      <c r="W843" s="40"/>
      <c r="Y843" s="40"/>
      <c r="Z843" s="40"/>
      <c r="AA843" s="40"/>
      <c r="AB843" s="40"/>
      <c r="AC843" s="41"/>
      <c r="AD843" s="41"/>
      <c r="AE843" s="41"/>
      <c r="AF843" s="41"/>
      <c r="AG843" s="41"/>
      <c r="AH843" s="40"/>
      <c r="AI843" s="40"/>
      <c r="AJ843" s="5"/>
      <c r="AK843" s="5"/>
      <c r="AL843" s="40"/>
      <c r="AM843" s="40"/>
      <c r="AN843" s="40"/>
      <c r="AO843" s="40"/>
      <c r="AP843" s="40"/>
      <c r="AQ843" s="40"/>
      <c r="AR843" s="40"/>
      <c r="AS843" s="40"/>
      <c r="AU843" s="40"/>
      <c r="AW843" s="40"/>
    </row>
    <row r="844" spans="2:49" ht="12.75" customHeight="1" x14ac:dyDescent="0.15">
      <c r="B844" s="40"/>
      <c r="C844" s="40"/>
      <c r="D844" s="40"/>
      <c r="E844" s="40"/>
      <c r="F844" s="40"/>
      <c r="G844" s="40"/>
      <c r="H844" s="40"/>
      <c r="I844" s="53"/>
      <c r="S844" s="40"/>
      <c r="T844" s="40"/>
      <c r="U844" s="40"/>
      <c r="V844" s="40"/>
      <c r="W844" s="40"/>
      <c r="Y844" s="40"/>
      <c r="Z844" s="40"/>
      <c r="AA844" s="40"/>
      <c r="AB844" s="40"/>
      <c r="AC844" s="41"/>
      <c r="AD844" s="41"/>
      <c r="AE844" s="41"/>
      <c r="AF844" s="41"/>
      <c r="AG844" s="41"/>
      <c r="AH844" s="40"/>
      <c r="AI844" s="40"/>
      <c r="AJ844" s="5"/>
      <c r="AK844" s="5"/>
      <c r="AL844" s="40"/>
      <c r="AM844" s="40"/>
      <c r="AN844" s="40"/>
      <c r="AO844" s="40"/>
      <c r="AP844" s="40"/>
      <c r="AQ844" s="40"/>
      <c r="AR844" s="40"/>
      <c r="AS844" s="40"/>
      <c r="AU844" s="40"/>
      <c r="AW844" s="40"/>
    </row>
    <row r="845" spans="2:49" ht="12.75" customHeight="1" x14ac:dyDescent="0.15">
      <c r="B845" s="40"/>
      <c r="C845" s="40"/>
      <c r="D845" s="40"/>
      <c r="E845" s="40"/>
      <c r="F845" s="40"/>
      <c r="G845" s="40"/>
      <c r="H845" s="40"/>
      <c r="I845" s="53"/>
      <c r="S845" s="40"/>
      <c r="T845" s="40"/>
      <c r="U845" s="40"/>
      <c r="V845" s="40"/>
      <c r="W845" s="40"/>
      <c r="Y845" s="40"/>
      <c r="Z845" s="40"/>
      <c r="AA845" s="40"/>
      <c r="AB845" s="40"/>
      <c r="AC845" s="41"/>
      <c r="AD845" s="41"/>
      <c r="AE845" s="41"/>
      <c r="AF845" s="41"/>
      <c r="AG845" s="41"/>
      <c r="AH845" s="40"/>
      <c r="AI845" s="40"/>
      <c r="AJ845" s="5"/>
      <c r="AK845" s="5"/>
      <c r="AL845" s="40"/>
      <c r="AM845" s="40"/>
      <c r="AN845" s="40"/>
      <c r="AO845" s="40"/>
      <c r="AP845" s="40"/>
      <c r="AQ845" s="40"/>
      <c r="AR845" s="40"/>
      <c r="AS845" s="40"/>
      <c r="AU845" s="40"/>
      <c r="AW845" s="40"/>
    </row>
    <row r="846" spans="2:49" ht="12.75" customHeight="1" x14ac:dyDescent="0.15">
      <c r="B846" s="40"/>
      <c r="C846" s="40"/>
      <c r="D846" s="40"/>
      <c r="E846" s="40"/>
      <c r="F846" s="40"/>
      <c r="G846" s="40"/>
      <c r="H846" s="40"/>
      <c r="I846" s="53"/>
      <c r="S846" s="40"/>
      <c r="T846" s="40"/>
      <c r="U846" s="40"/>
      <c r="V846" s="40"/>
      <c r="W846" s="40"/>
      <c r="Y846" s="40"/>
      <c r="Z846" s="40"/>
      <c r="AA846" s="40"/>
      <c r="AB846" s="40"/>
      <c r="AC846" s="41"/>
      <c r="AD846" s="41"/>
      <c r="AE846" s="41"/>
      <c r="AF846" s="41"/>
      <c r="AG846" s="41"/>
      <c r="AH846" s="40"/>
      <c r="AI846" s="40"/>
      <c r="AJ846" s="5"/>
      <c r="AK846" s="5"/>
      <c r="AL846" s="40"/>
      <c r="AM846" s="40"/>
      <c r="AN846" s="40"/>
      <c r="AO846" s="40"/>
      <c r="AP846" s="40"/>
      <c r="AQ846" s="40"/>
      <c r="AR846" s="40"/>
      <c r="AS846" s="40"/>
      <c r="AU846" s="40"/>
      <c r="AW846" s="40"/>
    </row>
    <row r="847" spans="2:49" ht="12.75" customHeight="1" x14ac:dyDescent="0.15">
      <c r="B847" s="40"/>
      <c r="C847" s="40"/>
      <c r="D847" s="40"/>
      <c r="E847" s="40"/>
      <c r="F847" s="40"/>
      <c r="G847" s="40"/>
      <c r="H847" s="40"/>
      <c r="I847" s="53"/>
      <c r="S847" s="40"/>
      <c r="T847" s="40"/>
      <c r="U847" s="40"/>
      <c r="V847" s="40"/>
      <c r="W847" s="40"/>
      <c r="Y847" s="40"/>
      <c r="Z847" s="40"/>
      <c r="AA847" s="40"/>
      <c r="AB847" s="40"/>
      <c r="AC847" s="41"/>
      <c r="AD847" s="41"/>
      <c r="AE847" s="41"/>
      <c r="AF847" s="41"/>
      <c r="AG847" s="41"/>
      <c r="AH847" s="40"/>
      <c r="AI847" s="40"/>
      <c r="AJ847" s="5"/>
      <c r="AK847" s="5"/>
      <c r="AL847" s="40"/>
      <c r="AM847" s="40"/>
      <c r="AN847" s="40"/>
      <c r="AO847" s="40"/>
      <c r="AP847" s="40"/>
      <c r="AQ847" s="40"/>
      <c r="AR847" s="40"/>
      <c r="AS847" s="40"/>
      <c r="AU847" s="40"/>
      <c r="AW847" s="40"/>
    </row>
    <row r="848" spans="2:49" ht="12.75" customHeight="1" x14ac:dyDescent="0.15">
      <c r="B848" s="40"/>
      <c r="C848" s="40"/>
      <c r="D848" s="40"/>
      <c r="E848" s="40"/>
      <c r="F848" s="40"/>
      <c r="G848" s="40"/>
      <c r="H848" s="40"/>
      <c r="I848" s="53"/>
      <c r="S848" s="40"/>
      <c r="T848" s="40"/>
      <c r="U848" s="40"/>
      <c r="V848" s="40"/>
      <c r="W848" s="40"/>
      <c r="Y848" s="40"/>
      <c r="Z848" s="40"/>
      <c r="AA848" s="40"/>
      <c r="AB848" s="40"/>
      <c r="AC848" s="41"/>
      <c r="AD848" s="41"/>
      <c r="AE848" s="41"/>
      <c r="AF848" s="41"/>
      <c r="AG848" s="41"/>
      <c r="AH848" s="40"/>
      <c r="AI848" s="40"/>
      <c r="AJ848" s="5"/>
      <c r="AK848" s="5"/>
      <c r="AL848" s="40"/>
      <c r="AM848" s="40"/>
      <c r="AN848" s="40"/>
      <c r="AO848" s="40"/>
      <c r="AP848" s="40"/>
      <c r="AQ848" s="40"/>
      <c r="AR848" s="40"/>
      <c r="AS848" s="40"/>
      <c r="AU848" s="40"/>
      <c r="AW848" s="40"/>
    </row>
    <row r="849" spans="2:49" ht="12.75" customHeight="1" x14ac:dyDescent="0.15">
      <c r="B849" s="40"/>
      <c r="C849" s="40"/>
      <c r="D849" s="40"/>
      <c r="E849" s="40"/>
      <c r="F849" s="40"/>
      <c r="G849" s="40"/>
      <c r="H849" s="40"/>
      <c r="I849" s="53"/>
      <c r="S849" s="40"/>
      <c r="T849" s="40"/>
      <c r="U849" s="40"/>
      <c r="V849" s="40"/>
      <c r="W849" s="40"/>
      <c r="Y849" s="40"/>
      <c r="Z849" s="40"/>
      <c r="AA849" s="40"/>
      <c r="AB849" s="40"/>
      <c r="AC849" s="41"/>
      <c r="AD849" s="41"/>
      <c r="AE849" s="41"/>
      <c r="AF849" s="41"/>
      <c r="AG849" s="41"/>
      <c r="AH849" s="40"/>
      <c r="AI849" s="40"/>
      <c r="AJ849" s="5"/>
      <c r="AK849" s="5"/>
      <c r="AL849" s="40"/>
      <c r="AM849" s="40"/>
      <c r="AN849" s="40"/>
      <c r="AO849" s="40"/>
      <c r="AP849" s="40"/>
      <c r="AQ849" s="40"/>
      <c r="AR849" s="40"/>
      <c r="AS849" s="40"/>
      <c r="AU849" s="40"/>
      <c r="AW849" s="40"/>
    </row>
    <row r="850" spans="2:49" ht="12.75" customHeight="1" x14ac:dyDescent="0.15">
      <c r="B850" s="40"/>
      <c r="C850" s="40"/>
      <c r="D850" s="40"/>
      <c r="E850" s="40"/>
      <c r="F850" s="40"/>
      <c r="G850" s="40"/>
      <c r="H850" s="40"/>
      <c r="I850" s="53"/>
      <c r="S850" s="40"/>
      <c r="T850" s="40"/>
      <c r="U850" s="40"/>
      <c r="V850" s="40"/>
      <c r="W850" s="40"/>
      <c r="Y850" s="40"/>
      <c r="Z850" s="40"/>
      <c r="AA850" s="40"/>
      <c r="AB850" s="40"/>
      <c r="AC850" s="41"/>
      <c r="AD850" s="41"/>
      <c r="AE850" s="41"/>
      <c r="AF850" s="41"/>
      <c r="AG850" s="41"/>
      <c r="AH850" s="40"/>
      <c r="AI850" s="40"/>
      <c r="AJ850" s="5"/>
      <c r="AK850" s="5"/>
      <c r="AL850" s="40"/>
      <c r="AM850" s="40"/>
      <c r="AN850" s="40"/>
      <c r="AO850" s="40"/>
      <c r="AP850" s="40"/>
      <c r="AQ850" s="40"/>
      <c r="AR850" s="40"/>
      <c r="AS850" s="40"/>
      <c r="AU850" s="40"/>
      <c r="AW850" s="40"/>
    </row>
    <row r="851" spans="2:49" ht="12.75" customHeight="1" x14ac:dyDescent="0.15">
      <c r="B851" s="40"/>
      <c r="C851" s="40"/>
      <c r="D851" s="40"/>
      <c r="E851" s="40"/>
      <c r="F851" s="40"/>
      <c r="G851" s="40"/>
      <c r="H851" s="40"/>
      <c r="I851" s="53"/>
      <c r="S851" s="40"/>
      <c r="T851" s="40"/>
      <c r="U851" s="40"/>
      <c r="V851" s="40"/>
      <c r="W851" s="40"/>
      <c r="Y851" s="40"/>
      <c r="Z851" s="40"/>
      <c r="AA851" s="40"/>
      <c r="AB851" s="40"/>
      <c r="AC851" s="41"/>
      <c r="AD851" s="41"/>
      <c r="AE851" s="41"/>
      <c r="AF851" s="41"/>
      <c r="AG851" s="41"/>
      <c r="AH851" s="40"/>
      <c r="AI851" s="40"/>
      <c r="AJ851" s="5"/>
      <c r="AK851" s="5"/>
      <c r="AL851" s="40"/>
      <c r="AM851" s="40"/>
      <c r="AN851" s="40"/>
      <c r="AO851" s="40"/>
      <c r="AP851" s="40"/>
      <c r="AQ851" s="40"/>
      <c r="AR851" s="40"/>
      <c r="AS851" s="40"/>
      <c r="AU851" s="40"/>
      <c r="AW851" s="40"/>
    </row>
    <row r="852" spans="2:49" ht="12.75" customHeight="1" x14ac:dyDescent="0.15">
      <c r="B852" s="40"/>
      <c r="C852" s="40"/>
      <c r="D852" s="40"/>
      <c r="E852" s="40"/>
      <c r="F852" s="40"/>
      <c r="G852" s="40"/>
      <c r="H852" s="40"/>
      <c r="I852" s="53"/>
      <c r="S852" s="40"/>
      <c r="T852" s="40"/>
      <c r="U852" s="40"/>
      <c r="V852" s="40"/>
      <c r="W852" s="40"/>
      <c r="Y852" s="40"/>
      <c r="Z852" s="40"/>
      <c r="AA852" s="40"/>
      <c r="AB852" s="40"/>
      <c r="AC852" s="41"/>
      <c r="AD852" s="41"/>
      <c r="AE852" s="41"/>
      <c r="AF852" s="41"/>
      <c r="AG852" s="41"/>
      <c r="AH852" s="40"/>
      <c r="AI852" s="40"/>
      <c r="AJ852" s="5"/>
      <c r="AK852" s="5"/>
      <c r="AL852" s="40"/>
      <c r="AM852" s="40"/>
      <c r="AN852" s="40"/>
      <c r="AO852" s="40"/>
      <c r="AP852" s="40"/>
      <c r="AQ852" s="40"/>
      <c r="AR852" s="40"/>
      <c r="AS852" s="40"/>
      <c r="AU852" s="40"/>
      <c r="AW852" s="40"/>
    </row>
    <row r="853" spans="2:49" ht="12.75" customHeight="1" x14ac:dyDescent="0.15">
      <c r="B853" s="40"/>
      <c r="C853" s="40"/>
      <c r="D853" s="40"/>
      <c r="E853" s="40"/>
      <c r="F853" s="40"/>
      <c r="G853" s="40"/>
      <c r="H853" s="40"/>
      <c r="I853" s="53"/>
      <c r="S853" s="40"/>
      <c r="T853" s="40"/>
      <c r="U853" s="40"/>
      <c r="V853" s="40"/>
      <c r="W853" s="40"/>
      <c r="Y853" s="40"/>
      <c r="Z853" s="40"/>
      <c r="AA853" s="40"/>
      <c r="AB853" s="40"/>
      <c r="AC853" s="41"/>
      <c r="AD853" s="41"/>
      <c r="AE853" s="41"/>
      <c r="AF853" s="41"/>
      <c r="AG853" s="41"/>
      <c r="AH853" s="40"/>
      <c r="AI853" s="40"/>
      <c r="AJ853" s="5"/>
      <c r="AK853" s="5"/>
      <c r="AL853" s="40"/>
      <c r="AM853" s="40"/>
      <c r="AN853" s="40"/>
      <c r="AO853" s="40"/>
      <c r="AP853" s="40"/>
      <c r="AQ853" s="40"/>
      <c r="AR853" s="40"/>
      <c r="AS853" s="40"/>
      <c r="AU853" s="40"/>
      <c r="AW853" s="40"/>
    </row>
    <row r="854" spans="2:49" ht="12.75" customHeight="1" x14ac:dyDescent="0.15">
      <c r="B854" s="40"/>
      <c r="C854" s="40"/>
      <c r="D854" s="40"/>
      <c r="E854" s="40"/>
      <c r="F854" s="40"/>
      <c r="G854" s="40"/>
      <c r="H854" s="40"/>
      <c r="I854" s="53"/>
      <c r="S854" s="40"/>
      <c r="T854" s="40"/>
      <c r="U854" s="40"/>
      <c r="V854" s="40"/>
      <c r="W854" s="40"/>
      <c r="Y854" s="40"/>
      <c r="Z854" s="40"/>
      <c r="AA854" s="40"/>
      <c r="AB854" s="40"/>
      <c r="AC854" s="41"/>
      <c r="AD854" s="41"/>
      <c r="AE854" s="41"/>
      <c r="AF854" s="41"/>
      <c r="AG854" s="41"/>
      <c r="AH854" s="40"/>
      <c r="AI854" s="40"/>
      <c r="AJ854" s="5"/>
      <c r="AK854" s="5"/>
      <c r="AL854" s="40"/>
      <c r="AM854" s="40"/>
      <c r="AN854" s="40"/>
      <c r="AO854" s="40"/>
      <c r="AP854" s="40"/>
      <c r="AQ854" s="40"/>
      <c r="AR854" s="40"/>
      <c r="AS854" s="40"/>
      <c r="AU854" s="40"/>
      <c r="AW854" s="40"/>
    </row>
    <row r="855" spans="2:49" ht="12.75" customHeight="1" x14ac:dyDescent="0.15">
      <c r="B855" s="40"/>
      <c r="C855" s="40"/>
      <c r="D855" s="40"/>
      <c r="E855" s="40"/>
      <c r="F855" s="40"/>
      <c r="G855" s="40"/>
      <c r="H855" s="40"/>
      <c r="I855" s="53"/>
      <c r="S855" s="40"/>
      <c r="T855" s="40"/>
      <c r="U855" s="40"/>
      <c r="V855" s="40"/>
      <c r="W855" s="40"/>
      <c r="Y855" s="40"/>
      <c r="Z855" s="40"/>
      <c r="AA855" s="40"/>
      <c r="AB855" s="40"/>
      <c r="AC855" s="41"/>
      <c r="AD855" s="41"/>
      <c r="AE855" s="41"/>
      <c r="AF855" s="41"/>
      <c r="AG855" s="41"/>
      <c r="AH855" s="40"/>
      <c r="AI855" s="40"/>
      <c r="AJ855" s="5"/>
      <c r="AK855" s="5"/>
      <c r="AL855" s="40"/>
      <c r="AM855" s="40"/>
      <c r="AN855" s="40"/>
      <c r="AO855" s="40"/>
      <c r="AP855" s="40"/>
      <c r="AQ855" s="40"/>
      <c r="AR855" s="40"/>
      <c r="AS855" s="40"/>
      <c r="AU855" s="40"/>
      <c r="AW855" s="40"/>
    </row>
    <row r="856" spans="2:49" ht="12.75" customHeight="1" x14ac:dyDescent="0.15">
      <c r="B856" s="40"/>
      <c r="C856" s="40"/>
      <c r="D856" s="40"/>
      <c r="E856" s="40"/>
      <c r="F856" s="40"/>
      <c r="G856" s="40"/>
      <c r="H856" s="40"/>
      <c r="I856" s="53"/>
      <c r="S856" s="40"/>
      <c r="T856" s="40"/>
      <c r="U856" s="40"/>
      <c r="V856" s="40"/>
      <c r="W856" s="40"/>
      <c r="Y856" s="40"/>
      <c r="Z856" s="40"/>
      <c r="AA856" s="40"/>
      <c r="AB856" s="40"/>
      <c r="AC856" s="41"/>
      <c r="AD856" s="41"/>
      <c r="AE856" s="41"/>
      <c r="AF856" s="41"/>
      <c r="AG856" s="41"/>
      <c r="AH856" s="40"/>
      <c r="AI856" s="40"/>
      <c r="AJ856" s="5"/>
      <c r="AK856" s="5"/>
      <c r="AL856" s="40"/>
      <c r="AM856" s="40"/>
      <c r="AN856" s="40"/>
      <c r="AO856" s="40"/>
      <c r="AP856" s="40"/>
      <c r="AQ856" s="40"/>
      <c r="AR856" s="40"/>
      <c r="AS856" s="40"/>
      <c r="AU856" s="40"/>
      <c r="AW856" s="40"/>
    </row>
    <row r="857" spans="2:49" ht="12.75" customHeight="1" x14ac:dyDescent="0.15">
      <c r="B857" s="40"/>
      <c r="C857" s="40"/>
      <c r="D857" s="40"/>
      <c r="E857" s="40"/>
      <c r="F857" s="40"/>
      <c r="G857" s="40"/>
      <c r="H857" s="40"/>
      <c r="I857" s="53"/>
      <c r="S857" s="40"/>
      <c r="T857" s="40"/>
      <c r="U857" s="40"/>
      <c r="V857" s="40"/>
      <c r="W857" s="40"/>
      <c r="Y857" s="40"/>
      <c r="Z857" s="40"/>
      <c r="AA857" s="40"/>
      <c r="AB857" s="40"/>
      <c r="AC857" s="41"/>
      <c r="AD857" s="41"/>
      <c r="AE857" s="41"/>
      <c r="AF857" s="41"/>
      <c r="AG857" s="41"/>
      <c r="AH857" s="40"/>
      <c r="AI857" s="40"/>
      <c r="AJ857" s="5"/>
      <c r="AK857" s="5"/>
      <c r="AL857" s="40"/>
      <c r="AM857" s="40"/>
      <c r="AN857" s="40"/>
      <c r="AO857" s="40"/>
      <c r="AP857" s="40"/>
      <c r="AQ857" s="40"/>
      <c r="AR857" s="40"/>
      <c r="AS857" s="40"/>
      <c r="AU857" s="40"/>
      <c r="AW857" s="40"/>
    </row>
    <row r="858" spans="2:49" ht="12.75" customHeight="1" x14ac:dyDescent="0.15">
      <c r="B858" s="40"/>
      <c r="C858" s="40"/>
      <c r="D858" s="40"/>
      <c r="E858" s="40"/>
      <c r="F858" s="40"/>
      <c r="G858" s="40"/>
      <c r="H858" s="40"/>
      <c r="I858" s="53"/>
      <c r="S858" s="40"/>
      <c r="T858" s="40"/>
      <c r="U858" s="40"/>
      <c r="V858" s="40"/>
      <c r="W858" s="40"/>
      <c r="Y858" s="40"/>
      <c r="Z858" s="40"/>
      <c r="AA858" s="40"/>
      <c r="AB858" s="40"/>
      <c r="AC858" s="41"/>
      <c r="AD858" s="41"/>
      <c r="AE858" s="41"/>
      <c r="AF858" s="41"/>
      <c r="AG858" s="41"/>
      <c r="AH858" s="40"/>
      <c r="AI858" s="40"/>
      <c r="AJ858" s="5"/>
      <c r="AK858" s="5"/>
      <c r="AL858" s="40"/>
      <c r="AM858" s="40"/>
      <c r="AN858" s="40"/>
      <c r="AO858" s="40"/>
      <c r="AP858" s="40"/>
      <c r="AQ858" s="40"/>
      <c r="AR858" s="40"/>
      <c r="AS858" s="40"/>
      <c r="AU858" s="40"/>
      <c r="AW858" s="40"/>
    </row>
    <row r="859" spans="2:49" ht="12.75" customHeight="1" x14ac:dyDescent="0.15">
      <c r="B859" s="40"/>
      <c r="C859" s="40"/>
      <c r="D859" s="40"/>
      <c r="E859" s="40"/>
      <c r="F859" s="40"/>
      <c r="G859" s="40"/>
      <c r="H859" s="40"/>
      <c r="I859" s="53"/>
      <c r="S859" s="40"/>
      <c r="T859" s="40"/>
      <c r="U859" s="40"/>
      <c r="V859" s="40"/>
      <c r="W859" s="40"/>
      <c r="Y859" s="40"/>
      <c r="Z859" s="40"/>
      <c r="AA859" s="40"/>
      <c r="AB859" s="40"/>
      <c r="AC859" s="41"/>
      <c r="AD859" s="41"/>
      <c r="AE859" s="41"/>
      <c r="AF859" s="41"/>
      <c r="AG859" s="41"/>
      <c r="AH859" s="40"/>
      <c r="AI859" s="40"/>
      <c r="AJ859" s="5"/>
      <c r="AK859" s="5"/>
      <c r="AL859" s="40"/>
      <c r="AM859" s="40"/>
      <c r="AN859" s="40"/>
      <c r="AO859" s="40"/>
      <c r="AP859" s="40"/>
      <c r="AQ859" s="40"/>
      <c r="AR859" s="40"/>
      <c r="AS859" s="40"/>
      <c r="AU859" s="40"/>
      <c r="AW859" s="40"/>
    </row>
    <row r="860" spans="2:49" ht="12.75" customHeight="1" x14ac:dyDescent="0.15">
      <c r="B860" s="40"/>
      <c r="C860" s="40"/>
      <c r="D860" s="40"/>
      <c r="E860" s="40"/>
      <c r="F860" s="40"/>
      <c r="G860" s="40"/>
      <c r="H860" s="40"/>
      <c r="I860" s="53"/>
      <c r="S860" s="40"/>
      <c r="T860" s="40"/>
      <c r="U860" s="40"/>
      <c r="V860" s="40"/>
      <c r="W860" s="40"/>
      <c r="Y860" s="40"/>
      <c r="Z860" s="40"/>
      <c r="AA860" s="40"/>
      <c r="AB860" s="40"/>
      <c r="AC860" s="41"/>
      <c r="AD860" s="41"/>
      <c r="AE860" s="41"/>
      <c r="AF860" s="41"/>
      <c r="AG860" s="41"/>
      <c r="AH860" s="40"/>
      <c r="AI860" s="40"/>
      <c r="AJ860" s="5"/>
      <c r="AK860" s="5"/>
      <c r="AL860" s="40"/>
      <c r="AM860" s="40"/>
      <c r="AN860" s="40"/>
      <c r="AO860" s="40"/>
      <c r="AP860" s="40"/>
      <c r="AQ860" s="40"/>
      <c r="AR860" s="40"/>
      <c r="AS860" s="40"/>
      <c r="AU860" s="40"/>
      <c r="AW860" s="40"/>
    </row>
    <row r="861" spans="2:49" ht="12.75" customHeight="1" x14ac:dyDescent="0.15">
      <c r="B861" s="40"/>
      <c r="C861" s="40"/>
      <c r="D861" s="40"/>
      <c r="E861" s="40"/>
      <c r="F861" s="40"/>
      <c r="G861" s="40"/>
      <c r="H861" s="40"/>
      <c r="I861" s="53"/>
      <c r="S861" s="40"/>
      <c r="T861" s="40"/>
      <c r="U861" s="40"/>
      <c r="V861" s="40"/>
      <c r="W861" s="40"/>
      <c r="Y861" s="40"/>
      <c r="Z861" s="40"/>
      <c r="AA861" s="40"/>
      <c r="AB861" s="40"/>
      <c r="AC861" s="41"/>
      <c r="AD861" s="41"/>
      <c r="AE861" s="41"/>
      <c r="AF861" s="41"/>
      <c r="AG861" s="41"/>
      <c r="AH861" s="40"/>
      <c r="AI861" s="40"/>
      <c r="AJ861" s="5"/>
      <c r="AK861" s="5"/>
      <c r="AL861" s="40"/>
      <c r="AM861" s="40"/>
      <c r="AN861" s="40"/>
      <c r="AO861" s="40"/>
      <c r="AP861" s="40"/>
      <c r="AQ861" s="40"/>
      <c r="AR861" s="40"/>
      <c r="AS861" s="40"/>
      <c r="AU861" s="40"/>
      <c r="AW861" s="40"/>
    </row>
    <row r="862" spans="2:49" ht="12.75" customHeight="1" x14ac:dyDescent="0.15">
      <c r="B862" s="40"/>
      <c r="C862" s="40"/>
      <c r="D862" s="40"/>
      <c r="E862" s="40"/>
      <c r="F862" s="40"/>
      <c r="G862" s="40"/>
      <c r="H862" s="40"/>
      <c r="I862" s="53"/>
      <c r="S862" s="40"/>
      <c r="T862" s="40"/>
      <c r="U862" s="40"/>
      <c r="V862" s="40"/>
      <c r="W862" s="40"/>
      <c r="Y862" s="40"/>
      <c r="Z862" s="40"/>
      <c r="AA862" s="40"/>
      <c r="AB862" s="40"/>
      <c r="AC862" s="41"/>
      <c r="AD862" s="41"/>
      <c r="AE862" s="41"/>
      <c r="AF862" s="41"/>
      <c r="AG862" s="41"/>
      <c r="AH862" s="40"/>
      <c r="AI862" s="40"/>
      <c r="AJ862" s="5"/>
      <c r="AK862" s="5"/>
      <c r="AL862" s="40"/>
      <c r="AM862" s="40"/>
      <c r="AN862" s="40"/>
      <c r="AO862" s="40"/>
      <c r="AP862" s="40"/>
      <c r="AQ862" s="40"/>
      <c r="AR862" s="40"/>
      <c r="AS862" s="40"/>
      <c r="AU862" s="40"/>
      <c r="AW862" s="40"/>
    </row>
    <row r="863" spans="2:49" ht="12.75" customHeight="1" x14ac:dyDescent="0.15">
      <c r="B863" s="40"/>
      <c r="C863" s="40"/>
      <c r="D863" s="40"/>
      <c r="E863" s="40"/>
      <c r="F863" s="40"/>
      <c r="G863" s="40"/>
      <c r="H863" s="40"/>
      <c r="I863" s="53"/>
      <c r="S863" s="40"/>
      <c r="T863" s="40"/>
      <c r="U863" s="40"/>
      <c r="V863" s="40"/>
      <c r="W863" s="40"/>
      <c r="Y863" s="40"/>
      <c r="Z863" s="40"/>
      <c r="AA863" s="40"/>
      <c r="AB863" s="40"/>
      <c r="AC863" s="41"/>
      <c r="AD863" s="41"/>
      <c r="AE863" s="41"/>
      <c r="AF863" s="41"/>
      <c r="AG863" s="41"/>
      <c r="AH863" s="40"/>
      <c r="AI863" s="40"/>
      <c r="AJ863" s="5"/>
      <c r="AK863" s="5"/>
      <c r="AL863" s="40"/>
      <c r="AM863" s="40"/>
      <c r="AN863" s="40"/>
      <c r="AO863" s="40"/>
      <c r="AP863" s="40"/>
      <c r="AQ863" s="40"/>
      <c r="AR863" s="40"/>
      <c r="AS863" s="40"/>
      <c r="AU863" s="40"/>
      <c r="AW863" s="40"/>
    </row>
    <row r="864" spans="2:49" ht="12.75" customHeight="1" x14ac:dyDescent="0.15">
      <c r="B864" s="40"/>
      <c r="C864" s="40"/>
      <c r="D864" s="40"/>
      <c r="E864" s="40"/>
      <c r="F864" s="40"/>
      <c r="G864" s="40"/>
      <c r="H864" s="40"/>
      <c r="I864" s="53"/>
      <c r="S864" s="40"/>
      <c r="T864" s="40"/>
      <c r="U864" s="40"/>
      <c r="V864" s="40"/>
      <c r="W864" s="40"/>
      <c r="Y864" s="40"/>
      <c r="Z864" s="40"/>
      <c r="AA864" s="40"/>
      <c r="AB864" s="40"/>
      <c r="AC864" s="41"/>
      <c r="AD864" s="41"/>
      <c r="AE864" s="41"/>
      <c r="AF864" s="41"/>
      <c r="AG864" s="41"/>
      <c r="AH864" s="40"/>
      <c r="AI864" s="40"/>
      <c r="AJ864" s="5"/>
      <c r="AK864" s="5"/>
      <c r="AL864" s="40"/>
      <c r="AM864" s="40"/>
      <c r="AN864" s="40"/>
      <c r="AO864" s="40"/>
      <c r="AP864" s="40"/>
      <c r="AQ864" s="40"/>
      <c r="AR864" s="40"/>
      <c r="AS864" s="40"/>
      <c r="AU864" s="40"/>
      <c r="AW864" s="40"/>
    </row>
    <row r="865" spans="2:49" ht="12.75" customHeight="1" x14ac:dyDescent="0.15">
      <c r="B865" s="40"/>
      <c r="C865" s="40"/>
      <c r="D865" s="40"/>
      <c r="E865" s="40"/>
      <c r="F865" s="40"/>
      <c r="G865" s="40"/>
      <c r="H865" s="40"/>
      <c r="I865" s="53"/>
      <c r="S865" s="40"/>
      <c r="T865" s="40"/>
      <c r="U865" s="40"/>
      <c r="V865" s="40"/>
      <c r="W865" s="40"/>
      <c r="Y865" s="40"/>
      <c r="Z865" s="40"/>
      <c r="AA865" s="40"/>
      <c r="AB865" s="40"/>
      <c r="AC865" s="41"/>
      <c r="AD865" s="41"/>
      <c r="AE865" s="41"/>
      <c r="AF865" s="41"/>
      <c r="AG865" s="41"/>
      <c r="AH865" s="40"/>
      <c r="AI865" s="40"/>
      <c r="AJ865" s="5"/>
      <c r="AK865" s="5"/>
      <c r="AL865" s="40"/>
      <c r="AM865" s="40"/>
      <c r="AN865" s="40"/>
      <c r="AO865" s="40"/>
      <c r="AP865" s="40"/>
      <c r="AQ865" s="40"/>
      <c r="AR865" s="40"/>
      <c r="AS865" s="40"/>
      <c r="AU865" s="40"/>
      <c r="AW865" s="40"/>
    </row>
    <row r="866" spans="2:49" ht="12.75" customHeight="1" x14ac:dyDescent="0.15">
      <c r="B866" s="40"/>
      <c r="C866" s="40"/>
      <c r="D866" s="40"/>
      <c r="E866" s="40"/>
      <c r="F866" s="40"/>
      <c r="G866" s="40"/>
      <c r="H866" s="40"/>
      <c r="I866" s="53"/>
      <c r="S866" s="40"/>
      <c r="T866" s="40"/>
      <c r="U866" s="40"/>
      <c r="V866" s="40"/>
      <c r="W866" s="40"/>
      <c r="Y866" s="40"/>
      <c r="Z866" s="40"/>
      <c r="AA866" s="40"/>
      <c r="AB866" s="40"/>
      <c r="AC866" s="41"/>
      <c r="AD866" s="41"/>
      <c r="AE866" s="41"/>
      <c r="AF866" s="41"/>
      <c r="AG866" s="41"/>
      <c r="AH866" s="40"/>
      <c r="AI866" s="40"/>
      <c r="AJ866" s="5"/>
      <c r="AK866" s="5"/>
      <c r="AL866" s="40"/>
      <c r="AM866" s="40"/>
      <c r="AN866" s="40"/>
      <c r="AO866" s="40"/>
      <c r="AP866" s="40"/>
      <c r="AQ866" s="40"/>
      <c r="AR866" s="40"/>
      <c r="AS866" s="40"/>
      <c r="AU866" s="40"/>
      <c r="AW866" s="40"/>
    </row>
    <row r="867" spans="2:49" ht="12.75" customHeight="1" x14ac:dyDescent="0.15">
      <c r="B867" s="40"/>
      <c r="C867" s="40"/>
      <c r="D867" s="40"/>
      <c r="E867" s="40"/>
      <c r="F867" s="40"/>
      <c r="G867" s="40"/>
      <c r="H867" s="40"/>
      <c r="I867" s="53"/>
      <c r="S867" s="40"/>
      <c r="T867" s="40"/>
      <c r="U867" s="40"/>
      <c r="V867" s="40"/>
      <c r="W867" s="40"/>
      <c r="Y867" s="40"/>
      <c r="Z867" s="40"/>
      <c r="AA867" s="40"/>
      <c r="AB867" s="40"/>
      <c r="AC867" s="41"/>
      <c r="AD867" s="41"/>
      <c r="AE867" s="41"/>
      <c r="AF867" s="41"/>
      <c r="AG867" s="41"/>
      <c r="AH867" s="40"/>
      <c r="AI867" s="40"/>
      <c r="AJ867" s="5"/>
      <c r="AK867" s="5"/>
      <c r="AL867" s="40"/>
      <c r="AM867" s="40"/>
      <c r="AN867" s="40"/>
      <c r="AO867" s="40"/>
      <c r="AP867" s="40"/>
      <c r="AQ867" s="40"/>
      <c r="AR867" s="40"/>
      <c r="AS867" s="40"/>
      <c r="AU867" s="40"/>
      <c r="AW867" s="40"/>
    </row>
    <row r="868" spans="2:49" ht="12.75" customHeight="1" x14ac:dyDescent="0.15">
      <c r="B868" s="40"/>
      <c r="C868" s="40"/>
      <c r="D868" s="40"/>
      <c r="E868" s="40"/>
      <c r="F868" s="40"/>
      <c r="G868" s="40"/>
      <c r="H868" s="40"/>
      <c r="I868" s="53"/>
      <c r="S868" s="40"/>
      <c r="T868" s="40"/>
      <c r="U868" s="40"/>
      <c r="V868" s="40"/>
      <c r="W868" s="40"/>
      <c r="Y868" s="40"/>
      <c r="Z868" s="40"/>
      <c r="AA868" s="40"/>
      <c r="AB868" s="40"/>
      <c r="AC868" s="41"/>
      <c r="AD868" s="41"/>
      <c r="AE868" s="41"/>
      <c r="AF868" s="41"/>
      <c r="AG868" s="41"/>
      <c r="AH868" s="40"/>
      <c r="AI868" s="40"/>
      <c r="AJ868" s="5"/>
      <c r="AK868" s="5"/>
      <c r="AL868" s="40"/>
      <c r="AM868" s="40"/>
      <c r="AN868" s="40"/>
      <c r="AO868" s="40"/>
      <c r="AP868" s="40"/>
      <c r="AQ868" s="40"/>
      <c r="AR868" s="40"/>
      <c r="AS868" s="40"/>
      <c r="AU868" s="40"/>
      <c r="AW868" s="40"/>
    </row>
    <row r="869" spans="2:49" ht="12.75" customHeight="1" x14ac:dyDescent="0.15">
      <c r="B869" s="40"/>
      <c r="C869" s="40"/>
      <c r="D869" s="40"/>
      <c r="E869" s="40"/>
      <c r="F869" s="40"/>
      <c r="G869" s="40"/>
      <c r="H869" s="40"/>
      <c r="I869" s="53"/>
      <c r="S869" s="40"/>
      <c r="T869" s="40"/>
      <c r="U869" s="40"/>
      <c r="V869" s="40"/>
      <c r="W869" s="40"/>
      <c r="Y869" s="40"/>
      <c r="Z869" s="40"/>
      <c r="AA869" s="40"/>
      <c r="AB869" s="40"/>
      <c r="AC869" s="41"/>
      <c r="AD869" s="41"/>
      <c r="AE869" s="41"/>
      <c r="AF869" s="41"/>
      <c r="AG869" s="41"/>
      <c r="AH869" s="40"/>
      <c r="AI869" s="40"/>
      <c r="AJ869" s="5"/>
      <c r="AK869" s="5"/>
      <c r="AL869" s="40"/>
      <c r="AM869" s="40"/>
      <c r="AN869" s="40"/>
      <c r="AO869" s="40"/>
      <c r="AP869" s="40"/>
      <c r="AQ869" s="40"/>
      <c r="AR869" s="40"/>
      <c r="AS869" s="40"/>
      <c r="AU869" s="40"/>
      <c r="AW869" s="40"/>
    </row>
    <row r="870" spans="2:49" ht="12.75" customHeight="1" x14ac:dyDescent="0.15">
      <c r="B870" s="40"/>
      <c r="C870" s="40"/>
      <c r="D870" s="40"/>
      <c r="E870" s="40"/>
      <c r="F870" s="40"/>
      <c r="G870" s="40"/>
      <c r="H870" s="40"/>
      <c r="I870" s="53"/>
      <c r="S870" s="40"/>
      <c r="T870" s="40"/>
      <c r="U870" s="40"/>
      <c r="V870" s="40"/>
      <c r="W870" s="40"/>
      <c r="Y870" s="40"/>
      <c r="Z870" s="40"/>
      <c r="AA870" s="40"/>
      <c r="AB870" s="40"/>
      <c r="AC870" s="41"/>
      <c r="AD870" s="41"/>
      <c r="AE870" s="41"/>
      <c r="AF870" s="41"/>
      <c r="AG870" s="41"/>
      <c r="AH870" s="40"/>
      <c r="AI870" s="40"/>
      <c r="AJ870" s="5"/>
      <c r="AK870" s="5"/>
      <c r="AL870" s="40"/>
      <c r="AM870" s="40"/>
      <c r="AN870" s="40"/>
      <c r="AO870" s="40"/>
      <c r="AP870" s="40"/>
      <c r="AQ870" s="40"/>
      <c r="AR870" s="40"/>
      <c r="AS870" s="40"/>
      <c r="AU870" s="40"/>
      <c r="AW870" s="40"/>
    </row>
    <row r="871" spans="2:49" ht="12.75" customHeight="1" x14ac:dyDescent="0.15">
      <c r="B871" s="40"/>
      <c r="C871" s="40"/>
      <c r="D871" s="40"/>
      <c r="E871" s="40"/>
      <c r="F871" s="40"/>
      <c r="G871" s="40"/>
      <c r="H871" s="40"/>
      <c r="I871" s="53"/>
      <c r="S871" s="40"/>
      <c r="T871" s="40"/>
      <c r="U871" s="40"/>
      <c r="V871" s="40"/>
      <c r="W871" s="40"/>
      <c r="Y871" s="40"/>
      <c r="Z871" s="40"/>
      <c r="AA871" s="40"/>
      <c r="AB871" s="40"/>
      <c r="AC871" s="41"/>
      <c r="AD871" s="41"/>
      <c r="AE871" s="41"/>
      <c r="AF871" s="41"/>
      <c r="AG871" s="41"/>
      <c r="AH871" s="40"/>
      <c r="AI871" s="40"/>
      <c r="AJ871" s="5"/>
      <c r="AK871" s="5"/>
      <c r="AL871" s="40"/>
      <c r="AM871" s="40"/>
      <c r="AN871" s="40"/>
      <c r="AO871" s="40"/>
      <c r="AP871" s="40"/>
      <c r="AQ871" s="40"/>
      <c r="AR871" s="40"/>
      <c r="AS871" s="40"/>
      <c r="AU871" s="40"/>
      <c r="AW871" s="40"/>
    </row>
    <row r="872" spans="2:49" ht="12.75" customHeight="1" x14ac:dyDescent="0.15">
      <c r="B872" s="40"/>
      <c r="C872" s="40"/>
      <c r="D872" s="40"/>
      <c r="E872" s="40"/>
      <c r="F872" s="40"/>
      <c r="G872" s="40"/>
      <c r="H872" s="40"/>
      <c r="I872" s="53"/>
      <c r="S872" s="40"/>
      <c r="T872" s="40"/>
      <c r="U872" s="40"/>
      <c r="V872" s="40"/>
      <c r="W872" s="40"/>
      <c r="Y872" s="40"/>
      <c r="Z872" s="40"/>
      <c r="AA872" s="40"/>
      <c r="AB872" s="40"/>
      <c r="AC872" s="41"/>
      <c r="AD872" s="41"/>
      <c r="AE872" s="41"/>
      <c r="AF872" s="41"/>
      <c r="AG872" s="41"/>
      <c r="AH872" s="40"/>
      <c r="AI872" s="40"/>
      <c r="AJ872" s="5"/>
      <c r="AK872" s="5"/>
      <c r="AL872" s="40"/>
      <c r="AM872" s="40"/>
      <c r="AN872" s="40"/>
      <c r="AO872" s="40"/>
      <c r="AP872" s="40"/>
      <c r="AQ872" s="40"/>
      <c r="AR872" s="40"/>
      <c r="AS872" s="40"/>
      <c r="AU872" s="40"/>
      <c r="AW872" s="40"/>
    </row>
    <row r="873" spans="2:49" ht="12.75" customHeight="1" x14ac:dyDescent="0.15">
      <c r="B873" s="40"/>
      <c r="C873" s="40"/>
      <c r="D873" s="40"/>
      <c r="E873" s="40"/>
      <c r="F873" s="40"/>
      <c r="G873" s="40"/>
      <c r="H873" s="40"/>
      <c r="I873" s="53"/>
      <c r="S873" s="40"/>
      <c r="T873" s="40"/>
      <c r="U873" s="40"/>
      <c r="V873" s="40"/>
      <c r="W873" s="40"/>
      <c r="Y873" s="40"/>
      <c r="Z873" s="40"/>
      <c r="AA873" s="40"/>
      <c r="AB873" s="40"/>
      <c r="AC873" s="41"/>
      <c r="AD873" s="41"/>
      <c r="AE873" s="41"/>
      <c r="AF873" s="41"/>
      <c r="AG873" s="41"/>
      <c r="AH873" s="40"/>
      <c r="AI873" s="40"/>
      <c r="AJ873" s="5"/>
      <c r="AK873" s="5"/>
      <c r="AL873" s="40"/>
      <c r="AM873" s="40"/>
      <c r="AN873" s="40"/>
      <c r="AO873" s="40"/>
      <c r="AP873" s="40"/>
      <c r="AQ873" s="40"/>
      <c r="AR873" s="40"/>
      <c r="AS873" s="40"/>
      <c r="AU873" s="40"/>
      <c r="AW873" s="40"/>
    </row>
    <row r="874" spans="2:49" ht="12.75" customHeight="1" x14ac:dyDescent="0.15">
      <c r="B874" s="40"/>
      <c r="C874" s="40"/>
      <c r="D874" s="40"/>
      <c r="E874" s="40"/>
      <c r="F874" s="40"/>
      <c r="G874" s="40"/>
      <c r="H874" s="40"/>
      <c r="I874" s="53"/>
      <c r="S874" s="40"/>
      <c r="T874" s="40"/>
      <c r="U874" s="40"/>
      <c r="V874" s="40"/>
      <c r="W874" s="40"/>
      <c r="Y874" s="40"/>
      <c r="Z874" s="40"/>
      <c r="AA874" s="40"/>
      <c r="AB874" s="40"/>
      <c r="AC874" s="41"/>
      <c r="AD874" s="41"/>
      <c r="AE874" s="41"/>
      <c r="AF874" s="41"/>
      <c r="AG874" s="41"/>
      <c r="AH874" s="40"/>
      <c r="AI874" s="40"/>
      <c r="AJ874" s="5"/>
      <c r="AK874" s="5"/>
      <c r="AL874" s="40"/>
      <c r="AM874" s="40"/>
      <c r="AN874" s="40"/>
      <c r="AO874" s="40"/>
      <c r="AP874" s="40"/>
      <c r="AQ874" s="40"/>
      <c r="AR874" s="40"/>
      <c r="AS874" s="40"/>
      <c r="AU874" s="40"/>
      <c r="AW874" s="40"/>
    </row>
    <row r="875" spans="2:49" ht="12.75" customHeight="1" x14ac:dyDescent="0.15">
      <c r="B875" s="40"/>
      <c r="C875" s="40"/>
      <c r="D875" s="40"/>
      <c r="E875" s="40"/>
      <c r="F875" s="40"/>
      <c r="G875" s="40"/>
      <c r="H875" s="40"/>
      <c r="I875" s="53"/>
      <c r="S875" s="40"/>
      <c r="T875" s="40"/>
      <c r="U875" s="40"/>
      <c r="V875" s="40"/>
      <c r="W875" s="40"/>
      <c r="Y875" s="40"/>
      <c r="Z875" s="40"/>
      <c r="AA875" s="40"/>
      <c r="AB875" s="40"/>
      <c r="AC875" s="41"/>
      <c r="AD875" s="41"/>
      <c r="AE875" s="41"/>
      <c r="AF875" s="41"/>
      <c r="AG875" s="41"/>
      <c r="AH875" s="40"/>
      <c r="AI875" s="40"/>
      <c r="AJ875" s="5"/>
      <c r="AK875" s="5"/>
      <c r="AL875" s="40"/>
      <c r="AM875" s="40"/>
      <c r="AN875" s="40"/>
      <c r="AO875" s="40"/>
      <c r="AP875" s="40"/>
      <c r="AQ875" s="40"/>
      <c r="AR875" s="40"/>
      <c r="AS875" s="40"/>
      <c r="AU875" s="40"/>
      <c r="AW875" s="40"/>
    </row>
    <row r="876" spans="2:49" ht="12.75" customHeight="1" x14ac:dyDescent="0.15">
      <c r="B876" s="40"/>
      <c r="C876" s="40"/>
      <c r="D876" s="40"/>
      <c r="E876" s="40"/>
      <c r="F876" s="40"/>
      <c r="G876" s="40"/>
      <c r="H876" s="40"/>
      <c r="I876" s="53"/>
      <c r="S876" s="40"/>
      <c r="T876" s="40"/>
      <c r="U876" s="40"/>
      <c r="V876" s="40"/>
      <c r="W876" s="40"/>
      <c r="Y876" s="40"/>
      <c r="Z876" s="40"/>
      <c r="AA876" s="40"/>
      <c r="AB876" s="40"/>
      <c r="AC876" s="41"/>
      <c r="AD876" s="41"/>
      <c r="AE876" s="41"/>
      <c r="AF876" s="41"/>
      <c r="AG876" s="41"/>
      <c r="AH876" s="40"/>
      <c r="AI876" s="40"/>
      <c r="AJ876" s="5"/>
      <c r="AK876" s="5"/>
      <c r="AL876" s="40"/>
      <c r="AM876" s="40"/>
      <c r="AN876" s="40"/>
      <c r="AO876" s="40"/>
      <c r="AP876" s="40"/>
      <c r="AQ876" s="40"/>
      <c r="AR876" s="40"/>
      <c r="AS876" s="40"/>
      <c r="AU876" s="40"/>
      <c r="AW876" s="40"/>
    </row>
    <row r="877" spans="2:49" ht="12.75" customHeight="1" x14ac:dyDescent="0.15">
      <c r="B877" s="40"/>
      <c r="C877" s="40"/>
      <c r="D877" s="40"/>
      <c r="E877" s="40"/>
      <c r="F877" s="40"/>
      <c r="G877" s="40"/>
      <c r="H877" s="40"/>
      <c r="I877" s="53"/>
      <c r="S877" s="40"/>
      <c r="T877" s="40"/>
      <c r="U877" s="40"/>
      <c r="V877" s="40"/>
      <c r="W877" s="40"/>
      <c r="Y877" s="40"/>
      <c r="Z877" s="40"/>
      <c r="AA877" s="40"/>
      <c r="AB877" s="40"/>
      <c r="AC877" s="41"/>
      <c r="AD877" s="41"/>
      <c r="AE877" s="41"/>
      <c r="AF877" s="41"/>
      <c r="AG877" s="41"/>
      <c r="AH877" s="40"/>
      <c r="AI877" s="40"/>
      <c r="AJ877" s="5"/>
      <c r="AK877" s="5"/>
      <c r="AL877" s="40"/>
      <c r="AM877" s="40"/>
      <c r="AN877" s="40"/>
      <c r="AO877" s="40"/>
      <c r="AP877" s="40"/>
      <c r="AQ877" s="40"/>
      <c r="AR877" s="40"/>
      <c r="AS877" s="40"/>
      <c r="AU877" s="40"/>
      <c r="AW877" s="40"/>
    </row>
    <row r="878" spans="2:49" ht="12.75" customHeight="1" x14ac:dyDescent="0.15">
      <c r="B878" s="40"/>
      <c r="C878" s="40"/>
      <c r="D878" s="40"/>
      <c r="E878" s="40"/>
      <c r="F878" s="40"/>
      <c r="G878" s="40"/>
      <c r="H878" s="40"/>
      <c r="I878" s="53"/>
      <c r="S878" s="40"/>
      <c r="T878" s="40"/>
      <c r="U878" s="40"/>
      <c r="V878" s="40"/>
      <c r="W878" s="40"/>
      <c r="Y878" s="40"/>
      <c r="Z878" s="40"/>
      <c r="AA878" s="40"/>
      <c r="AB878" s="40"/>
      <c r="AC878" s="41"/>
      <c r="AD878" s="41"/>
      <c r="AE878" s="41"/>
      <c r="AF878" s="41"/>
      <c r="AG878" s="41"/>
      <c r="AH878" s="40"/>
      <c r="AI878" s="40"/>
      <c r="AJ878" s="5"/>
      <c r="AK878" s="5"/>
      <c r="AL878" s="40"/>
      <c r="AM878" s="40"/>
      <c r="AN878" s="40"/>
      <c r="AO878" s="40"/>
      <c r="AP878" s="40"/>
      <c r="AQ878" s="40"/>
      <c r="AR878" s="40"/>
      <c r="AS878" s="40"/>
      <c r="AU878" s="40"/>
      <c r="AW878" s="40"/>
    </row>
    <row r="879" spans="2:49" ht="12.75" customHeight="1" x14ac:dyDescent="0.15">
      <c r="B879" s="40"/>
      <c r="C879" s="40"/>
      <c r="D879" s="40"/>
      <c r="E879" s="40"/>
      <c r="F879" s="40"/>
      <c r="G879" s="40"/>
      <c r="H879" s="40"/>
      <c r="I879" s="53"/>
      <c r="S879" s="40"/>
      <c r="T879" s="40"/>
      <c r="U879" s="40"/>
      <c r="V879" s="40"/>
      <c r="W879" s="40"/>
      <c r="Y879" s="40"/>
      <c r="Z879" s="40"/>
      <c r="AA879" s="40"/>
      <c r="AB879" s="40"/>
      <c r="AC879" s="41"/>
      <c r="AD879" s="41"/>
      <c r="AE879" s="41"/>
      <c r="AF879" s="41"/>
      <c r="AG879" s="41"/>
      <c r="AH879" s="40"/>
      <c r="AI879" s="40"/>
      <c r="AJ879" s="5"/>
      <c r="AK879" s="5"/>
      <c r="AL879" s="40"/>
      <c r="AM879" s="40"/>
      <c r="AN879" s="40"/>
      <c r="AO879" s="40"/>
      <c r="AP879" s="40"/>
      <c r="AQ879" s="40"/>
      <c r="AR879" s="40"/>
      <c r="AS879" s="40"/>
      <c r="AU879" s="40"/>
      <c r="AW879" s="40"/>
    </row>
    <row r="880" spans="2:49" ht="12.75" customHeight="1" x14ac:dyDescent="0.15">
      <c r="B880" s="40"/>
      <c r="C880" s="40"/>
      <c r="D880" s="40"/>
      <c r="E880" s="40"/>
      <c r="F880" s="40"/>
      <c r="G880" s="40"/>
      <c r="H880" s="40"/>
      <c r="I880" s="53"/>
      <c r="S880" s="40"/>
      <c r="T880" s="40"/>
      <c r="U880" s="40"/>
      <c r="V880" s="40"/>
      <c r="W880" s="40"/>
      <c r="Y880" s="40"/>
      <c r="Z880" s="40"/>
      <c r="AA880" s="40"/>
      <c r="AB880" s="40"/>
      <c r="AC880" s="41"/>
      <c r="AD880" s="41"/>
      <c r="AE880" s="41"/>
      <c r="AF880" s="41"/>
      <c r="AG880" s="41"/>
      <c r="AH880" s="40"/>
      <c r="AI880" s="40"/>
      <c r="AJ880" s="5"/>
      <c r="AK880" s="5"/>
      <c r="AL880" s="40"/>
      <c r="AM880" s="40"/>
      <c r="AN880" s="40"/>
      <c r="AO880" s="40"/>
      <c r="AP880" s="40"/>
      <c r="AQ880" s="40"/>
      <c r="AR880" s="40"/>
      <c r="AS880" s="40"/>
      <c r="AU880" s="40"/>
      <c r="AW880" s="40"/>
    </row>
    <row r="881" spans="2:49" ht="12.75" customHeight="1" x14ac:dyDescent="0.15">
      <c r="B881" s="40"/>
      <c r="C881" s="40"/>
      <c r="D881" s="40"/>
      <c r="E881" s="40"/>
      <c r="F881" s="40"/>
      <c r="G881" s="40"/>
      <c r="H881" s="40"/>
      <c r="I881" s="53"/>
      <c r="S881" s="40"/>
      <c r="T881" s="40"/>
      <c r="U881" s="40"/>
      <c r="V881" s="40"/>
      <c r="W881" s="40"/>
      <c r="Y881" s="40"/>
      <c r="Z881" s="40"/>
      <c r="AA881" s="40"/>
      <c r="AB881" s="40"/>
      <c r="AC881" s="41"/>
      <c r="AD881" s="41"/>
      <c r="AE881" s="41"/>
      <c r="AF881" s="41"/>
      <c r="AG881" s="41"/>
      <c r="AH881" s="40"/>
      <c r="AI881" s="40"/>
      <c r="AJ881" s="5"/>
      <c r="AK881" s="5"/>
      <c r="AL881" s="40"/>
      <c r="AM881" s="40"/>
      <c r="AN881" s="40"/>
      <c r="AO881" s="40"/>
      <c r="AP881" s="40"/>
      <c r="AQ881" s="40"/>
      <c r="AR881" s="40"/>
      <c r="AS881" s="40"/>
      <c r="AU881" s="40"/>
      <c r="AW881" s="40"/>
    </row>
    <row r="882" spans="2:49" ht="12.75" customHeight="1" x14ac:dyDescent="0.15">
      <c r="B882" s="40"/>
      <c r="C882" s="40"/>
      <c r="D882" s="40"/>
      <c r="E882" s="40"/>
      <c r="F882" s="40"/>
      <c r="G882" s="40"/>
      <c r="H882" s="40"/>
      <c r="I882" s="53"/>
      <c r="S882" s="40"/>
      <c r="T882" s="40"/>
      <c r="U882" s="40"/>
      <c r="V882" s="40"/>
      <c r="W882" s="40"/>
      <c r="Y882" s="40"/>
      <c r="Z882" s="40"/>
      <c r="AA882" s="40"/>
      <c r="AB882" s="40"/>
      <c r="AC882" s="41"/>
      <c r="AD882" s="41"/>
      <c r="AE882" s="41"/>
      <c r="AF882" s="41"/>
      <c r="AG882" s="41"/>
      <c r="AH882" s="40"/>
      <c r="AI882" s="40"/>
      <c r="AJ882" s="5"/>
      <c r="AK882" s="5"/>
      <c r="AL882" s="40"/>
      <c r="AM882" s="40"/>
      <c r="AN882" s="40"/>
      <c r="AO882" s="40"/>
      <c r="AP882" s="40"/>
      <c r="AQ882" s="40"/>
      <c r="AR882" s="40"/>
      <c r="AS882" s="40"/>
      <c r="AU882" s="40"/>
      <c r="AW882" s="40"/>
    </row>
    <row r="883" spans="2:49" ht="12.75" customHeight="1" x14ac:dyDescent="0.15">
      <c r="B883" s="40"/>
      <c r="C883" s="40"/>
      <c r="D883" s="40"/>
      <c r="E883" s="40"/>
      <c r="F883" s="40"/>
      <c r="G883" s="40"/>
      <c r="H883" s="40"/>
      <c r="I883" s="53"/>
      <c r="S883" s="40"/>
      <c r="T883" s="40"/>
      <c r="U883" s="40"/>
      <c r="V883" s="40"/>
      <c r="W883" s="40"/>
      <c r="Y883" s="40"/>
      <c r="Z883" s="40"/>
      <c r="AA883" s="40"/>
      <c r="AB883" s="40"/>
      <c r="AC883" s="41"/>
      <c r="AD883" s="41"/>
      <c r="AE883" s="41"/>
      <c r="AF883" s="41"/>
      <c r="AG883" s="41"/>
      <c r="AH883" s="40"/>
      <c r="AI883" s="40"/>
      <c r="AJ883" s="5"/>
      <c r="AK883" s="5"/>
      <c r="AL883" s="40"/>
      <c r="AM883" s="40"/>
      <c r="AN883" s="40"/>
      <c r="AO883" s="40"/>
      <c r="AP883" s="40"/>
      <c r="AQ883" s="40"/>
      <c r="AR883" s="40"/>
      <c r="AS883" s="40"/>
      <c r="AU883" s="40"/>
      <c r="AW883" s="40"/>
    </row>
    <row r="884" spans="2:49" ht="12.75" customHeight="1" x14ac:dyDescent="0.15">
      <c r="B884" s="40"/>
      <c r="C884" s="40"/>
      <c r="D884" s="40"/>
      <c r="E884" s="40"/>
      <c r="F884" s="40"/>
      <c r="G884" s="40"/>
      <c r="H884" s="40"/>
      <c r="I884" s="53"/>
      <c r="S884" s="40"/>
      <c r="T884" s="40"/>
      <c r="U884" s="40"/>
      <c r="V884" s="40"/>
      <c r="W884" s="40"/>
      <c r="Y884" s="40"/>
      <c r="Z884" s="40"/>
      <c r="AA884" s="40"/>
      <c r="AB884" s="40"/>
      <c r="AC884" s="41"/>
      <c r="AD884" s="41"/>
      <c r="AE884" s="41"/>
      <c r="AF884" s="41"/>
      <c r="AG884" s="41"/>
      <c r="AH884" s="40"/>
      <c r="AI884" s="40"/>
      <c r="AJ884" s="5"/>
      <c r="AK884" s="5"/>
      <c r="AL884" s="40"/>
      <c r="AM884" s="40"/>
      <c r="AN884" s="40"/>
      <c r="AO884" s="40"/>
      <c r="AP884" s="40"/>
      <c r="AQ884" s="40"/>
      <c r="AR884" s="40"/>
      <c r="AS884" s="40"/>
      <c r="AU884" s="40"/>
      <c r="AW884" s="40"/>
    </row>
    <row r="885" spans="2:49" ht="12.75" customHeight="1" x14ac:dyDescent="0.15">
      <c r="B885" s="40"/>
      <c r="C885" s="40"/>
      <c r="D885" s="40"/>
      <c r="E885" s="40"/>
      <c r="F885" s="40"/>
      <c r="G885" s="40"/>
      <c r="H885" s="40"/>
      <c r="I885" s="53"/>
      <c r="S885" s="40"/>
      <c r="T885" s="40"/>
      <c r="U885" s="40"/>
      <c r="V885" s="40"/>
      <c r="W885" s="40"/>
      <c r="Y885" s="40"/>
      <c r="Z885" s="40"/>
      <c r="AA885" s="40"/>
      <c r="AB885" s="40"/>
      <c r="AC885" s="41"/>
      <c r="AD885" s="41"/>
      <c r="AE885" s="41"/>
      <c r="AF885" s="41"/>
      <c r="AG885" s="41"/>
      <c r="AH885" s="40"/>
      <c r="AI885" s="40"/>
      <c r="AJ885" s="5"/>
      <c r="AK885" s="5"/>
      <c r="AL885" s="40"/>
      <c r="AM885" s="40"/>
      <c r="AN885" s="40"/>
      <c r="AO885" s="40"/>
      <c r="AP885" s="40"/>
      <c r="AQ885" s="40"/>
      <c r="AR885" s="40"/>
      <c r="AS885" s="40"/>
      <c r="AU885" s="40"/>
      <c r="AW885" s="40"/>
    </row>
    <row r="886" spans="2:49" ht="12.75" customHeight="1" x14ac:dyDescent="0.15">
      <c r="B886" s="40"/>
      <c r="C886" s="40"/>
      <c r="D886" s="40"/>
      <c r="E886" s="40"/>
      <c r="F886" s="40"/>
      <c r="G886" s="40"/>
      <c r="H886" s="40"/>
      <c r="I886" s="53"/>
      <c r="S886" s="40"/>
      <c r="T886" s="40"/>
      <c r="U886" s="40"/>
      <c r="V886" s="40"/>
      <c r="W886" s="40"/>
      <c r="Y886" s="40"/>
      <c r="Z886" s="40"/>
      <c r="AA886" s="40"/>
      <c r="AB886" s="40"/>
      <c r="AC886" s="41"/>
      <c r="AD886" s="41"/>
      <c r="AE886" s="41"/>
      <c r="AF886" s="41"/>
      <c r="AG886" s="41"/>
      <c r="AH886" s="40"/>
      <c r="AI886" s="40"/>
      <c r="AJ886" s="5"/>
      <c r="AK886" s="5"/>
      <c r="AL886" s="40"/>
      <c r="AM886" s="40"/>
      <c r="AN886" s="40"/>
      <c r="AO886" s="40"/>
      <c r="AP886" s="40"/>
      <c r="AQ886" s="40"/>
      <c r="AR886" s="40"/>
      <c r="AS886" s="40"/>
      <c r="AU886" s="40"/>
      <c r="AW886" s="40"/>
    </row>
    <row r="887" spans="2:49" ht="12.75" customHeight="1" x14ac:dyDescent="0.15">
      <c r="B887" s="40"/>
      <c r="C887" s="40"/>
      <c r="D887" s="40"/>
      <c r="E887" s="40"/>
      <c r="F887" s="40"/>
      <c r="G887" s="40"/>
      <c r="H887" s="40"/>
      <c r="I887" s="53"/>
      <c r="S887" s="40"/>
      <c r="T887" s="40"/>
      <c r="U887" s="40"/>
      <c r="V887" s="40"/>
      <c r="W887" s="40"/>
      <c r="Y887" s="40"/>
      <c r="Z887" s="40"/>
      <c r="AA887" s="40"/>
      <c r="AB887" s="40"/>
      <c r="AC887" s="41"/>
      <c r="AD887" s="41"/>
      <c r="AE887" s="41"/>
      <c r="AF887" s="41"/>
      <c r="AG887" s="41"/>
      <c r="AH887" s="40"/>
      <c r="AI887" s="40"/>
      <c r="AJ887" s="5"/>
      <c r="AK887" s="5"/>
      <c r="AL887" s="40"/>
      <c r="AM887" s="40"/>
      <c r="AN887" s="40"/>
      <c r="AO887" s="40"/>
      <c r="AP887" s="40"/>
      <c r="AQ887" s="40"/>
      <c r="AR887" s="40"/>
      <c r="AS887" s="40"/>
      <c r="AU887" s="40"/>
      <c r="AW887" s="40"/>
    </row>
    <row r="888" spans="2:49" ht="12.75" customHeight="1" x14ac:dyDescent="0.15">
      <c r="B888" s="40"/>
      <c r="C888" s="40"/>
      <c r="D888" s="40"/>
      <c r="E888" s="40"/>
      <c r="F888" s="40"/>
      <c r="G888" s="40"/>
      <c r="H888" s="40"/>
      <c r="I888" s="53"/>
      <c r="S888" s="40"/>
      <c r="T888" s="40"/>
      <c r="U888" s="40"/>
      <c r="V888" s="40"/>
      <c r="W888" s="40"/>
      <c r="Y888" s="40"/>
      <c r="Z888" s="40"/>
      <c r="AA888" s="40"/>
      <c r="AB888" s="40"/>
      <c r="AC888" s="41"/>
      <c r="AD888" s="41"/>
      <c r="AE888" s="41"/>
      <c r="AF888" s="41"/>
      <c r="AG888" s="41"/>
      <c r="AH888" s="40"/>
      <c r="AI888" s="40"/>
      <c r="AJ888" s="5"/>
      <c r="AK888" s="5"/>
      <c r="AL888" s="40"/>
      <c r="AM888" s="40"/>
      <c r="AN888" s="40"/>
      <c r="AO888" s="40"/>
      <c r="AP888" s="40"/>
      <c r="AQ888" s="40"/>
      <c r="AR888" s="40"/>
      <c r="AS888" s="40"/>
      <c r="AU888" s="40"/>
      <c r="AW888" s="40"/>
    </row>
    <row r="889" spans="2:49" ht="12.75" customHeight="1" x14ac:dyDescent="0.15">
      <c r="B889" s="40"/>
      <c r="C889" s="40"/>
      <c r="D889" s="40"/>
      <c r="E889" s="40"/>
      <c r="F889" s="40"/>
      <c r="G889" s="40"/>
      <c r="H889" s="40"/>
      <c r="I889" s="53"/>
      <c r="S889" s="40"/>
      <c r="T889" s="40"/>
      <c r="U889" s="40"/>
      <c r="V889" s="40"/>
      <c r="W889" s="40"/>
      <c r="Y889" s="40"/>
      <c r="Z889" s="40"/>
      <c r="AA889" s="40"/>
      <c r="AB889" s="40"/>
      <c r="AC889" s="41"/>
      <c r="AD889" s="41"/>
      <c r="AE889" s="41"/>
      <c r="AF889" s="41"/>
      <c r="AG889" s="41"/>
      <c r="AH889" s="40"/>
      <c r="AI889" s="40"/>
      <c r="AJ889" s="5"/>
      <c r="AK889" s="5"/>
      <c r="AL889" s="40"/>
      <c r="AM889" s="40"/>
      <c r="AN889" s="40"/>
      <c r="AO889" s="40"/>
      <c r="AP889" s="40"/>
      <c r="AQ889" s="40"/>
      <c r="AR889" s="40"/>
      <c r="AS889" s="40"/>
      <c r="AU889" s="40"/>
      <c r="AW889" s="40"/>
    </row>
    <row r="890" spans="2:49" ht="12.75" customHeight="1" x14ac:dyDescent="0.15">
      <c r="B890" s="40"/>
      <c r="C890" s="40"/>
      <c r="D890" s="40"/>
      <c r="E890" s="40"/>
      <c r="F890" s="40"/>
      <c r="G890" s="40"/>
      <c r="H890" s="40"/>
      <c r="I890" s="53"/>
      <c r="S890" s="40"/>
      <c r="T890" s="40"/>
      <c r="U890" s="40"/>
      <c r="V890" s="40"/>
      <c r="W890" s="40"/>
      <c r="Y890" s="40"/>
      <c r="Z890" s="40"/>
      <c r="AA890" s="40"/>
      <c r="AB890" s="40"/>
      <c r="AC890" s="41"/>
      <c r="AD890" s="41"/>
      <c r="AE890" s="41"/>
      <c r="AF890" s="41"/>
      <c r="AG890" s="41"/>
      <c r="AH890" s="40"/>
      <c r="AI890" s="40"/>
      <c r="AJ890" s="5"/>
      <c r="AK890" s="5"/>
      <c r="AL890" s="40"/>
      <c r="AM890" s="40"/>
      <c r="AN890" s="40"/>
      <c r="AO890" s="40"/>
      <c r="AP890" s="40"/>
      <c r="AQ890" s="40"/>
      <c r="AR890" s="40"/>
      <c r="AS890" s="40"/>
      <c r="AU890" s="40"/>
      <c r="AW890" s="40"/>
    </row>
    <row r="891" spans="2:49" ht="12.75" customHeight="1" x14ac:dyDescent="0.15">
      <c r="B891" s="40"/>
      <c r="C891" s="40"/>
      <c r="D891" s="40"/>
      <c r="E891" s="40"/>
      <c r="F891" s="40"/>
      <c r="G891" s="40"/>
      <c r="H891" s="40"/>
      <c r="I891" s="53"/>
      <c r="S891" s="40"/>
      <c r="T891" s="40"/>
      <c r="U891" s="40"/>
      <c r="V891" s="40"/>
      <c r="W891" s="40"/>
      <c r="Y891" s="40"/>
      <c r="Z891" s="40"/>
      <c r="AA891" s="40"/>
      <c r="AB891" s="40"/>
      <c r="AC891" s="41"/>
      <c r="AD891" s="41"/>
      <c r="AE891" s="41"/>
      <c r="AF891" s="41"/>
      <c r="AG891" s="41"/>
      <c r="AH891" s="40"/>
      <c r="AI891" s="40"/>
      <c r="AJ891" s="5"/>
      <c r="AK891" s="5"/>
      <c r="AL891" s="40"/>
      <c r="AM891" s="40"/>
      <c r="AN891" s="40"/>
      <c r="AO891" s="40"/>
      <c r="AP891" s="40"/>
      <c r="AQ891" s="40"/>
      <c r="AR891" s="40"/>
      <c r="AS891" s="40"/>
      <c r="AU891" s="40"/>
      <c r="AW891" s="40"/>
    </row>
    <row r="892" spans="2:49" ht="12.75" customHeight="1" x14ac:dyDescent="0.15">
      <c r="B892" s="40"/>
      <c r="C892" s="40"/>
      <c r="D892" s="40"/>
      <c r="E892" s="40"/>
      <c r="F892" s="40"/>
      <c r="G892" s="40"/>
      <c r="H892" s="40"/>
      <c r="I892" s="53"/>
      <c r="S892" s="40"/>
      <c r="T892" s="40"/>
      <c r="U892" s="40"/>
      <c r="V892" s="40"/>
      <c r="W892" s="40"/>
      <c r="Y892" s="40"/>
      <c r="Z892" s="40"/>
      <c r="AA892" s="40"/>
      <c r="AB892" s="40"/>
      <c r="AC892" s="41"/>
      <c r="AD892" s="41"/>
      <c r="AE892" s="41"/>
      <c r="AF892" s="41"/>
      <c r="AG892" s="41"/>
      <c r="AH892" s="40"/>
      <c r="AI892" s="40"/>
      <c r="AJ892" s="5"/>
      <c r="AK892" s="5"/>
      <c r="AL892" s="40"/>
      <c r="AM892" s="40"/>
      <c r="AN892" s="40"/>
      <c r="AO892" s="40"/>
      <c r="AP892" s="40"/>
      <c r="AQ892" s="40"/>
      <c r="AR892" s="40"/>
      <c r="AS892" s="40"/>
      <c r="AU892" s="40"/>
      <c r="AW892" s="40"/>
    </row>
    <row r="893" spans="2:49" ht="12.75" customHeight="1" x14ac:dyDescent="0.15">
      <c r="B893" s="40"/>
      <c r="C893" s="40"/>
      <c r="D893" s="40"/>
      <c r="E893" s="40"/>
      <c r="F893" s="40"/>
      <c r="G893" s="40"/>
      <c r="H893" s="40"/>
      <c r="I893" s="53"/>
      <c r="S893" s="40"/>
      <c r="T893" s="40"/>
      <c r="U893" s="40"/>
      <c r="V893" s="40"/>
      <c r="W893" s="40"/>
      <c r="Y893" s="40"/>
      <c r="Z893" s="40"/>
      <c r="AA893" s="40"/>
      <c r="AB893" s="40"/>
      <c r="AC893" s="41"/>
      <c r="AD893" s="41"/>
      <c r="AE893" s="41"/>
      <c r="AF893" s="41"/>
      <c r="AG893" s="41"/>
      <c r="AH893" s="40"/>
      <c r="AI893" s="40"/>
      <c r="AJ893" s="5"/>
      <c r="AK893" s="5"/>
      <c r="AL893" s="40"/>
      <c r="AM893" s="40"/>
      <c r="AN893" s="40"/>
      <c r="AO893" s="40"/>
      <c r="AP893" s="40"/>
      <c r="AQ893" s="40"/>
      <c r="AR893" s="40"/>
      <c r="AS893" s="40"/>
      <c r="AU893" s="40"/>
      <c r="AW893" s="40"/>
    </row>
    <row r="894" spans="2:49" ht="12.75" customHeight="1" x14ac:dyDescent="0.15">
      <c r="B894" s="40"/>
      <c r="C894" s="40"/>
      <c r="D894" s="40"/>
      <c r="E894" s="40"/>
      <c r="F894" s="40"/>
      <c r="G894" s="40"/>
      <c r="H894" s="40"/>
      <c r="I894" s="53"/>
      <c r="S894" s="40"/>
      <c r="T894" s="40"/>
      <c r="U894" s="40"/>
      <c r="V894" s="40"/>
      <c r="W894" s="40"/>
      <c r="Y894" s="40"/>
      <c r="Z894" s="40"/>
      <c r="AA894" s="40"/>
      <c r="AB894" s="40"/>
      <c r="AC894" s="41"/>
      <c r="AD894" s="41"/>
      <c r="AE894" s="41"/>
      <c r="AF894" s="41"/>
      <c r="AG894" s="41"/>
      <c r="AH894" s="40"/>
      <c r="AI894" s="40"/>
      <c r="AJ894" s="5"/>
      <c r="AK894" s="5"/>
      <c r="AL894" s="40"/>
      <c r="AM894" s="40"/>
      <c r="AN894" s="40"/>
      <c r="AO894" s="40"/>
      <c r="AP894" s="40"/>
      <c r="AQ894" s="40"/>
      <c r="AR894" s="40"/>
      <c r="AS894" s="40"/>
      <c r="AU894" s="40"/>
      <c r="AW894" s="40"/>
    </row>
    <row r="895" spans="2:49" ht="12.75" customHeight="1" x14ac:dyDescent="0.15">
      <c r="B895" s="40"/>
      <c r="C895" s="40"/>
      <c r="D895" s="40"/>
      <c r="E895" s="40"/>
      <c r="F895" s="40"/>
      <c r="G895" s="40"/>
      <c r="H895" s="40"/>
      <c r="I895" s="53"/>
      <c r="S895" s="40"/>
      <c r="T895" s="40"/>
      <c r="U895" s="40"/>
      <c r="V895" s="40"/>
      <c r="W895" s="40"/>
      <c r="Y895" s="40"/>
      <c r="Z895" s="40"/>
      <c r="AA895" s="40"/>
      <c r="AB895" s="40"/>
      <c r="AC895" s="41"/>
      <c r="AD895" s="41"/>
      <c r="AE895" s="41"/>
      <c r="AF895" s="41"/>
      <c r="AG895" s="41"/>
      <c r="AH895" s="40"/>
      <c r="AI895" s="40"/>
      <c r="AJ895" s="5"/>
      <c r="AK895" s="5"/>
      <c r="AL895" s="40"/>
      <c r="AM895" s="40"/>
      <c r="AN895" s="40"/>
      <c r="AO895" s="40"/>
      <c r="AP895" s="40"/>
      <c r="AQ895" s="40"/>
      <c r="AR895" s="40"/>
      <c r="AS895" s="40"/>
      <c r="AU895" s="40"/>
      <c r="AW895" s="40"/>
    </row>
    <row r="896" spans="2:49" ht="12.75" customHeight="1" x14ac:dyDescent="0.15">
      <c r="B896" s="40"/>
      <c r="C896" s="40"/>
      <c r="D896" s="40"/>
      <c r="E896" s="40"/>
      <c r="F896" s="40"/>
      <c r="G896" s="40"/>
      <c r="H896" s="40"/>
      <c r="I896" s="53"/>
      <c r="S896" s="40"/>
      <c r="T896" s="40"/>
      <c r="U896" s="40"/>
      <c r="V896" s="40"/>
      <c r="W896" s="40"/>
      <c r="Y896" s="40"/>
      <c r="Z896" s="40"/>
      <c r="AA896" s="40"/>
      <c r="AB896" s="40"/>
      <c r="AC896" s="41"/>
      <c r="AD896" s="41"/>
      <c r="AE896" s="41"/>
      <c r="AF896" s="41"/>
      <c r="AG896" s="41"/>
      <c r="AH896" s="40"/>
      <c r="AI896" s="40"/>
      <c r="AJ896" s="5"/>
      <c r="AK896" s="5"/>
      <c r="AL896" s="40"/>
      <c r="AM896" s="40"/>
      <c r="AN896" s="40"/>
      <c r="AO896" s="40"/>
      <c r="AP896" s="40"/>
      <c r="AQ896" s="40"/>
      <c r="AR896" s="40"/>
      <c r="AS896" s="40"/>
      <c r="AU896" s="40"/>
      <c r="AW896" s="40"/>
    </row>
    <row r="897" spans="2:49" ht="12.75" customHeight="1" x14ac:dyDescent="0.15">
      <c r="B897" s="40"/>
      <c r="C897" s="40"/>
      <c r="D897" s="40"/>
      <c r="E897" s="40"/>
      <c r="F897" s="40"/>
      <c r="G897" s="40"/>
      <c r="H897" s="40"/>
      <c r="I897" s="53"/>
      <c r="S897" s="40"/>
      <c r="T897" s="40"/>
      <c r="U897" s="40"/>
      <c r="V897" s="40"/>
      <c r="W897" s="40"/>
      <c r="Y897" s="40"/>
      <c r="Z897" s="40"/>
      <c r="AA897" s="40"/>
      <c r="AB897" s="40"/>
      <c r="AC897" s="41"/>
      <c r="AD897" s="41"/>
      <c r="AE897" s="41"/>
      <c r="AF897" s="41"/>
      <c r="AG897" s="41"/>
      <c r="AH897" s="40"/>
      <c r="AI897" s="40"/>
      <c r="AJ897" s="5"/>
      <c r="AK897" s="5"/>
      <c r="AL897" s="40"/>
      <c r="AM897" s="40"/>
      <c r="AN897" s="40"/>
      <c r="AO897" s="40"/>
      <c r="AP897" s="40"/>
      <c r="AQ897" s="40"/>
      <c r="AR897" s="40"/>
      <c r="AS897" s="40"/>
      <c r="AU897" s="40"/>
      <c r="AW897" s="40"/>
    </row>
    <row r="898" spans="2:49" ht="12.75" customHeight="1" x14ac:dyDescent="0.15">
      <c r="B898" s="40"/>
      <c r="C898" s="40"/>
      <c r="D898" s="40"/>
      <c r="E898" s="40"/>
      <c r="F898" s="40"/>
      <c r="G898" s="40"/>
      <c r="H898" s="40"/>
      <c r="I898" s="53"/>
      <c r="S898" s="40"/>
      <c r="T898" s="40"/>
      <c r="U898" s="40"/>
      <c r="V898" s="40"/>
      <c r="W898" s="40"/>
      <c r="Y898" s="40"/>
      <c r="Z898" s="40"/>
      <c r="AA898" s="40"/>
      <c r="AB898" s="40"/>
      <c r="AC898" s="41"/>
      <c r="AD898" s="41"/>
      <c r="AE898" s="41"/>
      <c r="AF898" s="41"/>
      <c r="AG898" s="41"/>
      <c r="AH898" s="40"/>
      <c r="AI898" s="40"/>
      <c r="AJ898" s="5"/>
      <c r="AK898" s="5"/>
      <c r="AL898" s="40"/>
      <c r="AM898" s="40"/>
      <c r="AN898" s="40"/>
      <c r="AO898" s="40"/>
      <c r="AP898" s="40"/>
      <c r="AQ898" s="40"/>
      <c r="AR898" s="40"/>
      <c r="AS898" s="40"/>
      <c r="AU898" s="40"/>
      <c r="AW898" s="40"/>
    </row>
    <row r="899" spans="2:49" ht="12.75" customHeight="1" x14ac:dyDescent="0.15">
      <c r="B899" s="40"/>
      <c r="C899" s="40"/>
      <c r="D899" s="40"/>
      <c r="E899" s="40"/>
      <c r="F899" s="40"/>
      <c r="G899" s="40"/>
      <c r="H899" s="40"/>
      <c r="I899" s="53"/>
      <c r="S899" s="40"/>
      <c r="T899" s="40"/>
      <c r="U899" s="40"/>
      <c r="V899" s="40"/>
      <c r="W899" s="40"/>
      <c r="Y899" s="40"/>
      <c r="Z899" s="40"/>
      <c r="AA899" s="40"/>
      <c r="AB899" s="40"/>
      <c r="AC899" s="41"/>
      <c r="AD899" s="41"/>
      <c r="AE899" s="41"/>
      <c r="AF899" s="41"/>
      <c r="AG899" s="41"/>
      <c r="AH899" s="40"/>
      <c r="AI899" s="40"/>
      <c r="AJ899" s="5"/>
      <c r="AK899" s="5"/>
      <c r="AL899" s="40"/>
      <c r="AM899" s="40"/>
      <c r="AN899" s="40"/>
      <c r="AO899" s="40"/>
      <c r="AP899" s="40"/>
      <c r="AQ899" s="40"/>
      <c r="AR899" s="40"/>
      <c r="AS899" s="40"/>
      <c r="AU899" s="40"/>
      <c r="AW899" s="40"/>
    </row>
    <row r="900" spans="2:49" ht="12.75" customHeight="1" x14ac:dyDescent="0.15">
      <c r="B900" s="40"/>
      <c r="C900" s="40"/>
      <c r="D900" s="40"/>
      <c r="E900" s="40"/>
      <c r="F900" s="40"/>
      <c r="G900" s="40"/>
      <c r="H900" s="40"/>
      <c r="I900" s="53"/>
      <c r="S900" s="40"/>
      <c r="T900" s="40"/>
      <c r="U900" s="40"/>
      <c r="V900" s="40"/>
      <c r="W900" s="40"/>
      <c r="Y900" s="40"/>
      <c r="Z900" s="40"/>
      <c r="AA900" s="40"/>
      <c r="AB900" s="40"/>
      <c r="AC900" s="41"/>
      <c r="AD900" s="41"/>
      <c r="AE900" s="41"/>
      <c r="AF900" s="41"/>
      <c r="AG900" s="41"/>
      <c r="AH900" s="40"/>
      <c r="AI900" s="40"/>
      <c r="AJ900" s="5"/>
      <c r="AK900" s="5"/>
      <c r="AL900" s="40"/>
      <c r="AM900" s="40"/>
      <c r="AN900" s="40"/>
      <c r="AO900" s="40"/>
      <c r="AP900" s="40"/>
      <c r="AQ900" s="40"/>
      <c r="AR900" s="40"/>
      <c r="AS900" s="40"/>
      <c r="AU900" s="40"/>
      <c r="AW900" s="40"/>
    </row>
    <row r="901" spans="2:49" ht="12.75" customHeight="1" x14ac:dyDescent="0.15">
      <c r="B901" s="40"/>
      <c r="C901" s="40"/>
      <c r="D901" s="40"/>
      <c r="E901" s="40"/>
      <c r="F901" s="40"/>
      <c r="G901" s="40"/>
      <c r="H901" s="40"/>
      <c r="I901" s="53"/>
      <c r="S901" s="40"/>
      <c r="T901" s="40"/>
      <c r="U901" s="40"/>
      <c r="V901" s="40"/>
      <c r="W901" s="40"/>
      <c r="Y901" s="40"/>
      <c r="Z901" s="40"/>
      <c r="AA901" s="40"/>
      <c r="AB901" s="40"/>
      <c r="AC901" s="41"/>
      <c r="AD901" s="41"/>
      <c r="AE901" s="41"/>
      <c r="AF901" s="41"/>
      <c r="AG901" s="41"/>
      <c r="AH901" s="40"/>
      <c r="AI901" s="40"/>
      <c r="AJ901" s="5"/>
      <c r="AK901" s="5"/>
      <c r="AL901" s="40"/>
      <c r="AM901" s="40"/>
      <c r="AN901" s="40"/>
      <c r="AO901" s="40"/>
      <c r="AP901" s="40"/>
      <c r="AQ901" s="40"/>
      <c r="AR901" s="40"/>
      <c r="AS901" s="40"/>
      <c r="AU901" s="40"/>
      <c r="AW901" s="40"/>
    </row>
    <row r="902" spans="2:49" ht="12.75" customHeight="1" x14ac:dyDescent="0.15">
      <c r="B902" s="40"/>
      <c r="C902" s="40"/>
      <c r="D902" s="40"/>
      <c r="E902" s="40"/>
      <c r="F902" s="40"/>
      <c r="G902" s="40"/>
      <c r="H902" s="40"/>
      <c r="I902" s="53"/>
      <c r="S902" s="40"/>
      <c r="T902" s="40"/>
      <c r="U902" s="40"/>
      <c r="V902" s="40"/>
      <c r="W902" s="40"/>
      <c r="Y902" s="40"/>
      <c r="Z902" s="40"/>
      <c r="AA902" s="40"/>
      <c r="AB902" s="40"/>
      <c r="AC902" s="41"/>
      <c r="AD902" s="41"/>
      <c r="AE902" s="41"/>
      <c r="AF902" s="41"/>
      <c r="AG902" s="41"/>
      <c r="AH902" s="40"/>
      <c r="AI902" s="40"/>
      <c r="AJ902" s="5"/>
      <c r="AK902" s="5"/>
      <c r="AL902" s="40"/>
      <c r="AM902" s="40"/>
      <c r="AN902" s="40"/>
      <c r="AO902" s="40"/>
      <c r="AP902" s="40"/>
      <c r="AQ902" s="40"/>
      <c r="AR902" s="40"/>
      <c r="AS902" s="40"/>
      <c r="AU902" s="40"/>
      <c r="AW902" s="40"/>
    </row>
    <row r="903" spans="2:49" ht="12.75" customHeight="1" x14ac:dyDescent="0.15">
      <c r="B903" s="40"/>
      <c r="C903" s="40"/>
      <c r="D903" s="40"/>
      <c r="E903" s="40"/>
      <c r="F903" s="40"/>
      <c r="G903" s="40"/>
      <c r="H903" s="40"/>
      <c r="I903" s="53"/>
      <c r="S903" s="40"/>
      <c r="T903" s="40"/>
      <c r="U903" s="40"/>
      <c r="V903" s="40"/>
      <c r="W903" s="40"/>
      <c r="Y903" s="40"/>
      <c r="Z903" s="40"/>
      <c r="AA903" s="40"/>
      <c r="AB903" s="40"/>
      <c r="AC903" s="41"/>
      <c r="AD903" s="41"/>
      <c r="AE903" s="41"/>
      <c r="AF903" s="41"/>
      <c r="AG903" s="41"/>
      <c r="AH903" s="40"/>
      <c r="AI903" s="40"/>
      <c r="AJ903" s="5"/>
      <c r="AK903" s="5"/>
      <c r="AL903" s="40"/>
      <c r="AM903" s="40"/>
      <c r="AN903" s="40"/>
      <c r="AO903" s="40"/>
      <c r="AP903" s="40"/>
      <c r="AQ903" s="40"/>
      <c r="AR903" s="40"/>
      <c r="AS903" s="40"/>
      <c r="AU903" s="40"/>
      <c r="AW903" s="40"/>
    </row>
    <row r="904" spans="2:49" ht="12.75" customHeight="1" x14ac:dyDescent="0.15">
      <c r="B904" s="40"/>
      <c r="C904" s="40"/>
      <c r="D904" s="40"/>
      <c r="E904" s="40"/>
      <c r="F904" s="40"/>
      <c r="G904" s="40"/>
      <c r="H904" s="40"/>
      <c r="I904" s="53"/>
      <c r="S904" s="40"/>
      <c r="T904" s="40"/>
      <c r="U904" s="40"/>
      <c r="V904" s="40"/>
      <c r="W904" s="40"/>
      <c r="Y904" s="40"/>
      <c r="Z904" s="40"/>
      <c r="AA904" s="40"/>
      <c r="AB904" s="40"/>
      <c r="AC904" s="41"/>
      <c r="AD904" s="41"/>
      <c r="AE904" s="41"/>
      <c r="AF904" s="41"/>
      <c r="AG904" s="41"/>
      <c r="AH904" s="40"/>
      <c r="AI904" s="40"/>
      <c r="AJ904" s="5"/>
      <c r="AK904" s="5"/>
      <c r="AL904" s="40"/>
      <c r="AM904" s="40"/>
      <c r="AN904" s="40"/>
      <c r="AO904" s="40"/>
      <c r="AP904" s="40"/>
      <c r="AQ904" s="40"/>
      <c r="AR904" s="40"/>
      <c r="AS904" s="40"/>
      <c r="AU904" s="40"/>
      <c r="AW904" s="40"/>
    </row>
    <row r="905" spans="2:49" ht="12.75" customHeight="1" x14ac:dyDescent="0.15">
      <c r="B905" s="40"/>
      <c r="C905" s="40"/>
      <c r="D905" s="40"/>
      <c r="E905" s="40"/>
      <c r="F905" s="40"/>
      <c r="G905" s="40"/>
      <c r="H905" s="40"/>
      <c r="I905" s="53"/>
      <c r="S905" s="40"/>
      <c r="T905" s="40"/>
      <c r="U905" s="40"/>
      <c r="V905" s="40"/>
      <c r="W905" s="40"/>
      <c r="Y905" s="40"/>
      <c r="Z905" s="40"/>
      <c r="AA905" s="40"/>
      <c r="AB905" s="40"/>
      <c r="AC905" s="41"/>
      <c r="AD905" s="41"/>
      <c r="AE905" s="41"/>
      <c r="AF905" s="41"/>
      <c r="AG905" s="41"/>
      <c r="AH905" s="40"/>
      <c r="AI905" s="40"/>
      <c r="AJ905" s="5"/>
      <c r="AK905" s="5"/>
      <c r="AL905" s="40"/>
      <c r="AM905" s="40"/>
      <c r="AN905" s="40"/>
      <c r="AO905" s="40"/>
      <c r="AP905" s="40"/>
      <c r="AQ905" s="40"/>
      <c r="AR905" s="40"/>
      <c r="AS905" s="40"/>
      <c r="AU905" s="40"/>
      <c r="AW905" s="40"/>
    </row>
    <row r="906" spans="2:49" ht="12.75" customHeight="1" x14ac:dyDescent="0.15">
      <c r="B906" s="40"/>
      <c r="C906" s="40"/>
      <c r="D906" s="40"/>
      <c r="E906" s="40"/>
      <c r="F906" s="40"/>
      <c r="G906" s="40"/>
      <c r="H906" s="40"/>
      <c r="I906" s="53"/>
      <c r="S906" s="40"/>
      <c r="T906" s="40"/>
      <c r="U906" s="40"/>
      <c r="V906" s="40"/>
      <c r="W906" s="40"/>
      <c r="Y906" s="40"/>
      <c r="Z906" s="40"/>
      <c r="AA906" s="40"/>
      <c r="AB906" s="40"/>
      <c r="AC906" s="41"/>
      <c r="AD906" s="41"/>
      <c r="AE906" s="41"/>
      <c r="AF906" s="41"/>
      <c r="AG906" s="41"/>
      <c r="AH906" s="40"/>
      <c r="AI906" s="40"/>
      <c r="AJ906" s="5"/>
      <c r="AK906" s="5"/>
      <c r="AL906" s="40"/>
      <c r="AM906" s="40"/>
      <c r="AN906" s="40"/>
      <c r="AO906" s="40"/>
      <c r="AP906" s="40"/>
      <c r="AQ906" s="40"/>
      <c r="AR906" s="40"/>
      <c r="AS906" s="40"/>
      <c r="AU906" s="40"/>
      <c r="AW906" s="40"/>
    </row>
    <row r="907" spans="2:49" ht="12.75" customHeight="1" x14ac:dyDescent="0.15">
      <c r="B907" s="40"/>
      <c r="C907" s="40"/>
      <c r="D907" s="40"/>
      <c r="E907" s="40"/>
      <c r="F907" s="40"/>
      <c r="G907" s="40"/>
      <c r="H907" s="40"/>
      <c r="I907" s="53"/>
      <c r="S907" s="40"/>
      <c r="T907" s="40"/>
      <c r="U907" s="40"/>
      <c r="V907" s="40"/>
      <c r="W907" s="40"/>
      <c r="Y907" s="40"/>
      <c r="Z907" s="40"/>
      <c r="AA907" s="40"/>
      <c r="AB907" s="40"/>
      <c r="AC907" s="41"/>
      <c r="AD907" s="41"/>
      <c r="AE907" s="41"/>
      <c r="AF907" s="41"/>
      <c r="AG907" s="41"/>
      <c r="AH907" s="40"/>
      <c r="AI907" s="40"/>
      <c r="AJ907" s="5"/>
      <c r="AK907" s="5"/>
      <c r="AL907" s="40"/>
      <c r="AM907" s="40"/>
      <c r="AN907" s="40"/>
      <c r="AO907" s="40"/>
      <c r="AP907" s="40"/>
      <c r="AQ907" s="40"/>
      <c r="AR907" s="40"/>
      <c r="AS907" s="40"/>
      <c r="AU907" s="40"/>
      <c r="AW907" s="40"/>
    </row>
    <row r="908" spans="2:49" ht="12.75" customHeight="1" x14ac:dyDescent="0.15">
      <c r="B908" s="40"/>
      <c r="C908" s="40"/>
      <c r="D908" s="40"/>
      <c r="E908" s="40"/>
      <c r="F908" s="40"/>
      <c r="G908" s="40"/>
      <c r="H908" s="40"/>
      <c r="I908" s="53"/>
      <c r="S908" s="40"/>
      <c r="T908" s="40"/>
      <c r="U908" s="40"/>
      <c r="V908" s="40"/>
      <c r="W908" s="40"/>
      <c r="Y908" s="40"/>
      <c r="Z908" s="40"/>
      <c r="AA908" s="40"/>
      <c r="AB908" s="40"/>
      <c r="AC908" s="41"/>
      <c r="AD908" s="41"/>
      <c r="AE908" s="41"/>
      <c r="AF908" s="41"/>
      <c r="AG908" s="41"/>
      <c r="AH908" s="40"/>
      <c r="AI908" s="40"/>
      <c r="AJ908" s="5"/>
      <c r="AK908" s="5"/>
      <c r="AL908" s="40"/>
      <c r="AM908" s="40"/>
      <c r="AN908" s="40"/>
      <c r="AO908" s="40"/>
      <c r="AP908" s="40"/>
      <c r="AQ908" s="40"/>
      <c r="AR908" s="40"/>
      <c r="AS908" s="40"/>
      <c r="AU908" s="40"/>
      <c r="AW908" s="40"/>
    </row>
    <row r="909" spans="2:49" ht="12.75" customHeight="1" x14ac:dyDescent="0.15">
      <c r="B909" s="40"/>
      <c r="C909" s="40"/>
      <c r="D909" s="40"/>
      <c r="E909" s="40"/>
      <c r="F909" s="40"/>
      <c r="G909" s="40"/>
      <c r="H909" s="40"/>
      <c r="I909" s="53"/>
      <c r="S909" s="40"/>
      <c r="T909" s="40"/>
      <c r="U909" s="40"/>
      <c r="V909" s="40"/>
      <c r="W909" s="40"/>
      <c r="Y909" s="40"/>
      <c r="Z909" s="40"/>
      <c r="AA909" s="40"/>
      <c r="AB909" s="40"/>
      <c r="AC909" s="41"/>
      <c r="AD909" s="41"/>
      <c r="AE909" s="41"/>
      <c r="AF909" s="41"/>
      <c r="AG909" s="41"/>
      <c r="AH909" s="40"/>
      <c r="AI909" s="40"/>
      <c r="AJ909" s="5"/>
      <c r="AK909" s="5"/>
      <c r="AL909" s="40"/>
      <c r="AM909" s="40"/>
      <c r="AN909" s="40"/>
      <c r="AO909" s="40"/>
      <c r="AP909" s="40"/>
      <c r="AQ909" s="40"/>
      <c r="AR909" s="40"/>
      <c r="AS909" s="40"/>
      <c r="AU909" s="40"/>
      <c r="AW909" s="40"/>
    </row>
    <row r="910" spans="2:49" ht="12.75" customHeight="1" x14ac:dyDescent="0.15">
      <c r="B910" s="40"/>
      <c r="C910" s="40"/>
      <c r="D910" s="40"/>
      <c r="E910" s="40"/>
      <c r="F910" s="40"/>
      <c r="G910" s="40"/>
      <c r="H910" s="40"/>
      <c r="I910" s="53"/>
      <c r="S910" s="40"/>
      <c r="T910" s="40"/>
      <c r="U910" s="40"/>
      <c r="V910" s="40"/>
      <c r="W910" s="40"/>
      <c r="Y910" s="40"/>
      <c r="Z910" s="40"/>
      <c r="AA910" s="40"/>
      <c r="AB910" s="40"/>
      <c r="AC910" s="41"/>
      <c r="AD910" s="41"/>
      <c r="AE910" s="41"/>
      <c r="AF910" s="41"/>
      <c r="AG910" s="41"/>
      <c r="AH910" s="40"/>
      <c r="AI910" s="40"/>
      <c r="AJ910" s="5"/>
      <c r="AK910" s="5"/>
      <c r="AL910" s="40"/>
      <c r="AM910" s="40"/>
      <c r="AN910" s="40"/>
      <c r="AO910" s="40"/>
      <c r="AP910" s="40"/>
      <c r="AQ910" s="40"/>
      <c r="AR910" s="40"/>
      <c r="AS910" s="40"/>
      <c r="AU910" s="40"/>
      <c r="AW910" s="40"/>
    </row>
    <row r="911" spans="2:49" ht="12.75" customHeight="1" x14ac:dyDescent="0.15">
      <c r="B911" s="40"/>
      <c r="C911" s="40"/>
      <c r="D911" s="40"/>
      <c r="E911" s="40"/>
      <c r="F911" s="40"/>
      <c r="G911" s="40"/>
      <c r="H911" s="40"/>
      <c r="I911" s="53"/>
      <c r="S911" s="40"/>
      <c r="T911" s="40"/>
      <c r="U911" s="40"/>
      <c r="V911" s="40"/>
      <c r="W911" s="40"/>
      <c r="Y911" s="40"/>
      <c r="Z911" s="40"/>
      <c r="AA911" s="40"/>
      <c r="AB911" s="40"/>
      <c r="AC911" s="41"/>
      <c r="AD911" s="41"/>
      <c r="AE911" s="41"/>
      <c r="AF911" s="41"/>
      <c r="AG911" s="41"/>
      <c r="AH911" s="40"/>
      <c r="AI911" s="40"/>
      <c r="AJ911" s="5"/>
      <c r="AK911" s="5"/>
      <c r="AL911" s="40"/>
      <c r="AM911" s="40"/>
      <c r="AN911" s="40"/>
      <c r="AO911" s="40"/>
      <c r="AP911" s="40"/>
      <c r="AQ911" s="40"/>
      <c r="AR911" s="40"/>
      <c r="AS911" s="40"/>
      <c r="AU911" s="40"/>
      <c r="AW911" s="40"/>
    </row>
    <row r="912" spans="2:49" ht="12.75" customHeight="1" x14ac:dyDescent="0.15">
      <c r="B912" s="40"/>
      <c r="C912" s="40"/>
      <c r="D912" s="40"/>
      <c r="E912" s="40"/>
      <c r="F912" s="40"/>
      <c r="G912" s="40"/>
      <c r="H912" s="40"/>
      <c r="I912" s="53"/>
      <c r="S912" s="40"/>
      <c r="T912" s="40"/>
      <c r="U912" s="40"/>
      <c r="V912" s="40"/>
      <c r="W912" s="40"/>
      <c r="Y912" s="40"/>
      <c r="Z912" s="40"/>
      <c r="AA912" s="40"/>
      <c r="AB912" s="40"/>
      <c r="AC912" s="41"/>
      <c r="AD912" s="41"/>
      <c r="AE912" s="41"/>
      <c r="AF912" s="41"/>
      <c r="AG912" s="41"/>
      <c r="AH912" s="40"/>
      <c r="AI912" s="40"/>
      <c r="AJ912" s="5"/>
      <c r="AK912" s="5"/>
      <c r="AL912" s="40"/>
      <c r="AM912" s="40"/>
      <c r="AN912" s="40"/>
      <c r="AO912" s="40"/>
      <c r="AP912" s="40"/>
      <c r="AQ912" s="40"/>
      <c r="AR912" s="40"/>
      <c r="AS912" s="40"/>
      <c r="AU912" s="40"/>
      <c r="AW912" s="40"/>
    </row>
    <row r="913" spans="2:49" ht="12.75" customHeight="1" x14ac:dyDescent="0.15">
      <c r="B913" s="40"/>
      <c r="C913" s="40"/>
      <c r="D913" s="40"/>
      <c r="E913" s="40"/>
      <c r="F913" s="40"/>
      <c r="G913" s="40"/>
      <c r="H913" s="40"/>
      <c r="I913" s="53"/>
      <c r="S913" s="40"/>
      <c r="T913" s="40"/>
      <c r="U913" s="40"/>
      <c r="V913" s="40"/>
      <c r="W913" s="40"/>
      <c r="Y913" s="40"/>
      <c r="Z913" s="40"/>
      <c r="AA913" s="40"/>
      <c r="AB913" s="40"/>
      <c r="AC913" s="41"/>
      <c r="AD913" s="41"/>
      <c r="AE913" s="41"/>
      <c r="AF913" s="41"/>
      <c r="AG913" s="41"/>
      <c r="AH913" s="40"/>
      <c r="AI913" s="40"/>
      <c r="AJ913" s="5"/>
      <c r="AK913" s="5"/>
      <c r="AL913" s="40"/>
      <c r="AM913" s="40"/>
      <c r="AN913" s="40"/>
      <c r="AO913" s="40"/>
      <c r="AP913" s="40"/>
      <c r="AQ913" s="40"/>
      <c r="AR913" s="40"/>
      <c r="AS913" s="40"/>
      <c r="AU913" s="40"/>
      <c r="AW913" s="40"/>
    </row>
    <row r="914" spans="2:49" ht="12.75" customHeight="1" x14ac:dyDescent="0.15">
      <c r="B914" s="40"/>
      <c r="C914" s="40"/>
      <c r="D914" s="40"/>
      <c r="E914" s="40"/>
      <c r="F914" s="40"/>
      <c r="G914" s="40"/>
      <c r="H914" s="40"/>
      <c r="I914" s="53"/>
      <c r="S914" s="40"/>
      <c r="T914" s="40"/>
      <c r="U914" s="40"/>
      <c r="V914" s="40"/>
      <c r="W914" s="40"/>
      <c r="Y914" s="40"/>
      <c r="Z914" s="40"/>
      <c r="AA914" s="40"/>
      <c r="AB914" s="40"/>
      <c r="AC914" s="41"/>
      <c r="AD914" s="41"/>
      <c r="AE914" s="41"/>
      <c r="AF914" s="41"/>
      <c r="AG914" s="41"/>
      <c r="AH914" s="40"/>
      <c r="AI914" s="40"/>
      <c r="AJ914" s="5"/>
      <c r="AK914" s="5"/>
      <c r="AL914" s="40"/>
      <c r="AM914" s="40"/>
      <c r="AN914" s="40"/>
      <c r="AO914" s="40"/>
      <c r="AP914" s="40"/>
      <c r="AQ914" s="40"/>
      <c r="AR914" s="40"/>
      <c r="AS914" s="40"/>
      <c r="AU914" s="40"/>
      <c r="AW914" s="40"/>
    </row>
    <row r="915" spans="2:49" ht="12.75" customHeight="1" x14ac:dyDescent="0.15">
      <c r="B915" s="40"/>
      <c r="C915" s="40"/>
      <c r="D915" s="40"/>
      <c r="E915" s="40"/>
      <c r="F915" s="40"/>
      <c r="G915" s="40"/>
      <c r="H915" s="40"/>
      <c r="I915" s="53"/>
      <c r="S915" s="40"/>
      <c r="T915" s="40"/>
      <c r="U915" s="40"/>
      <c r="V915" s="40"/>
      <c r="W915" s="40"/>
      <c r="Y915" s="40"/>
      <c r="Z915" s="40"/>
      <c r="AA915" s="40"/>
      <c r="AB915" s="40"/>
      <c r="AC915" s="41"/>
      <c r="AD915" s="41"/>
      <c r="AE915" s="41"/>
      <c r="AF915" s="41"/>
      <c r="AG915" s="41"/>
      <c r="AH915" s="40"/>
      <c r="AI915" s="40"/>
      <c r="AJ915" s="5"/>
      <c r="AK915" s="5"/>
      <c r="AL915" s="40"/>
      <c r="AM915" s="40"/>
      <c r="AN915" s="40"/>
      <c r="AO915" s="40"/>
      <c r="AP915" s="40"/>
      <c r="AQ915" s="40"/>
      <c r="AR915" s="40"/>
      <c r="AS915" s="40"/>
      <c r="AU915" s="40"/>
      <c r="AW915" s="40"/>
    </row>
    <row r="916" spans="2:49" ht="12.75" customHeight="1" x14ac:dyDescent="0.15">
      <c r="B916" s="40"/>
      <c r="C916" s="40"/>
      <c r="D916" s="40"/>
      <c r="E916" s="40"/>
      <c r="F916" s="40"/>
      <c r="G916" s="40"/>
      <c r="H916" s="40"/>
      <c r="I916" s="53"/>
      <c r="S916" s="40"/>
      <c r="T916" s="40"/>
      <c r="U916" s="40"/>
      <c r="V916" s="40"/>
      <c r="W916" s="40"/>
      <c r="Y916" s="40"/>
      <c r="Z916" s="40"/>
      <c r="AA916" s="40"/>
      <c r="AB916" s="40"/>
      <c r="AC916" s="41"/>
      <c r="AD916" s="41"/>
      <c r="AE916" s="41"/>
      <c r="AF916" s="41"/>
      <c r="AG916" s="41"/>
      <c r="AH916" s="40"/>
      <c r="AI916" s="40"/>
      <c r="AJ916" s="5"/>
      <c r="AK916" s="5"/>
      <c r="AL916" s="40"/>
      <c r="AM916" s="40"/>
      <c r="AN916" s="40"/>
      <c r="AO916" s="40"/>
      <c r="AP916" s="40"/>
      <c r="AQ916" s="40"/>
      <c r="AR916" s="40"/>
      <c r="AS916" s="40"/>
      <c r="AU916" s="40"/>
      <c r="AW916" s="40"/>
    </row>
    <row r="917" spans="2:49" ht="12.75" customHeight="1" x14ac:dyDescent="0.15">
      <c r="B917" s="40"/>
      <c r="C917" s="40"/>
      <c r="D917" s="40"/>
      <c r="E917" s="40"/>
      <c r="F917" s="40"/>
      <c r="G917" s="40"/>
      <c r="H917" s="40"/>
      <c r="I917" s="53"/>
      <c r="S917" s="40"/>
      <c r="T917" s="40"/>
      <c r="U917" s="40"/>
      <c r="V917" s="40"/>
      <c r="W917" s="40"/>
      <c r="Y917" s="40"/>
      <c r="Z917" s="40"/>
      <c r="AA917" s="40"/>
      <c r="AB917" s="40"/>
      <c r="AC917" s="41"/>
      <c r="AD917" s="41"/>
      <c r="AE917" s="41"/>
      <c r="AF917" s="41"/>
      <c r="AG917" s="41"/>
      <c r="AH917" s="40"/>
      <c r="AI917" s="40"/>
      <c r="AJ917" s="5"/>
      <c r="AK917" s="5"/>
      <c r="AL917" s="40"/>
      <c r="AM917" s="40"/>
      <c r="AN917" s="40"/>
      <c r="AO917" s="40"/>
      <c r="AP917" s="40"/>
      <c r="AQ917" s="40"/>
      <c r="AR917" s="40"/>
      <c r="AS917" s="40"/>
      <c r="AU917" s="40"/>
      <c r="AW917" s="40"/>
    </row>
    <row r="918" spans="2:49" ht="12.75" customHeight="1" x14ac:dyDescent="0.15">
      <c r="B918" s="40"/>
      <c r="C918" s="40"/>
      <c r="D918" s="40"/>
      <c r="E918" s="40"/>
      <c r="F918" s="40"/>
      <c r="G918" s="40"/>
      <c r="H918" s="40"/>
      <c r="I918" s="53"/>
      <c r="S918" s="40"/>
      <c r="T918" s="40"/>
      <c r="U918" s="40"/>
      <c r="V918" s="40"/>
      <c r="W918" s="40"/>
      <c r="Y918" s="40"/>
      <c r="Z918" s="40"/>
      <c r="AA918" s="40"/>
      <c r="AB918" s="40"/>
      <c r="AC918" s="41"/>
      <c r="AD918" s="41"/>
      <c r="AE918" s="41"/>
      <c r="AF918" s="41"/>
      <c r="AG918" s="41"/>
      <c r="AH918" s="40"/>
      <c r="AI918" s="40"/>
      <c r="AJ918" s="5"/>
      <c r="AK918" s="5"/>
      <c r="AL918" s="40"/>
      <c r="AM918" s="40"/>
      <c r="AN918" s="40"/>
      <c r="AO918" s="40"/>
      <c r="AP918" s="40"/>
      <c r="AQ918" s="40"/>
      <c r="AR918" s="40"/>
      <c r="AS918" s="40"/>
      <c r="AU918" s="40"/>
      <c r="AW918" s="40"/>
    </row>
    <row r="919" spans="2:49" ht="12.75" customHeight="1" x14ac:dyDescent="0.15">
      <c r="B919" s="40"/>
      <c r="C919" s="40"/>
      <c r="D919" s="40"/>
      <c r="E919" s="40"/>
      <c r="F919" s="40"/>
      <c r="G919" s="40"/>
      <c r="H919" s="40"/>
      <c r="I919" s="53"/>
      <c r="S919" s="40"/>
      <c r="T919" s="40"/>
      <c r="U919" s="40"/>
      <c r="V919" s="40"/>
      <c r="W919" s="40"/>
      <c r="Y919" s="40"/>
      <c r="Z919" s="40"/>
      <c r="AA919" s="40"/>
      <c r="AB919" s="40"/>
      <c r="AC919" s="41"/>
      <c r="AD919" s="41"/>
      <c r="AE919" s="41"/>
      <c r="AF919" s="41"/>
      <c r="AG919" s="41"/>
      <c r="AH919" s="40"/>
      <c r="AI919" s="40"/>
      <c r="AJ919" s="5"/>
      <c r="AK919" s="5"/>
      <c r="AL919" s="40"/>
      <c r="AM919" s="40"/>
      <c r="AN919" s="40"/>
      <c r="AO919" s="40"/>
      <c r="AP919" s="40"/>
      <c r="AQ919" s="40"/>
      <c r="AR919" s="40"/>
      <c r="AS919" s="40"/>
      <c r="AU919" s="40"/>
      <c r="AW919" s="40"/>
    </row>
    <row r="920" spans="2:49" ht="12.75" customHeight="1" x14ac:dyDescent="0.15">
      <c r="B920" s="40"/>
      <c r="C920" s="40"/>
      <c r="D920" s="40"/>
      <c r="E920" s="40"/>
      <c r="F920" s="40"/>
      <c r="G920" s="40"/>
      <c r="H920" s="40"/>
      <c r="I920" s="53"/>
      <c r="S920" s="40"/>
      <c r="T920" s="40"/>
      <c r="U920" s="40"/>
      <c r="V920" s="40"/>
      <c r="W920" s="40"/>
      <c r="Y920" s="40"/>
      <c r="Z920" s="40"/>
      <c r="AA920" s="40"/>
      <c r="AB920" s="40"/>
      <c r="AC920" s="41"/>
      <c r="AD920" s="41"/>
      <c r="AE920" s="41"/>
      <c r="AF920" s="41"/>
      <c r="AG920" s="41"/>
      <c r="AH920" s="40"/>
      <c r="AI920" s="40"/>
      <c r="AJ920" s="5"/>
      <c r="AK920" s="5"/>
      <c r="AL920" s="40"/>
      <c r="AM920" s="40"/>
      <c r="AN920" s="40"/>
      <c r="AO920" s="40"/>
      <c r="AP920" s="40"/>
      <c r="AQ920" s="40"/>
      <c r="AR920" s="40"/>
      <c r="AS920" s="40"/>
      <c r="AU920" s="40"/>
      <c r="AW920" s="40"/>
    </row>
    <row r="921" spans="2:49" ht="12.75" customHeight="1" x14ac:dyDescent="0.15">
      <c r="B921" s="40"/>
      <c r="C921" s="40"/>
      <c r="D921" s="40"/>
      <c r="E921" s="40"/>
      <c r="F921" s="40"/>
      <c r="G921" s="40"/>
      <c r="H921" s="40"/>
      <c r="I921" s="53"/>
      <c r="S921" s="40"/>
      <c r="T921" s="40"/>
      <c r="U921" s="40"/>
      <c r="V921" s="40"/>
      <c r="W921" s="40"/>
      <c r="Y921" s="40"/>
      <c r="Z921" s="40"/>
      <c r="AA921" s="40"/>
      <c r="AB921" s="40"/>
      <c r="AC921" s="41"/>
      <c r="AD921" s="41"/>
      <c r="AE921" s="41"/>
      <c r="AF921" s="41"/>
      <c r="AG921" s="41"/>
      <c r="AH921" s="40"/>
      <c r="AI921" s="40"/>
      <c r="AJ921" s="5"/>
      <c r="AK921" s="5"/>
      <c r="AL921" s="40"/>
      <c r="AM921" s="40"/>
      <c r="AN921" s="40"/>
      <c r="AO921" s="40"/>
      <c r="AP921" s="40"/>
      <c r="AQ921" s="40"/>
      <c r="AR921" s="40"/>
      <c r="AS921" s="40"/>
      <c r="AU921" s="40"/>
      <c r="AW921" s="40"/>
    </row>
    <row r="922" spans="2:49" ht="12.75" customHeight="1" x14ac:dyDescent="0.15">
      <c r="B922" s="40"/>
      <c r="C922" s="40"/>
      <c r="D922" s="40"/>
      <c r="E922" s="40"/>
      <c r="F922" s="40"/>
      <c r="G922" s="40"/>
      <c r="H922" s="40"/>
      <c r="I922" s="53"/>
      <c r="S922" s="40"/>
      <c r="T922" s="40"/>
      <c r="U922" s="40"/>
      <c r="V922" s="40"/>
      <c r="W922" s="40"/>
      <c r="Y922" s="40"/>
      <c r="Z922" s="40"/>
      <c r="AA922" s="40"/>
      <c r="AB922" s="40"/>
      <c r="AC922" s="41"/>
      <c r="AD922" s="41"/>
      <c r="AE922" s="41"/>
      <c r="AF922" s="41"/>
      <c r="AG922" s="41"/>
      <c r="AH922" s="40"/>
      <c r="AI922" s="40"/>
      <c r="AJ922" s="5"/>
      <c r="AK922" s="5"/>
      <c r="AL922" s="40"/>
      <c r="AM922" s="40"/>
      <c r="AN922" s="40"/>
      <c r="AO922" s="40"/>
      <c r="AP922" s="40"/>
      <c r="AQ922" s="40"/>
      <c r="AR922" s="40"/>
      <c r="AS922" s="40"/>
      <c r="AU922" s="40"/>
      <c r="AW922" s="40"/>
    </row>
    <row r="923" spans="2:49" ht="12.75" customHeight="1" x14ac:dyDescent="0.15">
      <c r="B923" s="40"/>
      <c r="C923" s="40"/>
      <c r="D923" s="40"/>
      <c r="E923" s="40"/>
      <c r="F923" s="40"/>
      <c r="G923" s="40"/>
      <c r="H923" s="40"/>
      <c r="I923" s="53"/>
      <c r="S923" s="40"/>
      <c r="T923" s="40"/>
      <c r="U923" s="40"/>
      <c r="V923" s="40"/>
      <c r="W923" s="40"/>
      <c r="Y923" s="40"/>
      <c r="Z923" s="40"/>
      <c r="AA923" s="40"/>
      <c r="AB923" s="40"/>
      <c r="AC923" s="41"/>
      <c r="AD923" s="41"/>
      <c r="AE923" s="41"/>
      <c r="AF923" s="41"/>
      <c r="AG923" s="41"/>
      <c r="AH923" s="40"/>
      <c r="AI923" s="40"/>
      <c r="AJ923" s="5"/>
      <c r="AK923" s="5"/>
      <c r="AL923" s="40"/>
      <c r="AM923" s="40"/>
      <c r="AN923" s="40"/>
      <c r="AO923" s="40"/>
      <c r="AP923" s="40"/>
      <c r="AQ923" s="40"/>
      <c r="AR923" s="40"/>
      <c r="AS923" s="40"/>
      <c r="AU923" s="40"/>
      <c r="AW923" s="40"/>
    </row>
    <row r="924" spans="2:49" ht="12.75" customHeight="1" x14ac:dyDescent="0.15">
      <c r="B924" s="40"/>
      <c r="C924" s="40"/>
      <c r="D924" s="40"/>
      <c r="E924" s="40"/>
      <c r="F924" s="40"/>
      <c r="G924" s="40"/>
      <c r="H924" s="40"/>
      <c r="I924" s="53"/>
      <c r="S924" s="40"/>
      <c r="T924" s="40"/>
      <c r="U924" s="40"/>
      <c r="V924" s="40"/>
      <c r="W924" s="40"/>
      <c r="Y924" s="40"/>
      <c r="Z924" s="40"/>
      <c r="AA924" s="40"/>
      <c r="AB924" s="40"/>
      <c r="AC924" s="41"/>
      <c r="AD924" s="41"/>
      <c r="AE924" s="41"/>
      <c r="AF924" s="41"/>
      <c r="AG924" s="41"/>
      <c r="AH924" s="40"/>
      <c r="AI924" s="40"/>
      <c r="AJ924" s="5"/>
      <c r="AK924" s="5"/>
      <c r="AL924" s="40"/>
      <c r="AM924" s="40"/>
      <c r="AN924" s="40"/>
      <c r="AO924" s="40"/>
      <c r="AP924" s="40"/>
      <c r="AQ924" s="40"/>
      <c r="AR924" s="40"/>
      <c r="AS924" s="40"/>
      <c r="AU924" s="40"/>
      <c r="AW924" s="40"/>
    </row>
    <row r="925" spans="2:49" ht="12.75" customHeight="1" x14ac:dyDescent="0.15">
      <c r="B925" s="40"/>
      <c r="C925" s="40"/>
      <c r="D925" s="40"/>
      <c r="E925" s="40"/>
      <c r="F925" s="40"/>
      <c r="G925" s="40"/>
      <c r="H925" s="40"/>
      <c r="I925" s="53"/>
      <c r="S925" s="40"/>
      <c r="T925" s="40"/>
      <c r="U925" s="40"/>
      <c r="V925" s="40"/>
      <c r="W925" s="40"/>
      <c r="Y925" s="40"/>
      <c r="Z925" s="40"/>
      <c r="AA925" s="40"/>
      <c r="AB925" s="40"/>
      <c r="AC925" s="41"/>
      <c r="AD925" s="41"/>
      <c r="AE925" s="41"/>
      <c r="AF925" s="41"/>
      <c r="AG925" s="41"/>
      <c r="AH925" s="40"/>
      <c r="AI925" s="40"/>
      <c r="AJ925" s="5"/>
      <c r="AK925" s="5"/>
      <c r="AL925" s="40"/>
      <c r="AM925" s="40"/>
      <c r="AN925" s="40"/>
      <c r="AO925" s="40"/>
      <c r="AP925" s="40"/>
      <c r="AQ925" s="40"/>
      <c r="AR925" s="40"/>
      <c r="AS925" s="40"/>
      <c r="AU925" s="40"/>
      <c r="AW925" s="40"/>
    </row>
    <row r="926" spans="2:49" ht="12.75" customHeight="1" x14ac:dyDescent="0.15">
      <c r="B926" s="40"/>
      <c r="C926" s="40"/>
      <c r="D926" s="40"/>
      <c r="E926" s="40"/>
      <c r="F926" s="40"/>
      <c r="G926" s="40"/>
      <c r="H926" s="40"/>
      <c r="I926" s="53"/>
      <c r="S926" s="40"/>
      <c r="T926" s="40"/>
      <c r="U926" s="40"/>
      <c r="V926" s="40"/>
      <c r="W926" s="40"/>
      <c r="Y926" s="40"/>
      <c r="Z926" s="40"/>
      <c r="AA926" s="40"/>
      <c r="AB926" s="40"/>
      <c r="AC926" s="41"/>
      <c r="AD926" s="41"/>
      <c r="AE926" s="41"/>
      <c r="AF926" s="41"/>
      <c r="AG926" s="41"/>
      <c r="AH926" s="40"/>
      <c r="AI926" s="40"/>
      <c r="AJ926" s="5"/>
      <c r="AK926" s="5"/>
      <c r="AL926" s="40"/>
      <c r="AM926" s="40"/>
      <c r="AN926" s="40"/>
      <c r="AO926" s="40"/>
      <c r="AP926" s="40"/>
      <c r="AQ926" s="40"/>
      <c r="AR926" s="40"/>
      <c r="AS926" s="40"/>
      <c r="AU926" s="40"/>
      <c r="AW926" s="40"/>
    </row>
    <row r="927" spans="2:49" ht="12.75" customHeight="1" x14ac:dyDescent="0.15">
      <c r="B927" s="40"/>
      <c r="C927" s="40"/>
      <c r="D927" s="40"/>
      <c r="E927" s="40"/>
      <c r="F927" s="40"/>
      <c r="G927" s="40"/>
      <c r="H927" s="40"/>
      <c r="I927" s="53"/>
      <c r="S927" s="40"/>
      <c r="T927" s="40"/>
      <c r="U927" s="40"/>
      <c r="V927" s="40"/>
      <c r="W927" s="40"/>
      <c r="Y927" s="40"/>
      <c r="Z927" s="40"/>
      <c r="AA927" s="40"/>
      <c r="AB927" s="40"/>
      <c r="AC927" s="41"/>
      <c r="AD927" s="41"/>
      <c r="AE927" s="41"/>
      <c r="AF927" s="41"/>
      <c r="AG927" s="41"/>
      <c r="AH927" s="40"/>
      <c r="AI927" s="40"/>
      <c r="AJ927" s="5"/>
      <c r="AK927" s="5"/>
      <c r="AL927" s="40"/>
      <c r="AM927" s="40"/>
      <c r="AN927" s="40"/>
      <c r="AO927" s="40"/>
      <c r="AP927" s="40"/>
      <c r="AQ927" s="40"/>
      <c r="AR927" s="40"/>
      <c r="AS927" s="40"/>
      <c r="AU927" s="40"/>
      <c r="AW927" s="40"/>
    </row>
    <row r="928" spans="2:49" ht="12.75" customHeight="1" x14ac:dyDescent="0.15">
      <c r="B928" s="40"/>
      <c r="C928" s="40"/>
      <c r="D928" s="40"/>
      <c r="E928" s="40"/>
      <c r="F928" s="40"/>
      <c r="G928" s="40"/>
      <c r="H928" s="40"/>
      <c r="I928" s="53"/>
      <c r="S928" s="40"/>
      <c r="T928" s="40"/>
      <c r="U928" s="40"/>
      <c r="V928" s="40"/>
      <c r="W928" s="40"/>
      <c r="Y928" s="40"/>
      <c r="Z928" s="40"/>
      <c r="AA928" s="40"/>
      <c r="AB928" s="40"/>
      <c r="AC928" s="41"/>
      <c r="AD928" s="41"/>
      <c r="AE928" s="41"/>
      <c r="AF928" s="41"/>
      <c r="AG928" s="41"/>
      <c r="AH928" s="40"/>
      <c r="AI928" s="40"/>
      <c r="AJ928" s="5"/>
      <c r="AK928" s="5"/>
      <c r="AL928" s="40"/>
      <c r="AM928" s="40"/>
      <c r="AN928" s="40"/>
      <c r="AO928" s="40"/>
      <c r="AP928" s="40"/>
      <c r="AQ928" s="40"/>
      <c r="AR928" s="40"/>
      <c r="AS928" s="40"/>
      <c r="AU928" s="40"/>
      <c r="AW928" s="40"/>
    </row>
  </sheetData>
  <autoFilter ref="A5:AV5" xr:uid="{D7FC8C60-0FCF-433B-B7A9-42E3938ADCD0}">
    <filterColumn colId="1" showButton="0"/>
    <filterColumn colId="10" showButton="0"/>
    <filterColumn colId="12" showButton="0"/>
    <filterColumn colId="14" showButton="0"/>
    <filterColumn colId="16" showButton="0"/>
    <filterColumn colId="34" showButton="0"/>
    <filterColumn colId="35" showButton="0"/>
    <filterColumn colId="36" showButton="0"/>
  </autoFilter>
  <mergeCells count="13">
    <mergeCell ref="AI4:AL4"/>
    <mergeCell ref="B5:C5"/>
    <mergeCell ref="K5:L5"/>
    <mergeCell ref="M5:N5"/>
    <mergeCell ref="O5:P5"/>
    <mergeCell ref="Q5:R5"/>
    <mergeCell ref="AI5:AL5"/>
    <mergeCell ref="Z3:AG3"/>
    <mergeCell ref="B4:C4"/>
    <mergeCell ref="K4:L4"/>
    <mergeCell ref="M4:N4"/>
    <mergeCell ref="O4:P4"/>
    <mergeCell ref="Q4:R4"/>
  </mergeCells>
  <phoneticPr fontId="21" type="noConversion"/>
  <conditionalFormatting sqref="A3">
    <cfRule type="containsText" dxfId="247" priority="372" operator="containsText" text="N/A">
      <formula>NOT(ISERROR(SEARCH("N/A",A3)))</formula>
    </cfRule>
  </conditionalFormatting>
  <conditionalFormatting sqref="A6:A799">
    <cfRule type="expression" dxfId="246" priority="165">
      <formula>ISTEXT(A6)</formula>
    </cfRule>
  </conditionalFormatting>
  <conditionalFormatting sqref="B6:B799">
    <cfRule type="expression" dxfId="245" priority="4">
      <formula>ISTEXT(A6)</formula>
    </cfRule>
  </conditionalFormatting>
  <conditionalFormatting sqref="B4:C5">
    <cfRule type="containsText" dxfId="244" priority="404" operator="containsText" text="N/A">
      <formula>NOT(ISERROR(SEARCH("N/A",B4)))</formula>
    </cfRule>
  </conditionalFormatting>
  <conditionalFormatting sqref="B6:C72">
    <cfRule type="containsText" dxfId="243" priority="1" operator="containsText" text="N/A">
      <formula>NOT(ISERROR(SEARCH("N/A",B6)))</formula>
    </cfRule>
  </conditionalFormatting>
  <conditionalFormatting sqref="C6:C799">
    <cfRule type="expression" dxfId="242" priority="3">
      <formula>ISTEXT(A6)</formula>
    </cfRule>
  </conditionalFormatting>
  <conditionalFormatting sqref="C7">
    <cfRule type="containsText" dxfId="241" priority="255" operator="containsText" text="N/A">
      <formula>NOT(ISERROR(SEARCH("N/A",C7)))</formula>
    </cfRule>
  </conditionalFormatting>
  <conditionalFormatting sqref="C47:C49">
    <cfRule type="containsText" dxfId="240" priority="92" operator="containsText" text="N/A">
      <formula>NOT(ISERROR(SEARCH("N/A",C47)))</formula>
    </cfRule>
  </conditionalFormatting>
  <conditionalFormatting sqref="C60:C69">
    <cfRule type="containsText" dxfId="239" priority="32" operator="containsText" text="N/A">
      <formula>NOT(ISERROR(SEARCH("N/A",C60)))</formula>
    </cfRule>
  </conditionalFormatting>
  <conditionalFormatting sqref="D6:D799">
    <cfRule type="expression" dxfId="238" priority="82">
      <formula>ISTEXT(A6)</formula>
    </cfRule>
  </conditionalFormatting>
  <conditionalFormatting sqref="E6:E799">
    <cfRule type="expression" dxfId="237" priority="293">
      <formula>ISTEXT(A6)</formula>
    </cfRule>
  </conditionalFormatting>
  <conditionalFormatting sqref="F6:F799 F22:H23 F26:H27">
    <cfRule type="expression" dxfId="236" priority="362">
      <formula>ISTEXT(A6)</formula>
    </cfRule>
  </conditionalFormatting>
  <conditionalFormatting sqref="G6:G899">
    <cfRule type="expression" dxfId="235" priority="257">
      <formula>ISTEXT(A6)</formula>
    </cfRule>
  </conditionalFormatting>
  <conditionalFormatting sqref="G23:G25">
    <cfRule type="expression" dxfId="234" priority="292">
      <formula>ISTEXT(B23)</formula>
    </cfRule>
  </conditionalFormatting>
  <conditionalFormatting sqref="G28:G57">
    <cfRule type="expression" dxfId="233" priority="164">
      <formula>ISTEXT(B28)</formula>
    </cfRule>
  </conditionalFormatting>
  <conditionalFormatting sqref="H6:H799">
    <cfRule type="expression" dxfId="232" priority="210">
      <formula>ISTEXT(A6)</formula>
    </cfRule>
  </conditionalFormatting>
  <conditionalFormatting sqref="J4">
    <cfRule type="containsText" dxfId="231" priority="321" operator="containsText" text="N/A">
      <formula>NOT(ISERROR(SEARCH("N/A",J4)))</formula>
    </cfRule>
  </conditionalFormatting>
  <conditionalFormatting sqref="J6:J799">
    <cfRule type="expression" dxfId="230" priority="163">
      <formula>ISTEXT(A6)</formula>
    </cfRule>
  </conditionalFormatting>
  <conditionalFormatting sqref="K1:K1048576">
    <cfRule type="cellIs" dxfId="229" priority="333" operator="lessThan">
      <formula>0</formula>
    </cfRule>
  </conditionalFormatting>
  <conditionalFormatting sqref="K4">
    <cfRule type="dataBar" priority="342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{E407471E-6692-45B8-A84A-003045B514C1}</x14:id>
        </ext>
      </extLst>
    </cfRule>
  </conditionalFormatting>
  <conditionalFormatting sqref="K5">
    <cfRule type="dataBar" priority="340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{94F5A6E7-2113-4B66-8261-69393282B90E}</x14:id>
        </ext>
      </extLst>
    </cfRule>
  </conditionalFormatting>
  <conditionalFormatting sqref="K6:K799">
    <cfRule type="expression" dxfId="228" priority="361">
      <formula>ISTEXT(A6)</formula>
    </cfRule>
  </conditionalFormatting>
  <conditionalFormatting sqref="L1:L3 L6:L1048576">
    <cfRule type="dataBar" priority="371">
      <dataBar>
        <cfvo type="formula" val="$L$2"/>
        <cfvo type="formula" val="$L$1"/>
        <color rgb="FF4E6D6E"/>
      </dataBar>
      <extLst>
        <ext xmlns:x14="http://schemas.microsoft.com/office/spreadsheetml/2009/9/main" uri="{B025F937-C7B1-47D3-B67F-A62EFF666E3E}">
          <x14:id>{91759FFB-400B-4485-B227-661FF0035F4B}</x14:id>
        </ext>
      </extLst>
    </cfRule>
  </conditionalFormatting>
  <conditionalFormatting sqref="L4:L5">
    <cfRule type="dataBar" priority="334">
      <dataBar>
        <cfvo type="formula" val="$L$2"/>
        <cfvo type="formula" val="$L$1"/>
        <color rgb="FF4E6D6E"/>
      </dataBar>
      <extLst>
        <ext xmlns:x14="http://schemas.microsoft.com/office/spreadsheetml/2009/9/main" uri="{B025F937-C7B1-47D3-B67F-A62EFF666E3E}">
          <x14:id>{F9349709-169A-47AB-83F9-4C60B07FC40F}</x14:id>
        </ext>
      </extLst>
    </cfRule>
  </conditionalFormatting>
  <conditionalFormatting sqref="L6:L799">
    <cfRule type="expression" dxfId="227" priority="360">
      <formula>ISTEXT(A6)</formula>
    </cfRule>
  </conditionalFormatting>
  <conditionalFormatting sqref="M6:M799">
    <cfRule type="expression" dxfId="226" priority="358">
      <formula>ISTEXT(A6)</formula>
    </cfRule>
  </conditionalFormatting>
  <conditionalFormatting sqref="N1:N3 P1:P3 N6:N1048576 P6:P1048576">
    <cfRule type="dataBar" priority="403">
      <dataBar>
        <cfvo type="formula" val="$L$2"/>
        <cfvo type="formula" val="$L$1"/>
        <color rgb="FF8AAAAC"/>
      </dataBar>
      <extLst>
        <ext xmlns:x14="http://schemas.microsoft.com/office/spreadsheetml/2009/9/main" uri="{B025F937-C7B1-47D3-B67F-A62EFF666E3E}">
          <x14:id>{78E56EE6-3FE6-4D00-AD31-B800915C7CE3}</x14:id>
        </ext>
      </extLst>
    </cfRule>
  </conditionalFormatting>
  <conditionalFormatting sqref="N4:N5">
    <cfRule type="dataBar" priority="335">
      <dataBar>
        <cfvo type="formula" val="$L$2"/>
        <cfvo type="formula" val="$L$1"/>
        <color rgb="FF8AAAAC"/>
      </dataBar>
      <extLst>
        <ext xmlns:x14="http://schemas.microsoft.com/office/spreadsheetml/2009/9/main" uri="{B025F937-C7B1-47D3-B67F-A62EFF666E3E}">
          <x14:id>{301DBE3F-DDB8-44D8-A731-0F087F6F86D8}</x14:id>
        </ext>
      </extLst>
    </cfRule>
  </conditionalFormatting>
  <conditionalFormatting sqref="N6:N799">
    <cfRule type="expression" dxfId="225" priority="357">
      <formula>ISTEXT(A6)</formula>
    </cfRule>
  </conditionalFormatting>
  <conditionalFormatting sqref="O6:O799">
    <cfRule type="expression" dxfId="224" priority="356">
      <formula>ISTEXT(A6)</formula>
    </cfRule>
  </conditionalFormatting>
  <conditionalFormatting sqref="P4:P5">
    <cfRule type="dataBar" priority="336">
      <dataBar>
        <cfvo type="formula" val="$L$2"/>
        <cfvo type="formula" val="$L$1"/>
        <color rgb="FF8AAAAC"/>
      </dataBar>
      <extLst>
        <ext xmlns:x14="http://schemas.microsoft.com/office/spreadsheetml/2009/9/main" uri="{B025F937-C7B1-47D3-B67F-A62EFF666E3E}">
          <x14:id>{59E668A2-816A-4BE9-9A3E-643636D1AFD5}</x14:id>
        </ext>
      </extLst>
    </cfRule>
  </conditionalFormatting>
  <conditionalFormatting sqref="P6:P799">
    <cfRule type="expression" dxfId="223" priority="355">
      <formula>ISTEXT(A6)</formula>
    </cfRule>
  </conditionalFormatting>
  <conditionalFormatting sqref="Q4:Q5">
    <cfRule type="containsText" dxfId="222" priority="339" operator="containsText" text="N/A">
      <formula>NOT(ISERROR(SEARCH("N/A",Q4)))</formula>
    </cfRule>
  </conditionalFormatting>
  <conditionalFormatting sqref="Q6:Q799">
    <cfRule type="expression" dxfId="221" priority="354">
      <formula>ISTEXT(A6)</formula>
    </cfRule>
  </conditionalFormatting>
  <conditionalFormatting sqref="R1:R3 R6:R1048576">
    <cfRule type="dataBar" priority="370">
      <dataBar>
        <cfvo type="formula" val="$L$2"/>
        <cfvo type="formula" val="$L$1"/>
        <color rgb="FFB3C8C9"/>
      </dataBar>
      <extLst>
        <ext xmlns:x14="http://schemas.microsoft.com/office/spreadsheetml/2009/9/main" uri="{B025F937-C7B1-47D3-B67F-A62EFF666E3E}">
          <x14:id>{12EE37B7-9771-427D-8391-22CB1542D06F}</x14:id>
        </ext>
      </extLst>
    </cfRule>
  </conditionalFormatting>
  <conditionalFormatting sqref="R4:R5">
    <cfRule type="dataBar" priority="344">
      <dataBar>
        <cfvo type="formula" val="$L$2"/>
        <cfvo type="formula" val="$L$1"/>
        <color rgb="FFB3C8C9"/>
      </dataBar>
      <extLst>
        <ext xmlns:x14="http://schemas.microsoft.com/office/spreadsheetml/2009/9/main" uri="{B025F937-C7B1-47D3-B67F-A62EFF666E3E}">
          <x14:id>{6B468AAC-0F5F-42CD-8BA6-C89050B98FA1}</x14:id>
        </ext>
      </extLst>
    </cfRule>
  </conditionalFormatting>
  <conditionalFormatting sqref="R6:R799">
    <cfRule type="expression" dxfId="220" priority="353">
      <formula>ISTEXT(A6)</formula>
    </cfRule>
  </conditionalFormatting>
  <conditionalFormatting sqref="S4 S5:W5">
    <cfRule type="containsText" dxfId="219" priority="406" operator="containsText" text="N/A">
      <formula>NOT(ISERROR(SEARCH("N/A",S4)))</formula>
    </cfRule>
  </conditionalFormatting>
  <conditionalFormatting sqref="S6:S799">
    <cfRule type="expression" dxfId="218" priority="142">
      <formula>ISTEXT(A6)</formula>
    </cfRule>
  </conditionalFormatting>
  <conditionalFormatting sqref="S22:T23 S26:T27">
    <cfRule type="expression" dxfId="217" priority="351">
      <formula>ISTEXT(A22)</formula>
    </cfRule>
  </conditionalFormatting>
  <conditionalFormatting sqref="T4">
    <cfRule type="containsText" dxfId="216" priority="259" operator="containsText" text="N/A">
      <formula>NOT(ISERROR(SEARCH("N/A",T4)))</formula>
    </cfRule>
  </conditionalFormatting>
  <conditionalFormatting sqref="T6:T799">
    <cfRule type="expression" dxfId="215" priority="258">
      <formula>ISTEXT(A6)</formula>
    </cfRule>
  </conditionalFormatting>
  <conditionalFormatting sqref="U24">
    <cfRule type="expression" dxfId="214" priority="192">
      <formula>ISTEXT(A24)</formula>
    </cfRule>
  </conditionalFormatting>
  <conditionalFormatting sqref="U27:U28">
    <cfRule type="expression" dxfId="213" priority="144">
      <formula>ISTEXT(A27)</formula>
    </cfRule>
  </conditionalFormatting>
  <conditionalFormatting sqref="U6:V799">
    <cfRule type="expression" dxfId="212" priority="193">
      <formula>ISTEXT(A6)</formula>
    </cfRule>
  </conditionalFormatting>
  <conditionalFormatting sqref="U4:W4">
    <cfRule type="containsText" dxfId="211" priority="337" operator="containsText" text="N/A">
      <formula>NOT(ISERROR(SEARCH("N/A",U4)))</formula>
    </cfRule>
  </conditionalFormatting>
  <conditionalFormatting sqref="V6:V799">
    <cfRule type="expression" dxfId="210" priority="162">
      <formula>ISTEXT(A6)</formula>
    </cfRule>
  </conditionalFormatting>
  <conditionalFormatting sqref="V22:V24">
    <cfRule type="expression" dxfId="209" priority="200">
      <formula>ISTEXT(B22)</formula>
    </cfRule>
  </conditionalFormatting>
  <conditionalFormatting sqref="V26:V28 V31:V32 V35:V36">
    <cfRule type="expression" dxfId="208" priority="146">
      <formula>ISTEXT(B26)</formula>
    </cfRule>
  </conditionalFormatting>
  <conditionalFormatting sqref="V1:X8 K4:S4 S5:U8 A4:I5 A73:XFD1048576 Z6:AR71 D72:XFD72 AS1:XFD71 J5:R5 U4 A1:U3 D6:R25 D26:X71 Z1:AM2 AN1:AR3 Z3:AA3 AH3:AM3 A6:A29 L6:L71 P6:P71 R6:R71 N7:N71 S9:X25 F23:F37 A31:A72">
    <cfRule type="containsText" dxfId="207" priority="407" operator="containsText" text="N/A">
      <formula>NOT(ISERROR(SEARCH("N/A",A1)))</formula>
    </cfRule>
  </conditionalFormatting>
  <conditionalFormatting sqref="W6:W800">
    <cfRule type="expression" dxfId="206" priority="78">
      <formula>ISTEXT(A6)</formula>
    </cfRule>
  </conditionalFormatting>
  <conditionalFormatting sqref="Y1:Y71">
    <cfRule type="containsText" dxfId="205" priority="12" operator="containsText" text="N/A">
      <formula>NOT(ISERROR(SEARCH("N/A",Y1)))</formula>
    </cfRule>
  </conditionalFormatting>
  <conditionalFormatting sqref="Y6:Y800">
    <cfRule type="expression" dxfId="204" priority="605">
      <formula>ISTEXT(#REF!)</formula>
    </cfRule>
    <cfRule type="expression" dxfId="203" priority="604">
      <formula>ISTEXT(A6)</formula>
    </cfRule>
  </conditionalFormatting>
  <conditionalFormatting sqref="Y22:Y29">
    <cfRule type="expression" dxfId="202" priority="606">
      <formula>ISTEXT(#REF!)</formula>
    </cfRule>
  </conditionalFormatting>
  <conditionalFormatting sqref="Y4:AA4">
    <cfRule type="containsText" dxfId="201" priority="11" operator="containsText" text="N/A">
      <formula>NOT(ISERROR(SEARCH("N/A",Y4)))</formula>
    </cfRule>
  </conditionalFormatting>
  <conditionalFormatting sqref="Z6:Z800">
    <cfRule type="expression" dxfId="200" priority="277">
      <formula>ISTEXT(A6)</formula>
    </cfRule>
  </conditionalFormatting>
  <conditionalFormatting sqref="Z4:AR5">
    <cfRule type="containsText" dxfId="199" priority="260" operator="containsText" text="N/A">
      <formula>NOT(ISERROR(SEARCH("N/A",Z4)))</formula>
    </cfRule>
  </conditionalFormatting>
  <conditionalFormatting sqref="AA6:AA800">
    <cfRule type="expression" dxfId="198" priority="15">
      <formula>ISTEXT(A6)</formula>
    </cfRule>
  </conditionalFormatting>
  <conditionalFormatting sqref="AA6:AB42 AA6:AA71 AA44:AB72">
    <cfRule type="expression" dxfId="197" priority="276">
      <formula>ISTEXT(#REF!)</formula>
    </cfRule>
  </conditionalFormatting>
  <conditionalFormatting sqref="AA26:AB27">
    <cfRule type="expression" dxfId="196" priority="158">
      <formula>ISTEXT(#REF!)</formula>
    </cfRule>
  </conditionalFormatting>
  <conditionalFormatting sqref="AB6:AB799">
    <cfRule type="expression" dxfId="195" priority="347">
      <formula>ISTEXT(A6)</formula>
    </cfRule>
  </conditionalFormatting>
  <conditionalFormatting sqref="AC6:AC799">
    <cfRule type="expression" dxfId="194" priority="157">
      <formula>ISTEXT(A6)</formula>
    </cfRule>
  </conditionalFormatting>
  <conditionalFormatting sqref="AD6:AD799">
    <cfRule type="expression" dxfId="193" priority="156">
      <formula>ISTEXT(A6)</formula>
    </cfRule>
  </conditionalFormatting>
  <conditionalFormatting sqref="AE6:AE799">
    <cfRule type="expression" dxfId="192" priority="155">
      <formula>ISTEXT(A6)</formula>
    </cfRule>
  </conditionalFormatting>
  <conditionalFormatting sqref="AF6:AF799">
    <cfRule type="expression" dxfId="191" priority="154">
      <formula>ISTEXT(A6)</formula>
    </cfRule>
  </conditionalFormatting>
  <conditionalFormatting sqref="AG6:AG799">
    <cfRule type="expression" dxfId="190" priority="153">
      <formula>ISTEXT(A6)</formula>
    </cfRule>
  </conditionalFormatting>
  <conditionalFormatting sqref="AI6:AI799">
    <cfRule type="expression" dxfId="189" priority="327">
      <formula>ISTEXT(A6)</formula>
    </cfRule>
  </conditionalFormatting>
  <conditionalFormatting sqref="AJ6:AJ141">
    <cfRule type="containsText" dxfId="188" priority="408" operator="containsText" text="A1">
      <formula>NOT(ISERROR(SEARCH("A1",AJ6)))</formula>
    </cfRule>
    <cfRule type="containsText" dxfId="187" priority="414" operator="containsText" text="D">
      <formula>NOT(ISERROR(SEARCH("D",AJ6)))</formula>
    </cfRule>
    <cfRule type="containsText" dxfId="186" priority="413" operator="containsText" text="F">
      <formula>NOT(ISERROR(SEARCH("F",AJ6)))</formula>
    </cfRule>
    <cfRule type="containsText" dxfId="185" priority="412" operator="containsText" text="E">
      <formula>NOT(ISERROR(SEARCH("E",AJ6)))</formula>
    </cfRule>
    <cfRule type="containsText" dxfId="184" priority="410" operator="containsText" text="B">
      <formula>NOT(ISERROR(SEARCH("B",AJ6)))</formula>
    </cfRule>
    <cfRule type="containsText" dxfId="183" priority="409" operator="containsText" text="A2">
      <formula>NOT(ISERROR(SEARCH("A2",AJ6)))</formula>
    </cfRule>
    <cfRule type="containsText" dxfId="182" priority="411" operator="containsText" text="C">
      <formula>NOT(ISERROR(SEARCH("C",AJ6)))</formula>
    </cfRule>
  </conditionalFormatting>
  <conditionalFormatting sqref="AJ22:AJ23">
    <cfRule type="containsText" dxfId="181" priority="310" operator="containsText" text="A1">
      <formula>NOT(ISERROR(SEARCH("A1",AJ22)))</formula>
    </cfRule>
    <cfRule type="containsText" dxfId="180" priority="314" operator="containsText" text="E">
      <formula>NOT(ISERROR(SEARCH("E",AJ22)))</formula>
    </cfRule>
    <cfRule type="containsText" dxfId="179" priority="315" operator="containsText" text="F">
      <formula>NOT(ISERROR(SEARCH("F",AJ22)))</formula>
    </cfRule>
    <cfRule type="containsText" dxfId="178" priority="316" operator="containsText" text="D">
      <formula>NOT(ISERROR(SEARCH("D",AJ22)))</formula>
    </cfRule>
    <cfRule type="containsText" dxfId="177" priority="313" operator="containsText" text="C">
      <formula>NOT(ISERROR(SEARCH("C",AJ22)))</formula>
    </cfRule>
    <cfRule type="containsText" dxfId="176" priority="312" operator="containsText" text="B">
      <formula>NOT(ISERROR(SEARCH("B",AJ22)))</formula>
    </cfRule>
    <cfRule type="containsText" dxfId="175" priority="311" operator="containsText" text="A2">
      <formula>NOT(ISERROR(SEARCH("A2",AJ22)))</formula>
    </cfRule>
  </conditionalFormatting>
  <conditionalFormatting sqref="AJ26:AJ27">
    <cfRule type="containsText" dxfId="174" priority="175" operator="containsText" text="B">
      <formula>NOT(ISERROR(SEARCH("B",AJ26)))</formula>
    </cfRule>
    <cfRule type="containsText" dxfId="173" priority="176" operator="containsText" text="C">
      <formula>NOT(ISERROR(SEARCH("C",AJ26)))</formula>
    </cfRule>
    <cfRule type="containsText" dxfId="172" priority="177" operator="containsText" text="E">
      <formula>NOT(ISERROR(SEARCH("E",AJ26)))</formula>
    </cfRule>
    <cfRule type="containsText" dxfId="171" priority="179" operator="containsText" text="D">
      <formula>NOT(ISERROR(SEARCH("D",AJ26)))</formula>
    </cfRule>
    <cfRule type="containsText" dxfId="170" priority="178" operator="containsText" text="F">
      <formula>NOT(ISERROR(SEARCH("F",AJ26)))</formula>
    </cfRule>
    <cfRule type="containsText" dxfId="169" priority="173" operator="containsText" text="A1">
      <formula>NOT(ISERROR(SEARCH("A1",AJ26)))</formula>
    </cfRule>
    <cfRule type="containsText" dxfId="168" priority="174" operator="containsText" text="A2">
      <formula>NOT(ISERROR(SEARCH("A2",AJ26)))</formula>
    </cfRule>
  </conditionalFormatting>
  <conditionalFormatting sqref="AK6:AK21 AK24:AK25 AK28:AK141">
    <cfRule type="expression" dxfId="167" priority="383">
      <formula>AJ6="A2"</formula>
    </cfRule>
    <cfRule type="expression" dxfId="166" priority="384">
      <formula>AJ6="B"</formula>
    </cfRule>
    <cfRule type="expression" dxfId="165" priority="385">
      <formula>AJ6="C"</formula>
    </cfRule>
    <cfRule type="expression" dxfId="164" priority="387">
      <formula>AJ6="E"</formula>
    </cfRule>
    <cfRule type="expression" dxfId="163" priority="388">
      <formula>AJ6="F"</formula>
    </cfRule>
    <cfRule type="expression" dxfId="162" priority="386">
      <formula>AJ6="D"</formula>
    </cfRule>
  </conditionalFormatting>
  <conditionalFormatting sqref="AK6:AK25">
    <cfRule type="expression" dxfId="161" priority="309">
      <formula>AJ6="A1"</formula>
    </cfRule>
  </conditionalFormatting>
  <conditionalFormatting sqref="AK22:AK23">
    <cfRule type="expression" dxfId="160" priority="306">
      <formula>AJ22="C"</formula>
    </cfRule>
    <cfRule type="expression" dxfId="159" priority="303">
      <formula>AJ22="F"</formula>
    </cfRule>
    <cfRule type="expression" dxfId="158" priority="304">
      <formula>AJ22="E"</formula>
    </cfRule>
    <cfRule type="expression" dxfId="157" priority="308">
      <formula>AJ22="A2"</formula>
    </cfRule>
    <cfRule type="expression" dxfId="156" priority="307">
      <formula>AJ22="B"</formula>
    </cfRule>
    <cfRule type="expression" dxfId="155" priority="305">
      <formula>AJ22="D"</formula>
    </cfRule>
  </conditionalFormatting>
  <conditionalFormatting sqref="AK26:AK27">
    <cfRule type="expression" dxfId="154" priority="171">
      <formula>AJ26="A2"</formula>
    </cfRule>
    <cfRule type="expression" dxfId="153" priority="169">
      <formula>AJ26="C"</formula>
    </cfRule>
    <cfRule type="expression" dxfId="152" priority="168">
      <formula>AJ26="D"</formula>
    </cfRule>
    <cfRule type="expression" dxfId="151" priority="166">
      <formula>AJ26="F"</formula>
    </cfRule>
    <cfRule type="expression" dxfId="150" priority="167">
      <formula>AJ26="E"</formula>
    </cfRule>
    <cfRule type="expression" dxfId="149" priority="170">
      <formula>AJ26="B"</formula>
    </cfRule>
  </conditionalFormatting>
  <conditionalFormatting sqref="AK26:AK141">
    <cfRule type="expression" dxfId="148" priority="172">
      <formula>AJ26="A1"</formula>
    </cfRule>
  </conditionalFormatting>
  <conditionalFormatting sqref="AK401">
    <cfRule type="expression" dxfId="147" priority="394">
      <formula>AJ401="C"</formula>
    </cfRule>
    <cfRule type="expression" dxfId="146" priority="395">
      <formula>AJ401="D"</formula>
    </cfRule>
    <cfRule type="expression" dxfId="145" priority="396">
      <formula>AJ401="E"</formula>
    </cfRule>
    <cfRule type="expression" dxfId="144" priority="397">
      <formula>AJ401="F"</formula>
    </cfRule>
    <cfRule type="expression" dxfId="143" priority="389">
      <formula>AJ401="F"</formula>
    </cfRule>
    <cfRule type="expression" dxfId="142" priority="402">
      <formula>AJ401="F"</formula>
    </cfRule>
    <cfRule type="expression" dxfId="141" priority="391">
      <formula>AJ401="A1"</formula>
    </cfRule>
    <cfRule type="expression" dxfId="140" priority="392">
      <formula>AJ401="A2"</formula>
    </cfRule>
    <cfRule type="expression" dxfId="139" priority="393">
      <formula>AJ401="B"</formula>
    </cfRule>
    <cfRule type="expression" dxfId="138" priority="400">
      <formula>AJ401="E"</formula>
    </cfRule>
  </conditionalFormatting>
  <conditionalFormatting sqref="AL6:AL799">
    <cfRule type="expression" dxfId="137" priority="152">
      <formula>ISTEXT(A6)</formula>
    </cfRule>
  </conditionalFormatting>
  <conditionalFormatting sqref="AN5">
    <cfRule type="containsText" dxfId="136" priority="5" operator="containsText" text="N/A">
      <formula>NOT(ISERROR(SEARCH("N/A",AN5)))</formula>
    </cfRule>
  </conditionalFormatting>
  <conditionalFormatting sqref="AN6:AN800">
    <cfRule type="expression" dxfId="135" priority="9">
      <formula>ISTEXT(A6)</formula>
    </cfRule>
  </conditionalFormatting>
  <conditionalFormatting sqref="AN6:AO21">
    <cfRule type="expression" dxfId="134" priority="416">
      <formula>ISTEXT(B6)</formula>
    </cfRule>
  </conditionalFormatting>
  <conditionalFormatting sqref="AO6:AO800">
    <cfRule type="expression" dxfId="133" priority="7">
      <formula>ISTEXT(A6)</formula>
    </cfRule>
  </conditionalFormatting>
  <conditionalFormatting sqref="AP6:AP800">
    <cfRule type="expression" dxfId="132" priority="275">
      <formula>ISTEXT(A6)</formula>
    </cfRule>
  </conditionalFormatting>
  <conditionalFormatting sqref="AQ6:AQ800">
    <cfRule type="expression" dxfId="131" priority="346">
      <formula>ISTEXT(A6)</formula>
    </cfRule>
  </conditionalFormatting>
  <conditionalFormatting sqref="AS6:AS799">
    <cfRule type="expression" dxfId="130" priority="8">
      <formula>ISTEXT(E6)</formula>
    </cfRule>
  </conditionalFormatting>
  <conditionalFormatting sqref="AU6:AU799">
    <cfRule type="expression" dxfId="129" priority="70">
      <formula>ISTEXT(A6)</formula>
    </cfRule>
  </conditionalFormatting>
  <conditionalFormatting sqref="AV6:AV799">
    <cfRule type="expression" dxfId="128" priority="150">
      <formula>ISTEXT(A6)</formula>
    </cfRule>
  </conditionalFormatting>
  <conditionalFormatting sqref="AX4">
    <cfRule type="containsText" dxfId="127" priority="381" operator="containsText" text="N/A">
      <formula>NOT(ISERROR(SEARCH("N/A",AX4)))</formula>
    </cfRule>
  </conditionalFormatting>
  <hyperlinks>
    <hyperlink ref="S6" r:id="rId1" xr:uid="{CF23158C-D821-4743-8A83-80264B28CF6C}"/>
    <hyperlink ref="E6" r:id="rId2" xr:uid="{31A6F603-CD68-49A8-B4D5-F62C45350510}"/>
    <hyperlink ref="AU6" r:id="rId3" xr:uid="{75017278-6AD6-478C-9043-1537C3314BC7}"/>
    <hyperlink ref="E7" r:id="rId4" xr:uid="{4474386F-A3A8-4FDE-A427-061D150BB8D8}"/>
    <hyperlink ref="S7" r:id="rId5" xr:uid="{EDB998DF-E444-4E4A-B80B-B1D808FF888C}"/>
    <hyperlink ref="AU7" r:id="rId6" xr:uid="{E032FA12-7315-42AD-A8E7-8DB8812ADD43}"/>
    <hyperlink ref="S8" r:id="rId7" xr:uid="{5E7ED95A-5B74-477F-849F-2FCBFC3B8A5A}"/>
    <hyperlink ref="S9" r:id="rId8" xr:uid="{0E868FC4-6D3F-4369-B0E2-6D4DF7731915}"/>
    <hyperlink ref="S10" r:id="rId9" xr:uid="{1656ECCC-1C4C-4306-8F7F-5AA855681D7F}"/>
    <hyperlink ref="S11" r:id="rId10" xr:uid="{9B48E836-5C78-4BFF-947C-8DCB0F5D4192}"/>
    <hyperlink ref="AU8" r:id="rId11" xr:uid="{6A434E0D-6BB9-41E4-8AB4-90624789A953}"/>
    <hyperlink ref="AU9:AU11" r:id="rId12" display="Link" xr:uid="{51A9773E-14A5-4569-BDBD-0EAC523C3DEC}"/>
    <hyperlink ref="S12" r:id="rId13" xr:uid="{5AFFCD76-4FEF-4140-B6CB-EF6FBE9D98CA}"/>
    <hyperlink ref="E12" r:id="rId14" xr:uid="{D1939586-06D8-48A1-9EEB-960573357799}"/>
    <hyperlink ref="E8" r:id="rId15" xr:uid="{C412B807-3530-4BF7-849A-0D2F0E834B74}"/>
    <hyperlink ref="E9" r:id="rId16" xr:uid="{95868FF1-57E6-42AD-A079-D4A1B7D7CFDA}"/>
    <hyperlink ref="E10" r:id="rId17" xr:uid="{F2A85CDE-A239-4DEB-B8DF-1F8B1B51759B}"/>
    <hyperlink ref="E11" r:id="rId18" xr:uid="{7E473958-EE67-4243-8FF5-AB812D08355A}"/>
    <hyperlink ref="E13" r:id="rId19" xr:uid="{540C23A6-836B-4153-848E-AD5BD2499B1D}"/>
    <hyperlink ref="E14" r:id="rId20" xr:uid="{F4C1DA58-1224-43AE-AF5F-36380F6E570E}"/>
    <hyperlink ref="E15" r:id="rId21" xr:uid="{99901BEB-2338-4288-B332-894FED5F86AB}"/>
    <hyperlink ref="AU12" r:id="rId22" xr:uid="{CCEE3F2F-8B6A-4EAB-A4E8-285CBB98E70E}"/>
    <hyperlink ref="AU13:AU15" r:id="rId23" display="Link" xr:uid="{A8263A88-EE73-4E96-9A7C-F04E882884E6}"/>
    <hyperlink ref="S19" r:id="rId24" xr:uid="{37543EA6-55C7-44B3-83FA-8F9321056708}"/>
    <hyperlink ref="E16" r:id="rId25" xr:uid="{323F4549-5C30-4DEB-B86C-0B8E24E56797}"/>
    <hyperlink ref="E17" r:id="rId26" xr:uid="{9707BC45-A984-403E-8109-3E284B5859A9}"/>
    <hyperlink ref="E18" r:id="rId27" xr:uid="{F9CDCA1A-5336-4554-85D0-A526A5CC6677}"/>
    <hyperlink ref="E19" r:id="rId28" xr:uid="{D3BF5A91-567A-4010-9B1D-872F84104D20}"/>
    <hyperlink ref="AU16" r:id="rId29" xr:uid="{35B484C1-B196-49D4-BAE3-D398CC9A9C0D}"/>
    <hyperlink ref="AU17:AU19" r:id="rId30" display="Link" xr:uid="{227BFAB8-3256-4761-915A-3D9E40F141D7}"/>
    <hyperlink ref="S20" r:id="rId31" xr:uid="{FBF13656-2991-4B59-911F-7C8CB998D70C}"/>
    <hyperlink ref="S21" r:id="rId32" xr:uid="{98235FFE-4037-4199-9AED-54C061CABA7B}"/>
    <hyperlink ref="E20" r:id="rId33" xr:uid="{7B87470F-AFFF-40AB-A131-4D5415D2CF2F}"/>
    <hyperlink ref="E21" r:id="rId34" xr:uid="{3FDF7D83-42FE-46B6-A6C6-16BA0F579787}"/>
    <hyperlink ref="AU20" r:id="rId35" xr:uid="{18C7BA49-C199-4DBF-94EC-4506D7C266AA}"/>
    <hyperlink ref="AU21" r:id="rId36" xr:uid="{75BEFA25-462C-47F7-88A7-90C70A9340F6}"/>
    <hyperlink ref="S22" r:id="rId37" xr:uid="{9B02D0B2-9078-41D8-A93B-BB62CD0F9558}"/>
    <hyperlink ref="E22" r:id="rId38" xr:uid="{AE575170-ACAE-4344-AFA1-84A95CE75EB3}"/>
    <hyperlink ref="E23" r:id="rId39" xr:uid="{848D23F4-CEA7-4500-B6D7-8F24A99D8ED1}"/>
    <hyperlink ref="E24" r:id="rId40" xr:uid="{46F2DF2E-4328-4F14-9F20-780AEFE93930}"/>
    <hyperlink ref="E25" r:id="rId41" xr:uid="{695F52DF-7D66-45DA-88D5-086B2C541062}"/>
    <hyperlink ref="AU22" r:id="rId42" xr:uid="{7C0FF9E2-DDBE-49B4-8C64-40D54CBCE74F}"/>
    <hyperlink ref="AU23:AU25" r:id="rId43" display="Link" xr:uid="{1DFCE1C1-2457-4868-A33D-8B5C3B2D4EC9}"/>
    <hyperlink ref="S26" r:id="rId44" xr:uid="{ABB71145-BA3A-4C0B-844C-FF25EDA4748B}"/>
    <hyperlink ref="E26" r:id="rId45" xr:uid="{FC710FE5-A600-457A-9E6C-389D6EF5A253}"/>
    <hyperlink ref="S27" r:id="rId46" xr:uid="{31B1CF07-F3C5-443D-A15C-93DFDE0F18E6}"/>
    <hyperlink ref="S28" r:id="rId47" xr:uid="{52DAD1B2-CB05-4388-8D7C-0C35E4FB2E0A}"/>
    <hyperlink ref="S29" r:id="rId48" xr:uid="{AD1FBD1A-1A1A-4005-893A-DF70895F2912}"/>
    <hyperlink ref="AU26" r:id="rId49" xr:uid="{1FCFBD6E-834F-46A5-916A-32D200C980CF}"/>
    <hyperlink ref="AU27:AU29" r:id="rId50" display="Link" xr:uid="{60DC5436-E102-4DF7-8776-989FB700D9D0}"/>
    <hyperlink ref="E27" r:id="rId51" xr:uid="{A0C1690A-6FFA-45F0-AE0A-3566C706844A}"/>
    <hyperlink ref="E28" r:id="rId52" xr:uid="{2A7E026B-291E-4A39-933A-737B159EB496}"/>
    <hyperlink ref="E29" r:id="rId53" xr:uid="{F1531323-6B3D-458E-AD22-38EF06A780D8}"/>
    <hyperlink ref="S30" r:id="rId54" xr:uid="{2A9C20E5-4761-4A9A-AE9A-E7DCE676161E}"/>
    <hyperlink ref="AU30" r:id="rId55" xr:uid="{98409475-D98B-48C8-99BE-B88380363B7E}"/>
    <hyperlink ref="E30" r:id="rId56" xr:uid="{14B131D0-7B88-49A3-8570-ECC4752B9114}"/>
    <hyperlink ref="E31" r:id="rId57" xr:uid="{81E6EE82-5A96-4FE8-8952-253942FFE7BF}"/>
    <hyperlink ref="E32" r:id="rId58" xr:uid="{4B7869EF-560B-4689-AEAA-766660A4682F}"/>
    <hyperlink ref="E33" r:id="rId59" xr:uid="{70643A05-9F8C-483C-939D-A3C7B2902435}"/>
    <hyperlink ref="E34" r:id="rId60" xr:uid="{3B0E6FDC-9EA3-4073-AF01-A5853340E350}"/>
    <hyperlink ref="E35" r:id="rId61" xr:uid="{F1231FC3-B822-46D8-8DE5-06576D32238C}"/>
    <hyperlink ref="E36" r:id="rId62" xr:uid="{A789279F-1757-44B7-9120-955619A537D9}"/>
    <hyperlink ref="E37" r:id="rId63" xr:uid="{98D4083A-CBD7-4040-8253-11647411D573}"/>
    <hyperlink ref="S31" r:id="rId64" xr:uid="{491FD70E-C59F-410A-83B2-271855632811}"/>
    <hyperlink ref="S32" r:id="rId65" xr:uid="{6E124FE4-C92A-49F2-B198-2BCEE5C0A958}"/>
    <hyperlink ref="S33" r:id="rId66" xr:uid="{7423E790-FD88-485F-A059-1DB9748C6DFA}"/>
    <hyperlink ref="S34" r:id="rId67" xr:uid="{6FA4E78A-276D-4828-BE06-A3A92E0C5262}"/>
    <hyperlink ref="S35" r:id="rId68" xr:uid="{C6899794-D03B-4CB7-955C-6A2374C76107}"/>
    <hyperlink ref="S36" r:id="rId69" xr:uid="{A26B16A9-4C41-4C3E-8A1E-22B889C59855}"/>
    <hyperlink ref="S37" r:id="rId70" xr:uid="{08F62791-2B91-400E-A021-C56C2904D8FB}"/>
    <hyperlink ref="AU31:AU37" r:id="rId71" display="Link" xr:uid="{63B8577A-08D0-40C0-9A6F-E41EA72295F7}"/>
    <hyperlink ref="AV30" r:id="rId72" xr:uid="{3BCBF1E0-FEA6-439F-972D-E1309AA97BB5}"/>
    <hyperlink ref="AV31:AV33" r:id="rId73" display="Link" xr:uid="{23297373-D733-46C4-AB2F-4120B76FD8C8}"/>
    <hyperlink ref="S38" r:id="rId74" xr:uid="{9E0C75DB-DA45-4FD6-B449-AB2A56221574}"/>
    <hyperlink ref="E38" r:id="rId75" xr:uid="{FC3E6A77-A900-4E77-903C-BA5431763056}"/>
    <hyperlink ref="AU38" r:id="rId76" xr:uid="{B4008FBC-37B7-4553-B786-A7FEAFC50708}"/>
    <hyperlink ref="AV38" r:id="rId77" xr:uid="{F39256B4-A9CC-4550-8333-DB1732E58566}"/>
    <hyperlink ref="S39" r:id="rId78" xr:uid="{4AD592B8-FA43-4E4E-8094-17816EAD63A4}"/>
    <hyperlink ref="AU39" r:id="rId79" xr:uid="{6F8A5A61-99FE-4595-9B97-A4EFA86C14D0}"/>
    <hyperlink ref="AV39" r:id="rId80" xr:uid="{617213A4-0964-4E9E-9027-DA5A3C83605D}"/>
    <hyperlink ref="S40" r:id="rId81" xr:uid="{07F67790-254F-49E5-9B41-0AFAA1126929}"/>
    <hyperlink ref="AU40" r:id="rId82" xr:uid="{643686E2-CAD9-4A8A-9D0A-3A69A1D5BA16}"/>
    <hyperlink ref="AV40" r:id="rId83" xr:uid="{32A3F222-D5CA-4E01-8D19-F3E7CD6BED9B}"/>
    <hyperlink ref="S41" r:id="rId84" xr:uid="{89400306-A164-4BC8-AC28-5F47D0CDF2AE}"/>
    <hyperlink ref="AU41" r:id="rId85" xr:uid="{E6CCB9BC-D00B-44C8-B905-B2F0698FC6BF}"/>
    <hyperlink ref="AV41" r:id="rId86" xr:uid="{D5512C32-5CB7-4C41-9C7B-4094BEC9C6EE}"/>
    <hyperlink ref="S42" r:id="rId87" xr:uid="{F47FC4F0-CD6A-45FE-BD6A-4E3E730DE767}"/>
    <hyperlink ref="E42" r:id="rId88" xr:uid="{280AAC35-E185-4A28-A812-302E4BE6D94F}"/>
    <hyperlink ref="AU42" r:id="rId89" xr:uid="{65BC396A-6D3B-4CB1-8828-024C70ECCE16}"/>
    <hyperlink ref="AV42" r:id="rId90" xr:uid="{426BECC6-4325-44AC-95D1-6B07AB9DA982}"/>
    <hyperlink ref="E43" r:id="rId91" xr:uid="{CC3AB010-6ED0-4587-96A4-82A5E87B8E8F}"/>
    <hyperlink ref="AU43" r:id="rId92" xr:uid="{5071D9CD-448D-4E9A-8AD9-032A9E231147}"/>
    <hyperlink ref="AV43" r:id="rId93" xr:uid="{BF76D43F-E2C5-4E7C-B4F2-EE9AD964469D}"/>
    <hyperlink ref="S43" r:id="rId94" xr:uid="{B2444615-06B9-4743-ABEE-84ACC3088ED1}"/>
    <hyperlink ref="E44" r:id="rId95" xr:uid="{622EA261-C66A-423D-8710-7CCC0DBB8415}"/>
    <hyperlink ref="S44" r:id="rId96" xr:uid="{DA46FD6B-2DFF-4D53-884E-25EA91E580B1}"/>
    <hyperlink ref="S45" r:id="rId97" xr:uid="{58F9B2C6-6CD8-4E90-B2CF-53BCE7F3E84C}"/>
    <hyperlink ref="S46" r:id="rId98" xr:uid="{6D976E1E-552D-4235-8C87-E4AAC791555F}"/>
    <hyperlink ref="S47" r:id="rId99" xr:uid="{386C7545-9B8F-49EA-B98E-97BE29585E55}"/>
    <hyperlink ref="S48" r:id="rId100" xr:uid="{954DEC82-BAC9-4D4A-8705-E310FAFDCCE1}"/>
    <hyperlink ref="S49" r:id="rId101" xr:uid="{FE4E8D7E-B705-4709-928E-7338A18AFDA3}"/>
    <hyperlink ref="AU44" r:id="rId102" xr:uid="{765893B8-AC8B-4DA2-A7C4-E60AFA07CE30}"/>
    <hyperlink ref="AU45" r:id="rId103" xr:uid="{027D0477-2EC7-487B-9D23-C8FFAFA1A310}"/>
    <hyperlink ref="AU46" r:id="rId104" xr:uid="{0FFC30E6-1090-402E-B57E-3F643F5EE57B}"/>
    <hyperlink ref="AU47" r:id="rId105" xr:uid="{FB01D86D-8B1A-49D4-8CCF-3454E4FB6390}"/>
    <hyperlink ref="AU48" r:id="rId106" xr:uid="{2D27C1B7-5A66-4A52-AC52-24E8FA459F94}"/>
    <hyperlink ref="AU49" r:id="rId107" xr:uid="{DEA6CD5D-4A16-4023-8B6A-2D45B7973DDD}"/>
    <hyperlink ref="AV44" r:id="rId108" xr:uid="{37C78980-5E92-4624-9C42-417C9250CA2D}"/>
    <hyperlink ref="AV45" r:id="rId109" xr:uid="{61D23AF4-887D-4292-88DE-50FDB4B272DE}"/>
    <hyperlink ref="AV46" r:id="rId110" xr:uid="{1E931CDF-6A8D-49A6-A1BB-F8762989D39C}"/>
    <hyperlink ref="AV47" r:id="rId111" xr:uid="{03B1D3CC-A9AA-4E79-9877-159FE140ACE0}"/>
    <hyperlink ref="AV48" r:id="rId112" xr:uid="{F1F31117-0F87-44AB-A77B-FE823F1E513B}"/>
    <hyperlink ref="AV49" r:id="rId113" xr:uid="{61D34809-2941-44C3-B183-59C4B6F5D2B4}"/>
    <hyperlink ref="E45" r:id="rId114" xr:uid="{E7B8E0CE-01FC-4C3D-8816-E79ABB220FE9}"/>
    <hyperlink ref="E46" r:id="rId115" xr:uid="{A4EF124D-19DE-455E-9F18-D365045CB4BD}"/>
    <hyperlink ref="E47" r:id="rId116" xr:uid="{7E445CCC-233E-49E1-8FA2-F2D08A6F5374}"/>
    <hyperlink ref="E48" r:id="rId117" xr:uid="{7B422F99-3025-408A-AD23-DE183689F337}"/>
    <hyperlink ref="E49" r:id="rId118" xr:uid="{DAEFFF1C-1485-4F00-82DE-889DC8EC804C}"/>
    <hyperlink ref="S50" r:id="rId119" xr:uid="{3CCA0757-2093-4649-A781-EA69D2E1BF7A}"/>
    <hyperlink ref="S51:S57" r:id="rId120" display="EPD" xr:uid="{593E2AC6-DE6F-4B86-B6F3-03315A96CE37}"/>
    <hyperlink ref="E50" r:id="rId121" xr:uid="{0AC5930F-6E22-4615-883A-C30AC7C6DE94}"/>
    <hyperlink ref="E51" r:id="rId122" xr:uid="{2E890F51-4842-4354-9534-75A7665A4012}"/>
    <hyperlink ref="E52" r:id="rId123" xr:uid="{5936B7A2-F4B1-4789-9A51-2B72E5166738}"/>
    <hyperlink ref="E53" r:id="rId124" xr:uid="{2E3E6337-1D5D-466C-81E3-E3EDD783435A}"/>
    <hyperlink ref="E54" r:id="rId125" xr:uid="{EBF3EF69-7F5E-4AD7-B3F3-17BC292B390A}"/>
    <hyperlink ref="E55" r:id="rId126" xr:uid="{281A8865-35A3-4384-958F-29F94CC55572}"/>
    <hyperlink ref="E56" r:id="rId127" xr:uid="{5FA5734D-5501-45E8-B86D-74594DBC73B9}"/>
    <hyperlink ref="E57" r:id="rId128" xr:uid="{B66D02EB-B76D-4F3D-A206-FFBE3FC9C0BF}"/>
    <hyperlink ref="AU50" r:id="rId129" xr:uid="{37129917-F4A0-48EF-9506-1331403D05D2}"/>
    <hyperlink ref="AU51" r:id="rId130" xr:uid="{D6B44720-300A-4ECE-83C0-078517F125BE}"/>
    <hyperlink ref="AU52" r:id="rId131" xr:uid="{27837D43-1072-4B6D-A215-0DF4F6F7D625}"/>
    <hyperlink ref="AU53" r:id="rId132" xr:uid="{9F5D4E99-193C-437B-87F3-508C4DE39089}"/>
    <hyperlink ref="AU54" r:id="rId133" xr:uid="{7C353111-F401-463E-82E2-5920772B4390}"/>
    <hyperlink ref="AU55" r:id="rId134" xr:uid="{66CB4B69-7250-43E2-8B90-F1BED246D5F3}"/>
    <hyperlink ref="AU56" r:id="rId135" xr:uid="{65AD5F3D-AAD8-444F-8DB2-5917202B076E}"/>
    <hyperlink ref="AU57" r:id="rId136" xr:uid="{D929C9AC-E622-461D-9F1A-09973A000D77}"/>
    <hyperlink ref="S58" r:id="rId137" xr:uid="{D5A0E0CA-1CCD-40A9-BDD1-F40C006ECE6B}"/>
    <hyperlink ref="E58" r:id="rId138" xr:uid="{33A5609F-A379-4E05-AEF4-D686449D55A9}"/>
    <hyperlink ref="AU58" r:id="rId139" xr:uid="{6FE4F86A-198F-4AB0-8FC1-45D3858B0314}"/>
    <hyperlink ref="S59" r:id="rId140" xr:uid="{16AA4CAA-BB75-413C-B789-C4789BF5FC51}"/>
    <hyperlink ref="E59" r:id="rId141" xr:uid="{9DDA044B-4EAA-4505-8499-9D10D4844189}"/>
    <hyperlink ref="AU59" r:id="rId142" xr:uid="{CD9CC809-115B-4C91-B98C-22D75CDAC199}"/>
    <hyperlink ref="E60" r:id="rId143" xr:uid="{107BE787-029C-4E95-8462-F642DF3F11CF}"/>
    <hyperlink ref="E61" r:id="rId144" xr:uid="{1F64F651-427E-4494-A0C1-43602E93BD92}"/>
    <hyperlink ref="E62" r:id="rId145" xr:uid="{4B93C165-F62B-45CC-98BF-C42B311D6B0C}"/>
    <hyperlink ref="S60" r:id="rId146" xr:uid="{1B59478C-D3D8-4C80-BE1C-6D826C2FCEE2}"/>
    <hyperlink ref="S61:S62" r:id="rId147" display="EPD" xr:uid="{F2779D43-F18F-4685-BB66-F160B8AE662A}"/>
    <hyperlink ref="AU60" r:id="rId148" xr:uid="{E94A7072-7B5B-4A7C-AE13-78F0D5DAFE6C}"/>
    <hyperlink ref="AU61:AU62" r:id="rId149" display="Link" xr:uid="{0601A4F8-C955-4FEB-B76B-B91D2B6E732C}"/>
    <hyperlink ref="S63" r:id="rId150" xr:uid="{747AFA0B-93B3-4F53-9BF8-B45D70595DAC}"/>
    <hyperlink ref="E63" r:id="rId151" xr:uid="{546F357A-CDB6-4A73-B339-5FAEC4ECD61A}"/>
    <hyperlink ref="E64" r:id="rId152" xr:uid="{32B1264E-EC63-4A27-8116-736289069460}"/>
    <hyperlink ref="E65" r:id="rId153" xr:uid="{94519443-C859-496B-95C0-FAA8AFD3EC4D}"/>
    <hyperlink ref="E66" r:id="rId154" xr:uid="{46901DEA-E4F0-427E-83C0-985E039F6D3A}"/>
    <hyperlink ref="E67" r:id="rId155" xr:uid="{837782B4-29F8-40D5-BF88-3FE9E595AD4C}"/>
    <hyperlink ref="E68" r:id="rId156" xr:uid="{7F03CBBE-2876-46D2-8FFF-611E3B10E4B4}"/>
    <hyperlink ref="S64" r:id="rId157" xr:uid="{FF37E5E2-E055-4E98-99A7-12636666934E}"/>
    <hyperlink ref="S65" r:id="rId158" xr:uid="{509FD90F-45EC-48F3-8A0C-F7FE24411106}"/>
    <hyperlink ref="S66" r:id="rId159" xr:uid="{95ECDB8A-7454-4246-838E-45DBBE8E4D52}"/>
    <hyperlink ref="S67" r:id="rId160" xr:uid="{E85802E8-054A-47A6-A621-0B977AEE9C8C}"/>
    <hyperlink ref="S68" r:id="rId161" xr:uid="{9D798D80-42EB-4842-B3AE-777BB866EFB9}"/>
    <hyperlink ref="AU63:AU64" r:id="rId162" display="Link" xr:uid="{57354D31-2BF5-4D39-86CE-C4F67F41372B}"/>
    <hyperlink ref="AU65:AU66" r:id="rId163" display="Link" xr:uid="{6295CBF1-D26C-4328-A659-6C0B410252B1}"/>
    <hyperlink ref="AU67:AU68" r:id="rId164" display="Link" xr:uid="{656B2896-4ED4-4B5B-8F60-A651D2C34F29}"/>
    <hyperlink ref="E69" r:id="rId165" xr:uid="{9D0709D4-1937-4C84-9977-CBF1AE035C0A}"/>
    <hyperlink ref="S69" r:id="rId166" xr:uid="{8C4239FD-5AC6-496F-B922-63B4B52C371A}"/>
    <hyperlink ref="S71" r:id="rId167" xr:uid="{7343149B-77D7-4371-AC09-509FFCA34A53}"/>
    <hyperlink ref="S70" r:id="rId168" xr:uid="{DD243A7B-1783-4549-8797-7BBD1C78D869}"/>
    <hyperlink ref="E70" r:id="rId169" xr:uid="{42DFE629-8C53-40E1-87A7-B0EC877AF234}"/>
    <hyperlink ref="E71" r:id="rId170" xr:uid="{BAF32E85-DD65-47F9-B06F-F25946E43C58}"/>
    <hyperlink ref="AU69" r:id="rId171" xr:uid="{0CD93A43-B89E-4A37-BFFF-A1091A9342D4}"/>
    <hyperlink ref="AU70:AU71" r:id="rId172" display="Link" xr:uid="{3C7F767C-4AEF-4CD6-BA1E-051B2822E16B}"/>
    <hyperlink ref="S16:S18" r:id="rId173" display="EPD" xr:uid="{411065A6-F654-40CA-AE9A-E203BD40683F}"/>
    <hyperlink ref="S13:S15" r:id="rId174" display="EPD" xr:uid="{D8091C2A-1659-4025-812F-97A3D5682B42}"/>
    <hyperlink ref="S23:S25" r:id="rId175" display="EPD" xr:uid="{B4D74D79-CE6A-4B97-BC9D-A6E38999FE88}"/>
    <hyperlink ref="AV6" r:id="rId176" xr:uid="{24EB8CE0-16FE-44F8-AC9F-B0F965A97B2A}"/>
    <hyperlink ref="AV11" r:id="rId177" xr:uid="{ED353FF0-60AE-4183-B4C4-012767546BDE}"/>
    <hyperlink ref="AV8" r:id="rId178" xr:uid="{D654328E-617A-4011-BA90-CBF378531575}"/>
    <hyperlink ref="AV9" r:id="rId179" xr:uid="{18D9E76C-E79B-46F6-9D82-F0BAFBE46E35}"/>
    <hyperlink ref="AV10" r:id="rId180" xr:uid="{68DF1C76-7BB7-447B-808E-1CC574D0D963}"/>
    <hyperlink ref="AV12" r:id="rId181" xr:uid="{4E6D5D89-03B4-453C-8C00-71605B487FEA}"/>
    <hyperlink ref="AV13" r:id="rId182" xr:uid="{F61193A3-3782-4343-B68A-D2CADB7655D3}"/>
    <hyperlink ref="AV14" r:id="rId183" xr:uid="{E29CCC62-7F62-4607-B678-FF56B7A27C87}"/>
    <hyperlink ref="AV15" r:id="rId184" xr:uid="{90AA25AD-D7D6-4BB0-87B7-057859FE47FA}"/>
    <hyperlink ref="AV16" r:id="rId185" xr:uid="{DE687A16-1C16-424A-9A8D-07D8CAB3B873}"/>
    <hyperlink ref="AV17" r:id="rId186" xr:uid="{8943F4FA-0F89-4CC6-A52C-51AA31BFFC68}"/>
    <hyperlink ref="AV18" r:id="rId187" xr:uid="{2324DD67-29FA-4BA6-A6BF-5FE4A9E5BDC5}"/>
    <hyperlink ref="AV19" r:id="rId188" xr:uid="{98ED2581-1C28-4EA7-9D93-9F083C7CFE83}"/>
    <hyperlink ref="AV20" r:id="rId189" xr:uid="{98B69FFD-AE3D-4F21-9EA3-8B4F05A11024}"/>
    <hyperlink ref="AV21" r:id="rId190" xr:uid="{D0517AE3-2C54-49DE-A7AA-92C83FAA0E07}"/>
    <hyperlink ref="AV58" r:id="rId191" xr:uid="{71B42425-44E0-421D-9EE5-AB859FF89B3C}"/>
    <hyperlink ref="S72" r:id="rId192" xr:uid="{D3DE63C2-ED61-48C2-9636-5320926D7953}"/>
    <hyperlink ref="E72" r:id="rId193" xr:uid="{E5DFB141-1449-4D1B-934F-6C994BD3AC49}"/>
    <hyperlink ref="AU72" r:id="rId194" xr:uid="{88892EBC-19C9-4F02-969C-CD7FE3B6395E}"/>
    <hyperlink ref="AV59" r:id="rId195" xr:uid="{B6B96390-334C-404D-AEAE-A52B59123D5C}"/>
    <hyperlink ref="AV72" r:id="rId196" xr:uid="{8353F7FC-496E-4737-B961-EB9B1443710F}"/>
  </hyperlinks>
  <pageMargins left="0.7" right="0.7" top="0.75" bottom="0.75" header="0.3" footer="0.3"/>
  <pageSetup paperSize="9" orientation="portrait" r:id="rId197"/>
  <drawing r:id="rId198"/>
  <legacyDrawing r:id="rId199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07471E-6692-45B8-A84A-003045B514C1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K4</xm:sqref>
        </x14:conditionalFormatting>
        <x14:conditionalFormatting xmlns:xm="http://schemas.microsoft.com/office/excel/2006/main">
          <x14:cfRule type="dataBar" id="{94F5A6E7-2113-4B66-8261-69393282B90E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K5</xm:sqref>
        </x14:conditionalFormatting>
        <x14:conditionalFormatting xmlns:xm="http://schemas.microsoft.com/office/excel/2006/main">
          <x14:cfRule type="dataBar" id="{91759FFB-400B-4485-B227-661FF0035F4B}">
            <x14:dataBar minLength="0" maxLength="100" border="1" gradient="0">
              <x14:cfvo type="formula">
                <xm:f>$L$2</xm:f>
              </x14:cfvo>
              <x14:cfvo type="formula">
                <xm:f>$L$1</xm:f>
              </x14:cfvo>
              <x14:borderColor rgb="FFEDF3F3"/>
              <x14:negativeFillColor rgb="FFC6951C"/>
              <x14:axisColor rgb="FF000000"/>
            </x14:dataBar>
          </x14:cfRule>
          <xm:sqref>L1:L3 L6:L1048576</xm:sqref>
        </x14:conditionalFormatting>
        <x14:conditionalFormatting xmlns:xm="http://schemas.microsoft.com/office/excel/2006/main">
          <x14:cfRule type="dataBar" id="{F9349709-169A-47AB-83F9-4C60B07FC40F}">
            <x14:dataBar minLength="0" maxLength="100" border="1" gradient="0">
              <x14:cfvo type="formula">
                <xm:f>$L$2</xm:f>
              </x14:cfvo>
              <x14:cfvo type="formula">
                <xm:f>$L$1</xm:f>
              </x14:cfvo>
              <x14:borderColor rgb="FFEDF3F3"/>
              <x14:negativeFillColor rgb="FFC6951C"/>
              <x14:axisColor rgb="FF000000"/>
            </x14:dataBar>
          </x14:cfRule>
          <xm:sqref>L4:L5</xm:sqref>
        </x14:conditionalFormatting>
        <x14:conditionalFormatting xmlns:xm="http://schemas.microsoft.com/office/excel/2006/main">
          <x14:cfRule type="dataBar" id="{78E56EE6-3FE6-4D00-AD31-B800915C7CE3}">
            <x14:dataBar minLength="0" maxLength="100" border="1" gradient="0">
              <x14:cfvo type="formula">
                <xm:f>$L$2</xm:f>
              </x14:cfvo>
              <x14:cfvo type="formula">
                <xm:f>$L$1</xm:f>
              </x14:cfvo>
              <x14:borderColor rgb="FFEDF3F3"/>
              <x14:negativeFillColor rgb="FFECCC7C"/>
              <x14:axisColor rgb="FF000000"/>
            </x14:dataBar>
          </x14:cfRule>
          <xm:sqref>N1:N3 P1:P3 N6:N1048576 P6:P1048576</xm:sqref>
        </x14:conditionalFormatting>
        <x14:conditionalFormatting xmlns:xm="http://schemas.microsoft.com/office/excel/2006/main">
          <x14:cfRule type="dataBar" id="{301DBE3F-DDB8-44D8-A731-0F087F6F86D8}">
            <x14:dataBar minLength="0" maxLength="100" border="1" gradient="0">
              <x14:cfvo type="formula">
                <xm:f>$L$2</xm:f>
              </x14:cfvo>
              <x14:cfvo type="formula">
                <xm:f>$L$1</xm:f>
              </x14:cfvo>
              <x14:borderColor rgb="FFEDF3F3"/>
              <x14:negativeFillColor rgb="FFECCC7C"/>
              <x14:axisColor rgb="FF000000"/>
            </x14:dataBar>
          </x14:cfRule>
          <xm:sqref>N4:N5</xm:sqref>
        </x14:conditionalFormatting>
        <x14:conditionalFormatting xmlns:xm="http://schemas.microsoft.com/office/excel/2006/main">
          <x14:cfRule type="dataBar" id="{59E668A2-816A-4BE9-9A3E-643636D1AFD5}">
            <x14:dataBar minLength="0" maxLength="100" border="1" gradient="0">
              <x14:cfvo type="formula">
                <xm:f>$L$2</xm:f>
              </x14:cfvo>
              <x14:cfvo type="formula">
                <xm:f>$L$1</xm:f>
              </x14:cfvo>
              <x14:borderColor rgb="FFEDF3F3"/>
              <x14:negativeFillColor rgb="FFECCC7C"/>
              <x14:axisColor rgb="FF000000"/>
            </x14:dataBar>
          </x14:cfRule>
          <xm:sqref>P4:P5</xm:sqref>
        </x14:conditionalFormatting>
        <x14:conditionalFormatting xmlns:xm="http://schemas.microsoft.com/office/excel/2006/main">
          <x14:cfRule type="dataBar" id="{12EE37B7-9771-427D-8391-22CB1542D06F}">
            <x14:dataBar minLength="0" maxLength="100" border="1" gradient="0">
              <x14:cfvo type="formula">
                <xm:f>$L$2</xm:f>
              </x14:cfvo>
              <x14:cfvo type="formula">
                <xm:f>$L$1</xm:f>
              </x14:cfvo>
              <x14:borderColor rgb="FFEDF3F3"/>
              <x14:negativeFillColor rgb="FFF6E7C2"/>
              <x14:axisColor rgb="FF000000"/>
            </x14:dataBar>
          </x14:cfRule>
          <xm:sqref>R1:R3 R6:R1048576</xm:sqref>
        </x14:conditionalFormatting>
        <x14:conditionalFormatting xmlns:xm="http://schemas.microsoft.com/office/excel/2006/main">
          <x14:cfRule type="dataBar" id="{6B468AAC-0F5F-42CD-8BA6-C89050B98FA1}">
            <x14:dataBar minLength="0" maxLength="100" border="1" gradient="0">
              <x14:cfvo type="formula">
                <xm:f>$L$2</xm:f>
              </x14:cfvo>
              <x14:cfvo type="formula">
                <xm:f>$L$1</xm:f>
              </x14:cfvo>
              <x14:borderColor rgb="FFEDF3F3"/>
              <x14:negativeFillColor rgb="FFF6E7C2"/>
              <x14:axisColor rgb="FF000000"/>
            </x14:dataBar>
          </x14:cfRule>
          <xm:sqref>R4:R5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4A3BB-C7E2-49DB-BEEC-50BD08500F7F}">
  <sheetPr>
    <tabColor rgb="FF6A9495"/>
  </sheetPr>
  <dimension ref="A1:AU925"/>
  <sheetViews>
    <sheetView showGridLines="0" topLeftCell="A3" zoomScale="60" zoomScaleNormal="60" workbookViewId="0">
      <pane xSplit="1" ySplit="3" topLeftCell="C6" activePane="bottomRight" state="frozen"/>
      <selection activeCell="A3" sqref="A3"/>
      <selection pane="topRight" activeCell="B3" sqref="B3"/>
      <selection pane="bottomLeft" activeCell="A6" sqref="A6"/>
      <selection pane="bottomRight" activeCell="A3" sqref="A3"/>
    </sheetView>
  </sheetViews>
  <sheetFormatPr defaultColWidth="14.44140625" defaultRowHeight="14.4" outlineLevelCol="1" x14ac:dyDescent="0.15"/>
  <cols>
    <col min="1" max="1" width="46.6640625" style="17" customWidth="1"/>
    <col min="2" max="2" width="7.5546875" style="16" hidden="1" customWidth="1"/>
    <col min="3" max="3" width="10.33203125" style="16" customWidth="1"/>
    <col min="4" max="4" width="21.33203125" style="16" customWidth="1"/>
    <col min="5" max="5" width="19" style="182" customWidth="1"/>
    <col min="6" max="6" width="18.6640625" style="16" customWidth="1"/>
    <col min="7" max="7" width="9.5546875" style="16" customWidth="1"/>
    <col min="8" max="8" width="3.6640625" style="49" customWidth="1"/>
    <col min="9" max="9" width="9.6640625" style="8" customWidth="1"/>
    <col min="10" max="10" width="10.6640625" style="50" customWidth="1"/>
    <col min="11" max="11" width="15.6640625" style="157" customWidth="1"/>
    <col min="12" max="12" width="10.6640625" style="50" customWidth="1"/>
    <col min="13" max="13" width="15.6640625" style="157" customWidth="1"/>
    <col min="14" max="14" width="10.6640625" style="50" customWidth="1"/>
    <col min="15" max="15" width="15.6640625" style="156" customWidth="1"/>
    <col min="16" max="16" width="10.6640625" style="50" customWidth="1"/>
    <col min="17" max="17" width="15.6640625" style="157" customWidth="1"/>
    <col min="18" max="18" width="9.33203125" style="16" customWidth="1"/>
    <col min="19" max="19" width="13.6640625" style="16" customWidth="1"/>
    <col min="20" max="20" width="29.33203125" style="200" customWidth="1"/>
    <col min="21" max="21" width="16.88671875" style="16" customWidth="1"/>
    <col min="22" max="22" width="23.33203125" style="16" customWidth="1"/>
    <col min="23" max="23" width="10.6640625" style="16" customWidth="1"/>
    <col min="24" max="24" width="3.6640625" style="48" hidden="1" customWidth="1" outlineLevel="1"/>
    <col min="25" max="25" width="26" style="16" hidden="1" customWidth="1" outlineLevel="1"/>
    <col min="26" max="26" width="16.33203125" style="16" hidden="1" customWidth="1" outlineLevel="1"/>
    <col min="27" max="27" width="20.6640625" style="19" hidden="1" customWidth="1" outlineLevel="1"/>
    <col min="28" max="28" width="17" style="19" hidden="1" customWidth="1" outlineLevel="1"/>
    <col min="29" max="29" width="18.33203125" style="19" hidden="1" customWidth="1" outlineLevel="1"/>
    <col min="30" max="30" width="18" style="19" hidden="1" customWidth="1" outlineLevel="1"/>
    <col min="31" max="31" width="23.33203125" style="19" hidden="1" customWidth="1" outlineLevel="1"/>
    <col min="32" max="32" width="3.6640625" style="16" customWidth="1" collapsed="1"/>
    <col min="33" max="33" width="2.33203125" style="16" hidden="1" customWidth="1"/>
    <col min="34" max="35" width="4.33203125" style="4" hidden="1" customWidth="1"/>
    <col min="36" max="36" width="2.33203125" style="16" hidden="1" customWidth="1"/>
    <col min="37" max="37" width="3.6640625" style="16" hidden="1" customWidth="1"/>
    <col min="38" max="39" width="12.44140625" style="16" customWidth="1"/>
    <col min="40" max="40" width="14.109375" style="16" customWidth="1"/>
    <col min="41" max="41" width="3.6640625" style="48" customWidth="1"/>
    <col min="42" max="43" width="7.6640625" style="16" customWidth="1"/>
    <col min="44" max="44" width="3.6640625" style="16" customWidth="1"/>
    <col min="45" max="45" width="33.6640625" style="17" customWidth="1"/>
    <col min="46" max="46" width="34.33203125" style="17" customWidth="1"/>
    <col min="47" max="47" width="14.44140625" style="48"/>
    <col min="48" max="16384" width="14.44140625" style="17"/>
  </cols>
  <sheetData>
    <row r="1" spans="1:45" ht="25.2" hidden="1" customHeight="1" x14ac:dyDescent="0.25">
      <c r="J1" s="44" t="s">
        <v>297</v>
      </c>
      <c r="K1" s="204">
        <f>SUBTOTAL(4,J6:Q796)</f>
        <v>2.597089</v>
      </c>
    </row>
    <row r="2" spans="1:45" ht="34.950000000000003" hidden="1" customHeight="1" x14ac:dyDescent="0.25">
      <c r="J2" s="44" t="s">
        <v>298</v>
      </c>
      <c r="K2" s="204">
        <f>SUBTOTAL(5,J6:Q152)</f>
        <v>-1.2500000000000001E-2</v>
      </c>
    </row>
    <row r="3" spans="1:45" ht="49.95" customHeight="1" x14ac:dyDescent="0.15">
      <c r="A3" s="16"/>
      <c r="Y3" s="48"/>
      <c r="Z3" s="284" t="s">
        <v>372</v>
      </c>
      <c r="AA3" s="284"/>
      <c r="AB3" s="284"/>
      <c r="AC3" s="284"/>
      <c r="AD3" s="284"/>
      <c r="AE3" s="284"/>
    </row>
    <row r="4" spans="1:45" s="9" customFormat="1" ht="30" customHeight="1" x14ac:dyDescent="0.3">
      <c r="A4" s="56" t="s">
        <v>0</v>
      </c>
      <c r="B4" s="288" t="s">
        <v>207</v>
      </c>
      <c r="C4" s="288"/>
      <c r="D4" s="56" t="s">
        <v>1</v>
      </c>
      <c r="E4" s="56" t="s">
        <v>134</v>
      </c>
      <c r="F4" s="56" t="s">
        <v>2</v>
      </c>
      <c r="G4" s="20" t="s">
        <v>769</v>
      </c>
      <c r="H4" s="126"/>
      <c r="I4" s="56" t="s">
        <v>245</v>
      </c>
      <c r="J4" s="291" t="s">
        <v>197</v>
      </c>
      <c r="K4" s="291"/>
      <c r="L4" s="287" t="s">
        <v>198</v>
      </c>
      <c r="M4" s="288"/>
      <c r="N4" s="287" t="s">
        <v>303</v>
      </c>
      <c r="O4" s="288"/>
      <c r="P4" s="291" t="s">
        <v>202</v>
      </c>
      <c r="Q4" s="291"/>
      <c r="R4" s="56" t="s">
        <v>5</v>
      </c>
      <c r="S4" s="20" t="s">
        <v>371</v>
      </c>
      <c r="T4" s="20" t="s">
        <v>302</v>
      </c>
      <c r="U4" s="20" t="s">
        <v>242</v>
      </c>
      <c r="V4" s="56" t="s">
        <v>4</v>
      </c>
      <c r="W4" s="20" t="s">
        <v>243</v>
      </c>
      <c r="X4" s="51"/>
      <c r="Y4" s="20" t="s">
        <v>532</v>
      </c>
      <c r="Z4" s="20" t="s">
        <v>193</v>
      </c>
      <c r="AA4" s="20" t="s">
        <v>203</v>
      </c>
      <c r="AB4" s="56" t="s">
        <v>6</v>
      </c>
      <c r="AC4" s="56" t="s">
        <v>7</v>
      </c>
      <c r="AD4" s="56" t="s">
        <v>8</v>
      </c>
      <c r="AE4" s="20" t="s">
        <v>202</v>
      </c>
      <c r="AF4" s="131"/>
      <c r="AG4" s="287" t="s">
        <v>199</v>
      </c>
      <c r="AH4" s="288"/>
      <c r="AI4" s="288"/>
      <c r="AJ4" s="288"/>
      <c r="AK4" s="126"/>
      <c r="AL4" s="20" t="s">
        <v>670</v>
      </c>
      <c r="AM4" s="56" t="s">
        <v>666</v>
      </c>
      <c r="AN4" s="20" t="s">
        <v>668</v>
      </c>
      <c r="AO4" s="130"/>
      <c r="AP4" s="56" t="s">
        <v>186</v>
      </c>
      <c r="AQ4" s="56"/>
      <c r="AR4" s="51"/>
      <c r="AS4" s="51" t="s">
        <v>241</v>
      </c>
    </row>
    <row r="5" spans="1:45" s="23" customFormat="1" ht="20.399999999999999" customHeight="1" x14ac:dyDescent="0.3">
      <c r="A5" s="24"/>
      <c r="B5" s="290"/>
      <c r="C5" s="290"/>
      <c r="D5" s="22"/>
      <c r="E5" s="187"/>
      <c r="F5" s="22"/>
      <c r="G5" s="22"/>
      <c r="H5" s="127"/>
      <c r="I5" s="22" t="s">
        <v>288</v>
      </c>
      <c r="J5" s="293" t="s">
        <v>756</v>
      </c>
      <c r="K5" s="293"/>
      <c r="L5" s="293" t="s">
        <v>756</v>
      </c>
      <c r="M5" s="293"/>
      <c r="N5" s="293" t="s">
        <v>756</v>
      </c>
      <c r="O5" s="293"/>
      <c r="P5" s="293" t="s">
        <v>756</v>
      </c>
      <c r="Q5" s="293"/>
      <c r="R5" s="22"/>
      <c r="S5" s="22"/>
      <c r="T5" s="201"/>
      <c r="U5" s="22"/>
      <c r="V5" s="22" t="s">
        <v>1229</v>
      </c>
      <c r="W5" s="22" t="s">
        <v>10</v>
      </c>
      <c r="X5" s="43"/>
      <c r="Y5" s="22"/>
      <c r="Z5" s="22"/>
      <c r="AA5" s="22" t="s">
        <v>373</v>
      </c>
      <c r="AB5" s="22" t="s">
        <v>373</v>
      </c>
      <c r="AC5" s="22" t="s">
        <v>373</v>
      </c>
      <c r="AD5" s="22" t="s">
        <v>373</v>
      </c>
      <c r="AE5" s="22" t="s">
        <v>373</v>
      </c>
      <c r="AF5" s="132"/>
      <c r="AG5" s="290" t="s">
        <v>11</v>
      </c>
      <c r="AH5" s="290"/>
      <c r="AI5" s="290"/>
      <c r="AJ5" s="290"/>
      <c r="AK5" s="127"/>
      <c r="AL5" s="22" t="s">
        <v>671</v>
      </c>
      <c r="AM5" s="22" t="s">
        <v>667</v>
      </c>
      <c r="AN5" s="22" t="s">
        <v>669</v>
      </c>
      <c r="AO5" s="129"/>
      <c r="AP5" s="22"/>
      <c r="AQ5" s="22"/>
      <c r="AR5" s="43"/>
    </row>
    <row r="6" spans="1:45" s="25" customFormat="1" ht="25.2" customHeight="1" x14ac:dyDescent="0.15">
      <c r="A6" s="25" t="s">
        <v>643</v>
      </c>
      <c r="B6" s="47" t="s">
        <v>210</v>
      </c>
      <c r="C6" s="47" t="str">
        <f>""</f>
        <v/>
      </c>
      <c r="D6" s="47" t="s">
        <v>653</v>
      </c>
      <c r="E6" s="183" t="s">
        <v>663</v>
      </c>
      <c r="F6" s="85" t="s">
        <v>428</v>
      </c>
      <c r="G6" s="85" t="s">
        <v>807</v>
      </c>
      <c r="H6" s="85"/>
      <c r="I6" s="111">
        <v>1</v>
      </c>
      <c r="J6" s="52">
        <f t="shared" ref="J6:J37" si="0">IF(AC6="N/A","N/A",IF(K6="","N/A",K6))</f>
        <v>0.61909999999999998</v>
      </c>
      <c r="K6" s="155" cm="1">
        <f t="array" ref="K6">IF(AL6="N/A","",IF(AM6="N/A","",IF(AN6="N/A","",IF(AA6="N/A","",_xlfn.IFS(Z6="Wp",AA6,Z6="m2",AA6/AN6,Z6="stk",AA6/AL6,Z6="kWh","",Z6="N/A","")))))</f>
        <v>0.61909999999999998</v>
      </c>
      <c r="L6" s="52">
        <f t="shared" ref="L6:L37" si="1">IF(M6="","N/A",M6)</f>
        <v>0.60799999999999998</v>
      </c>
      <c r="M6" s="155" cm="1">
        <f t="array" ref="M6">IF(AL6="N/A","",IF(AM6="N/A","",IF(AN6="N/A","",IF(AB6="N/A","",_xlfn.IFS(Z6="Wp",AB6,Z6="m2",AB6/AN6,Z6="stk",AB6/AL6,Z6="kWh","",Z6="N/A","")))))</f>
        <v>0.60799999999999998</v>
      </c>
      <c r="N6" s="52">
        <f t="shared" ref="N6:N37" si="2">IF(O6="","N/A",O6)</f>
        <v>1.11E-2</v>
      </c>
      <c r="O6" s="148" cm="1">
        <f t="array" ref="O6">IF(AL6="N/A","",IF(AM6="N/A","",IF(AN6="N/A","",IF(AC6="N/A","",_xlfn.IFS(Z6="Wp",AC6,Z6="m2",AC6/AN6,Z6="stk",AC6/AL6,Z6="kWh","",Z6="N/A","")))))</f>
        <v>1.11E-2</v>
      </c>
      <c r="P6" s="52">
        <f t="shared" ref="P6:P37" si="3">IF(Q6="","N/A",Q6)</f>
        <v>2.14E-3</v>
      </c>
      <c r="Q6" s="155" cm="1">
        <f t="array" ref="Q6">IF(AL6="N/A","",IF(AM6="N/A","",IF(AN6="N/A","",IF(AE6="N/A","",_xlfn.IFS(Z6="Wp",AE6,Z6="m2",AE6/AN6,Z6="stk",AE6/AL6,Z6="kWh","",Z6="N/A","")))))</f>
        <v>2.14E-3</v>
      </c>
      <c r="R6" s="186" t="s">
        <v>5</v>
      </c>
      <c r="S6" s="47"/>
      <c r="T6" s="203" t="s">
        <v>804</v>
      </c>
      <c r="U6" s="47">
        <v>2027</v>
      </c>
      <c r="V6" s="47" t="s">
        <v>28</v>
      </c>
      <c r="W6" s="47">
        <v>25</v>
      </c>
      <c r="Y6" s="47" t="s">
        <v>701</v>
      </c>
      <c r="Z6" s="47" t="s">
        <v>665</v>
      </c>
      <c r="AA6" s="52">
        <f t="shared" ref="AA6:AA37" si="4">IF(AC6="N/A","N/A",SUM(AB6:AC6))</f>
        <v>0.61909999999999998</v>
      </c>
      <c r="AB6" s="52">
        <v>0.60799999999999998</v>
      </c>
      <c r="AC6" s="52">
        <v>1.11E-2</v>
      </c>
      <c r="AD6" s="52">
        <f>-E374-2</f>
        <v>-2</v>
      </c>
      <c r="AE6" s="52">
        <v>2.14E-3</v>
      </c>
      <c r="AF6" s="47"/>
      <c r="AG6" s="115" t="str">
        <f>AH6&amp;" "&amp;AI6</f>
        <v xml:space="preserve"> </v>
      </c>
      <c r="AH6" s="122"/>
      <c r="AI6" s="123"/>
      <c r="AJ6" s="47"/>
      <c r="AK6" s="47"/>
      <c r="AL6" s="47">
        <v>375</v>
      </c>
      <c r="AM6" s="188">
        <v>1.825</v>
      </c>
      <c r="AN6" s="116">
        <f>AL6/AM6</f>
        <v>205.47945205479454</v>
      </c>
      <c r="AP6" s="105" t="s">
        <v>17</v>
      </c>
      <c r="AQ6" s="106" t="s">
        <v>17</v>
      </c>
      <c r="AR6" s="47"/>
    </row>
    <row r="7" spans="1:45" s="25" customFormat="1" ht="25.2" customHeight="1" x14ac:dyDescent="0.3">
      <c r="A7" s="25" t="s">
        <v>644</v>
      </c>
      <c r="B7" s="47" t="s">
        <v>210</v>
      </c>
      <c r="C7" s="47" t="str">
        <f>""</f>
        <v/>
      </c>
      <c r="D7" s="47" t="s">
        <v>653</v>
      </c>
      <c r="E7" s="183" t="s">
        <v>663</v>
      </c>
      <c r="F7" s="85" t="s">
        <v>428</v>
      </c>
      <c r="G7" s="85" t="s">
        <v>807</v>
      </c>
      <c r="H7"/>
      <c r="I7" s="111">
        <v>1</v>
      </c>
      <c r="J7" s="52">
        <f t="shared" si="0"/>
        <v>1.3511000000000002</v>
      </c>
      <c r="K7" s="155" cm="1">
        <f t="array" ref="K7">IF(AL7="N/A","",IF(AM7="N/A","",IF(AN7="N/A","",IF(AA7="N/A","",_xlfn.IFS(Z7="Wp",AA7,Z7="m2",AA7/AN7,Z7="stk",AA7/AL7,Z7="kWh","",Z7="N/A","")))))</f>
        <v>1.3511000000000002</v>
      </c>
      <c r="L7" s="52">
        <f t="shared" si="1"/>
        <v>1.34</v>
      </c>
      <c r="M7" s="155" cm="1">
        <f t="array" ref="M7">IF(AL7="N/A","",IF(AM7="N/A","",IF(AN7="N/A","",IF(AB7="N/A","",_xlfn.IFS(Z7="Wp",AB7,Z7="m2",AB7/AN7,Z7="stk",AB7/AL7,Z7="kWh","",Z7="N/A","")))))</f>
        <v>1.34</v>
      </c>
      <c r="N7" s="52">
        <f t="shared" si="2"/>
        <v>1.11E-2</v>
      </c>
      <c r="O7" s="148" cm="1">
        <f t="array" ref="O7">IF(AL7="N/A","",IF(AM7="N/A","",IF(AN7="N/A","",IF(AC7="N/A","",_xlfn.IFS(Z7="Wp",AC7,Z7="m2",AC7/AN7,Z7="stk",AC7/AL7,Z7="kWh","",Z7="N/A","")))))</f>
        <v>1.11E-2</v>
      </c>
      <c r="P7" s="52">
        <f t="shared" si="3"/>
        <v>7.3000000000000001E-3</v>
      </c>
      <c r="Q7" s="155" cm="1">
        <f t="array" ref="Q7">IF(AL7="N/A","",IF(AM7="N/A","",IF(AN7="N/A","",IF(AE7="N/A","",_xlfn.IFS(Z7="Wp",AE7,Z7="m2",AE7/AN7,Z7="stk",AE7/AL7,Z7="kWh","",Z7="N/A","")))))</f>
        <v>7.3000000000000001E-3</v>
      </c>
      <c r="R7" s="186" t="s">
        <v>5</v>
      </c>
      <c r="S7" s="82"/>
      <c r="T7" s="203" t="s">
        <v>804</v>
      </c>
      <c r="U7" s="47">
        <v>2027</v>
      </c>
      <c r="V7" s="47" t="s">
        <v>28</v>
      </c>
      <c r="W7" s="47">
        <v>25</v>
      </c>
      <c r="Y7" s="47" t="s">
        <v>700</v>
      </c>
      <c r="Z7" s="47" t="s">
        <v>665</v>
      </c>
      <c r="AA7" s="52">
        <f t="shared" si="4"/>
        <v>1.3511000000000002</v>
      </c>
      <c r="AB7" s="52">
        <v>1.34</v>
      </c>
      <c r="AC7" s="52">
        <v>1.11E-2</v>
      </c>
      <c r="AD7" s="52">
        <v>-3.7400000000000003E-2</v>
      </c>
      <c r="AE7" s="52">
        <v>7.3000000000000001E-3</v>
      </c>
      <c r="AF7" s="47"/>
      <c r="AG7" s="115" t="str">
        <f>AH7&amp;" "&amp;AI7</f>
        <v xml:space="preserve"> </v>
      </c>
      <c r="AH7" s="122"/>
      <c r="AI7" s="124"/>
      <c r="AJ7" s="47"/>
      <c r="AK7" s="47"/>
      <c r="AL7" s="47">
        <v>375</v>
      </c>
      <c r="AM7" s="188">
        <v>1.825</v>
      </c>
      <c r="AN7" s="116">
        <f>AL7/AM7</f>
        <v>205.47945205479454</v>
      </c>
      <c r="AP7" s="105" t="s">
        <v>17</v>
      </c>
      <c r="AQ7" s="205" t="s">
        <v>17</v>
      </c>
      <c r="AR7" s="47"/>
    </row>
    <row r="8" spans="1:45" s="25" customFormat="1" ht="25.2" customHeight="1" x14ac:dyDescent="0.15">
      <c r="A8" s="25" t="s">
        <v>645</v>
      </c>
      <c r="B8" s="47" t="s">
        <v>210</v>
      </c>
      <c r="C8" s="47" t="str">
        <f>""</f>
        <v/>
      </c>
      <c r="D8" s="47" t="s">
        <v>653</v>
      </c>
      <c r="E8" s="183" t="s">
        <v>663</v>
      </c>
      <c r="F8" s="85" t="s">
        <v>428</v>
      </c>
      <c r="G8" s="85" t="s">
        <v>807</v>
      </c>
      <c r="H8" s="47"/>
      <c r="I8" s="111">
        <v>1</v>
      </c>
      <c r="J8" s="52">
        <f t="shared" si="0"/>
        <v>0.69929999999999992</v>
      </c>
      <c r="K8" s="155" cm="1">
        <f t="array" ref="K8">IF(AL8="N/A","",IF(AM8="N/A","",IF(AN8="N/A","",IF(AA8="N/A","",_xlfn.IFS(Z8="Wp",AA8,Z8="m2",AA8/AN8,Z8="stk",AA8/AL8,Z8="kWh","",Z8="N/A","")))))</f>
        <v>0.69929999999999992</v>
      </c>
      <c r="L8" s="52">
        <f t="shared" si="1"/>
        <v>0.68899999999999995</v>
      </c>
      <c r="M8" s="155" cm="1">
        <f t="array" ref="M8">IF(AL8="N/A","",IF(AM8="N/A","",IF(AN8="N/A","",IF(AB8="N/A","",_xlfn.IFS(Z8="Wp",AB8,Z8="m2",AB8/AN8,Z8="stk",AB8/AL8,Z8="kWh","",Z8="N/A","")))))</f>
        <v>0.68899999999999995</v>
      </c>
      <c r="N8" s="52">
        <f t="shared" si="2"/>
        <v>1.03E-2</v>
      </c>
      <c r="O8" s="148" cm="1">
        <f t="array" ref="O8">IF(AL8="N/A","",IF(AM8="N/A","",IF(AN8="N/A","",IF(AC8="N/A","",_xlfn.IFS(Z8="Wp",AC8,Z8="m2",AC8/AN8,Z8="stk",AC8/AL8,Z8="kWh","",Z8="N/A","")))))</f>
        <v>1.03E-2</v>
      </c>
      <c r="P8" s="52">
        <f t="shared" si="3"/>
        <v>5.3099999999999996E-3</v>
      </c>
      <c r="Q8" s="155" cm="1">
        <f t="array" ref="Q8">IF(AL8="N/A","",IF(AM8="N/A","",IF(AN8="N/A","",IF(AE8="N/A","",_xlfn.IFS(Z8="Wp",AE8,Z8="m2",AE8/AN8,Z8="stk",AE8/AL8,Z8="kWh","",Z8="N/A","")))))</f>
        <v>5.3099999999999996E-3</v>
      </c>
      <c r="R8" s="186" t="s">
        <v>5</v>
      </c>
      <c r="S8" s="82"/>
      <c r="T8" s="203" t="s">
        <v>804</v>
      </c>
      <c r="U8" s="47">
        <v>2027</v>
      </c>
      <c r="V8" s="47" t="s">
        <v>28</v>
      </c>
      <c r="W8" s="47">
        <v>25</v>
      </c>
      <c r="Y8" s="47" t="s">
        <v>702</v>
      </c>
      <c r="Z8" s="47" t="s">
        <v>665</v>
      </c>
      <c r="AA8" s="52">
        <f t="shared" si="4"/>
        <v>0.69929999999999992</v>
      </c>
      <c r="AB8" s="52">
        <v>0.68899999999999995</v>
      </c>
      <c r="AC8" s="52">
        <v>1.03E-2</v>
      </c>
      <c r="AD8" s="52">
        <v>-3.0599999999999999E-2</v>
      </c>
      <c r="AE8" s="52">
        <v>5.3099999999999996E-3</v>
      </c>
      <c r="AF8" s="47"/>
      <c r="AG8" s="115" t="str">
        <f>AH8&amp;" "&amp;AI8</f>
        <v xml:space="preserve"> </v>
      </c>
      <c r="AH8" s="122"/>
      <c r="AI8" s="124"/>
      <c r="AJ8" s="47"/>
      <c r="AK8" s="47"/>
      <c r="AL8" s="47">
        <v>410</v>
      </c>
      <c r="AM8" s="188">
        <v>1.85</v>
      </c>
      <c r="AN8" s="116">
        <f>AL8/AM8</f>
        <v>221.62162162162161</v>
      </c>
      <c r="AP8" s="105" t="s">
        <v>17</v>
      </c>
      <c r="AQ8" s="205" t="s">
        <v>17</v>
      </c>
      <c r="AR8" s="47"/>
    </row>
    <row r="9" spans="1:45" s="25" customFormat="1" ht="25.2" customHeight="1" x14ac:dyDescent="0.15">
      <c r="A9" s="25" t="s">
        <v>646</v>
      </c>
      <c r="B9" s="47" t="s">
        <v>210</v>
      </c>
      <c r="C9" s="47" t="str">
        <f>""</f>
        <v/>
      </c>
      <c r="D9" s="47" t="s">
        <v>654</v>
      </c>
      <c r="E9" s="183" t="s">
        <v>152</v>
      </c>
      <c r="F9" s="85" t="s">
        <v>428</v>
      </c>
      <c r="G9" s="85" t="s">
        <v>807</v>
      </c>
      <c r="H9" s="47"/>
      <c r="I9" s="111">
        <v>1</v>
      </c>
      <c r="J9" s="52">
        <f t="shared" si="0"/>
        <v>0.2868</v>
      </c>
      <c r="K9" s="155" cm="1">
        <f t="array" ref="K9">IF(AL9="N/A","",IF(AM9="N/A","",IF(AN9="N/A","",IF(AA9="N/A","",_xlfn.IFS(Z9="Wp",AA9,Z9="m2",AA9/AN9,Z9="stk",AA9/AL9,Z9="kWh","",Z9="N/A","")))))</f>
        <v>0.2868</v>
      </c>
      <c r="L9" s="52">
        <f t="shared" si="1"/>
        <v>0.26700000000000002</v>
      </c>
      <c r="M9" s="155" cm="1">
        <f t="array" ref="M9">IF(AL9="N/A","",IF(AM9="N/A","",IF(AN9="N/A","",IF(AB9="N/A","",_xlfn.IFS(Z9="Wp",AB9,Z9="m2",AB9/AN9,Z9="stk",AB9/AL9,Z9="kWh","",Z9="N/A","")))))</f>
        <v>0.26700000000000002</v>
      </c>
      <c r="N9" s="52">
        <f t="shared" si="2"/>
        <v>1.9800000000000002E-2</v>
      </c>
      <c r="O9" s="148" cm="1">
        <f t="array" ref="O9">IF(AL9="N/A","",IF(AM9="N/A","",IF(AN9="N/A","",IF(AC9="N/A","",_xlfn.IFS(Z9="Wp",AC9,Z9="m2",AC9/AN9,Z9="stk",AC9/AL9,Z9="kWh","",Z9="N/A","")))))</f>
        <v>1.9800000000000002E-2</v>
      </c>
      <c r="P9" s="52">
        <f t="shared" si="3"/>
        <v>-4.2199999999999998E-3</v>
      </c>
      <c r="Q9" s="155" cm="1">
        <f t="array" ref="Q9">IF(AL9="N/A","",IF(AM9="N/A","",IF(AN9="N/A","",IF(AE9="N/A","",_xlfn.IFS(Z9="Wp",AE9,Z9="m2",AE9/AN9,Z9="stk",AE9/AL9,Z9="kWh","",Z9="N/A","")))))</f>
        <v>-4.2199999999999998E-3</v>
      </c>
      <c r="R9" s="186" t="s">
        <v>5</v>
      </c>
      <c r="S9" s="47"/>
      <c r="T9" s="203" t="s">
        <v>804</v>
      </c>
      <c r="U9" s="47">
        <v>2026</v>
      </c>
      <c r="V9" s="47" t="s">
        <v>14</v>
      </c>
      <c r="W9" s="47">
        <v>30</v>
      </c>
      <c r="Y9" s="47" t="s">
        <v>703</v>
      </c>
      <c r="Z9" s="47" t="s">
        <v>665</v>
      </c>
      <c r="AA9" s="52">
        <f t="shared" si="4"/>
        <v>0.2868</v>
      </c>
      <c r="AB9" s="52">
        <v>0.26700000000000002</v>
      </c>
      <c r="AC9" s="52">
        <v>1.9800000000000002E-2</v>
      </c>
      <c r="AD9" s="52">
        <v>-9.69E-2</v>
      </c>
      <c r="AE9" s="52">
        <v>-4.2199999999999998E-3</v>
      </c>
      <c r="AF9" s="52"/>
      <c r="AG9" s="115"/>
      <c r="AH9" s="122"/>
      <c r="AI9" s="123"/>
      <c r="AJ9" s="47"/>
      <c r="AK9" s="47"/>
      <c r="AL9" s="47">
        <v>435</v>
      </c>
      <c r="AM9" s="188">
        <v>2.4700000000000002</v>
      </c>
      <c r="AN9" s="116">
        <f>AL9/AM9</f>
        <v>176.11336032388664</v>
      </c>
      <c r="AP9" s="105" t="s">
        <v>17</v>
      </c>
      <c r="AQ9" s="73"/>
      <c r="AR9" s="47"/>
    </row>
    <row r="10" spans="1:45" s="25" customFormat="1" ht="25.2" customHeight="1" x14ac:dyDescent="0.3">
      <c r="A10" s="25" t="s">
        <v>648</v>
      </c>
      <c r="B10" s="47" t="s">
        <v>210</v>
      </c>
      <c r="C10" s="47" t="str">
        <f>""</f>
        <v/>
      </c>
      <c r="D10" s="47" t="s">
        <v>655</v>
      </c>
      <c r="E10" s="86" t="s">
        <v>664</v>
      </c>
      <c r="F10" s="85" t="s">
        <v>428</v>
      </c>
      <c r="G10" s="85" t="s">
        <v>807</v>
      </c>
      <c r="H10"/>
      <c r="I10" s="111">
        <v>1</v>
      </c>
      <c r="J10" s="52">
        <f t="shared" si="0"/>
        <v>0.34257939000000004</v>
      </c>
      <c r="K10" s="155" cm="1">
        <f t="array" ref="K10">IF(AL10="N/A","",IF(AM10="N/A","",IF(AN10="N/A","",IF(AA10="N/A","",_xlfn.IFS(Z10="Wp",AA10,Z10="m2",AA10/AN10,Z10="stk",AA10/AL10,Z10="kWh","",Z10="N/A","")))))</f>
        <v>0.34257939000000004</v>
      </c>
      <c r="L10" s="52">
        <f t="shared" si="1"/>
        <v>0.34200000000000003</v>
      </c>
      <c r="M10" s="155" cm="1">
        <f t="array" ref="M10">IF(AL10="N/A","",IF(AM10="N/A","",IF(AN10="N/A","",IF(AB10="N/A","",_xlfn.IFS(Z10="Wp",AB10,Z10="m2",AB10/AN10,Z10="stk",AB10/AL10,Z10="kWh","",Z10="N/A","")))))</f>
        <v>0.34200000000000003</v>
      </c>
      <c r="N10" s="52">
        <f t="shared" si="2"/>
        <v>5.7939000000000005E-4</v>
      </c>
      <c r="O10" s="148" cm="1">
        <f t="array" ref="O10">IF(AL10="N/A","",IF(AM10="N/A","",IF(AN10="N/A","",IF(AC10="N/A","",_xlfn.IFS(Z10="Wp",AC10,Z10="m2",AC10/AN10,Z10="stk",AC10/AL10,Z10="kWh","",Z10="N/A","")))))</f>
        <v>5.7939000000000005E-4</v>
      </c>
      <c r="P10" s="52" t="str">
        <f t="shared" si="3"/>
        <v>N/A</v>
      </c>
      <c r="Q10" s="155" t="str" cm="1">
        <f t="array" ref="Q10">IF(AL10="N/A","",IF(AM10="N/A","",IF(AN10="N/A","",IF(AE10="N/A","",_xlfn.IFS(Z10="Wp",AE10,Z10="m2",AE10/AN10,Z10="stk",AE10/AL10,Z10="kWh","",Z10="N/A","")))))</f>
        <v/>
      </c>
      <c r="R10" s="186" t="s">
        <v>5</v>
      </c>
      <c r="S10" s="82"/>
      <c r="T10" s="203" t="s">
        <v>804</v>
      </c>
      <c r="U10" s="47">
        <v>2026</v>
      </c>
      <c r="V10" s="47" t="s">
        <v>14</v>
      </c>
      <c r="W10" s="47">
        <v>25</v>
      </c>
      <c r="Y10" s="47" t="s">
        <v>672</v>
      </c>
      <c r="Z10" s="47" t="s">
        <v>665</v>
      </c>
      <c r="AA10" s="52">
        <f t="shared" si="4"/>
        <v>0.34257939000000004</v>
      </c>
      <c r="AB10" s="52">
        <v>0.34200000000000003</v>
      </c>
      <c r="AC10" s="52">
        <f>0.000573+0.00000639</f>
        <v>5.7939000000000005E-4</v>
      </c>
      <c r="AD10" s="52">
        <v>-0.13800000000000001</v>
      </c>
      <c r="AE10" s="52" t="s">
        <v>191</v>
      </c>
      <c r="AF10" s="47"/>
      <c r="AG10" s="115"/>
      <c r="AH10" s="122"/>
      <c r="AI10" s="123"/>
      <c r="AJ10" s="47"/>
      <c r="AK10" s="47"/>
      <c r="AL10" s="47">
        <v>400</v>
      </c>
      <c r="AM10" s="188">
        <f>AL10/AN10</f>
        <v>1.7699115044247788</v>
      </c>
      <c r="AN10" s="116">
        <v>226</v>
      </c>
      <c r="AP10" s="105" t="s">
        <v>17</v>
      </c>
      <c r="AQ10" s="81"/>
      <c r="AR10" s="47"/>
    </row>
    <row r="11" spans="1:45" s="25" customFormat="1" ht="25.2" customHeight="1" x14ac:dyDescent="0.15">
      <c r="A11" s="25" t="s">
        <v>647</v>
      </c>
      <c r="B11" s="47" t="s">
        <v>210</v>
      </c>
      <c r="C11" s="47" t="str">
        <f>""</f>
        <v/>
      </c>
      <c r="D11" s="47" t="s">
        <v>656</v>
      </c>
      <c r="E11" s="86" t="s">
        <v>149</v>
      </c>
      <c r="F11" s="47" t="s">
        <v>429</v>
      </c>
      <c r="G11" s="85" t="s">
        <v>807</v>
      </c>
      <c r="H11" s="47"/>
      <c r="I11" s="111">
        <v>1</v>
      </c>
      <c r="J11" s="52">
        <f t="shared" si="0"/>
        <v>0.186611</v>
      </c>
      <c r="K11" s="155" cm="1">
        <f t="array" ref="K11">IF(AL11="N/A","",IF(AM11="N/A","",IF(AN11="N/A","",IF(AA11="N/A","",_xlfn.IFS(Z11="Wp",AA11,Z11="m2",AA11/AN11,Z11="stk",AA11/AL11,Z11="kWh","",Z11="N/A","")))))</f>
        <v>0.186611</v>
      </c>
      <c r="L11" s="52">
        <f t="shared" si="1"/>
        <v>0.156</v>
      </c>
      <c r="M11" s="155" cm="1">
        <f t="array" ref="M11">IF(AL11="N/A","",IF(AM11="N/A","",IF(AN11="N/A","",IF(AB11="N/A","",_xlfn.IFS(Z11="Wp",AB11,Z11="m2",AB11/AN11,Z11="stk",AB11/AL11,Z11="kWh","",Z11="N/A","")))))</f>
        <v>0.156</v>
      </c>
      <c r="N11" s="52">
        <f t="shared" si="2"/>
        <v>3.0610999999999999E-2</v>
      </c>
      <c r="O11" s="148" cm="1">
        <f t="array" ref="O11">IF(AL11="N/A","",IF(AM11="N/A","",IF(AN11="N/A","",IF(AC11="N/A","",_xlfn.IFS(Z11="Wp",AC11,Z11="m2",AC11/AN11,Z11="stk",AC11/AL11,Z11="kWh","",Z11="N/A","")))))</f>
        <v>3.0610999999999999E-2</v>
      </c>
      <c r="P11" s="52">
        <f t="shared" si="3"/>
        <v>-1.2500000000000001E-2</v>
      </c>
      <c r="Q11" s="155" cm="1">
        <f t="array" ref="Q11">IF(AL11="N/A","",IF(AM11="N/A","",IF(AN11="N/A","",IF(AE11="N/A","",_xlfn.IFS(Z11="Wp",AE11,Z11="m2",AE11/AN11,Z11="stk",AE11/AL11,Z11="kWh","",Z11="N/A","")))))</f>
        <v>-1.2500000000000001E-2</v>
      </c>
      <c r="R11" s="186" t="s">
        <v>5</v>
      </c>
      <c r="S11" s="82"/>
      <c r="T11" s="203" t="s">
        <v>804</v>
      </c>
      <c r="U11" s="47">
        <v>2027</v>
      </c>
      <c r="V11" s="47" t="s">
        <v>28</v>
      </c>
      <c r="W11" s="47">
        <v>25</v>
      </c>
      <c r="Y11" s="47" t="s">
        <v>674</v>
      </c>
      <c r="Z11" s="47" t="s">
        <v>665</v>
      </c>
      <c r="AA11" s="52">
        <f t="shared" si="4"/>
        <v>0.186611</v>
      </c>
      <c r="AB11" s="52">
        <v>0.156</v>
      </c>
      <c r="AC11" s="52">
        <f>0.0304+0.000211</f>
        <v>3.0610999999999999E-2</v>
      </c>
      <c r="AD11" s="52">
        <v>-4.5100000000000001E-2</v>
      </c>
      <c r="AE11" s="52">
        <v>-1.2500000000000001E-2</v>
      </c>
      <c r="AF11" s="47"/>
      <c r="AG11" s="115"/>
      <c r="AH11" s="122"/>
      <c r="AI11" s="123"/>
      <c r="AJ11" s="47"/>
      <c r="AK11" s="47"/>
      <c r="AL11" s="47">
        <v>55</v>
      </c>
      <c r="AM11" s="188">
        <f>AL11/AN11</f>
        <v>0.7857142857142857</v>
      </c>
      <c r="AN11" s="116">
        <v>70</v>
      </c>
      <c r="AP11" s="105" t="s">
        <v>17</v>
      </c>
      <c r="AQ11" s="73"/>
      <c r="AR11" s="47"/>
    </row>
    <row r="12" spans="1:45" s="25" customFormat="1" ht="25.2" customHeight="1" x14ac:dyDescent="0.15">
      <c r="A12" s="25" t="s">
        <v>649</v>
      </c>
      <c r="B12" s="47" t="s">
        <v>210</v>
      </c>
      <c r="C12" s="47" t="str">
        <f>""</f>
        <v/>
      </c>
      <c r="D12" s="47" t="s">
        <v>656</v>
      </c>
      <c r="E12" s="86" t="s">
        <v>149</v>
      </c>
      <c r="F12" s="47" t="s">
        <v>429</v>
      </c>
      <c r="G12" s="85" t="s">
        <v>807</v>
      </c>
      <c r="H12" s="47"/>
      <c r="I12" s="111">
        <v>1</v>
      </c>
      <c r="J12" s="52">
        <f t="shared" si="0"/>
        <v>0.13852400000000001</v>
      </c>
      <c r="K12" s="155" cm="1">
        <f t="array" ref="K12">IF(AL12="N/A","",IF(AM12="N/A","",IF(AN12="N/A","",IF(AA12="N/A","",_xlfn.IFS(Z12="Wp",AA12,Z12="m2",AA12/AN12,Z12="stk",AA12/AL12,Z12="kWh","",Z12="N/A","")))))</f>
        <v>0.13852400000000001</v>
      </c>
      <c r="L12" s="52">
        <f t="shared" si="1"/>
        <v>0.11700000000000001</v>
      </c>
      <c r="M12" s="155" cm="1">
        <f t="array" ref="M12">IF(AL12="N/A","",IF(AM12="N/A","",IF(AN12="N/A","",IF(AB12="N/A","",_xlfn.IFS(Z12="Wp",AB12,Z12="m2",AB12/AN12,Z12="stk",AB12/AL12,Z12="kWh","",Z12="N/A","")))))</f>
        <v>0.11700000000000001</v>
      </c>
      <c r="N12" s="52">
        <f t="shared" si="2"/>
        <v>2.1523999999999998E-2</v>
      </c>
      <c r="O12" s="148" cm="1">
        <f t="array" ref="O12">IF(AL12="N/A","",IF(AM12="N/A","",IF(AN12="N/A","",IF(AC12="N/A","",_xlfn.IFS(Z12="Wp",AC12,Z12="m2",AC12/AN12,Z12="stk",AC12/AL12,Z12="kWh","",Z12="N/A","")))))</f>
        <v>2.1523999999999998E-2</v>
      </c>
      <c r="P12" s="52">
        <f t="shared" si="3"/>
        <v>-6.8799999999999998E-3</v>
      </c>
      <c r="Q12" s="155" cm="1">
        <f t="array" ref="Q12">IF(AL12="N/A","",IF(AM12="N/A","",IF(AN12="N/A","",IF(AE12="N/A","",_xlfn.IFS(Z12="Wp",AE12,Z12="m2",AE12/AN12,Z12="stk",AE12/AL12,Z12="kWh","",Z12="N/A","")))))</f>
        <v>-6.8799999999999998E-3</v>
      </c>
      <c r="R12" s="186" t="s">
        <v>5</v>
      </c>
      <c r="S12" s="47"/>
      <c r="T12" s="203" t="s">
        <v>804</v>
      </c>
      <c r="U12" s="47">
        <v>2027</v>
      </c>
      <c r="V12" s="47" t="s">
        <v>28</v>
      </c>
      <c r="W12" s="47">
        <v>25</v>
      </c>
      <c r="Y12" s="47" t="s">
        <v>676</v>
      </c>
      <c r="Z12" s="47" t="s">
        <v>665</v>
      </c>
      <c r="AA12" s="52">
        <f t="shared" si="4"/>
        <v>0.13852400000000001</v>
      </c>
      <c r="AB12" s="52">
        <v>0.11700000000000001</v>
      </c>
      <c r="AC12" s="52">
        <f>0.0214+0.000124</f>
        <v>2.1523999999999998E-2</v>
      </c>
      <c r="AD12" s="52">
        <v>-3.1600000000000003E-2</v>
      </c>
      <c r="AE12" s="52">
        <v>-6.8799999999999998E-3</v>
      </c>
      <c r="AF12" s="52"/>
      <c r="AG12" s="115"/>
      <c r="AH12" s="122"/>
      <c r="AI12" s="123"/>
      <c r="AJ12" s="47"/>
      <c r="AK12" s="47"/>
      <c r="AL12" s="47">
        <v>65</v>
      </c>
      <c r="AM12" s="188">
        <f>AL12/AN12</f>
        <v>0.65</v>
      </c>
      <c r="AN12" s="116">
        <v>100</v>
      </c>
      <c r="AP12" s="105" t="s">
        <v>17</v>
      </c>
      <c r="AQ12" s="73"/>
      <c r="AR12" s="47"/>
    </row>
    <row r="13" spans="1:45" s="25" customFormat="1" ht="25.2" customHeight="1" x14ac:dyDescent="0.15">
      <c r="A13" s="25" t="s">
        <v>650</v>
      </c>
      <c r="B13" s="47" t="s">
        <v>210</v>
      </c>
      <c r="C13" s="47" t="str">
        <f>""</f>
        <v/>
      </c>
      <c r="D13" s="47" t="s">
        <v>656</v>
      </c>
      <c r="E13" s="86" t="s">
        <v>149</v>
      </c>
      <c r="F13" s="47" t="s">
        <v>429</v>
      </c>
      <c r="G13" s="85" t="s">
        <v>807</v>
      </c>
      <c r="H13" s="47"/>
      <c r="I13" s="111">
        <v>1</v>
      </c>
      <c r="J13" s="52">
        <f t="shared" si="0"/>
        <v>0.13180800000000001</v>
      </c>
      <c r="K13" s="155" cm="1">
        <f t="array" ref="K13">IF(AL13="N/A","",IF(AM13="N/A","",IF(AN13="N/A","",IF(AA13="N/A","",_xlfn.IFS(Z13="Wp",AA13,Z13="m2",AA13/AN13,Z13="stk",AA13/AL13,Z13="kWh","",Z13="N/A","")))))</f>
        <v>0.13180800000000001</v>
      </c>
      <c r="L13" s="52">
        <f t="shared" si="1"/>
        <v>0.113</v>
      </c>
      <c r="M13" s="155" cm="1">
        <f t="array" ref="M13">IF(AL13="N/A","",IF(AM13="N/A","",IF(AN13="N/A","",IF(AB13="N/A","",_xlfn.IFS(Z13="Wp",AB13,Z13="m2",AB13/AN13,Z13="stk",AB13/AL13,Z13="kWh","",Z13="N/A","")))))</f>
        <v>0.113</v>
      </c>
      <c r="N13" s="52">
        <f t="shared" si="2"/>
        <v>1.8808000000000002E-2</v>
      </c>
      <c r="O13" s="148" cm="1">
        <f t="array" ref="O13">IF(AL13="N/A","",IF(AM13="N/A","",IF(AN13="N/A","",IF(AC13="N/A","",_xlfn.IFS(Z13="Wp",AC13,Z13="m2",AC13/AN13,Z13="stk",AC13/AL13,Z13="kWh","",Z13="N/A","")))))</f>
        <v>1.8808000000000002E-2</v>
      </c>
      <c r="P13" s="52">
        <f t="shared" si="3"/>
        <v>-5.2399999999999999E-3</v>
      </c>
      <c r="Q13" s="155" cm="1">
        <f t="array" ref="Q13">IF(AL13="N/A","",IF(AM13="N/A","",IF(AN13="N/A","",IF(AE13="N/A","",_xlfn.IFS(Z13="Wp",AE13,Z13="m2",AE13/AN13,Z13="stk",AE13/AL13,Z13="kWh","",Z13="N/A","")))))</f>
        <v>-5.2399999999999999E-3</v>
      </c>
      <c r="R13" s="186" t="s">
        <v>5</v>
      </c>
      <c r="S13" s="82"/>
      <c r="T13" s="203" t="s">
        <v>804</v>
      </c>
      <c r="U13" s="47">
        <v>2027</v>
      </c>
      <c r="V13" s="47" t="s">
        <v>28</v>
      </c>
      <c r="W13" s="47">
        <v>25</v>
      </c>
      <c r="Y13" s="47" t="s">
        <v>677</v>
      </c>
      <c r="Z13" s="47" t="s">
        <v>665</v>
      </c>
      <c r="AA13" s="52">
        <f t="shared" si="4"/>
        <v>0.13180800000000001</v>
      </c>
      <c r="AB13" s="52">
        <v>0.113</v>
      </c>
      <c r="AC13" s="52">
        <f>0.0187+0.000108</f>
        <v>1.8808000000000002E-2</v>
      </c>
      <c r="AD13" s="52">
        <f>-0.0289</f>
        <v>-2.8899999999999999E-2</v>
      </c>
      <c r="AE13" s="52">
        <v>-5.2399999999999999E-3</v>
      </c>
      <c r="AF13" s="47"/>
      <c r="AG13" s="115"/>
      <c r="AH13" s="122"/>
      <c r="AI13" s="123"/>
      <c r="AJ13" s="47"/>
      <c r="AK13" s="47"/>
      <c r="AL13" s="47">
        <v>190</v>
      </c>
      <c r="AM13" s="188">
        <f>AL13/AN13</f>
        <v>1.6814159292035398</v>
      </c>
      <c r="AN13" s="116">
        <v>113</v>
      </c>
      <c r="AP13" s="105" t="s">
        <v>17</v>
      </c>
      <c r="AQ13" s="73"/>
      <c r="AR13" s="47"/>
    </row>
    <row r="14" spans="1:45" s="25" customFormat="1" ht="25.2" customHeight="1" x14ac:dyDescent="0.15">
      <c r="A14" s="25" t="s">
        <v>675</v>
      </c>
      <c r="B14" s="47" t="s">
        <v>210</v>
      </c>
      <c r="C14" s="47" t="str">
        <f>""</f>
        <v/>
      </c>
      <c r="D14" s="47" t="s">
        <v>657</v>
      </c>
      <c r="E14" s="184" t="s">
        <v>191</v>
      </c>
      <c r="F14" s="85" t="s">
        <v>428</v>
      </c>
      <c r="G14" s="85" t="s">
        <v>807</v>
      </c>
      <c r="H14" s="47"/>
      <c r="I14" s="111">
        <v>1</v>
      </c>
      <c r="J14" s="52">
        <f t="shared" si="0"/>
        <v>0.72686399999999995</v>
      </c>
      <c r="K14" s="155" cm="1">
        <f t="array" ref="K14">IF(AL14="N/A","",IF(AM14="N/A","",IF(AN14="N/A","",IF(AA14="N/A","",_xlfn.IFS(Z14="Wp",AA14,Z14="m2",AA14/AN14,Z14="stk",AA14/AL14,Z14="kWh","",Z14="N/A","")))))</f>
        <v>0.72686399999999995</v>
      </c>
      <c r="L14" s="52">
        <f t="shared" si="1"/>
        <v>0.71099999999999997</v>
      </c>
      <c r="M14" s="155" cm="1">
        <f t="array" ref="M14">IF(AL14="N/A","",IF(AM14="N/A","",IF(AN14="N/A","",IF(AB14="N/A","",_xlfn.IFS(Z14="Wp",AB14,Z14="m2",AB14/AN14,Z14="stk",AB14/AL14,Z14="kWh","",Z14="N/A","")))))</f>
        <v>0.71099999999999997</v>
      </c>
      <c r="N14" s="52">
        <f t="shared" si="2"/>
        <v>1.5864E-2</v>
      </c>
      <c r="O14" s="148" cm="1">
        <f t="array" ref="O14">IF(AL14="N/A","",IF(AM14="N/A","",IF(AN14="N/A","",IF(AC14="N/A","",_xlfn.IFS(Z14="Wp",AC14,Z14="m2",AC14/AN14,Z14="stk",AC14/AL14,Z14="kWh","",Z14="N/A","")))))</f>
        <v>1.5864E-2</v>
      </c>
      <c r="P14" s="52">
        <f t="shared" si="3"/>
        <v>-3.6900000000000001E-3</v>
      </c>
      <c r="Q14" s="155" cm="1">
        <f t="array" ref="Q14">IF(AL14="N/A","",IF(AM14="N/A","",IF(AN14="N/A","",IF(AE14="N/A","",_xlfn.IFS(Z14="Wp",AE14,Z14="m2",AE14/AN14,Z14="stk",AE14/AL14,Z14="kWh","",Z14="N/A","")))))</f>
        <v>-3.6900000000000001E-3</v>
      </c>
      <c r="R14" s="186" t="s">
        <v>5</v>
      </c>
      <c r="S14" s="82"/>
      <c r="T14" s="203" t="s">
        <v>805</v>
      </c>
      <c r="U14" s="47">
        <v>2028</v>
      </c>
      <c r="V14" s="47" t="s">
        <v>28</v>
      </c>
      <c r="W14" s="47">
        <v>25</v>
      </c>
      <c r="Y14" s="47" t="s">
        <v>673</v>
      </c>
      <c r="Z14" s="47" t="s">
        <v>665</v>
      </c>
      <c r="AA14" s="52">
        <f t="shared" si="4"/>
        <v>0.72686399999999995</v>
      </c>
      <c r="AB14" s="52">
        <v>0.71099999999999997</v>
      </c>
      <c r="AC14" s="52">
        <f>0.0157+0.000164</f>
        <v>1.5864E-2</v>
      </c>
      <c r="AD14" s="52">
        <f>-0.115</f>
        <v>-0.115</v>
      </c>
      <c r="AE14" s="52">
        <f>-0.00369</f>
        <v>-3.6900000000000001E-3</v>
      </c>
      <c r="AF14" s="47"/>
      <c r="AG14" s="115"/>
      <c r="AH14" s="122"/>
      <c r="AI14" s="123"/>
      <c r="AJ14" s="47"/>
      <c r="AK14" s="47"/>
      <c r="AL14" s="47">
        <v>405</v>
      </c>
      <c r="AM14" s="188">
        <v>1.95</v>
      </c>
      <c r="AN14" s="116">
        <f>AL14/AM14</f>
        <v>207.69230769230771</v>
      </c>
      <c r="AP14" s="105" t="s">
        <v>17</v>
      </c>
      <c r="AQ14" s="106"/>
      <c r="AR14" s="47"/>
    </row>
    <row r="15" spans="1:45" s="25" customFormat="1" ht="25.2" customHeight="1" x14ac:dyDescent="0.15">
      <c r="A15" s="25" t="s">
        <v>651</v>
      </c>
      <c r="B15" s="47" t="s">
        <v>210</v>
      </c>
      <c r="C15" s="47" t="str">
        <f>""</f>
        <v/>
      </c>
      <c r="D15" s="47" t="s">
        <v>658</v>
      </c>
      <c r="E15" s="86" t="s">
        <v>143</v>
      </c>
      <c r="F15" s="47" t="s">
        <v>429</v>
      </c>
      <c r="G15" s="85" t="s">
        <v>807</v>
      </c>
      <c r="H15" s="47"/>
      <c r="I15" s="111">
        <v>1</v>
      </c>
      <c r="J15" s="52">
        <f t="shared" si="0"/>
        <v>1.0317555555555555</v>
      </c>
      <c r="K15" s="155" cm="1">
        <f t="array" ref="K15">IF(AL15="N/A","",IF(AM15="N/A","",IF(AN15="N/A","",IF(AA15="N/A","",_xlfn.IFS(Z15="Wp",AA15,Z15="m2",AA15/AN15,Z15="stk",AA15/AL15,Z15="kWh","",Z15="N/A","")))))</f>
        <v>1.0317555555555555</v>
      </c>
      <c r="L15" s="52">
        <f t="shared" si="1"/>
        <v>1.0288888888888887</v>
      </c>
      <c r="M15" s="155" cm="1">
        <f t="array" ref="M15">IF(AL15="N/A","",IF(AM15="N/A","",IF(AN15="N/A","",IF(AB15="N/A","",_xlfn.IFS(Z15="Wp",AB15,Z15="m2",AB15/AN15,Z15="stk",AB15/AL15,Z15="kWh","",Z15="N/A","")))))</f>
        <v>1.0288888888888887</v>
      </c>
      <c r="N15" s="52">
        <f t="shared" si="2"/>
        <v>2.8666666666666667E-3</v>
      </c>
      <c r="O15" s="148" cm="1">
        <f t="array" ref="O15">IF(AL15="N/A","",IF(AM15="N/A","",IF(AN15="N/A","",IF(AC15="N/A","",_xlfn.IFS(Z15="Wp",AC15,Z15="m2",AC15/AN15,Z15="stk",AC15/AL15,Z15="kWh","",Z15="N/A","")))))</f>
        <v>2.8666666666666667E-3</v>
      </c>
      <c r="P15" s="52" t="str">
        <f t="shared" si="3"/>
        <v>N/A</v>
      </c>
      <c r="Q15" s="155" t="str" cm="1">
        <f t="array" ref="Q15">IF(AL15="N/A","",IF(AM15="N/A","",IF(AN15="N/A","",IF(AE15="N/A","",_xlfn.IFS(Z15="Wp",AE15,Z15="m2",AE15/AN15,Z15="stk",AE15/AL15,Z15="kWh","",Z15="N/A","")))))</f>
        <v/>
      </c>
      <c r="R15" s="186" t="s">
        <v>5</v>
      </c>
      <c r="S15" s="47"/>
      <c r="T15" s="203" t="s">
        <v>806</v>
      </c>
      <c r="U15" s="47">
        <v>2023</v>
      </c>
      <c r="V15" s="47" t="s">
        <v>14</v>
      </c>
      <c r="W15" s="47">
        <v>30</v>
      </c>
      <c r="Y15" s="47" t="s">
        <v>731</v>
      </c>
      <c r="Z15" s="47" t="s">
        <v>15</v>
      </c>
      <c r="AA15" s="52">
        <f t="shared" si="4"/>
        <v>92.85799999999999</v>
      </c>
      <c r="AB15" s="52">
        <v>92.6</v>
      </c>
      <c r="AC15" s="52">
        <v>0.25800000000000001</v>
      </c>
      <c r="AD15" s="52" t="s">
        <v>191</v>
      </c>
      <c r="AE15" s="52" t="s">
        <v>191</v>
      </c>
      <c r="AF15" s="47"/>
      <c r="AG15" s="115"/>
      <c r="AH15" s="122"/>
      <c r="AI15" s="123"/>
      <c r="AJ15" s="47"/>
      <c r="AK15" s="47"/>
      <c r="AL15" s="116">
        <f>AM15*AN15</f>
        <v>93.828420000000023</v>
      </c>
      <c r="AM15" s="188">
        <f>0.659*1.582</f>
        <v>1.0425380000000002</v>
      </c>
      <c r="AN15" s="47">
        <f>(50+130)/2</f>
        <v>90</v>
      </c>
      <c r="AP15" s="105"/>
      <c r="AQ15" s="73"/>
      <c r="AR15" s="47"/>
    </row>
    <row r="16" spans="1:45" s="25" customFormat="1" ht="25.2" customHeight="1" x14ac:dyDescent="0.15">
      <c r="A16" s="25" t="s">
        <v>707</v>
      </c>
      <c r="B16" s="47" t="s">
        <v>210</v>
      </c>
      <c r="C16" s="47" t="str">
        <f>""</f>
        <v/>
      </c>
      <c r="D16" s="47" t="s">
        <v>659</v>
      </c>
      <c r="E16" s="86" t="s">
        <v>137</v>
      </c>
      <c r="F16" s="85" t="s">
        <v>428</v>
      </c>
      <c r="G16" s="85" t="s">
        <v>807</v>
      </c>
      <c r="H16" s="47"/>
      <c r="I16" s="111">
        <v>1</v>
      </c>
      <c r="J16" s="52">
        <f t="shared" si="0"/>
        <v>0.66301695498795177</v>
      </c>
      <c r="K16" s="155" cm="1">
        <f t="array" ref="K16">IF(AL16="N/A","",IF(AM16="N/A","",IF(AN16="N/A","",IF(AA16="N/A","",_xlfn.IFS(Z16="Wp",AA16,Z16="m2",AA16/AN16,Z16="stk",AA16/AL16,Z16="kWh","",Z16="N/A","")))))</f>
        <v>0.66301695498795177</v>
      </c>
      <c r="L16" s="52">
        <f t="shared" si="1"/>
        <v>0.6580697638554216</v>
      </c>
      <c r="M16" s="155" cm="1">
        <f t="array" ref="M16">IF(AL16="N/A","",IF(AM16="N/A","",IF(AN16="N/A","",IF(AB16="N/A","",_xlfn.IFS(Z16="Wp",AB16,Z16="m2",AB16/AN16,Z16="stk",AB16/AL16,Z16="kWh","",Z16="N/A","")))))</f>
        <v>0.6580697638554216</v>
      </c>
      <c r="N16" s="52">
        <f t="shared" si="2"/>
        <v>4.9471911325301198E-3</v>
      </c>
      <c r="O16" s="148" cm="1">
        <f t="array" ref="O16">IF(AL16="N/A","",IF(AM16="N/A","",IF(AN16="N/A","",IF(AC16="N/A","",_xlfn.IFS(Z16="Wp",AC16,Z16="m2",AC16/AN16,Z16="stk",AC16/AL16,Z16="kWh","",Z16="N/A","")))))</f>
        <v>4.9471911325301198E-3</v>
      </c>
      <c r="P16" s="52" t="str">
        <f t="shared" si="3"/>
        <v>N/A</v>
      </c>
      <c r="Q16" s="155" t="str" cm="1">
        <f t="array" ref="Q16">IF(AL16="N/A","",IF(AM16="N/A","",IF(AN16="N/A","",IF(AE16="N/A","",_xlfn.IFS(Z16="Wp",AE16,Z16="m2",AE16/AN16,Z16="stk",AE16/AL16,Z16="kWh","",Z16="N/A","")))))</f>
        <v/>
      </c>
      <c r="R16" s="186" t="s">
        <v>5</v>
      </c>
      <c r="S16" s="82"/>
      <c r="T16" s="203" t="s">
        <v>804</v>
      </c>
      <c r="U16" s="47">
        <v>2026</v>
      </c>
      <c r="V16" s="47" t="s">
        <v>1228</v>
      </c>
      <c r="W16" s="47">
        <v>25</v>
      </c>
      <c r="Y16" s="47" t="s">
        <v>706</v>
      </c>
      <c r="Z16" s="47" t="s">
        <v>15</v>
      </c>
      <c r="AA16" s="52">
        <f t="shared" si="4"/>
        <v>142.06</v>
      </c>
      <c r="AB16" s="52">
        <v>141</v>
      </c>
      <c r="AC16" s="52">
        <v>1.06</v>
      </c>
      <c r="AD16" s="52" t="s">
        <v>191</v>
      </c>
      <c r="AE16" s="52" t="s">
        <v>191</v>
      </c>
      <c r="AF16" s="47"/>
      <c r="AG16" s="115"/>
      <c r="AH16" s="122"/>
      <c r="AI16" s="123"/>
      <c r="AJ16" s="47"/>
      <c r="AK16" s="47"/>
      <c r="AL16" s="47">
        <v>415</v>
      </c>
      <c r="AM16" s="188">
        <f>1.708*1.134</f>
        <v>1.9368719999999997</v>
      </c>
      <c r="AN16" s="116">
        <f>AL16/AM16</f>
        <v>214.26299724504256</v>
      </c>
      <c r="AP16" s="105" t="s">
        <v>17</v>
      </c>
      <c r="AQ16" s="73"/>
      <c r="AR16" s="47"/>
    </row>
    <row r="17" spans="1:45" s="25" customFormat="1" ht="25.2" customHeight="1" x14ac:dyDescent="0.15">
      <c r="A17" s="25" t="s">
        <v>652</v>
      </c>
      <c r="B17" s="47" t="s">
        <v>210</v>
      </c>
      <c r="C17" s="47" t="str">
        <f>""</f>
        <v/>
      </c>
      <c r="D17" s="47" t="s">
        <v>660</v>
      </c>
      <c r="E17" s="86" t="s">
        <v>137</v>
      </c>
      <c r="F17" s="85" t="s">
        <v>428</v>
      </c>
      <c r="G17" s="85" t="s">
        <v>807</v>
      </c>
      <c r="H17" s="47"/>
      <c r="I17" s="111">
        <v>1</v>
      </c>
      <c r="J17" s="52">
        <f t="shared" si="0"/>
        <v>0.62452813144208041</v>
      </c>
      <c r="K17" s="155" cm="1">
        <f t="array" ref="K17">IF(AL17="N/A","",IF(AM17="N/A","",IF(AN17="N/A","",IF(AA17="N/A","",_xlfn.IFS(Z17="Wp",AA17,Z17="m2",AA17/AN17,Z17="stk",AA17/AL17,Z17="kWh","",Z17="N/A","")))))</f>
        <v>0.62452813144208041</v>
      </c>
      <c r="L17" s="52">
        <f t="shared" si="1"/>
        <v>0.62055474231678498</v>
      </c>
      <c r="M17" s="155" cm="1">
        <f t="array" ref="M17">IF(AL17="N/A","",IF(AM17="N/A","",IF(AN17="N/A","",IF(AB17="N/A","",_xlfn.IFS(Z17="Wp",AB17,Z17="m2",AB17/AN17,Z17="stk",AB17/AL17,Z17="kWh","",Z17="N/A","")))))</f>
        <v>0.62055474231678498</v>
      </c>
      <c r="N17" s="52">
        <f t="shared" si="2"/>
        <v>3.9733891252955083E-3</v>
      </c>
      <c r="O17" s="148" cm="1">
        <f t="array" ref="O17">IF(AL17="N/A","",IF(AM17="N/A","",IF(AN17="N/A","",IF(AC17="N/A","",_xlfn.IFS(Z17="Wp",AC17,Z17="m2",AC17/AN17,Z17="stk",AC17/AL17,Z17="kWh","",Z17="N/A","")))))</f>
        <v>3.9733891252955083E-3</v>
      </c>
      <c r="P17" s="52" t="str">
        <f t="shared" si="3"/>
        <v>N/A</v>
      </c>
      <c r="Q17" s="155" t="str" cm="1">
        <f t="array" ref="Q17">IF(AL17="N/A","",IF(AM17="N/A","",IF(AN17="N/A","",IF(AE17="N/A","",_xlfn.IFS(Z17="Wp",AE17,Z17="m2",AE17/AN17,Z17="stk",AE17/AL17,Z17="kWh","",Z17="N/A","")))))</f>
        <v/>
      </c>
      <c r="R17" s="186" t="s">
        <v>5</v>
      </c>
      <c r="S17" s="82"/>
      <c r="T17" s="203" t="s">
        <v>804</v>
      </c>
      <c r="U17" s="47">
        <v>2026</v>
      </c>
      <c r="V17" s="47" t="s">
        <v>14</v>
      </c>
      <c r="W17" s="47">
        <v>30</v>
      </c>
      <c r="Y17" s="47" t="s">
        <v>732</v>
      </c>
      <c r="Z17" s="47" t="s">
        <v>15</v>
      </c>
      <c r="AA17" s="52">
        <f t="shared" si="4"/>
        <v>138.16705000000002</v>
      </c>
      <c r="AB17" s="52">
        <f>135+1.86+0.428</f>
        <v>137.28800000000001</v>
      </c>
      <c r="AC17" s="52">
        <f>0.00405+0.875</f>
        <v>0.87905</v>
      </c>
      <c r="AD17" s="52" t="s">
        <v>191</v>
      </c>
      <c r="AE17" s="52" t="s">
        <v>191</v>
      </c>
      <c r="AF17" s="47"/>
      <c r="AG17" s="115"/>
      <c r="AH17" s="122"/>
      <c r="AI17" s="123"/>
      <c r="AJ17" s="47"/>
      <c r="AK17" s="47"/>
      <c r="AL17" s="47">
        <v>423</v>
      </c>
      <c r="AM17" s="188">
        <v>1.9119999999999999</v>
      </c>
      <c r="AN17" s="116">
        <v>221.23430962343096</v>
      </c>
      <c r="AP17" s="105"/>
      <c r="AQ17" s="73"/>
      <c r="AR17" s="47"/>
    </row>
    <row r="18" spans="1:45" s="25" customFormat="1" ht="25.2" customHeight="1" x14ac:dyDescent="0.15">
      <c r="A18" s="25" t="s">
        <v>713</v>
      </c>
      <c r="B18" s="47" t="s">
        <v>210</v>
      </c>
      <c r="C18" s="47" t="str">
        <f>""</f>
        <v/>
      </c>
      <c r="D18" s="47" t="s">
        <v>662</v>
      </c>
      <c r="E18" s="86" t="s">
        <v>143</v>
      </c>
      <c r="F18" s="85" t="s">
        <v>428</v>
      </c>
      <c r="G18" s="85" t="s">
        <v>801</v>
      </c>
      <c r="H18" s="46"/>
      <c r="I18" s="111">
        <v>1</v>
      </c>
      <c r="J18" s="52">
        <f t="shared" si="0"/>
        <v>1.9674916666666666</v>
      </c>
      <c r="K18" s="155" cm="1">
        <f t="array" ref="K18">IF(AL18="N/A","",IF(AM18="N/A","",IF(AN18="N/A","",IF(AA18="N/A","",_xlfn.IFS(Z18="Wp",AA18,Z18="m2",AA18/AN18,Z18="stk",AA18/AL18,Z18="kWh","",Z18="N/A","")))))</f>
        <v>1.9674916666666666</v>
      </c>
      <c r="L18" s="52">
        <f t="shared" si="1"/>
        <v>1.9666666666666666</v>
      </c>
      <c r="M18" s="155" cm="1">
        <f t="array" ref="M18">IF(AL18="N/A","",IF(AM18="N/A","",IF(AN18="N/A","",IF(AB18="N/A","",_xlfn.IFS(Z18="Wp",AB18,Z18="m2",AB18/AN18,Z18="stk",AB18/AL18,Z18="kWh","",Z18="N/A","")))))</f>
        <v>1.9666666666666666</v>
      </c>
      <c r="N18" s="52">
        <f t="shared" si="2"/>
        <v>8.25E-4</v>
      </c>
      <c r="O18" s="148" cm="1">
        <f t="array" ref="O18">IF(AL18="N/A","",IF(AM18="N/A","",IF(AN18="N/A","",IF(AC18="N/A","",_xlfn.IFS(Z18="Wp",AC18,Z18="m2",AC18/AN18,Z18="stk",AC18/AL18,Z18="kWh","",Z18="N/A","")))))</f>
        <v>8.25E-4</v>
      </c>
      <c r="P18" s="52" t="str">
        <f t="shared" si="3"/>
        <v>N/A</v>
      </c>
      <c r="Q18" s="155" t="str" cm="1">
        <f t="array" ref="Q18">IF(AL18="N/A","",IF(AM18="N/A","",IF(AN18="N/A","",IF(AE18="N/A","",_xlfn.IFS(Z18="Wp",AE18,Z18="m2",AE18/AN18,Z18="stk",AE18/AL18,Z18="kWh","",Z18="N/A","")))))</f>
        <v/>
      </c>
      <c r="R18" s="212" t="s">
        <v>5</v>
      </c>
      <c r="S18" s="82"/>
      <c r="T18" s="203" t="s">
        <v>806</v>
      </c>
      <c r="U18" s="47">
        <v>2024</v>
      </c>
      <c r="V18" s="47" t="s">
        <v>14</v>
      </c>
      <c r="W18" s="47">
        <v>25</v>
      </c>
      <c r="Y18" s="47" t="s">
        <v>714</v>
      </c>
      <c r="Z18" s="47" t="s">
        <v>15</v>
      </c>
      <c r="AA18" s="52">
        <f t="shared" si="4"/>
        <v>236.09899999999999</v>
      </c>
      <c r="AB18" s="52">
        <v>236</v>
      </c>
      <c r="AC18" s="52">
        <f>0+0.099</f>
        <v>9.9000000000000005E-2</v>
      </c>
      <c r="AD18" s="52" t="s">
        <v>191</v>
      </c>
      <c r="AE18" s="52" t="s">
        <v>191</v>
      </c>
      <c r="AF18" s="47"/>
      <c r="AG18" s="115"/>
      <c r="AH18" s="122"/>
      <c r="AI18" s="125"/>
      <c r="AJ18" s="46"/>
      <c r="AK18" s="46"/>
      <c r="AL18" s="116">
        <v>31.68</v>
      </c>
      <c r="AM18" s="188">
        <v>0.26400000000000001</v>
      </c>
      <c r="AN18" s="116">
        <v>120</v>
      </c>
      <c r="AP18" s="105" t="s">
        <v>17</v>
      </c>
      <c r="AQ18" s="106"/>
      <c r="AR18" s="46"/>
    </row>
    <row r="19" spans="1:45" s="25" customFormat="1" ht="25.2" customHeight="1" x14ac:dyDescent="0.15">
      <c r="A19" s="171" t="s">
        <v>735</v>
      </c>
      <c r="B19" s="47" t="s">
        <v>210</v>
      </c>
      <c r="C19" s="47" t="str">
        <f>""</f>
        <v/>
      </c>
      <c r="D19" s="47" t="s">
        <v>680</v>
      </c>
      <c r="E19" s="47" t="s">
        <v>137</v>
      </c>
      <c r="F19" s="85" t="s">
        <v>428</v>
      </c>
      <c r="G19" s="85" t="s">
        <v>807</v>
      </c>
      <c r="H19" s="46"/>
      <c r="I19" s="111">
        <v>1</v>
      </c>
      <c r="J19" s="52" t="str">
        <f t="shared" si="0"/>
        <v>N/A</v>
      </c>
      <c r="K19" s="207" t="str" cm="1">
        <f t="array" ref="K19">IF(AL19="N/A","",IF(AM19="N/A","",IF(AN19="N/A","",IF(AA19="N/A","",_xlfn.IFS(Z19="Wp",AA19,Z19="m2",AA19/AN19,Z19="stk",AA19/AL19,Z19="kWh","",Z19="N/A","")))))</f>
        <v/>
      </c>
      <c r="L19" s="52" t="str">
        <f t="shared" si="1"/>
        <v>N/A</v>
      </c>
      <c r="M19" s="207" t="str" cm="1">
        <f t="array" ref="M19">IF(AL19="N/A","",IF(AM19="N/A","",IF(AN19="N/A","",IF(AB19="N/A","",_xlfn.IFS(Z19="Wp",AB19,Z19="m2",AB19/AN19,Z19="stk",AB19/AL19,Z19="kWh","",Z19="N/A","")))))</f>
        <v/>
      </c>
      <c r="N19" s="52" t="str">
        <f t="shared" si="2"/>
        <v>N/A</v>
      </c>
      <c r="O19" s="208" t="str" cm="1">
        <f t="array" ref="O19">IF(AL19="N/A","",IF(AM19="N/A","",IF(AN19="N/A","",IF(AC19="N/A","",_xlfn.IFS(Z19="Wp",AC19,Z19="m2",AC19/AN19,Z19="stk",AC19/AL19,Z19="kWh","",Z19="N/A","")))))</f>
        <v/>
      </c>
      <c r="P19" s="52" t="str">
        <f t="shared" si="3"/>
        <v>N/A</v>
      </c>
      <c r="Q19" s="207" t="str" cm="1">
        <f t="array" ref="Q19">IF(AL19="N/A","",IF(AM19="N/A","",IF(AN19="N/A","",IF(AE19="N/A","",_xlfn.IFS(Z19="Wp",AE19,Z19="m2",AE19/AN19,Z19="stk",AE19/AL19,Z19="kWh","",Z19="N/A","")))))</f>
        <v/>
      </c>
      <c r="R19" s="212" t="s">
        <v>5</v>
      </c>
      <c r="S19" s="47"/>
      <c r="T19" s="203" t="s">
        <v>806</v>
      </c>
      <c r="U19" s="47">
        <v>2026</v>
      </c>
      <c r="V19" s="47" t="s">
        <v>14</v>
      </c>
      <c r="W19" s="47">
        <v>30</v>
      </c>
      <c r="Y19" s="47" t="s">
        <v>678</v>
      </c>
      <c r="Z19" s="47" t="s">
        <v>679</v>
      </c>
      <c r="AA19" s="52">
        <f t="shared" si="4"/>
        <v>7.6111599999999996E-3</v>
      </c>
      <c r="AB19" s="52">
        <f>0.00619+0.0000495+0.00103</f>
        <v>7.2694999999999999E-3</v>
      </c>
      <c r="AC19" s="52">
        <f>0.00034+0.00000166</f>
        <v>3.4166000000000003E-4</v>
      </c>
      <c r="AD19" s="52" t="s">
        <v>191</v>
      </c>
      <c r="AE19" s="52">
        <f>0.000035+0.0000000138+0.0000000622</f>
        <v>3.5076000000000001E-5</v>
      </c>
      <c r="AF19" s="47"/>
      <c r="AG19" s="52"/>
      <c r="AH19" s="122"/>
      <c r="AI19" s="125"/>
      <c r="AJ19" s="46"/>
      <c r="AK19" s="46"/>
      <c r="AL19" s="47">
        <v>570</v>
      </c>
      <c r="AM19" s="188">
        <f>2.285*1.134</f>
        <v>2.5911900000000001</v>
      </c>
      <c r="AN19" s="116">
        <f t="shared" ref="AN19:AN32" si="5">AL19/AM19</f>
        <v>219.9761499542681</v>
      </c>
      <c r="AP19" s="214" t="s">
        <v>17</v>
      </c>
      <c r="AQ19" s="215"/>
      <c r="AR19" s="46"/>
    </row>
    <row r="20" spans="1:45" s="25" customFormat="1" ht="25.2" customHeight="1" x14ac:dyDescent="0.15">
      <c r="A20" s="25" t="s">
        <v>681</v>
      </c>
      <c r="B20" s="47" t="s">
        <v>210</v>
      </c>
      <c r="C20" s="47" t="str">
        <f>""</f>
        <v/>
      </c>
      <c r="D20" s="47" t="s">
        <v>680</v>
      </c>
      <c r="E20" s="47" t="s">
        <v>137</v>
      </c>
      <c r="F20" s="85" t="s">
        <v>428</v>
      </c>
      <c r="G20" s="85" t="s">
        <v>807</v>
      </c>
      <c r="H20" s="46"/>
      <c r="I20" s="111">
        <v>1</v>
      </c>
      <c r="J20" s="52" t="str">
        <f t="shared" si="0"/>
        <v>N/A</v>
      </c>
      <c r="K20" s="207" t="str" cm="1">
        <f t="array" ref="K20">IF(AL20="N/A","",IF(AM20="N/A","",IF(AN20="N/A","",IF(AA20="N/A","",_xlfn.IFS(Z20="Wp",AA20,Z20="m2",AA20/AN20,Z20="stk",AA20/AL20,Z20="kWh","",Z20="N/A","")))))</f>
        <v/>
      </c>
      <c r="L20" s="52" t="str">
        <f t="shared" si="1"/>
        <v>N/A</v>
      </c>
      <c r="M20" s="207" t="str" cm="1">
        <f t="array" ref="M20">IF(AL20="N/A","",IF(AM20="N/A","",IF(AN20="N/A","",IF(AB20="N/A","",_xlfn.IFS(Z20="Wp",AB20,Z20="m2",AB20/AN20,Z20="stk",AB20/AL20,Z20="kWh","",Z20="N/A","")))))</f>
        <v/>
      </c>
      <c r="N20" s="52" t="str">
        <f t="shared" si="2"/>
        <v>N/A</v>
      </c>
      <c r="O20" s="208" t="str" cm="1">
        <f t="array" ref="O20">IF(AL20="N/A","",IF(AM20="N/A","",IF(AN20="N/A","",IF(AC20="N/A","",_xlfn.IFS(Z20="Wp",AC20,Z20="m2",AC20/AN20,Z20="stk",AC20/AL20,Z20="kWh","",Z20="N/A","")))))</f>
        <v/>
      </c>
      <c r="P20" s="52" t="str">
        <f t="shared" si="3"/>
        <v>N/A</v>
      </c>
      <c r="Q20" s="207" t="str" cm="1">
        <f t="array" ref="Q20">IF(AL20="N/A","",IF(AM20="N/A","",IF(AN20="N/A","",IF(AE20="N/A","",_xlfn.IFS(Z20="Wp",AE20,Z20="m2",AE20/AN20,Z20="stk",AE20/AL20,Z20="kWh","",Z20="N/A","")))))</f>
        <v/>
      </c>
      <c r="R20" s="212" t="s">
        <v>5</v>
      </c>
      <c r="S20" s="47"/>
      <c r="T20" s="203" t="s">
        <v>806</v>
      </c>
      <c r="U20" s="47">
        <v>2026</v>
      </c>
      <c r="V20" s="47" t="s">
        <v>14</v>
      </c>
      <c r="W20" s="47">
        <v>30</v>
      </c>
      <c r="Y20" s="47" t="s">
        <v>678</v>
      </c>
      <c r="Z20" s="47" t="s">
        <v>679</v>
      </c>
      <c r="AA20" s="52">
        <f t="shared" si="4"/>
        <v>7.642669999999999E-3</v>
      </c>
      <c r="AB20" s="52">
        <f>0.00622+0.00005+0.00103</f>
        <v>7.2999999999999992E-3</v>
      </c>
      <c r="AC20" s="52">
        <f>0.000341+0.00000167</f>
        <v>3.4267E-4</v>
      </c>
      <c r="AD20" s="52" t="s">
        <v>191</v>
      </c>
      <c r="AE20" s="52">
        <f>0.0000352+0.0000000139+0.0000000622</f>
        <v>3.5276100000000006E-5</v>
      </c>
      <c r="AF20" s="47"/>
      <c r="AG20" s="52"/>
      <c r="AH20" s="122"/>
      <c r="AI20" s="125"/>
      <c r="AJ20" s="46"/>
      <c r="AK20" s="46"/>
      <c r="AL20" s="47">
        <v>430</v>
      </c>
      <c r="AM20" s="188">
        <f>1.728*1.134</f>
        <v>1.9595519999999997</v>
      </c>
      <c r="AN20" s="116">
        <f t="shared" si="5"/>
        <v>219.43791233914695</v>
      </c>
      <c r="AP20" s="214" t="s">
        <v>17</v>
      </c>
      <c r="AQ20" s="215"/>
      <c r="AR20" s="46"/>
    </row>
    <row r="21" spans="1:45" s="25" customFormat="1" ht="25.2" customHeight="1" x14ac:dyDescent="0.15">
      <c r="A21" s="25" t="s">
        <v>682</v>
      </c>
      <c r="B21" s="47" t="s">
        <v>210</v>
      </c>
      <c r="C21" s="47" t="str">
        <f>""</f>
        <v/>
      </c>
      <c r="D21" s="47" t="s">
        <v>680</v>
      </c>
      <c r="E21" s="47" t="s">
        <v>137</v>
      </c>
      <c r="F21" s="85" t="s">
        <v>428</v>
      </c>
      <c r="G21" s="85" t="s">
        <v>807</v>
      </c>
      <c r="H21" s="46"/>
      <c r="I21" s="111">
        <v>1</v>
      </c>
      <c r="J21" s="52" t="str">
        <f t="shared" si="0"/>
        <v>N/A</v>
      </c>
      <c r="K21" s="207" t="str" cm="1">
        <f t="array" ref="K21">IF(AL21="N/A","",IF(AM21="N/A","",IF(AN21="N/A","",IF(AA21="N/A","",_xlfn.IFS(Z21="Wp",AA21,Z21="m2",AA21/AN21,Z21="stk",AA21/AL21,Z21="kWh","",Z21="N/A","")))))</f>
        <v/>
      </c>
      <c r="L21" s="52" t="str">
        <f t="shared" si="1"/>
        <v>N/A</v>
      </c>
      <c r="M21" s="207" t="str" cm="1">
        <f t="array" ref="M21">IF(AL21="N/A","",IF(AM21="N/A","",IF(AN21="N/A","",IF(AB21="N/A","",_xlfn.IFS(Z21="Wp",AB21,Z21="m2",AB21/AN21,Z21="stk",AB21/AL21,Z21="kWh","",Z21="N/A","")))))</f>
        <v/>
      </c>
      <c r="N21" s="52" t="str">
        <f t="shared" si="2"/>
        <v>N/A</v>
      </c>
      <c r="O21" s="208" t="str" cm="1">
        <f t="array" ref="O21">IF(AL21="N/A","",IF(AM21="N/A","",IF(AN21="N/A","",IF(AC21="N/A","",_xlfn.IFS(Z21="Wp",AC21,Z21="m2",AC21/AN21,Z21="stk",AC21/AL21,Z21="kWh","",Z21="N/A","")))))</f>
        <v/>
      </c>
      <c r="P21" s="52" t="str">
        <f t="shared" si="3"/>
        <v>N/A</v>
      </c>
      <c r="Q21" s="207" t="str" cm="1">
        <f t="array" ref="Q21">IF(AL21="N/A","",IF(AM21="N/A","",IF(AN21="N/A","",IF(AE21="N/A","",_xlfn.IFS(Z21="Wp",AE21,Z21="m2",AE21/AN21,Z21="stk",AE21/AL21,Z21="kWh","",Z21="N/A","")))))</f>
        <v/>
      </c>
      <c r="R21" s="212" t="s">
        <v>5</v>
      </c>
      <c r="S21" s="209"/>
      <c r="T21" s="203" t="s">
        <v>806</v>
      </c>
      <c r="U21" s="47">
        <v>2026</v>
      </c>
      <c r="V21" s="47" t="s">
        <v>14</v>
      </c>
      <c r="W21" s="47">
        <v>30</v>
      </c>
      <c r="Y21" s="47" t="s">
        <v>678</v>
      </c>
      <c r="Z21" s="47" t="s">
        <v>679</v>
      </c>
      <c r="AA21" s="52">
        <f t="shared" si="4"/>
        <v>7.8788999999999994E-3</v>
      </c>
      <c r="AB21" s="52">
        <f>0.00634+0.0000522+0.00109</f>
        <v>7.4821999999999996E-3</v>
      </c>
      <c r="AC21" s="52">
        <f>0.000395+0.0000017</f>
        <v>3.9669999999999999E-4</v>
      </c>
      <c r="AD21" s="52" t="s">
        <v>191</v>
      </c>
      <c r="AE21" s="52">
        <f>0.0000364+0.0000000146+0.0000000635</f>
        <v>3.6478099999999992E-5</v>
      </c>
      <c r="AF21" s="47"/>
      <c r="AG21" s="52"/>
      <c r="AH21" s="122"/>
      <c r="AI21" s="125"/>
      <c r="AJ21" s="46"/>
      <c r="AK21" s="46"/>
      <c r="AL21" s="47">
        <v>470</v>
      </c>
      <c r="AM21" s="188">
        <f>2.095*1.039</f>
        <v>2.1767050000000001</v>
      </c>
      <c r="AN21" s="116">
        <f t="shared" si="5"/>
        <v>215.92269048860547</v>
      </c>
      <c r="AP21" s="214" t="s">
        <v>17</v>
      </c>
      <c r="AQ21" s="215"/>
      <c r="AR21" s="46"/>
    </row>
    <row r="22" spans="1:45" s="16" customFormat="1" ht="25.2" customHeight="1" x14ac:dyDescent="0.15">
      <c r="A22" s="47" t="s">
        <v>683</v>
      </c>
      <c r="B22" s="47" t="s">
        <v>210</v>
      </c>
      <c r="C22" s="47" t="str">
        <f>""</f>
        <v/>
      </c>
      <c r="D22" s="47" t="s">
        <v>680</v>
      </c>
      <c r="E22" s="47" t="s">
        <v>137</v>
      </c>
      <c r="F22" s="85" t="s">
        <v>428</v>
      </c>
      <c r="G22" s="85" t="s">
        <v>807</v>
      </c>
      <c r="I22" s="111">
        <v>1</v>
      </c>
      <c r="J22" s="52" t="str">
        <f t="shared" si="0"/>
        <v>N/A</v>
      </c>
      <c r="K22" s="207" t="str" cm="1">
        <f t="array" ref="K22">IF(AL22="N/A","",IF(AM22="N/A","",IF(AN22="N/A","",IF(AA22="N/A","",_xlfn.IFS(Z22="Wp",AA22,Z22="m2",AA22/AN22,Z22="stk",AA22/AL22,Z22="kWh","",Z22="N/A","")))))</f>
        <v/>
      </c>
      <c r="L22" s="52" t="str">
        <f t="shared" si="1"/>
        <v>N/A</v>
      </c>
      <c r="M22" s="207" t="str" cm="1">
        <f t="array" ref="M22">IF(AL22="N/A","",IF(AM22="N/A","",IF(AN22="N/A","",IF(AB22="N/A","",_xlfn.IFS(Z22="Wp",AB22,Z22="m2",AB22/AN22,Z22="stk",AB22/AL22,Z22="kWh","",Z22="N/A","")))))</f>
        <v/>
      </c>
      <c r="N22" s="52" t="str">
        <f t="shared" si="2"/>
        <v>N/A</v>
      </c>
      <c r="O22" s="208" t="str" cm="1">
        <f t="array" ref="O22">IF(AL22="N/A","",IF(AM22="N/A","",IF(AN22="N/A","",IF(AC22="N/A","",_xlfn.IFS(Z22="Wp",AC22,Z22="m2",AC22/AN22,Z22="stk",AC22/AL22,Z22="kWh","",Z22="N/A","")))))</f>
        <v/>
      </c>
      <c r="P22" s="52" t="str">
        <f t="shared" si="3"/>
        <v>N/A</v>
      </c>
      <c r="Q22" s="207" t="str" cm="1">
        <f t="array" ref="Q22">IF(AL22="N/A","",IF(AM22="N/A","",IF(AN22="N/A","",IF(AE22="N/A","",_xlfn.IFS(Z22="Wp",AE22,Z22="m2",AE22/AN22,Z22="stk",AE22/AL22,Z22="kWh","",Z22="N/A","")))))</f>
        <v/>
      </c>
      <c r="R22" s="212" t="s">
        <v>5</v>
      </c>
      <c r="S22" s="47"/>
      <c r="T22" s="203" t="s">
        <v>806</v>
      </c>
      <c r="U22" s="47">
        <v>2026</v>
      </c>
      <c r="V22" s="47" t="s">
        <v>14</v>
      </c>
      <c r="W22" s="47">
        <v>30</v>
      </c>
      <c r="X22" s="39"/>
      <c r="Y22" s="47" t="s">
        <v>678</v>
      </c>
      <c r="Z22" s="47" t="s">
        <v>679</v>
      </c>
      <c r="AA22" s="52">
        <f t="shared" si="4"/>
        <v>7.9904200000000015E-3</v>
      </c>
      <c r="AB22" s="52">
        <f>0.00644+0.0000527+0.0011</f>
        <v>7.5927000000000008E-3</v>
      </c>
      <c r="AC22" s="52">
        <f>0.000396+0.00000172</f>
        <v>3.9771999999999995E-4</v>
      </c>
      <c r="AD22" s="52" t="s">
        <v>191</v>
      </c>
      <c r="AE22" s="52">
        <f>0.0000374+0.0000000147+0.0000000637</f>
        <v>3.7478399999999997E-5</v>
      </c>
      <c r="AF22" s="19"/>
      <c r="AG22" s="47"/>
      <c r="AH22" s="122"/>
      <c r="AI22" s="210"/>
      <c r="AJ22" s="47"/>
      <c r="AL22" s="47">
        <v>395</v>
      </c>
      <c r="AM22" s="188">
        <f>1.756*1.039</f>
        <v>1.8244839999999998</v>
      </c>
      <c r="AN22" s="116">
        <f t="shared" si="5"/>
        <v>216.49956919326235</v>
      </c>
      <c r="AP22" s="214" t="s">
        <v>17</v>
      </c>
      <c r="AQ22" s="216"/>
      <c r="AR22" s="73"/>
      <c r="AS22" s="26"/>
    </row>
    <row r="23" spans="1:45" s="16" customFormat="1" ht="25.2" customHeight="1" x14ac:dyDescent="0.15">
      <c r="A23" s="47" t="s">
        <v>686</v>
      </c>
      <c r="B23" s="47" t="s">
        <v>210</v>
      </c>
      <c r="C23" s="47" t="str">
        <f>""</f>
        <v/>
      </c>
      <c r="D23" s="47" t="s">
        <v>680</v>
      </c>
      <c r="E23" s="47" t="s">
        <v>137</v>
      </c>
      <c r="F23" s="85" t="s">
        <v>428</v>
      </c>
      <c r="G23" s="85" t="s">
        <v>807</v>
      </c>
      <c r="I23" s="111">
        <v>1</v>
      </c>
      <c r="J23" s="52" t="str">
        <f t="shared" si="0"/>
        <v>N/A</v>
      </c>
      <c r="K23" s="207" t="str" cm="1">
        <f t="array" ref="K23">IF(AL23="N/A","",IF(AM23="N/A","",IF(AN23="N/A","",IF(AA23="N/A","",_xlfn.IFS(Z23="Wp",AA23,Z23="m2",AA23/AN23,Z23="stk",AA23/AL23,Z23="kWh","",Z23="N/A","")))))</f>
        <v/>
      </c>
      <c r="L23" s="52" t="str">
        <f t="shared" si="1"/>
        <v>N/A</v>
      </c>
      <c r="M23" s="207" t="str" cm="1">
        <f t="array" ref="M23">IF(AL23="N/A","",IF(AM23="N/A","",IF(AN23="N/A","",IF(AB23="N/A","",_xlfn.IFS(Z23="Wp",AB23,Z23="m2",AB23/AN23,Z23="stk",AB23/AL23,Z23="kWh","",Z23="N/A","")))))</f>
        <v/>
      </c>
      <c r="N23" s="52" t="str">
        <f t="shared" si="2"/>
        <v>N/A</v>
      </c>
      <c r="O23" s="208" t="str" cm="1">
        <f t="array" ref="O23">IF(AL23="N/A","",IF(AM23="N/A","",IF(AN23="N/A","",IF(AC23="N/A","",_xlfn.IFS(Z23="Wp",AC23,Z23="m2",AC23/AN23,Z23="stk",AC23/AL23,Z23="kWh","",Z23="N/A","")))))</f>
        <v/>
      </c>
      <c r="P23" s="52" t="str">
        <f t="shared" si="3"/>
        <v>N/A</v>
      </c>
      <c r="Q23" s="207" t="str" cm="1">
        <f t="array" ref="Q23">IF(AL23="N/A","",IF(AM23="N/A","",IF(AN23="N/A","",IF(AE23="N/A","",_xlfn.IFS(Z23="Wp",AE23,Z23="m2",AE23/AN23,Z23="stk",AE23/AL23,Z23="kWh","",Z23="N/A","")))))</f>
        <v/>
      </c>
      <c r="R23" s="213" t="s">
        <v>5</v>
      </c>
      <c r="S23" s="211"/>
      <c r="T23" s="203" t="s">
        <v>806</v>
      </c>
      <c r="U23" s="47">
        <v>2026</v>
      </c>
      <c r="V23" s="47" t="s">
        <v>14</v>
      </c>
      <c r="W23" s="47">
        <v>30</v>
      </c>
      <c r="X23" s="39"/>
      <c r="Y23" s="47" t="s">
        <v>687</v>
      </c>
      <c r="Z23" s="47" t="s">
        <v>679</v>
      </c>
      <c r="AA23" s="52">
        <f t="shared" si="4"/>
        <v>8.1057300000000002E-3</v>
      </c>
      <c r="AB23" s="52">
        <f>0.00662+0.0000473+0.00109</f>
        <v>7.7573E-3</v>
      </c>
      <c r="AC23" s="52">
        <f>0.000347+0.00000143</f>
        <v>3.4843E-4</v>
      </c>
      <c r="AD23" s="52" t="s">
        <v>191</v>
      </c>
      <c r="AE23" s="52">
        <f>0.0000366+0.0000000132+0.0000000663</f>
        <v>3.6679500000000007E-5</v>
      </c>
      <c r="AF23" s="19"/>
      <c r="AG23" s="47"/>
      <c r="AH23" s="122"/>
      <c r="AI23" s="210"/>
      <c r="AJ23" s="47"/>
      <c r="AL23" s="47">
        <v>430</v>
      </c>
      <c r="AM23" s="188">
        <f>1.728*1.134</f>
        <v>1.9595519999999997</v>
      </c>
      <c r="AN23" s="279">
        <f t="shared" si="5"/>
        <v>219.43791233914695</v>
      </c>
      <c r="AP23" s="214" t="s">
        <v>17</v>
      </c>
      <c r="AQ23" s="216"/>
      <c r="AR23" s="73"/>
      <c r="AS23" s="26"/>
    </row>
    <row r="24" spans="1:45" s="25" customFormat="1" ht="25.2" customHeight="1" x14ac:dyDescent="0.15">
      <c r="A24" s="25" t="s">
        <v>690</v>
      </c>
      <c r="B24" s="47" t="s">
        <v>210</v>
      </c>
      <c r="C24" s="47" t="str">
        <f>""</f>
        <v/>
      </c>
      <c r="D24" s="47" t="s">
        <v>688</v>
      </c>
      <c r="E24" s="47" t="s">
        <v>137</v>
      </c>
      <c r="F24" s="85" t="s">
        <v>428</v>
      </c>
      <c r="G24" s="85" t="s">
        <v>807</v>
      </c>
      <c r="H24" s="46"/>
      <c r="I24" s="111">
        <v>1</v>
      </c>
      <c r="J24" s="52" t="str">
        <f t="shared" si="0"/>
        <v>N/A</v>
      </c>
      <c r="K24" s="207" t="str" cm="1">
        <f t="array" ref="K24">IF(AL24="N/A","",IF(AM24="N/A","",IF(AN24="N/A","",IF(AA24="N/A","",_xlfn.IFS(Z24="Wp",AA24,Z24="m2",AA24/AN24,Z24="stk",AA24/AL24,Z24="kWh","",Z24="N/A","")))))</f>
        <v/>
      </c>
      <c r="L24" s="52" t="str">
        <f t="shared" si="1"/>
        <v>N/A</v>
      </c>
      <c r="M24" s="207" t="str" cm="1">
        <f t="array" ref="M24">IF(AL24="N/A","",IF(AM24="N/A","",IF(AN24="N/A","",IF(AB24="N/A","",_xlfn.IFS(Z24="Wp",AB24,Z24="m2",AB24/AN24,Z24="stk",AB24/AL24,Z24="kWh","",Z24="N/A","")))))</f>
        <v/>
      </c>
      <c r="N24" s="52" t="str">
        <f t="shared" si="2"/>
        <v>N/A</v>
      </c>
      <c r="O24" s="208" t="str" cm="1">
        <f t="array" ref="O24">IF(AL24="N/A","",IF(AM24="N/A","",IF(AN24="N/A","",IF(AC24="N/A","",_xlfn.IFS(Z24="Wp",AC24,Z24="m2",AC24/AN24,Z24="stk",AC24/AL24,Z24="kWh","",Z24="N/A","")))))</f>
        <v/>
      </c>
      <c r="P24" s="52" t="str">
        <f t="shared" si="3"/>
        <v>N/A</v>
      </c>
      <c r="Q24" s="207" t="str" cm="1">
        <f t="array" ref="Q24">IF(AL24="N/A","",IF(AM24="N/A","",IF(AN24="N/A","",IF(AE24="N/A","",_xlfn.IFS(Z24="Wp",AE24,Z24="m2",AE24/AN24,Z24="stk",AE24/AL24,Z24="kWh","",Z24="N/A","")))))</f>
        <v/>
      </c>
      <c r="R24" s="212" t="s">
        <v>5</v>
      </c>
      <c r="S24" s="47"/>
      <c r="T24" s="203" t="s">
        <v>806</v>
      </c>
      <c r="U24" s="47">
        <v>2026</v>
      </c>
      <c r="V24" s="47" t="s">
        <v>14</v>
      </c>
      <c r="W24" s="47">
        <v>30</v>
      </c>
      <c r="Y24" s="47" t="s">
        <v>689</v>
      </c>
      <c r="Z24" s="47" t="s">
        <v>679</v>
      </c>
      <c r="AA24" s="52">
        <f t="shared" si="4"/>
        <v>1.0518919999999999E-2</v>
      </c>
      <c r="AB24" s="52">
        <f>0.00877 +0.0000714+0.00118</f>
        <v>1.00214E-2</v>
      </c>
      <c r="AC24" s="52">
        <f>0.000495+0.00000252</f>
        <v>4.9751999999999999E-4</v>
      </c>
      <c r="AD24" s="52" t="s">
        <v>191</v>
      </c>
      <c r="AE24" s="52">
        <f>0.0000402+0.00000000275+0.000000154</f>
        <v>4.0356750000000003E-5</v>
      </c>
      <c r="AF24" s="47"/>
      <c r="AG24" s="52"/>
      <c r="AH24" s="122"/>
      <c r="AI24" s="125"/>
      <c r="AJ24" s="46"/>
      <c r="AK24" s="46"/>
      <c r="AL24" s="47">
        <v>560</v>
      </c>
      <c r="AM24" s="188">
        <f>2.384*1.096</f>
        <v>2.6128640000000001</v>
      </c>
      <c r="AN24" s="116">
        <f t="shared" si="5"/>
        <v>214.32420516337626</v>
      </c>
      <c r="AP24" s="217" t="s">
        <v>17</v>
      </c>
      <c r="AQ24" s="218"/>
      <c r="AR24" s="46"/>
    </row>
    <row r="25" spans="1:45" s="25" customFormat="1" ht="25.2" customHeight="1" x14ac:dyDescent="0.15">
      <c r="A25" s="25" t="s">
        <v>691</v>
      </c>
      <c r="B25" s="47" t="s">
        <v>210</v>
      </c>
      <c r="C25" s="47" t="str">
        <f>""</f>
        <v/>
      </c>
      <c r="D25" s="47" t="s">
        <v>688</v>
      </c>
      <c r="E25" s="47" t="s">
        <v>137</v>
      </c>
      <c r="F25" s="85" t="s">
        <v>428</v>
      </c>
      <c r="G25" s="85" t="s">
        <v>807</v>
      </c>
      <c r="H25" s="46"/>
      <c r="I25" s="111">
        <v>1</v>
      </c>
      <c r="J25" s="52" t="str">
        <f t="shared" si="0"/>
        <v>N/A</v>
      </c>
      <c r="K25" s="207" t="str" cm="1">
        <f t="array" ref="K25">IF(AL25="N/A","",IF(AM25="N/A","",IF(AN25="N/A","",IF(AA25="N/A","",_xlfn.IFS(Z25="Wp",AA25,Z25="m2",AA25/AN25,Z25="stk",AA25/AL25,Z25="kWh","",Z25="N/A","")))))</f>
        <v/>
      </c>
      <c r="L25" s="52" t="str">
        <f t="shared" si="1"/>
        <v>N/A</v>
      </c>
      <c r="M25" s="207" t="str" cm="1">
        <f t="array" ref="M25">IF(AL25="N/A","",IF(AM25="N/A","",IF(AN25="N/A","",IF(AB25="N/A","",_xlfn.IFS(Z25="Wp",AB25,Z25="m2",AB25/AN25,Z25="stk",AB25/AL25,Z25="kWh","",Z25="N/A","")))))</f>
        <v/>
      </c>
      <c r="N25" s="52" t="str">
        <f t="shared" si="2"/>
        <v>N/A</v>
      </c>
      <c r="O25" s="208" t="str" cm="1">
        <f t="array" ref="O25">IF(AL25="N/A","",IF(AM25="N/A","",IF(AN25="N/A","",IF(AC25="N/A","",_xlfn.IFS(Z25="Wp",AC25,Z25="m2",AC25/AN25,Z25="stk",AC25/AL25,Z25="kWh","",Z25="N/A","")))))</f>
        <v/>
      </c>
      <c r="P25" s="52" t="str">
        <f t="shared" si="3"/>
        <v>N/A</v>
      </c>
      <c r="Q25" s="207" t="str" cm="1">
        <f t="array" ref="Q25">IF(AL25="N/A","",IF(AM25="N/A","",IF(AN25="N/A","",IF(AE25="N/A","",_xlfn.IFS(Z25="Wp",AE25,Z25="m2",AE25/AN25,Z25="stk",AE25/AL25,Z25="kWh","",Z25="N/A","")))))</f>
        <v/>
      </c>
      <c r="R25" s="212" t="s">
        <v>5</v>
      </c>
      <c r="S25" s="47"/>
      <c r="T25" s="203" t="s">
        <v>806</v>
      </c>
      <c r="U25" s="47">
        <v>2026</v>
      </c>
      <c r="V25" s="47" t="s">
        <v>14</v>
      </c>
      <c r="W25" s="47">
        <v>30</v>
      </c>
      <c r="Y25" s="47" t="s">
        <v>689</v>
      </c>
      <c r="Z25" s="47" t="s">
        <v>679</v>
      </c>
      <c r="AA25" s="52">
        <f t="shared" si="4"/>
        <v>1.165823E-2</v>
      </c>
      <c r="AB25" s="52">
        <f>0.00972+0.0000794+0.00131</f>
        <v>1.11094E-2</v>
      </c>
      <c r="AC25" s="52">
        <f>0.000546+0.00000283</f>
        <v>5.4883000000000004E-4</v>
      </c>
      <c r="AD25" s="52" t="s">
        <v>191</v>
      </c>
      <c r="AE25" s="52">
        <f>0.0000447+0.00000000306+0.000000171</f>
        <v>4.4874060000000002E-5</v>
      </c>
      <c r="AF25" s="47"/>
      <c r="AG25" s="52"/>
      <c r="AH25" s="122"/>
      <c r="AI25" s="125"/>
      <c r="AJ25" s="46"/>
      <c r="AK25" s="46"/>
      <c r="AL25" s="47">
        <v>610</v>
      </c>
      <c r="AM25" s="188">
        <f>2.172*1.303</f>
        <v>2.8301159999999999</v>
      </c>
      <c r="AN25" s="116">
        <f t="shared" si="5"/>
        <v>215.53886837147311</v>
      </c>
      <c r="AP25" s="217" t="s">
        <v>17</v>
      </c>
      <c r="AQ25" s="218"/>
      <c r="AR25" s="46"/>
    </row>
    <row r="26" spans="1:45" s="25" customFormat="1" ht="25.2" customHeight="1" x14ac:dyDescent="0.15">
      <c r="A26" s="171" t="s">
        <v>695</v>
      </c>
      <c r="B26" s="47" t="s">
        <v>210</v>
      </c>
      <c r="C26" s="47" t="str">
        <f>""</f>
        <v/>
      </c>
      <c r="D26" s="47" t="s">
        <v>688</v>
      </c>
      <c r="E26" s="47" t="s">
        <v>137</v>
      </c>
      <c r="F26" s="85" t="s">
        <v>428</v>
      </c>
      <c r="G26" s="85" t="s">
        <v>807</v>
      </c>
      <c r="H26" s="46"/>
      <c r="I26" s="111">
        <v>1</v>
      </c>
      <c r="J26" s="52" t="str">
        <f t="shared" si="0"/>
        <v>N/A</v>
      </c>
      <c r="K26" s="207" t="str" cm="1">
        <f t="array" ref="K26">IF(AL26="N/A","",IF(AM26="N/A","",IF(AN26="N/A","",IF(AA26="N/A","",_xlfn.IFS(Z26="Wp",AA26,Z26="m2",AA26/AN26,Z26="stk",AA26/AL26,Z26="kWh","",Z26="N/A","")))))</f>
        <v/>
      </c>
      <c r="L26" s="52" t="str">
        <f t="shared" si="1"/>
        <v>N/A</v>
      </c>
      <c r="M26" s="207" t="str" cm="1">
        <f t="array" ref="M26">IF(AL26="N/A","",IF(AM26="N/A","",IF(AN26="N/A","",IF(AB26="N/A","",_xlfn.IFS(Z26="Wp",AB26,Z26="m2",AB26/AN26,Z26="stk",AB26/AL26,Z26="kWh","",Z26="N/A","")))))</f>
        <v/>
      </c>
      <c r="N26" s="52" t="str">
        <f t="shared" si="2"/>
        <v>N/A</v>
      </c>
      <c r="O26" s="208" t="str" cm="1">
        <f t="array" ref="O26">IF(AL26="N/A","",IF(AM26="N/A","",IF(AN26="N/A","",IF(AC26="N/A","",_xlfn.IFS(Z26="Wp",AC26,Z26="m2",AC26/AN26,Z26="stk",AC26/AL26,Z26="kWh","",Z26="N/A","")))))</f>
        <v/>
      </c>
      <c r="P26" s="52" t="str">
        <f t="shared" si="3"/>
        <v>N/A</v>
      </c>
      <c r="Q26" s="207" t="str" cm="1">
        <f t="array" ref="Q26">IF(AL26="N/A","",IF(AM26="N/A","",IF(AN26="N/A","",IF(AE26="N/A","",_xlfn.IFS(Z26="Wp",AE26,Z26="m2",AE26/AN26,Z26="stk",AE26/AL26,Z26="kWh","",Z26="N/A","")))))</f>
        <v/>
      </c>
      <c r="R26" s="212" t="s">
        <v>5</v>
      </c>
      <c r="S26" s="47"/>
      <c r="T26" s="203" t="s">
        <v>806</v>
      </c>
      <c r="U26" s="47">
        <v>2026</v>
      </c>
      <c r="V26" s="47" t="s">
        <v>14</v>
      </c>
      <c r="W26" s="47">
        <v>30</v>
      </c>
      <c r="Y26" s="47" t="s">
        <v>692</v>
      </c>
      <c r="Z26" s="47" t="s">
        <v>679</v>
      </c>
      <c r="AA26" s="52">
        <f t="shared" si="4"/>
        <v>1.216133E-2</v>
      </c>
      <c r="AB26" s="52">
        <f>0.0104+0.0000848+0.00118</f>
        <v>1.1664799999999999E-2</v>
      </c>
      <c r="AC26" s="52">
        <f>0.000495+0.00000153</f>
        <v>4.9653000000000002E-4</v>
      </c>
      <c r="AD26" s="52" t="s">
        <v>191</v>
      </c>
      <c r="AE26" s="52">
        <f>0.0000415+0.00000000327+0.000000154</f>
        <v>4.1657269999999996E-5</v>
      </c>
      <c r="AF26" s="47"/>
      <c r="AG26" s="52"/>
      <c r="AH26" s="122"/>
      <c r="AI26" s="125"/>
      <c r="AJ26" s="46"/>
      <c r="AK26" s="46"/>
      <c r="AL26" s="47">
        <v>560</v>
      </c>
      <c r="AM26" s="188">
        <f>2.384*1.096</f>
        <v>2.6128640000000001</v>
      </c>
      <c r="AN26" s="116">
        <f t="shared" si="5"/>
        <v>214.32420516337626</v>
      </c>
      <c r="AP26" s="217" t="s">
        <v>17</v>
      </c>
      <c r="AQ26" s="218"/>
      <c r="AR26" s="46"/>
    </row>
    <row r="27" spans="1:45" s="25" customFormat="1" ht="25.2" customHeight="1" x14ac:dyDescent="0.15">
      <c r="A27" s="171" t="s">
        <v>694</v>
      </c>
      <c r="B27" s="47" t="s">
        <v>210</v>
      </c>
      <c r="C27" s="47" t="str">
        <f>""</f>
        <v/>
      </c>
      <c r="D27" s="47" t="s">
        <v>688</v>
      </c>
      <c r="E27" s="47" t="s">
        <v>137</v>
      </c>
      <c r="F27" s="85" t="s">
        <v>428</v>
      </c>
      <c r="G27" s="85" t="s">
        <v>807</v>
      </c>
      <c r="H27" s="46"/>
      <c r="I27" s="111">
        <v>1</v>
      </c>
      <c r="J27" s="52" t="str">
        <f t="shared" si="0"/>
        <v>N/A</v>
      </c>
      <c r="K27" s="207" t="str" cm="1">
        <f t="array" ref="K27">IF(AL27="N/A","",IF(AM27="N/A","",IF(AN27="N/A","",IF(AA27="N/A","",_xlfn.IFS(Z27="Wp",AA27,Z27="m2",AA27/AN27,Z27="stk",AA27/AL27,Z27="kWh","",Z27="N/A","")))))</f>
        <v/>
      </c>
      <c r="L27" s="52" t="str">
        <f t="shared" si="1"/>
        <v>N/A</v>
      </c>
      <c r="M27" s="207" t="str" cm="1">
        <f t="array" ref="M27">IF(AL27="N/A","",IF(AM27="N/A","",IF(AN27="N/A","",IF(AB27="N/A","",_xlfn.IFS(Z27="Wp",AB27,Z27="m2",AB27/AN27,Z27="stk",AB27/AL27,Z27="kWh","",Z27="N/A","")))))</f>
        <v/>
      </c>
      <c r="N27" s="52" t="str">
        <f t="shared" si="2"/>
        <v>N/A</v>
      </c>
      <c r="O27" s="208" t="str" cm="1">
        <f t="array" ref="O27">IF(AL27="N/A","",IF(AM27="N/A","",IF(AN27="N/A","",IF(AC27="N/A","",_xlfn.IFS(Z27="Wp",AC27,Z27="m2",AC27/AN27,Z27="stk",AC27/AL27,Z27="kWh","",Z27="N/A","")))))</f>
        <v/>
      </c>
      <c r="P27" s="52" t="str">
        <f t="shared" si="3"/>
        <v>N/A</v>
      </c>
      <c r="Q27" s="207" t="str" cm="1">
        <f t="array" ref="Q27">IF(AL27="N/A","",IF(AM27="N/A","",IF(AN27="N/A","",IF(AE27="N/A","",_xlfn.IFS(Z27="Wp",AE27,Z27="m2",AE27/AN27,Z27="stk",AE27/AL27,Z27="kWh","",Z27="N/A","")))))</f>
        <v/>
      </c>
      <c r="R27" s="212" t="s">
        <v>5</v>
      </c>
      <c r="S27" s="47"/>
      <c r="T27" s="203" t="s">
        <v>806</v>
      </c>
      <c r="U27" s="47">
        <v>2026</v>
      </c>
      <c r="V27" s="47" t="s">
        <v>14</v>
      </c>
      <c r="W27" s="47">
        <v>30</v>
      </c>
      <c r="Y27" s="47" t="s">
        <v>692</v>
      </c>
      <c r="Z27" s="47" t="s">
        <v>679</v>
      </c>
      <c r="AA27" s="52">
        <f t="shared" si="4"/>
        <v>1.3350030000000001E-2</v>
      </c>
      <c r="AB27" s="52">
        <f>0.0114+0.0000924+0.00131</f>
        <v>1.28024E-2</v>
      </c>
      <c r="AC27" s="52">
        <f>0.000546+0.00000163</f>
        <v>5.4763000000000001E-4</v>
      </c>
      <c r="AD27" s="52" t="s">
        <v>191</v>
      </c>
      <c r="AE27" s="52">
        <f>0.0000463+0.00000000357+0.000000171</f>
        <v>4.6474570000000002E-5</v>
      </c>
      <c r="AF27" s="47"/>
      <c r="AG27" s="52"/>
      <c r="AH27" s="122"/>
      <c r="AI27" s="125"/>
      <c r="AJ27" s="46"/>
      <c r="AK27" s="46"/>
      <c r="AL27" s="47">
        <v>610</v>
      </c>
      <c r="AM27" s="188">
        <f>2.172*1.303</f>
        <v>2.8301159999999999</v>
      </c>
      <c r="AN27" s="116">
        <f t="shared" si="5"/>
        <v>215.53886837147311</v>
      </c>
      <c r="AP27" s="217" t="s">
        <v>17</v>
      </c>
      <c r="AQ27" s="218"/>
      <c r="AR27" s="46"/>
    </row>
    <row r="28" spans="1:45" s="25" customFormat="1" ht="25.2" customHeight="1" x14ac:dyDescent="0.15">
      <c r="A28" s="171" t="s">
        <v>693</v>
      </c>
      <c r="B28" s="47" t="s">
        <v>210</v>
      </c>
      <c r="C28" s="47" t="str">
        <f>""</f>
        <v/>
      </c>
      <c r="D28" s="47" t="s">
        <v>688</v>
      </c>
      <c r="E28" s="47" t="s">
        <v>137</v>
      </c>
      <c r="F28" s="85" t="s">
        <v>428</v>
      </c>
      <c r="G28" s="85" t="s">
        <v>807</v>
      </c>
      <c r="H28" s="46"/>
      <c r="I28" s="111">
        <v>1</v>
      </c>
      <c r="J28" s="52" t="str">
        <f t="shared" si="0"/>
        <v>N/A</v>
      </c>
      <c r="K28" s="207" t="str" cm="1">
        <f t="array" ref="K28">IF(AL28="N/A","",IF(AM28="N/A","",IF(AN28="N/A","",IF(AA28="N/A","",_xlfn.IFS(Z28="Wp",AA28,Z28="m2",AA28/AN28,Z28="stk",AA28/AL28,Z28="kWh","",Z28="N/A","")))))</f>
        <v/>
      </c>
      <c r="L28" s="52" t="str">
        <f t="shared" si="1"/>
        <v>N/A</v>
      </c>
      <c r="M28" s="207" t="str" cm="1">
        <f t="array" ref="M28">IF(AL28="N/A","",IF(AM28="N/A","",IF(AN28="N/A","",IF(AB28="N/A","",_xlfn.IFS(Z28="Wp",AB28,Z28="m2",AB28/AN28,Z28="stk",AB28/AL28,Z28="kWh","",Z28="N/A","")))))</f>
        <v/>
      </c>
      <c r="N28" s="52" t="str">
        <f t="shared" si="2"/>
        <v>N/A</v>
      </c>
      <c r="O28" s="208" t="str" cm="1">
        <f t="array" ref="O28">IF(AL28="N/A","",IF(AM28="N/A","",IF(AN28="N/A","",IF(AC28="N/A","",_xlfn.IFS(Z28="Wp",AC28,Z28="m2",AC28/AN28,Z28="stk",AC28/AL28,Z28="kWh","",Z28="N/A","")))))</f>
        <v/>
      </c>
      <c r="P28" s="52" t="str">
        <f t="shared" si="3"/>
        <v>N/A</v>
      </c>
      <c r="Q28" s="207" t="str" cm="1">
        <f t="array" ref="Q28">IF(AL28="N/A","",IF(AM28="N/A","",IF(AN28="N/A","",IF(AE28="N/A","",_xlfn.IFS(Z28="Wp",AE28,Z28="m2",AE28/AN28,Z28="stk",AE28/AL28,Z28="kWh","",Z28="N/A","")))))</f>
        <v/>
      </c>
      <c r="R28" s="212" t="s">
        <v>5</v>
      </c>
      <c r="S28" s="47"/>
      <c r="T28" s="203" t="s">
        <v>806</v>
      </c>
      <c r="U28" s="47">
        <v>2026</v>
      </c>
      <c r="V28" s="47" t="s">
        <v>14</v>
      </c>
      <c r="W28" s="47">
        <v>30</v>
      </c>
      <c r="Y28" s="47" t="s">
        <v>696</v>
      </c>
      <c r="Z28" s="47" t="s">
        <v>679</v>
      </c>
      <c r="AA28" s="52">
        <f t="shared" si="4"/>
        <v>1.1642999999999999E-2</v>
      </c>
      <c r="AB28" s="52">
        <v>1.1299999999999999E-2</v>
      </c>
      <c r="AC28" s="52">
        <v>3.4299999999999999E-4</v>
      </c>
      <c r="AD28" s="52" t="s">
        <v>191</v>
      </c>
      <c r="AE28" s="52">
        <f>-0.000434</f>
        <v>-4.3399999999999998E-4</v>
      </c>
      <c r="AF28" s="47"/>
      <c r="AG28" s="52"/>
      <c r="AH28" s="122"/>
      <c r="AI28" s="125"/>
      <c r="AJ28" s="46"/>
      <c r="AK28" s="46"/>
      <c r="AL28" s="47">
        <v>455</v>
      </c>
      <c r="AM28" s="188">
        <f>2.128*1.048</f>
        <v>2.2301440000000001</v>
      </c>
      <c r="AN28" s="116">
        <f t="shared" si="5"/>
        <v>204.02269987946966</v>
      </c>
      <c r="AP28" s="217" t="s">
        <v>17</v>
      </c>
      <c r="AQ28" s="218"/>
      <c r="AR28" s="46"/>
    </row>
    <row r="29" spans="1:45" s="25" customFormat="1" ht="25.2" customHeight="1" x14ac:dyDescent="0.15">
      <c r="A29" s="25" t="s">
        <v>698</v>
      </c>
      <c r="B29" s="47" t="s">
        <v>210</v>
      </c>
      <c r="C29" s="47" t="str">
        <f>""</f>
        <v/>
      </c>
      <c r="D29" s="47" t="s">
        <v>688</v>
      </c>
      <c r="E29" s="47" t="s">
        <v>137</v>
      </c>
      <c r="F29" s="85" t="s">
        <v>428</v>
      </c>
      <c r="G29" s="85" t="s">
        <v>807</v>
      </c>
      <c r="H29" s="46"/>
      <c r="I29" s="111">
        <v>1</v>
      </c>
      <c r="J29" s="52" t="str">
        <f t="shared" si="0"/>
        <v>N/A</v>
      </c>
      <c r="K29" s="207" t="str" cm="1">
        <f t="array" ref="K29">IF(AL29="N/A","",IF(AM29="N/A","",IF(AN29="N/A","",IF(AA29="N/A","",_xlfn.IFS(Z29="Wp",AA29,Z29="m2",AA29/AN29,Z29="stk",AA29/AL29,Z29="kWh","",Z29="N/A","")))))</f>
        <v/>
      </c>
      <c r="L29" s="52" t="str">
        <f t="shared" si="1"/>
        <v>N/A</v>
      </c>
      <c r="M29" s="207" t="str" cm="1">
        <f t="array" ref="M29">IF(AL29="N/A","",IF(AM29="N/A","",IF(AN29="N/A","",IF(AB29="N/A","",_xlfn.IFS(Z29="Wp",AB29,Z29="m2",AB29/AN29,Z29="stk",AB29/AL29,Z29="kWh","",Z29="N/A","")))))</f>
        <v/>
      </c>
      <c r="N29" s="52" t="str">
        <f t="shared" si="2"/>
        <v>N/A</v>
      </c>
      <c r="O29" s="208" t="str" cm="1">
        <f t="array" ref="O29">IF(AL29="N/A","",IF(AM29="N/A","",IF(AN29="N/A","",IF(AC29="N/A","",_xlfn.IFS(Z29="Wp",AC29,Z29="m2",AC29/AN29,Z29="stk",AC29/AL29,Z29="kWh","",Z29="N/A","")))))</f>
        <v/>
      </c>
      <c r="P29" s="52" t="str">
        <f t="shared" si="3"/>
        <v>N/A</v>
      </c>
      <c r="Q29" s="207" t="str" cm="1">
        <f t="array" ref="Q29">IF(AL29="N/A","",IF(AM29="N/A","",IF(AN29="N/A","",IF(AE29="N/A","",_xlfn.IFS(Z29="Wp",AE29,Z29="m2",AE29/AN29,Z29="stk",AE29/AL29,Z29="kWh","",Z29="N/A","")))))</f>
        <v/>
      </c>
      <c r="R29" s="212" t="s">
        <v>5</v>
      </c>
      <c r="S29" s="47"/>
      <c r="T29" s="203" t="s">
        <v>806</v>
      </c>
      <c r="U29" s="47">
        <v>2026</v>
      </c>
      <c r="V29" s="47" t="s">
        <v>14</v>
      </c>
      <c r="W29" s="47">
        <v>30</v>
      </c>
      <c r="Y29" s="47" t="s">
        <v>697</v>
      </c>
      <c r="Z29" s="47" t="s">
        <v>679</v>
      </c>
      <c r="AA29" s="52">
        <f t="shared" si="4"/>
        <v>1.2496E-2</v>
      </c>
      <c r="AB29" s="52">
        <v>1.21E-2</v>
      </c>
      <c r="AC29" s="52">
        <v>3.9599999999999998E-4</v>
      </c>
      <c r="AD29" s="52" t="s">
        <v>191</v>
      </c>
      <c r="AE29" s="52">
        <v>-5.2999999999999998E-4</v>
      </c>
      <c r="AF29" s="47"/>
      <c r="AG29" s="52"/>
      <c r="AH29" s="122"/>
      <c r="AI29" s="125"/>
      <c r="AJ29" s="46"/>
      <c r="AK29" s="46"/>
      <c r="AL29" s="47">
        <v>450</v>
      </c>
      <c r="AM29" s="188">
        <f>1.768*1.048</f>
        <v>1.8528640000000001</v>
      </c>
      <c r="AN29" s="116">
        <f t="shared" si="5"/>
        <v>242.86725847120996</v>
      </c>
      <c r="AP29" s="217" t="s">
        <v>17</v>
      </c>
      <c r="AQ29" s="218"/>
      <c r="AR29" s="46"/>
    </row>
    <row r="30" spans="1:45" s="25" customFormat="1" ht="25.2" customHeight="1" x14ac:dyDescent="0.15">
      <c r="A30" s="25" t="s">
        <v>705</v>
      </c>
      <c r="B30" s="47" t="s">
        <v>210</v>
      </c>
      <c r="C30" s="47" t="str">
        <f>""</f>
        <v/>
      </c>
      <c r="D30" s="47" t="s">
        <v>659</v>
      </c>
      <c r="E30" s="86" t="s">
        <v>137</v>
      </c>
      <c r="F30" s="85" t="s">
        <v>428</v>
      </c>
      <c r="G30" s="85" t="s">
        <v>807</v>
      </c>
      <c r="H30" s="46"/>
      <c r="I30" s="111">
        <v>1</v>
      </c>
      <c r="J30" s="52">
        <f t="shared" si="0"/>
        <v>0.67217995168831168</v>
      </c>
      <c r="K30" s="155" cm="1">
        <f t="array" ref="K30">IF(AL30="N/A","",IF(AM30="N/A","",IF(AN30="N/A","",IF(AA30="N/A","",_xlfn.IFS(Z30="Wp",AA30,Z30="m2",AA30/AN30,Z30="stk",AA30/AL30,Z30="kWh","",Z30="N/A","")))))</f>
        <v>0.67217995168831168</v>
      </c>
      <c r="L30" s="52">
        <f t="shared" si="1"/>
        <v>0.6671643896103896</v>
      </c>
      <c r="M30" s="155" cm="1">
        <f t="array" ref="M30">IF(AL30="N/A","",IF(AM30="N/A","",IF(AN30="N/A","",IF(AB30="N/A","",_xlfn.IFS(Z30="Wp",AB30,Z30="m2",AB30/AN30,Z30="stk",AB30/AL30,Z30="kWh","",Z30="N/A","")))))</f>
        <v>0.6671643896103896</v>
      </c>
      <c r="N30" s="52">
        <f t="shared" si="2"/>
        <v>5.015562077922078E-3</v>
      </c>
      <c r="O30" s="148" cm="1">
        <f t="array" ref="O30">IF(AL30="N/A","",IF(AM30="N/A","",IF(AN30="N/A","",IF(AC30="N/A","",_xlfn.IFS(Z30="Wp",AC30,Z30="m2",AC30/AN30,Z30="stk",AC30/AL30,Z30="kWh","",Z30="N/A","")))))</f>
        <v>5.015562077922078E-3</v>
      </c>
      <c r="P30" s="52" t="str">
        <f t="shared" si="3"/>
        <v>N/A</v>
      </c>
      <c r="Q30" s="155" t="str" cm="1">
        <f t="array" ref="Q30">IF(AL30="N/A","",IF(AM30="N/A","",IF(AN30="N/A","",IF(AE30="N/A","",_xlfn.IFS(Z30="Wp",AE30,Z30="m2",AE30/AN30,Z30="stk",AE30/AL30,Z30="kWh","",Z30="N/A","")))))</f>
        <v/>
      </c>
      <c r="R30" s="186" t="s">
        <v>5</v>
      </c>
      <c r="S30" s="47"/>
      <c r="T30" s="203" t="s">
        <v>804</v>
      </c>
      <c r="U30" s="47">
        <v>2027</v>
      </c>
      <c r="V30" s="47" t="s">
        <v>1228</v>
      </c>
      <c r="W30" s="47">
        <v>25</v>
      </c>
      <c r="Y30" s="47" t="s">
        <v>704</v>
      </c>
      <c r="Z30" s="47" t="s">
        <v>15</v>
      </c>
      <c r="AA30" s="52">
        <f t="shared" si="4"/>
        <v>142.06</v>
      </c>
      <c r="AB30" s="52">
        <v>141</v>
      </c>
      <c r="AC30" s="52">
        <v>1.06</v>
      </c>
      <c r="AD30" s="52" t="s">
        <v>191</v>
      </c>
      <c r="AE30" s="52" t="s">
        <v>191</v>
      </c>
      <c r="AF30" s="47"/>
      <c r="AG30" s="115"/>
      <c r="AH30" s="122"/>
      <c r="AI30" s="125"/>
      <c r="AJ30" s="46"/>
      <c r="AK30" s="46"/>
      <c r="AL30" s="47">
        <v>385</v>
      </c>
      <c r="AM30" s="188">
        <f>1.755*1.038</f>
        <v>1.82169</v>
      </c>
      <c r="AN30" s="116">
        <f t="shared" si="5"/>
        <v>211.34221519577974</v>
      </c>
      <c r="AP30" s="173" t="s">
        <v>17</v>
      </c>
      <c r="AQ30" s="73"/>
      <c r="AR30" s="46"/>
    </row>
    <row r="31" spans="1:45" s="25" customFormat="1" ht="25.2" customHeight="1" x14ac:dyDescent="0.15">
      <c r="A31" s="25" t="s">
        <v>710</v>
      </c>
      <c r="B31" s="47" t="s">
        <v>210</v>
      </c>
      <c r="C31" s="47" t="str">
        <f>""</f>
        <v/>
      </c>
      <c r="D31" s="47" t="s">
        <v>709</v>
      </c>
      <c r="E31" s="86" t="s">
        <v>137</v>
      </c>
      <c r="F31" s="85" t="s">
        <v>699</v>
      </c>
      <c r="G31" s="85" t="s">
        <v>807</v>
      </c>
      <c r="H31" s="46"/>
      <c r="I31" s="111">
        <v>1</v>
      </c>
      <c r="J31" s="52">
        <f t="shared" si="0"/>
        <v>0.47102999688311686</v>
      </c>
      <c r="K31" s="155" cm="1">
        <f t="array" ref="K31">IF(AL31="N/A","",IF(AM31="N/A","",IF(AN31="N/A","",IF(AA31="N/A","",_xlfn.IFS(Z31="Wp",AA31,Z31="m2",AA31/AN31,Z31="stk",AA31/AL31,Z31="kWh","",Z31="N/A","")))))</f>
        <v>0.47102999688311686</v>
      </c>
      <c r="L31" s="52">
        <f t="shared" si="1"/>
        <v>0.46170932987012986</v>
      </c>
      <c r="M31" s="155" cm="1">
        <f t="array" ref="M31">IF(AL31="N/A","",IF(AM31="N/A","",IF(AN31="N/A","",IF(AB31="N/A","",_xlfn.IFS(Z31="Wp",AB31,Z31="m2",AB31/AN31,Z31="stk",AB31/AL31,Z31="kWh","",Z31="N/A","")))))</f>
        <v>0.46170932987012986</v>
      </c>
      <c r="N31" s="52">
        <f t="shared" si="2"/>
        <v>9.3206670129870137E-3</v>
      </c>
      <c r="O31" s="148" cm="1">
        <f t="array" ref="O31">IF(AL31="N/A","",IF(AM31="N/A","",IF(AN31="N/A","",IF(AC31="N/A","",_xlfn.IFS(Z31="Wp",AC31,Z31="m2",AC31/AN31,Z31="stk",AC31/AL31,Z31="kWh","",Z31="N/A","")))))</f>
        <v>9.3206670129870137E-3</v>
      </c>
      <c r="P31" s="52" t="str">
        <f t="shared" si="3"/>
        <v>N/A</v>
      </c>
      <c r="Q31" s="155" t="str" cm="1">
        <f t="array" ref="Q31">IF(AL31="N/A","",IF(AM31="N/A","",IF(AN31="N/A","",IF(AE31="N/A","",_xlfn.IFS(Z31="Wp",AE31,Z31="m2",AE31/AN31,Z31="stk",AE31/AL31,Z31="kWh","",Z31="N/A","")))))</f>
        <v/>
      </c>
      <c r="R31" s="186" t="s">
        <v>5</v>
      </c>
      <c r="S31" s="47"/>
      <c r="T31" s="203" t="s">
        <v>804</v>
      </c>
      <c r="U31" s="47">
        <v>2027</v>
      </c>
      <c r="V31" s="47" t="s">
        <v>1228</v>
      </c>
      <c r="W31" s="47">
        <v>25</v>
      </c>
      <c r="Y31" s="47" t="s">
        <v>708</v>
      </c>
      <c r="Z31" s="47" t="s">
        <v>15</v>
      </c>
      <c r="AA31" s="52">
        <f t="shared" si="4"/>
        <v>98.039999999999992</v>
      </c>
      <c r="AB31" s="52">
        <v>96.1</v>
      </c>
      <c r="AC31" s="52">
        <v>1.94</v>
      </c>
      <c r="AD31" s="52" t="s">
        <v>191</v>
      </c>
      <c r="AE31" s="52" t="s">
        <v>191</v>
      </c>
      <c r="AF31" s="47"/>
      <c r="AG31" s="115"/>
      <c r="AH31" s="122"/>
      <c r="AI31" s="125"/>
      <c r="AJ31" s="46"/>
      <c r="AK31" s="46"/>
      <c r="AL31" s="47">
        <v>385</v>
      </c>
      <c r="AM31" s="188">
        <f>1.765*1.048</f>
        <v>1.84972</v>
      </c>
      <c r="AN31" s="116">
        <f t="shared" si="5"/>
        <v>208.13961031939968</v>
      </c>
      <c r="AP31" s="173" t="s">
        <v>17</v>
      </c>
      <c r="AQ31" s="73"/>
      <c r="AR31" s="46"/>
    </row>
    <row r="32" spans="1:45" s="25" customFormat="1" ht="25.2" customHeight="1" x14ac:dyDescent="0.15">
      <c r="A32" s="25" t="s">
        <v>711</v>
      </c>
      <c r="B32" s="47" t="s">
        <v>210</v>
      </c>
      <c r="C32" s="47" t="str">
        <f>""</f>
        <v/>
      </c>
      <c r="D32" s="47" t="s">
        <v>709</v>
      </c>
      <c r="E32" s="86" t="s">
        <v>137</v>
      </c>
      <c r="F32" s="85" t="s">
        <v>699</v>
      </c>
      <c r="G32" s="85" t="s">
        <v>807</v>
      </c>
      <c r="H32" s="46"/>
      <c r="I32" s="111">
        <v>1</v>
      </c>
      <c r="J32" s="52">
        <f t="shared" si="0"/>
        <v>0.51090009980952389</v>
      </c>
      <c r="K32" s="155" cm="1">
        <f t="array" ref="K32">IF(AL32="N/A","",IF(AM32="N/A","",IF(AN32="N/A","",IF(AA32="N/A","",_xlfn.IFS(Z32="Wp",AA32,Z32="m2",AA32/AN32,Z32="stk",AA32/AL32,Z32="kWh","",Z32="N/A","")))))</f>
        <v>0.51090009980952389</v>
      </c>
      <c r="L32" s="52">
        <f t="shared" si="1"/>
        <v>0.50074837333333333</v>
      </c>
      <c r="M32" s="155" cm="1">
        <f t="array" ref="M32">IF(AL32="N/A","",IF(AM32="N/A","",IF(AN32="N/A","",IF(AB32="N/A","",_xlfn.IFS(Z32="Wp",AB32,Z32="m2",AB32/AN32,Z32="stk",AB32/AL32,Z32="kWh","",Z32="N/A","")))))</f>
        <v>0.50074837333333333</v>
      </c>
      <c r="N32" s="52">
        <f t="shared" si="2"/>
        <v>1.0151726476190476E-2</v>
      </c>
      <c r="O32" s="148" cm="1">
        <f t="array" ref="O32">IF(AL32="N/A","",IF(AM32="N/A","",IF(AN32="N/A","",IF(AC32="N/A","",_xlfn.IFS(Z32="Wp",AC32,Z32="m2",AC32/AN32,Z32="stk",AC32/AL32,Z32="kWh","",Z32="N/A","")))))</f>
        <v>1.0151726476190476E-2</v>
      </c>
      <c r="P32" s="52" t="str">
        <f t="shared" si="3"/>
        <v>N/A</v>
      </c>
      <c r="Q32" s="155" t="str" cm="1">
        <f t="array" ref="Q32">IF(AL32="N/A","",IF(AM32="N/A","",IF(AN32="N/A","",IF(AE32="N/A","",_xlfn.IFS(Z32="Wp",AE32,Z32="m2",AE32/AN32,Z32="stk",AE32/AL32,Z32="kWh","",Z32="N/A","")))))</f>
        <v/>
      </c>
      <c r="R32" s="186" t="s">
        <v>5</v>
      </c>
      <c r="S32" s="47"/>
      <c r="T32" s="203" t="s">
        <v>804</v>
      </c>
      <c r="U32" s="47">
        <v>2027</v>
      </c>
      <c r="V32" s="47" t="s">
        <v>1228</v>
      </c>
      <c r="W32" s="47">
        <v>25</v>
      </c>
      <c r="Y32" s="47" t="s">
        <v>712</v>
      </c>
      <c r="Z32" s="47" t="s">
        <v>15</v>
      </c>
      <c r="AA32" s="52">
        <f t="shared" si="4"/>
        <v>97.13000000000001</v>
      </c>
      <c r="AB32" s="52">
        <v>95.2</v>
      </c>
      <c r="AC32" s="52">
        <v>1.93</v>
      </c>
      <c r="AD32" s="52" t="s">
        <v>191</v>
      </c>
      <c r="AE32" s="52" t="s">
        <v>191</v>
      </c>
      <c r="AF32" s="47"/>
      <c r="AG32" s="115"/>
      <c r="AH32" s="122"/>
      <c r="AI32" s="125"/>
      <c r="AJ32" s="46"/>
      <c r="AK32" s="46"/>
      <c r="AL32" s="47">
        <v>420</v>
      </c>
      <c r="AM32" s="188">
        <f>2.108*1.048</f>
        <v>2.209184</v>
      </c>
      <c r="AN32" s="116">
        <f t="shared" si="5"/>
        <v>190.11544534090416</v>
      </c>
      <c r="AP32" s="173" t="s">
        <v>17</v>
      </c>
      <c r="AQ32" s="73"/>
      <c r="AR32" s="46"/>
    </row>
    <row r="33" spans="1:44" s="25" customFormat="1" ht="25.2" customHeight="1" x14ac:dyDescent="0.15">
      <c r="A33" s="25" t="s">
        <v>715</v>
      </c>
      <c r="B33" s="47" t="s">
        <v>210</v>
      </c>
      <c r="C33" s="47" t="str">
        <f>""</f>
        <v/>
      </c>
      <c r="D33" s="47" t="s">
        <v>662</v>
      </c>
      <c r="E33" s="86" t="s">
        <v>148</v>
      </c>
      <c r="F33" s="85" t="s">
        <v>428</v>
      </c>
      <c r="G33" s="85" t="s">
        <v>801</v>
      </c>
      <c r="H33" s="46"/>
      <c r="I33" s="111">
        <v>1</v>
      </c>
      <c r="J33" s="52">
        <f t="shared" si="0"/>
        <v>1.9367473333333332</v>
      </c>
      <c r="K33" s="155" cm="1">
        <f t="array" ref="K33">IF(AL33="N/A","",IF(AM33="N/A","",IF(AN33="N/A","",IF(AA33="N/A","",_xlfn.IFS(Z33="Wp",AA33,Z33="m2",AA33/AN33,Z33="stk",AA33/AL33,Z33="kWh","",Z33="N/A","")))))</f>
        <v>1.9367473333333332</v>
      </c>
      <c r="L33" s="52">
        <f t="shared" si="1"/>
        <v>1.9333333333333333</v>
      </c>
      <c r="M33" s="155" cm="1">
        <f t="array" ref="M33">IF(AL33="N/A","",IF(AM33="N/A","",IF(AN33="N/A","",IF(AB33="N/A","",_xlfn.IFS(Z33="Wp",AB33,Z33="m2",AB33/AN33,Z33="stk",AB33/AL33,Z33="kWh","",Z33="N/A","")))))</f>
        <v>1.9333333333333333</v>
      </c>
      <c r="N33" s="52">
        <f t="shared" si="2"/>
        <v>3.4139999999999999E-3</v>
      </c>
      <c r="O33" s="148" cm="1">
        <f t="array" ref="O33">IF(AL33="N/A","",IF(AM33="N/A","",IF(AN33="N/A","",IF(AC33="N/A","",_xlfn.IFS(Z33="Wp",AC33,Z33="m2",AC33/AN33,Z33="stk",AC33/AL33,Z33="kWh","",Z33="N/A","")))))</f>
        <v>3.4139999999999999E-3</v>
      </c>
      <c r="P33" s="52" t="str">
        <f t="shared" si="3"/>
        <v>N/A</v>
      </c>
      <c r="Q33" s="155" t="str" cm="1">
        <f t="array" ref="Q33">IF(AL33="N/A","",IF(AM33="N/A","",IF(AN33="N/A","",IF(AE33="N/A","",_xlfn.IFS(Z33="Wp",AE33,Z33="m2",AE33/AN33,Z33="stk",AE33/AL33,Z33="kWh","",Z33="N/A","")))))</f>
        <v/>
      </c>
      <c r="R33" s="186" t="s">
        <v>5</v>
      </c>
      <c r="S33" s="82"/>
      <c r="T33" s="203" t="s">
        <v>806</v>
      </c>
      <c r="U33" s="47">
        <v>2025</v>
      </c>
      <c r="V33" s="47" t="s">
        <v>14</v>
      </c>
      <c r="W33" s="47">
        <v>25</v>
      </c>
      <c r="Y33" s="47" t="s">
        <v>716</v>
      </c>
      <c r="Z33" s="47" t="s">
        <v>15</v>
      </c>
      <c r="AA33" s="52">
        <f t="shared" si="4"/>
        <v>290.51209999999998</v>
      </c>
      <c r="AB33" s="52">
        <v>290</v>
      </c>
      <c r="AC33" s="52">
        <f>0.0261 +0.486</f>
        <v>0.5121</v>
      </c>
      <c r="AD33" s="52" t="s">
        <v>191</v>
      </c>
      <c r="AE33" s="52" t="s">
        <v>191</v>
      </c>
      <c r="AF33" s="47"/>
      <c r="AG33" s="115"/>
      <c r="AH33" s="122"/>
      <c r="AI33" s="125"/>
      <c r="AJ33" s="46"/>
      <c r="AK33" s="46"/>
      <c r="AL33" s="116">
        <f>AN33*AM33</f>
        <v>75</v>
      </c>
      <c r="AM33" s="188">
        <v>0.5</v>
      </c>
      <c r="AN33" s="116">
        <v>150</v>
      </c>
      <c r="AP33" s="105" t="s">
        <v>17</v>
      </c>
      <c r="AQ33" s="106"/>
      <c r="AR33" s="46"/>
    </row>
    <row r="34" spans="1:44" s="25" customFormat="1" ht="25.2" customHeight="1" x14ac:dyDescent="0.15">
      <c r="A34" s="171" t="s">
        <v>717</v>
      </c>
      <c r="B34" s="47" t="s">
        <v>210</v>
      </c>
      <c r="C34" s="47" t="str">
        <f>""</f>
        <v/>
      </c>
      <c r="D34" s="47" t="s">
        <v>662</v>
      </c>
      <c r="E34" s="86" t="s">
        <v>148</v>
      </c>
      <c r="F34" s="85" t="s">
        <v>428</v>
      </c>
      <c r="G34" s="85" t="s">
        <v>801</v>
      </c>
      <c r="H34" s="46"/>
      <c r="I34" s="111">
        <v>1</v>
      </c>
      <c r="J34" s="52">
        <f t="shared" si="0"/>
        <v>2.4292674999999999</v>
      </c>
      <c r="K34" s="155" cm="1">
        <f t="array" ref="K34">IF(AL34="N/A","",IF(AM34="N/A","",IF(AN34="N/A","",IF(AA34="N/A","",_xlfn.IFS(Z34="Wp",AA34,Z34="m2",AA34/AN34,Z34="stk",AA34/AL34,Z34="kWh","",Z34="N/A","")))))</f>
        <v>2.4292674999999999</v>
      </c>
      <c r="L34" s="52">
        <f t="shared" si="1"/>
        <v>2.4249999999999998</v>
      </c>
      <c r="M34" s="155" cm="1">
        <f t="array" ref="M34">IF(AL34="N/A","",IF(AM34="N/A","",IF(AN34="N/A","",IF(AB34="N/A","",_xlfn.IFS(Z34="Wp",AB34,Z34="m2",AB34/AN34,Z34="stk",AB34/AL34,Z34="kWh","",Z34="N/A","")))))</f>
        <v>2.4249999999999998</v>
      </c>
      <c r="N34" s="52">
        <f t="shared" si="2"/>
        <v>4.2674999999999996E-3</v>
      </c>
      <c r="O34" s="148" cm="1">
        <f t="array" ref="O34">IF(AL34="N/A","",IF(AM34="N/A","",IF(AN34="N/A","",IF(AC34="N/A","",_xlfn.IFS(Z34="Wp",AC34,Z34="m2",AC34/AN34,Z34="stk",AC34/AL34,Z34="kWh","",Z34="N/A","")))))</f>
        <v>4.2674999999999996E-3</v>
      </c>
      <c r="P34" s="52" t="str">
        <f t="shared" si="3"/>
        <v>N/A</v>
      </c>
      <c r="Q34" s="155" t="str" cm="1">
        <f t="array" ref="Q34">IF(AL34="N/A","",IF(AM34="N/A","",IF(AN34="N/A","",IF(AE34="N/A","",_xlfn.IFS(Z34="Wp",AE34,Z34="m2",AE34/AN34,Z34="stk",AE34/AL34,Z34="kWh","",Z34="N/A","")))))</f>
        <v/>
      </c>
      <c r="R34" s="186" t="s">
        <v>5</v>
      </c>
      <c r="S34" s="47"/>
      <c r="T34" s="203" t="s">
        <v>806</v>
      </c>
      <c r="U34" s="47">
        <v>2025</v>
      </c>
      <c r="V34" s="47" t="s">
        <v>14</v>
      </c>
      <c r="W34" s="47">
        <v>25</v>
      </c>
      <c r="Y34" s="47" t="s">
        <v>718</v>
      </c>
      <c r="Z34" s="47" t="s">
        <v>15</v>
      </c>
      <c r="AA34" s="52">
        <f t="shared" si="4"/>
        <v>291.51209999999998</v>
      </c>
      <c r="AB34" s="52">
        <v>291</v>
      </c>
      <c r="AC34" s="52">
        <f>0.0261+0.486</f>
        <v>0.5121</v>
      </c>
      <c r="AD34" s="52" t="s">
        <v>191</v>
      </c>
      <c r="AE34" s="52" t="s">
        <v>191</v>
      </c>
      <c r="AF34" s="47"/>
      <c r="AG34" s="115"/>
      <c r="AH34" s="122"/>
      <c r="AI34" s="125"/>
      <c r="AJ34" s="46"/>
      <c r="AK34" s="46"/>
      <c r="AL34" s="116">
        <f>AN34*AM34</f>
        <v>60</v>
      </c>
      <c r="AM34" s="188">
        <v>0.5</v>
      </c>
      <c r="AN34" s="116">
        <v>120</v>
      </c>
      <c r="AP34" s="105" t="s">
        <v>17</v>
      </c>
      <c r="AQ34" s="73"/>
      <c r="AR34" s="46"/>
    </row>
    <row r="35" spans="1:44" s="25" customFormat="1" ht="25.2" customHeight="1" x14ac:dyDescent="0.15">
      <c r="A35" s="25" t="s">
        <v>719</v>
      </c>
      <c r="B35" s="47" t="s">
        <v>210</v>
      </c>
      <c r="C35" s="47" t="str">
        <f>""</f>
        <v/>
      </c>
      <c r="D35" s="47" t="s">
        <v>662</v>
      </c>
      <c r="E35" s="86" t="s">
        <v>148</v>
      </c>
      <c r="F35" s="85" t="s">
        <v>428</v>
      </c>
      <c r="G35" s="85" t="s">
        <v>801</v>
      </c>
      <c r="H35" s="46"/>
      <c r="I35" s="111">
        <v>1</v>
      </c>
      <c r="J35" s="52">
        <f t="shared" si="0"/>
        <v>2.597089</v>
      </c>
      <c r="K35" s="155" cm="1">
        <f t="array" ref="K35">IF(AL35="N/A","",IF(AM35="N/A","",IF(AN35="N/A","",IF(AA35="N/A","",_xlfn.IFS(Z35="Wp",AA35,Z35="m2",AA35/AN35,Z35="stk",AA35/AL35,Z35="kWh","",Z35="N/A","")))))</f>
        <v>2.597089</v>
      </c>
      <c r="L35" s="52">
        <f t="shared" si="1"/>
        <v>2.5960000000000001</v>
      </c>
      <c r="M35" s="155" cm="1">
        <f t="array" ref="M35">IF(AL35="N/A","",IF(AM35="N/A","",IF(AN35="N/A","",IF(AB35="N/A","",_xlfn.IFS(Z35="Wp",AB35,Z35="m2",AB35/AN35,Z35="stk",AB35/AL35,Z35="kWh","",Z35="N/A","")))))</f>
        <v>2.5960000000000001</v>
      </c>
      <c r="N35" s="52">
        <f t="shared" si="2"/>
        <v>1.0890000000000001E-3</v>
      </c>
      <c r="O35" s="148" cm="1">
        <f t="array" ref="O35">IF(AL35="N/A","",IF(AM35="N/A","",IF(AN35="N/A","",IF(AC35="N/A","",_xlfn.IFS(Z35="Wp",AC35,Z35="m2",AC35/AN35,Z35="stk",AC35/AL35,Z35="kWh","",Z35="N/A","")))))</f>
        <v>1.0890000000000001E-3</v>
      </c>
      <c r="P35" s="52" t="str">
        <f t="shared" si="3"/>
        <v>N/A</v>
      </c>
      <c r="Q35" s="155" t="str" cm="1">
        <f t="array" ref="Q35">IF(AL35="N/A","",IF(AM35="N/A","",IF(AN35="N/A","",IF(AE35="N/A","",_xlfn.IFS(Z35="Wp",AE35,Z35="m2",AE35/AN35,Z35="stk",AE35/AL35,Z35="kWh","",Z35="N/A","")))))</f>
        <v/>
      </c>
      <c r="R35" s="186" t="s">
        <v>5</v>
      </c>
      <c r="S35" s="47"/>
      <c r="T35" s="203" t="s">
        <v>803</v>
      </c>
      <c r="U35" s="47">
        <v>2025</v>
      </c>
      <c r="V35" s="47" t="s">
        <v>14</v>
      </c>
      <c r="W35" s="47">
        <v>25</v>
      </c>
      <c r="Y35" s="47" t="s">
        <v>720</v>
      </c>
      <c r="Z35" s="47" t="s">
        <v>15</v>
      </c>
      <c r="AA35" s="52">
        <f t="shared" si="4"/>
        <v>236.09899999999999</v>
      </c>
      <c r="AB35" s="52">
        <v>236</v>
      </c>
      <c r="AC35" s="52">
        <f>0+0.099</f>
        <v>9.9000000000000005E-2</v>
      </c>
      <c r="AD35" s="52" t="s">
        <v>191</v>
      </c>
      <c r="AE35" s="52" t="s">
        <v>191</v>
      </c>
      <c r="AF35" s="47"/>
      <c r="AG35" s="115"/>
      <c r="AH35" s="122"/>
      <c r="AI35" s="125"/>
      <c r="AJ35" s="46"/>
      <c r="AK35" s="46"/>
      <c r="AL35" s="116">
        <v>24</v>
      </c>
      <c r="AM35" s="188">
        <v>0.26400000000000001</v>
      </c>
      <c r="AN35" s="116">
        <f t="shared" ref="AN35:AN49" si="6">AL35/AM35</f>
        <v>90.909090909090907</v>
      </c>
      <c r="AP35" s="105" t="s">
        <v>17</v>
      </c>
      <c r="AQ35" s="73"/>
      <c r="AR35" s="46"/>
    </row>
    <row r="36" spans="1:44" s="190" customFormat="1" ht="25.2" customHeight="1" x14ac:dyDescent="0.15">
      <c r="A36" s="25" t="s">
        <v>796</v>
      </c>
      <c r="B36" s="47" t="s">
        <v>210</v>
      </c>
      <c r="C36" s="47" t="str">
        <f>""</f>
        <v/>
      </c>
      <c r="D36" s="47" t="s">
        <v>721</v>
      </c>
      <c r="E36" s="47" t="s">
        <v>137</v>
      </c>
      <c r="F36" s="85" t="s">
        <v>428</v>
      </c>
      <c r="G36" s="85" t="s">
        <v>807</v>
      </c>
      <c r="H36" s="191"/>
      <c r="I36" s="111">
        <v>1</v>
      </c>
      <c r="J36" s="52">
        <f t="shared" si="0"/>
        <v>0.69480434226086951</v>
      </c>
      <c r="K36" s="155" cm="1">
        <f t="array" ref="K36">IF(AL36="N/A","",IF(AM36="N/A","",IF(AN36="N/A","",IF(AA36="N/A","",_xlfn.IFS(Z36="Wp",AA36,Z36="m2",AA36/AN36,Z36="stk",AA36/AL36,Z36="kWh","",Z36="N/A","")))))</f>
        <v>0.69480434226086951</v>
      </c>
      <c r="L36" s="52">
        <f t="shared" si="1"/>
        <v>0.68961996521739122</v>
      </c>
      <c r="M36" s="155" cm="1">
        <f t="array" ref="M36">IF(AL36="N/A","",IF(AM36="N/A","",IF(AN36="N/A","",IF(AB36="N/A","",_xlfn.IFS(Z36="Wp",AB36,Z36="m2",AB36/AN36,Z36="stk",AB36/AL36,Z36="kWh","",Z36="N/A","")))))</f>
        <v>0.68961996521739122</v>
      </c>
      <c r="N36" s="52">
        <f t="shared" si="2"/>
        <v>5.1843770434782605E-3</v>
      </c>
      <c r="O36" s="148" cm="1">
        <f t="array" ref="O36">IF(AL36="N/A","",IF(AM36="N/A","",IF(AN36="N/A","",IF(AC36="N/A","",_xlfn.IFS(Z36="Wp",AC36,Z36="m2",AC36/AN36,Z36="stk",AC36/AL36,Z36="kWh","",Z36="N/A","")))))</f>
        <v>5.1843770434782605E-3</v>
      </c>
      <c r="P36" s="192" t="str">
        <f t="shared" si="3"/>
        <v>N/A</v>
      </c>
      <c r="Q36" s="155" t="str" cm="1">
        <f t="array" ref="Q36">IF(AL36="N/A","",IF(AM36="N/A","",IF(AN36="N/A","",IF(AE36="N/A","",_xlfn.IFS(Z36="Wp",AE36,Z36="m2",AE36/AN36,Z36="stk",AE36/AL36,Z36="kWh","",Z36="N/A","")))))</f>
        <v/>
      </c>
      <c r="R36" s="186" t="s">
        <v>5</v>
      </c>
      <c r="S36" s="189"/>
      <c r="T36" s="203" t="s">
        <v>804</v>
      </c>
      <c r="U36" s="47">
        <v>2026</v>
      </c>
      <c r="V36" s="47" t="s">
        <v>14</v>
      </c>
      <c r="W36" s="47">
        <v>25</v>
      </c>
      <c r="Y36" s="47" t="s">
        <v>800</v>
      </c>
      <c r="Z36" s="47" t="s">
        <v>15</v>
      </c>
      <c r="AA36" s="52">
        <f t="shared" si="4"/>
        <v>142.06</v>
      </c>
      <c r="AB36" s="52">
        <v>141</v>
      </c>
      <c r="AC36" s="52">
        <v>1.06</v>
      </c>
      <c r="AD36" s="192" t="s">
        <v>191</v>
      </c>
      <c r="AE36" s="192" t="s">
        <v>191</v>
      </c>
      <c r="AF36" s="189"/>
      <c r="AG36" s="192"/>
      <c r="AH36" s="193"/>
      <c r="AI36" s="194"/>
      <c r="AJ36" s="191"/>
      <c r="AK36" s="191"/>
      <c r="AL36" s="47">
        <v>345</v>
      </c>
      <c r="AM36" s="188">
        <f>1.684*1.002</f>
        <v>1.687368</v>
      </c>
      <c r="AN36" s="116">
        <f t="shared" si="6"/>
        <v>204.46043779424525</v>
      </c>
      <c r="AP36" s="173" t="s">
        <v>17</v>
      </c>
      <c r="AQ36" s="195"/>
      <c r="AR36" s="191"/>
    </row>
    <row r="37" spans="1:44" s="190" customFormat="1" ht="25.2" customHeight="1" x14ac:dyDescent="0.15">
      <c r="A37" s="25" t="s">
        <v>797</v>
      </c>
      <c r="B37" s="47" t="s">
        <v>210</v>
      </c>
      <c r="C37" s="47" t="str">
        <f>""</f>
        <v/>
      </c>
      <c r="D37" s="47" t="s">
        <v>721</v>
      </c>
      <c r="E37" s="47" t="s">
        <v>137</v>
      </c>
      <c r="F37" s="85" t="s">
        <v>428</v>
      </c>
      <c r="G37" s="85" t="s">
        <v>807</v>
      </c>
      <c r="H37" s="191"/>
      <c r="I37" s="111">
        <v>1</v>
      </c>
      <c r="J37" s="52">
        <f t="shared" si="0"/>
        <v>0.69480434226086951</v>
      </c>
      <c r="K37" s="155" cm="1">
        <f t="array" ref="K37">IF(AL37="N/A","",IF(AM37="N/A","",IF(AN37="N/A","",IF(AA37="N/A","",_xlfn.IFS(Z37="Wp",AA37,Z37="m2",AA37/AN37,Z37="stk",AA37/AL37,Z37="kWh","",Z37="N/A","")))))</f>
        <v>0.69480434226086951</v>
      </c>
      <c r="L37" s="52">
        <f t="shared" si="1"/>
        <v>0.68961996521739122</v>
      </c>
      <c r="M37" s="155" cm="1">
        <f t="array" ref="M37">IF(AL37="N/A","",IF(AM37="N/A","",IF(AN37="N/A","",IF(AB37="N/A","",_xlfn.IFS(Z37="Wp",AB37,Z37="m2",AB37/AN37,Z37="stk",AB37/AL37,Z37="kWh","",Z37="N/A","")))))</f>
        <v>0.68961996521739122</v>
      </c>
      <c r="N37" s="52">
        <f t="shared" si="2"/>
        <v>5.1843770434782605E-3</v>
      </c>
      <c r="O37" s="148" cm="1">
        <f t="array" ref="O37">IF(AL37="N/A","",IF(AM37="N/A","",IF(AN37="N/A","",IF(AC37="N/A","",_xlfn.IFS(Z37="Wp",AC37,Z37="m2",AC37/AN37,Z37="stk",AC37/AL37,Z37="kWh","",Z37="N/A","")))))</f>
        <v>5.1843770434782605E-3</v>
      </c>
      <c r="P37" s="192" t="str">
        <f t="shared" si="3"/>
        <v>N/A</v>
      </c>
      <c r="Q37" s="155" t="str" cm="1">
        <f t="array" ref="Q37">IF(AL37="N/A","",IF(AM37="N/A","",IF(AN37="N/A","",IF(AE37="N/A","",_xlfn.IFS(Z37="Wp",AE37,Z37="m2",AE37/AN37,Z37="stk",AE37/AL37,Z37="kWh","",Z37="N/A","")))))</f>
        <v/>
      </c>
      <c r="R37" s="186" t="s">
        <v>5</v>
      </c>
      <c r="S37" s="189"/>
      <c r="T37" s="203" t="s">
        <v>804</v>
      </c>
      <c r="U37" s="47">
        <v>2026</v>
      </c>
      <c r="V37" s="47" t="s">
        <v>1228</v>
      </c>
      <c r="W37" s="47">
        <v>25</v>
      </c>
      <c r="Y37" s="47" t="s">
        <v>800</v>
      </c>
      <c r="Z37" s="47" t="s">
        <v>15</v>
      </c>
      <c r="AA37" s="52">
        <f t="shared" si="4"/>
        <v>142.06</v>
      </c>
      <c r="AB37" s="52">
        <v>141</v>
      </c>
      <c r="AC37" s="52">
        <v>1.06</v>
      </c>
      <c r="AD37" s="192" t="s">
        <v>191</v>
      </c>
      <c r="AE37" s="192" t="s">
        <v>191</v>
      </c>
      <c r="AF37" s="189"/>
      <c r="AG37" s="192"/>
      <c r="AH37" s="193"/>
      <c r="AI37" s="194"/>
      <c r="AJ37" s="191"/>
      <c r="AK37" s="191"/>
      <c r="AL37" s="47">
        <v>345</v>
      </c>
      <c r="AM37" s="188">
        <f>1.684*1.002</f>
        <v>1.687368</v>
      </c>
      <c r="AN37" s="116">
        <f t="shared" si="6"/>
        <v>204.46043779424525</v>
      </c>
      <c r="AP37" s="173" t="s">
        <v>17</v>
      </c>
      <c r="AQ37" s="195"/>
      <c r="AR37" s="191"/>
    </row>
    <row r="38" spans="1:44" s="190" customFormat="1" ht="25.2" customHeight="1" x14ac:dyDescent="0.15">
      <c r="A38" s="25" t="s">
        <v>798</v>
      </c>
      <c r="B38" s="47" t="s">
        <v>210</v>
      </c>
      <c r="C38" s="47" t="str">
        <f>""</f>
        <v/>
      </c>
      <c r="D38" s="47" t="s">
        <v>721</v>
      </c>
      <c r="E38" s="47" t="s">
        <v>137</v>
      </c>
      <c r="F38" s="85" t="s">
        <v>428</v>
      </c>
      <c r="G38" s="85" t="s">
        <v>807</v>
      </c>
      <c r="H38" s="191"/>
      <c r="I38" s="111">
        <v>1</v>
      </c>
      <c r="J38" s="52">
        <f t="shared" ref="J38:J69" si="7">IF(AC38="N/A","N/A",IF(K38="","N/A",K38))</f>
        <v>0.69480434226086951</v>
      </c>
      <c r="K38" s="155" cm="1">
        <f t="array" ref="K38">IF(AL38="N/A","",IF(AM38="N/A","",IF(AN38="N/A","",IF(AA38="N/A","",_xlfn.IFS(Z38="Wp",AA38,Z38="m2",AA38/AN38,Z38="stk",AA38/AL38,Z38="kWh","",Z38="N/A","")))))</f>
        <v>0.69480434226086951</v>
      </c>
      <c r="L38" s="52">
        <f t="shared" ref="L38:L69" si="8">IF(M38="","N/A",M38)</f>
        <v>0.68961996521739122</v>
      </c>
      <c r="M38" s="155" cm="1">
        <f t="array" ref="M38">IF(AL38="N/A","",IF(AM38="N/A","",IF(AN38="N/A","",IF(AB38="N/A","",_xlfn.IFS(Z38="Wp",AB38,Z38="m2",AB38/AN38,Z38="stk",AB38/AL38,Z38="kWh","",Z38="N/A","")))))</f>
        <v>0.68961996521739122</v>
      </c>
      <c r="N38" s="52">
        <f t="shared" ref="N38:N69" si="9">IF(O38="","N/A",O38)</f>
        <v>5.1843770434782605E-3</v>
      </c>
      <c r="O38" s="148" cm="1">
        <f t="array" ref="O38">IF(AL38="N/A","",IF(AM38="N/A","",IF(AN38="N/A","",IF(AC38="N/A","",_xlfn.IFS(Z38="Wp",AC38,Z38="m2",AC38/AN38,Z38="stk",AC38/AL38,Z38="kWh","",Z38="N/A","")))))</f>
        <v>5.1843770434782605E-3</v>
      </c>
      <c r="P38" s="192" t="str">
        <f t="shared" ref="P38:P69" si="10">IF(Q38="","N/A",Q38)</f>
        <v>N/A</v>
      </c>
      <c r="Q38" s="155" t="str" cm="1">
        <f t="array" ref="Q38">IF(AL38="N/A","",IF(AM38="N/A","",IF(AN38="N/A","",IF(AE38="N/A","",_xlfn.IFS(Z38="Wp",AE38,Z38="m2",AE38/AN38,Z38="stk",AE38/AL38,Z38="kWh","",Z38="N/A","")))))</f>
        <v/>
      </c>
      <c r="R38" s="186" t="s">
        <v>5</v>
      </c>
      <c r="S38" s="189"/>
      <c r="T38" s="203" t="s">
        <v>804</v>
      </c>
      <c r="U38" s="47">
        <v>2026</v>
      </c>
      <c r="V38" s="47" t="s">
        <v>1228</v>
      </c>
      <c r="W38" s="47">
        <v>25</v>
      </c>
      <c r="Y38" s="47" t="s">
        <v>800</v>
      </c>
      <c r="Z38" s="47" t="s">
        <v>15</v>
      </c>
      <c r="AA38" s="52">
        <f t="shared" ref="AA38:AA69" si="11">IF(AC38="N/A","N/A",SUM(AB38:AC38))</f>
        <v>142.06</v>
      </c>
      <c r="AB38" s="52">
        <v>141</v>
      </c>
      <c r="AC38" s="52">
        <v>1.06</v>
      </c>
      <c r="AD38" s="192" t="s">
        <v>191</v>
      </c>
      <c r="AE38" s="192" t="s">
        <v>191</v>
      </c>
      <c r="AF38" s="189"/>
      <c r="AG38" s="192"/>
      <c r="AH38" s="193"/>
      <c r="AI38" s="194"/>
      <c r="AJ38" s="191"/>
      <c r="AK38" s="191"/>
      <c r="AL38" s="47">
        <v>345</v>
      </c>
      <c r="AM38" s="188">
        <f>1.684*1.002</f>
        <v>1.687368</v>
      </c>
      <c r="AN38" s="116">
        <f t="shared" si="6"/>
        <v>204.46043779424525</v>
      </c>
      <c r="AP38" s="173" t="s">
        <v>17</v>
      </c>
      <c r="AQ38" s="195"/>
      <c r="AR38" s="191"/>
    </row>
    <row r="39" spans="1:44" s="190" customFormat="1" ht="25.2" customHeight="1" x14ac:dyDescent="0.15">
      <c r="A39" s="25" t="s">
        <v>799</v>
      </c>
      <c r="B39" s="47" t="s">
        <v>210</v>
      </c>
      <c r="C39" s="47" t="str">
        <f>""</f>
        <v/>
      </c>
      <c r="D39" s="47" t="s">
        <v>721</v>
      </c>
      <c r="E39" s="47" t="s">
        <v>137</v>
      </c>
      <c r="F39" s="85" t="s">
        <v>428</v>
      </c>
      <c r="G39" s="85" t="s">
        <v>807</v>
      </c>
      <c r="H39" s="191"/>
      <c r="I39" s="111">
        <v>1</v>
      </c>
      <c r="J39" s="52">
        <f t="shared" si="7"/>
        <v>0.69480434226086951</v>
      </c>
      <c r="K39" s="155" cm="1">
        <f t="array" ref="K39">IF(AL39="N/A","",IF(AM39="N/A","",IF(AN39="N/A","",IF(AA39="N/A","",_xlfn.IFS(Z39="Wp",AA39,Z39="m2",AA39/AN39,Z39="stk",AA39/AL39,Z39="kWh","",Z39="N/A","")))))</f>
        <v>0.69480434226086951</v>
      </c>
      <c r="L39" s="52">
        <f t="shared" si="8"/>
        <v>0.68961996521739122</v>
      </c>
      <c r="M39" s="155" cm="1">
        <f t="array" ref="M39">IF(AL39="N/A","",IF(AM39="N/A","",IF(AN39="N/A","",IF(AB39="N/A","",_xlfn.IFS(Z39="Wp",AB39,Z39="m2",AB39/AN39,Z39="stk",AB39/AL39,Z39="kWh","",Z39="N/A","")))))</f>
        <v>0.68961996521739122</v>
      </c>
      <c r="N39" s="52">
        <f t="shared" si="9"/>
        <v>5.1843770434782605E-3</v>
      </c>
      <c r="O39" s="148" cm="1">
        <f t="array" ref="O39">IF(AL39="N/A","",IF(AM39="N/A","",IF(AN39="N/A","",IF(AC39="N/A","",_xlfn.IFS(Z39="Wp",AC39,Z39="m2",AC39/AN39,Z39="stk",AC39/AL39,Z39="kWh","",Z39="N/A","")))))</f>
        <v>5.1843770434782605E-3</v>
      </c>
      <c r="P39" s="192" t="str">
        <f t="shared" si="10"/>
        <v>N/A</v>
      </c>
      <c r="Q39" s="155" t="str" cm="1">
        <f t="array" ref="Q39">IF(AL39="N/A","",IF(AM39="N/A","",IF(AN39="N/A","",IF(AE39="N/A","",_xlfn.IFS(Z39="Wp",AE39,Z39="m2",AE39/AN39,Z39="stk",AE39/AL39,Z39="kWh","",Z39="N/A","")))))</f>
        <v/>
      </c>
      <c r="R39" s="186" t="s">
        <v>5</v>
      </c>
      <c r="S39" s="189"/>
      <c r="T39" s="203" t="s">
        <v>804</v>
      </c>
      <c r="U39" s="47">
        <v>2026</v>
      </c>
      <c r="V39" s="47" t="s">
        <v>14</v>
      </c>
      <c r="W39" s="47">
        <v>25</v>
      </c>
      <c r="Y39" s="47" t="s">
        <v>800</v>
      </c>
      <c r="Z39" s="47" t="s">
        <v>15</v>
      </c>
      <c r="AA39" s="52">
        <f t="shared" si="11"/>
        <v>142.06</v>
      </c>
      <c r="AB39" s="52">
        <v>141</v>
      </c>
      <c r="AC39" s="52">
        <v>1.06</v>
      </c>
      <c r="AD39" s="192" t="s">
        <v>191</v>
      </c>
      <c r="AE39" s="192" t="s">
        <v>191</v>
      </c>
      <c r="AF39" s="189"/>
      <c r="AG39" s="192"/>
      <c r="AH39" s="193"/>
      <c r="AI39" s="194"/>
      <c r="AJ39" s="191"/>
      <c r="AK39" s="191"/>
      <c r="AL39" s="47">
        <v>345</v>
      </c>
      <c r="AM39" s="188">
        <f>1.684*1.002</f>
        <v>1.687368</v>
      </c>
      <c r="AN39" s="116">
        <f t="shared" si="6"/>
        <v>204.46043779424525</v>
      </c>
      <c r="AP39" s="173" t="s">
        <v>17</v>
      </c>
      <c r="AQ39" s="195"/>
      <c r="AR39" s="191"/>
    </row>
    <row r="40" spans="1:44" s="25" customFormat="1" ht="25.2" customHeight="1" x14ac:dyDescent="0.3">
      <c r="A40" s="25" t="s">
        <v>723</v>
      </c>
      <c r="B40" s="47" t="s">
        <v>210</v>
      </c>
      <c r="C40" s="47" t="str">
        <f>""</f>
        <v/>
      </c>
      <c r="D40" s="47" t="s">
        <v>724</v>
      </c>
      <c r="E40" s="86" t="s">
        <v>722</v>
      </c>
      <c r="F40" s="85" t="s">
        <v>428</v>
      </c>
      <c r="G40" s="85" t="s">
        <v>807</v>
      </c>
      <c r="H40"/>
      <c r="I40" s="111">
        <v>1</v>
      </c>
      <c r="J40" s="52">
        <f t="shared" si="7"/>
        <v>1.3706453999999999</v>
      </c>
      <c r="K40" s="155" cm="1">
        <f t="array" ref="K40">IF(AL40="N/A","",IF(AM40="N/A","",IF(AN40="N/A","",IF(AA40="N/A","",_xlfn.IFS(Z40="Wp",AA40,Z40="m2",AA40/AN40,Z40="stk",AA40/AL40,Z40="kWh","",Z40="N/A","")))))</f>
        <v>1.3706453999999999</v>
      </c>
      <c r="L40" s="52">
        <f t="shared" si="8"/>
        <v>1.32758</v>
      </c>
      <c r="M40" s="155" cm="1">
        <f t="array" ref="M40">IF(AL40="N/A","",IF(AM40="N/A","",IF(AN40="N/A","",IF(AB40="N/A","",_xlfn.IFS(Z40="Wp",AB40,Z40="m2",AB40/AN40,Z40="stk",AB40/AL40,Z40="kWh","",Z40="N/A","")))))</f>
        <v>1.32758</v>
      </c>
      <c r="N40" s="52">
        <f t="shared" si="9"/>
        <v>4.3065399999999997E-2</v>
      </c>
      <c r="O40" s="148" cm="1">
        <f t="array" ref="O40">IF(AL40="N/A","",IF(AM40="N/A","",IF(AN40="N/A","",IF(AC40="N/A","",_xlfn.IFS(Z40="Wp",AC40,Z40="m2",AC40/AN40,Z40="stk",AC40/AL40,Z40="kWh","",Z40="N/A","")))))</f>
        <v>4.3065399999999997E-2</v>
      </c>
      <c r="P40" s="52" t="str">
        <f t="shared" si="10"/>
        <v>N/A</v>
      </c>
      <c r="Q40" s="155" t="str" cm="1">
        <f t="array" ref="Q40">IF(AL40="N/A","",IF(AM40="N/A","",IF(AN40="N/A","",IF(AE40="N/A","",_xlfn.IFS(Z40="Wp",AE40,Z40="m2",AE40/AN40,Z40="stk",AE40/AL40,Z40="kWh","",Z40="N/A","")))))</f>
        <v/>
      </c>
      <c r="R40" s="186" t="s">
        <v>5</v>
      </c>
      <c r="S40" s="47"/>
      <c r="T40" s="203" t="s">
        <v>804</v>
      </c>
      <c r="U40" s="47">
        <v>2023</v>
      </c>
      <c r="V40" s="47" t="s">
        <v>14</v>
      </c>
      <c r="W40" s="47">
        <v>25</v>
      </c>
      <c r="Y40" s="47" t="s">
        <v>730</v>
      </c>
      <c r="Z40" s="47" t="s">
        <v>15</v>
      </c>
      <c r="AA40" s="52">
        <f t="shared" si="11"/>
        <v>253.98</v>
      </c>
      <c r="AB40" s="52">
        <v>246</v>
      </c>
      <c r="AC40" s="52">
        <v>7.98</v>
      </c>
      <c r="AD40" s="52" t="s">
        <v>191</v>
      </c>
      <c r="AE40" s="52" t="s">
        <v>191</v>
      </c>
      <c r="AF40" s="47"/>
      <c r="AG40" s="115"/>
      <c r="AH40" s="122"/>
      <c r="AI40" s="125"/>
      <c r="AJ40" s="46"/>
      <c r="AK40" s="46"/>
      <c r="AL40" s="47">
        <v>300</v>
      </c>
      <c r="AM40" s="188">
        <v>1.619</v>
      </c>
      <c r="AN40" s="116">
        <f t="shared" si="6"/>
        <v>185.2995676343422</v>
      </c>
      <c r="AP40" s="173" t="s">
        <v>17</v>
      </c>
      <c r="AQ40" s="73"/>
      <c r="AR40" s="46"/>
    </row>
    <row r="41" spans="1:44" s="25" customFormat="1" ht="25.2" customHeight="1" x14ac:dyDescent="0.3">
      <c r="A41" s="25" t="s">
        <v>725</v>
      </c>
      <c r="B41" s="47" t="s">
        <v>210</v>
      </c>
      <c r="C41" s="47" t="str">
        <f>""</f>
        <v/>
      </c>
      <c r="D41" s="47" t="s">
        <v>724</v>
      </c>
      <c r="E41" s="86" t="s">
        <v>726</v>
      </c>
      <c r="F41" s="85" t="s">
        <v>699</v>
      </c>
      <c r="G41" s="85" t="s">
        <v>807</v>
      </c>
      <c r="H41"/>
      <c r="I41" s="111">
        <v>1</v>
      </c>
      <c r="J41" s="52">
        <f t="shared" si="7"/>
        <v>1.0890277090909091</v>
      </c>
      <c r="K41" s="155" cm="1">
        <f t="array" ref="K41">IF(AL41="N/A","",IF(AM41="N/A","",IF(AN41="N/A","",IF(AA41="N/A","",_xlfn.IFS(Z41="Wp",AA41,Z41="m2",AA41/AN41,Z41="stk",AA41/AL41,Z41="kWh","",Z41="N/A","")))))</f>
        <v>1.0890277090909091</v>
      </c>
      <c r="L41" s="52">
        <f t="shared" si="8"/>
        <v>1.0420472727272727</v>
      </c>
      <c r="M41" s="155" cm="1">
        <f t="array" ref="M41">IF(AL41="N/A","",IF(AM41="N/A","",IF(AN41="N/A","",IF(AB41="N/A","",_xlfn.IFS(Z41="Wp",AB41,Z41="m2",AB41/AN41,Z41="stk",AB41/AL41,Z41="kWh","",Z41="N/A","")))))</f>
        <v>1.0420472727272727</v>
      </c>
      <c r="N41" s="52">
        <f t="shared" si="9"/>
        <v>4.6980436363636364E-2</v>
      </c>
      <c r="O41" s="148" cm="1">
        <f t="array" ref="O41">IF(AL41="N/A","",IF(AM41="N/A","",IF(AN41="N/A","",IF(AC41="N/A","",_xlfn.IFS(Z41="Wp",AC41,Z41="m2",AC41/AN41,Z41="stk",AC41/AL41,Z41="kWh","",Z41="N/A","")))))</f>
        <v>4.6980436363636364E-2</v>
      </c>
      <c r="P41" s="52" t="str">
        <f t="shared" si="10"/>
        <v>N/A</v>
      </c>
      <c r="Q41" s="155" t="str" cm="1">
        <f t="array" ref="Q41">IF(AL41="N/A","",IF(AM41="N/A","",IF(AN41="N/A","",IF(AE41="N/A","",_xlfn.IFS(Z41="Wp",AE41,Z41="m2",AE41/AN41,Z41="stk",AE41/AL41,Z41="kWh","",Z41="N/A","")))))</f>
        <v/>
      </c>
      <c r="R41" s="186" t="s">
        <v>5</v>
      </c>
      <c r="S41" s="47"/>
      <c r="T41" s="203" t="s">
        <v>804</v>
      </c>
      <c r="U41" s="47">
        <v>2023</v>
      </c>
      <c r="V41" s="47" t="s">
        <v>14</v>
      </c>
      <c r="W41" s="47">
        <v>25</v>
      </c>
      <c r="Y41" s="47" t="s">
        <v>729</v>
      </c>
      <c r="Z41" s="47" t="s">
        <v>15</v>
      </c>
      <c r="AA41" s="52">
        <f t="shared" si="11"/>
        <v>184.98</v>
      </c>
      <c r="AB41" s="52">
        <v>177</v>
      </c>
      <c r="AC41" s="52">
        <v>7.98</v>
      </c>
      <c r="AD41" s="52" t="s">
        <v>191</v>
      </c>
      <c r="AE41" s="52" t="s">
        <v>191</v>
      </c>
      <c r="AF41" s="47"/>
      <c r="AG41" s="115"/>
      <c r="AH41" s="122"/>
      <c r="AI41" s="125"/>
      <c r="AJ41" s="46"/>
      <c r="AK41" s="46"/>
      <c r="AL41" s="47">
        <v>275</v>
      </c>
      <c r="AM41" s="188">
        <v>1.619</v>
      </c>
      <c r="AN41" s="116">
        <f t="shared" si="6"/>
        <v>169.85793699814701</v>
      </c>
      <c r="AP41" s="173" t="s">
        <v>17</v>
      </c>
      <c r="AQ41" s="73"/>
      <c r="AR41" s="46"/>
    </row>
    <row r="42" spans="1:44" s="25" customFormat="1" ht="25.2" customHeight="1" x14ac:dyDescent="0.15">
      <c r="A42" s="25" t="s">
        <v>727</v>
      </c>
      <c r="B42" s="47" t="s">
        <v>210</v>
      </c>
      <c r="C42" s="47" t="str">
        <f>""</f>
        <v/>
      </c>
      <c r="D42" s="47" t="s">
        <v>653</v>
      </c>
      <c r="E42" s="86" t="s">
        <v>143</v>
      </c>
      <c r="F42" s="85" t="s">
        <v>428</v>
      </c>
      <c r="G42" s="85" t="s">
        <v>807</v>
      </c>
      <c r="H42" s="46"/>
      <c r="I42" s="111">
        <v>1</v>
      </c>
      <c r="J42" s="52">
        <f t="shared" si="7"/>
        <v>0.79757260465116275</v>
      </c>
      <c r="K42" s="155" cm="1">
        <f t="array" ref="K42">IF(AL42="N/A","",IF(AM42="N/A","",IF(AN42="N/A","",IF(AA42="N/A","",_xlfn.IFS(Z42="Wp",AA42,Z42="m2",AA42/AN42,Z42="stk",AA42/AL42,Z42="kWh","",Z42="N/A","")))))</f>
        <v>0.79757260465116275</v>
      </c>
      <c r="L42" s="52">
        <f t="shared" si="8"/>
        <v>0.76910232558139524</v>
      </c>
      <c r="M42" s="155" cm="1">
        <f t="array" ref="M42">IF(AL42="N/A","",IF(AM42="N/A","",IF(AN42="N/A","",IF(AB42="N/A","",_xlfn.IFS(Z42="Wp",AB42,Z42="m2",AB42/AN42,Z42="stk",AB42/AL42,Z42="kWh","",Z42="N/A","")))))</f>
        <v>0.76910232558139524</v>
      </c>
      <c r="N42" s="52">
        <f t="shared" si="9"/>
        <v>2.8470279069767439E-2</v>
      </c>
      <c r="O42" s="148" cm="1">
        <f t="array" ref="O42">IF(AL42="N/A","",IF(AM42="N/A","",IF(AN42="N/A","",IF(AC42="N/A","",_xlfn.IFS(Z42="Wp",AC42,Z42="m2",AC42/AN42,Z42="stk",AC42/AL42,Z42="kWh","",Z42="N/A","")))))</f>
        <v>2.8470279069767439E-2</v>
      </c>
      <c r="P42" s="52">
        <f t="shared" si="10"/>
        <v>4.7675348837209301E-3</v>
      </c>
      <c r="Q42" s="155" cm="1">
        <f t="array" ref="Q42">IF(AL42="N/A","",IF(AM42="N/A","",IF(AN42="N/A","",IF(AE42="N/A","",_xlfn.IFS(Z42="Wp",AE42,Z42="m2",AE42/AN42,Z42="stk",AE42/AL42,Z42="kWh","",Z42="N/A","")))))</f>
        <v>4.7675348837209301E-3</v>
      </c>
      <c r="R42" s="186" t="s">
        <v>5</v>
      </c>
      <c r="S42" s="47"/>
      <c r="T42" s="203" t="s">
        <v>804</v>
      </c>
      <c r="U42" s="47">
        <v>2028</v>
      </c>
      <c r="V42" s="47" t="s">
        <v>1228</v>
      </c>
      <c r="W42" s="47">
        <v>25</v>
      </c>
      <c r="Y42" s="47" t="s">
        <v>728</v>
      </c>
      <c r="Z42" s="47" t="s">
        <v>15</v>
      </c>
      <c r="AA42" s="52">
        <f t="shared" si="11"/>
        <v>177.33</v>
      </c>
      <c r="AB42" s="52">
        <v>171</v>
      </c>
      <c r="AC42" s="52">
        <v>6.33</v>
      </c>
      <c r="AD42" s="52">
        <v>-54.9</v>
      </c>
      <c r="AE42" s="52">
        <v>1.06</v>
      </c>
      <c r="AF42" s="47"/>
      <c r="AG42" s="115"/>
      <c r="AH42" s="122"/>
      <c r="AI42" s="125"/>
      <c r="AJ42" s="46"/>
      <c r="AK42" s="46"/>
      <c r="AL42" s="47">
        <v>430</v>
      </c>
      <c r="AM42" s="188">
        <v>1.9339999999999999</v>
      </c>
      <c r="AN42" s="116">
        <f t="shared" si="6"/>
        <v>222.33712512926579</v>
      </c>
      <c r="AP42" s="109"/>
      <c r="AQ42" s="73"/>
      <c r="AR42" s="46"/>
    </row>
    <row r="43" spans="1:44" s="25" customFormat="1" ht="25.2" customHeight="1" x14ac:dyDescent="0.15">
      <c r="A43" s="25" t="s">
        <v>739</v>
      </c>
      <c r="B43" s="47" t="s">
        <v>210</v>
      </c>
      <c r="C43" s="47" t="str">
        <f>""</f>
        <v/>
      </c>
      <c r="D43" s="47" t="s">
        <v>661</v>
      </c>
      <c r="E43" s="86" t="s">
        <v>137</v>
      </c>
      <c r="F43" s="47" t="s">
        <v>428</v>
      </c>
      <c r="G43" s="85" t="s">
        <v>807</v>
      </c>
      <c r="H43" s="46"/>
      <c r="I43" s="111">
        <v>1</v>
      </c>
      <c r="J43" s="52">
        <f t="shared" si="7"/>
        <v>0.6731554798637549</v>
      </c>
      <c r="K43" s="155" cm="1">
        <f t="array" ref="K43">IF(AL43="N/A","",IF(AM43="N/A","",IF(AN43="N/A","",IF(AA43="N/A","",_xlfn.IFS(Z43="Wp",AA43,Z43="m2",AA43/AN43,Z43="stk",AA43/AL43,Z43="kWh","",Z43="N/A","")))))</f>
        <v>0.6731554798637549</v>
      </c>
      <c r="L43" s="52">
        <f t="shared" si="8"/>
        <v>0.66813263874974971</v>
      </c>
      <c r="M43" s="155" cm="1">
        <f t="array" ref="M43">IF(AL43="N/A","",IF(AM43="N/A","",IF(AN43="N/A","",IF(AB43="N/A","",_xlfn.IFS(Z43="Wp",AB43,Z43="m2",AB43/AN43,Z43="stk",AB43/AL43,Z43="kWh","",Z43="N/A","")))))</f>
        <v>0.66813263874974971</v>
      </c>
      <c r="N43" s="52">
        <f t="shared" si="9"/>
        <v>5.0228411140052108E-3</v>
      </c>
      <c r="O43" s="148" cm="1">
        <f t="array" ref="O43">IF(AL43="N/A","",IF(AM43="N/A","",IF(AN43="N/A","",IF(AC43="N/A","",_xlfn.IFS(Z43="Wp",AC43,Z43="m2",AC43/AN43,Z43="stk",AC43/AL43,Z43="kWh","",Z43="N/A","")))))</f>
        <v>5.0228411140052108E-3</v>
      </c>
      <c r="P43" s="52" t="str">
        <f t="shared" si="10"/>
        <v>N/A</v>
      </c>
      <c r="Q43" s="155" t="str" cm="1">
        <f t="array" ref="Q43">IF(AL43="N/A","",IF(AM43="N/A","",IF(AN43="N/A","",IF(AE43="N/A","",_xlfn.IFS(Z43="Wp",AE43,Z43="m2",AE43/AN43,Z43="stk",AE43/AL43,Z43="kWh","",Z43="N/A","")))))</f>
        <v/>
      </c>
      <c r="R43" s="186" t="s">
        <v>5</v>
      </c>
      <c r="S43" s="47"/>
      <c r="T43" s="203" t="s">
        <v>804</v>
      </c>
      <c r="U43" s="47">
        <v>2026</v>
      </c>
      <c r="V43" s="47" t="s">
        <v>1228</v>
      </c>
      <c r="W43" s="47">
        <v>25</v>
      </c>
      <c r="Y43" s="47" t="s">
        <v>736</v>
      </c>
      <c r="Z43" s="47" t="s">
        <v>15</v>
      </c>
      <c r="AA43" s="52">
        <f t="shared" si="11"/>
        <v>142.06</v>
      </c>
      <c r="AB43" s="52">
        <v>141</v>
      </c>
      <c r="AC43" s="52">
        <v>1.06</v>
      </c>
      <c r="AD43" s="52" t="s">
        <v>191</v>
      </c>
      <c r="AE43" s="52" t="s">
        <v>191</v>
      </c>
      <c r="AF43" s="47"/>
      <c r="AG43" s="115"/>
      <c r="AH43" s="122"/>
      <c r="AI43" s="125"/>
      <c r="AJ43" s="46"/>
      <c r="AK43" s="46"/>
      <c r="AL43" s="47">
        <v>460</v>
      </c>
      <c r="AM43" s="188">
        <f>4.73/2.17</f>
        <v>2.1797235023041477</v>
      </c>
      <c r="AN43" s="116">
        <f t="shared" si="6"/>
        <v>211.03594080338263</v>
      </c>
      <c r="AP43" s="109"/>
      <c r="AQ43" s="73"/>
      <c r="AR43" s="46"/>
    </row>
    <row r="44" spans="1:44" s="25" customFormat="1" ht="25.2" customHeight="1" x14ac:dyDescent="0.15">
      <c r="A44" s="25" t="s">
        <v>737</v>
      </c>
      <c r="B44" s="47" t="s">
        <v>210</v>
      </c>
      <c r="C44" s="47" t="str">
        <f>""</f>
        <v/>
      </c>
      <c r="D44" s="47" t="s">
        <v>661</v>
      </c>
      <c r="E44" s="86" t="s">
        <v>137</v>
      </c>
      <c r="F44" s="47" t="s">
        <v>428</v>
      </c>
      <c r="G44" s="85" t="s">
        <v>807</v>
      </c>
      <c r="H44" s="46"/>
      <c r="I44" s="111">
        <v>1</v>
      </c>
      <c r="J44" s="52">
        <f t="shared" si="7"/>
        <v>0.67127252747252752</v>
      </c>
      <c r="K44" s="155" cm="1">
        <f t="array" ref="K44">IF(AL44="N/A","",IF(AM44="N/A","",IF(AN44="N/A","",IF(AA44="N/A","",_xlfn.IFS(Z44="Wp",AA44,Z44="m2",AA44/AN44,Z44="stk",AA44/AL44,Z44="kWh","",Z44="N/A","")))))</f>
        <v>0.67127252747252752</v>
      </c>
      <c r="L44" s="52">
        <f t="shared" si="8"/>
        <v>0.66626373626373636</v>
      </c>
      <c r="M44" s="155" cm="1">
        <f t="array" ref="M44">IF(AL44="N/A","",IF(AM44="N/A","",IF(AN44="N/A","",IF(AB44="N/A","",_xlfn.IFS(Z44="Wp",AB44,Z44="m2",AB44/AN44,Z44="stk",AB44/AL44,Z44="kWh","",Z44="N/A","")))))</f>
        <v>0.66626373626373636</v>
      </c>
      <c r="N44" s="52">
        <f t="shared" si="9"/>
        <v>5.0087912087912094E-3</v>
      </c>
      <c r="O44" s="148" cm="1">
        <f t="array" ref="O44">IF(AL44="N/A","",IF(AM44="N/A","",IF(AN44="N/A","",IF(AC44="N/A","",_xlfn.IFS(Z44="Wp",AC44,Z44="m2",AC44/AN44,Z44="stk",AC44/AL44,Z44="kWh","",Z44="N/A","")))))</f>
        <v>5.0087912087912094E-3</v>
      </c>
      <c r="P44" s="52" t="str">
        <f t="shared" si="10"/>
        <v>N/A</v>
      </c>
      <c r="Q44" s="155" t="str" cm="1">
        <f t="array" ref="Q44">IF(AL44="N/A","",IF(AM44="N/A","",IF(AN44="N/A","",IF(AE44="N/A","",_xlfn.IFS(Z44="Wp",AE44,Z44="m2",AE44/AN44,Z44="stk",AE44/AL44,Z44="kWh","",Z44="N/A","")))))</f>
        <v/>
      </c>
      <c r="R44" s="186" t="s">
        <v>5</v>
      </c>
      <c r="S44" s="47"/>
      <c r="T44" s="203" t="s">
        <v>804</v>
      </c>
      <c r="U44" s="47">
        <v>2026</v>
      </c>
      <c r="V44" s="47" t="s">
        <v>14</v>
      </c>
      <c r="W44" s="47">
        <v>25</v>
      </c>
      <c r="Y44" s="47" t="s">
        <v>738</v>
      </c>
      <c r="Z44" s="47" t="s">
        <v>15</v>
      </c>
      <c r="AA44" s="52">
        <f t="shared" si="11"/>
        <v>142.06</v>
      </c>
      <c r="AB44" s="52">
        <v>141</v>
      </c>
      <c r="AC44" s="52">
        <v>1.06</v>
      </c>
      <c r="AD44" s="52" t="s">
        <v>191</v>
      </c>
      <c r="AE44" s="52" t="s">
        <v>191</v>
      </c>
      <c r="AF44" s="47"/>
      <c r="AG44" s="115"/>
      <c r="AH44" s="122"/>
      <c r="AI44" s="125"/>
      <c r="AJ44" s="46"/>
      <c r="AK44" s="46"/>
      <c r="AL44" s="47">
        <v>385</v>
      </c>
      <c r="AM44" s="188">
        <f>4.73/2.6</f>
        <v>1.8192307692307694</v>
      </c>
      <c r="AN44" s="116">
        <f t="shared" si="6"/>
        <v>211.62790697674416</v>
      </c>
      <c r="AP44" s="109"/>
      <c r="AQ44" s="73"/>
      <c r="AR44" s="46"/>
    </row>
    <row r="45" spans="1:44" s="25" customFormat="1" ht="25.2" customHeight="1" x14ac:dyDescent="0.15">
      <c r="A45" s="171" t="s">
        <v>741</v>
      </c>
      <c r="B45" s="47" t="s">
        <v>210</v>
      </c>
      <c r="C45" s="47" t="str">
        <f>""</f>
        <v/>
      </c>
      <c r="D45" s="47" t="s">
        <v>740</v>
      </c>
      <c r="E45" s="86" t="s">
        <v>191</v>
      </c>
      <c r="F45" s="47" t="s">
        <v>428</v>
      </c>
      <c r="G45" s="85" t="s">
        <v>801</v>
      </c>
      <c r="H45" s="46"/>
      <c r="I45" s="111">
        <v>1</v>
      </c>
      <c r="J45" s="52">
        <f t="shared" si="7"/>
        <v>1.9173410404624276</v>
      </c>
      <c r="K45" s="155" cm="1">
        <f t="array" ref="K45">IF(AL45="N/A","",IF(AM45="N/A","",IF(AN45="N/A","",IF(AA45="N/A","",_xlfn.IFS(Z45="Wp",AA45,Z45="m2",AA45/AN45,Z45="stk",AA45/AL45,Z45="kWh","",Z45="N/A","")))))</f>
        <v>1.9173410404624276</v>
      </c>
      <c r="L45" s="52">
        <f t="shared" si="8"/>
        <v>1.7341040462427746</v>
      </c>
      <c r="M45" s="155" cm="1">
        <f t="array" ref="M45">IF(AL45="N/A","",IF(AM45="N/A","",IF(AN45="N/A","",IF(AB45="N/A","",_xlfn.IFS(Z45="Wp",AB45,Z45="m2",AB45/AN45,Z45="stk",AB45/AL45,Z45="kWh","",Z45="N/A","")))))</f>
        <v>1.7341040462427746</v>
      </c>
      <c r="N45" s="52">
        <f t="shared" si="9"/>
        <v>0.18323699421965317</v>
      </c>
      <c r="O45" s="148" cm="1">
        <f t="array" ref="O45">IF(AL45="N/A","",IF(AM45="N/A","",IF(AN45="N/A","",IF(AC45="N/A","",_xlfn.IFS(Z45="Wp",AC45,Z45="m2",AC45/AN45,Z45="stk",AC45/AL45,Z45="kWh","",Z45="N/A","")))))</f>
        <v>0.18323699421965317</v>
      </c>
      <c r="P45" s="52" t="str">
        <f t="shared" si="10"/>
        <v>N/A</v>
      </c>
      <c r="Q45" s="155" t="str" cm="1">
        <f t="array" ref="Q45">IF(AL45="N/A","",IF(AM45="N/A","",IF(AN45="N/A","",IF(AE45="N/A","",_xlfn.IFS(Z45="Wp",AE45,Z45="m2",AE45/AN45,Z45="stk",AE45/AL45,Z45="kWh","",Z45="N/A","")))))</f>
        <v/>
      </c>
      <c r="R45" s="186" t="s">
        <v>5</v>
      </c>
      <c r="S45" s="47"/>
      <c r="T45" s="203" t="s">
        <v>804</v>
      </c>
      <c r="U45" s="47">
        <v>2027</v>
      </c>
      <c r="V45" s="47" t="s">
        <v>14</v>
      </c>
      <c r="W45" s="47">
        <v>30</v>
      </c>
      <c r="Y45" s="47" t="s">
        <v>744</v>
      </c>
      <c r="Z45" s="47" t="s">
        <v>15</v>
      </c>
      <c r="AA45" s="52">
        <f t="shared" si="11"/>
        <v>331.7</v>
      </c>
      <c r="AB45" s="52">
        <v>300</v>
      </c>
      <c r="AC45" s="52">
        <v>31.7</v>
      </c>
      <c r="AD45" s="52">
        <v>-17.2</v>
      </c>
      <c r="AE45" s="52" t="s">
        <v>191</v>
      </c>
      <c r="AF45" s="47"/>
      <c r="AG45" s="115"/>
      <c r="AH45" s="122"/>
      <c r="AI45" s="125"/>
      <c r="AJ45" s="46"/>
      <c r="AK45" s="46"/>
      <c r="AL45" s="47">
        <v>173</v>
      </c>
      <c r="AM45" s="47">
        <v>1</v>
      </c>
      <c r="AN45" s="116">
        <f t="shared" si="6"/>
        <v>173</v>
      </c>
      <c r="AP45" s="173" t="s">
        <v>17</v>
      </c>
      <c r="AQ45" s="73"/>
      <c r="AR45" s="46"/>
    </row>
    <row r="46" spans="1:44" s="25" customFormat="1" ht="25.2" customHeight="1" x14ac:dyDescent="0.15">
      <c r="A46" s="25" t="s">
        <v>743</v>
      </c>
      <c r="B46" s="47" t="s">
        <v>210</v>
      </c>
      <c r="C46" s="47" t="str">
        <f>""</f>
        <v/>
      </c>
      <c r="D46" s="47" t="s">
        <v>740</v>
      </c>
      <c r="E46" s="86" t="s">
        <v>191</v>
      </c>
      <c r="F46" s="47" t="s">
        <v>428</v>
      </c>
      <c r="G46" s="85" t="s">
        <v>801</v>
      </c>
      <c r="H46" s="46"/>
      <c r="I46" s="111">
        <v>1</v>
      </c>
      <c r="J46" s="52">
        <f t="shared" si="7"/>
        <v>1.8699421965317919</v>
      </c>
      <c r="K46" s="155" cm="1">
        <f t="array" ref="K46">IF(AL46="N/A","",IF(AM46="N/A","",IF(AN46="N/A","",IF(AA46="N/A","",_xlfn.IFS(Z46="Wp",AA46,Z46="m2",AA46/AN46,Z46="stk",AA46/AL46,Z46="kWh","",Z46="N/A","")))))</f>
        <v>1.8699421965317919</v>
      </c>
      <c r="L46" s="52">
        <f t="shared" si="8"/>
        <v>1.6820809248554913</v>
      </c>
      <c r="M46" s="155" cm="1">
        <f t="array" ref="M46">IF(AL46="N/A","",IF(AM46="N/A","",IF(AN46="N/A","",IF(AB46="N/A","",_xlfn.IFS(Z46="Wp",AB46,Z46="m2",AB46/AN46,Z46="stk",AB46/AL46,Z46="kWh","",Z46="N/A","")))))</f>
        <v>1.6820809248554913</v>
      </c>
      <c r="N46" s="52">
        <f t="shared" si="9"/>
        <v>0.18786127167630057</v>
      </c>
      <c r="O46" s="148" cm="1">
        <f t="array" ref="O46">IF(AL46="N/A","",IF(AM46="N/A","",IF(AN46="N/A","",IF(AC46="N/A","",_xlfn.IFS(Z46="Wp",AC46,Z46="m2",AC46/AN46,Z46="stk",AC46/AL46,Z46="kWh","",Z46="N/A","")))))</f>
        <v>0.18786127167630057</v>
      </c>
      <c r="P46" s="52">
        <f t="shared" si="10"/>
        <v>-7.1676300578034681E-3</v>
      </c>
      <c r="Q46" s="155" cm="1">
        <f t="array" ref="Q46">IF(AL46="N/A","",IF(AM46="N/A","",IF(AN46="N/A","",IF(AE46="N/A","",_xlfn.IFS(Z46="Wp",AE46,Z46="m2",AE46/AN46,Z46="stk",AE46/AL46,Z46="kWh","",Z46="N/A","")))))</f>
        <v>-7.1676300578034681E-3</v>
      </c>
      <c r="R46" s="186" t="s">
        <v>5</v>
      </c>
      <c r="S46" s="47"/>
      <c r="T46" s="203" t="s">
        <v>804</v>
      </c>
      <c r="U46" s="47">
        <v>2027</v>
      </c>
      <c r="V46" s="47" t="s">
        <v>28</v>
      </c>
      <c r="W46" s="47">
        <v>30</v>
      </c>
      <c r="Y46" s="47" t="s">
        <v>742</v>
      </c>
      <c r="Z46" s="47" t="s">
        <v>15</v>
      </c>
      <c r="AA46" s="52">
        <f t="shared" si="11"/>
        <v>323.5</v>
      </c>
      <c r="AB46" s="52">
        <v>291</v>
      </c>
      <c r="AC46" s="52">
        <v>32.5</v>
      </c>
      <c r="AD46" s="52">
        <v>-15.7</v>
      </c>
      <c r="AE46" s="52">
        <v>-1.24</v>
      </c>
      <c r="AF46" s="47"/>
      <c r="AG46" s="115"/>
      <c r="AH46" s="122"/>
      <c r="AI46" s="125"/>
      <c r="AJ46" s="46"/>
      <c r="AK46" s="46"/>
      <c r="AL46" s="47">
        <v>173</v>
      </c>
      <c r="AM46" s="47">
        <v>1</v>
      </c>
      <c r="AN46" s="116">
        <f t="shared" si="6"/>
        <v>173</v>
      </c>
      <c r="AP46" s="173" t="s">
        <v>17</v>
      </c>
      <c r="AQ46" s="73"/>
      <c r="AR46" s="46"/>
    </row>
    <row r="47" spans="1:44" s="25" customFormat="1" ht="25.2" customHeight="1" x14ac:dyDescent="0.15">
      <c r="A47" s="25" t="s">
        <v>746</v>
      </c>
      <c r="B47" s="47" t="s">
        <v>210</v>
      </c>
      <c r="C47" s="47" t="str">
        <f>""</f>
        <v/>
      </c>
      <c r="D47" s="47" t="s">
        <v>745</v>
      </c>
      <c r="E47" s="86" t="s">
        <v>262</v>
      </c>
      <c r="F47" s="47" t="s">
        <v>428</v>
      </c>
      <c r="G47" s="85" t="s">
        <v>807</v>
      </c>
      <c r="H47" s="46"/>
      <c r="I47" s="111">
        <v>1</v>
      </c>
      <c r="J47" s="52">
        <f t="shared" si="7"/>
        <v>1.5088945</v>
      </c>
      <c r="K47" s="155" cm="1">
        <f t="array" ref="K47">IF(AL47="N/A","",IF(AM47="N/A","",IF(AN47="N/A","",IF(AA47="N/A","",_xlfn.IFS(Z47="Wp",AA47,Z47="m2",AA47/AN47,Z47="stk",AA47/AL47,Z47="kWh","",Z47="N/A","")))))</f>
        <v>1.5088945</v>
      </c>
      <c r="L47" s="52">
        <f t="shared" si="8"/>
        <v>1.4804166666666665</v>
      </c>
      <c r="M47" s="155" cm="1">
        <f t="array" ref="M47">IF(AL47="N/A","",IF(AM47="N/A","",IF(AN47="N/A","",IF(AB47="N/A","",_xlfn.IFS(Z47="Wp",AB47,Z47="m2",AB47/AN47,Z47="stk",AB47/AL47,Z47="kWh","",Z47="N/A","")))))</f>
        <v>1.4804166666666665</v>
      </c>
      <c r="N47" s="52">
        <f t="shared" si="9"/>
        <v>2.8477833333333331E-2</v>
      </c>
      <c r="O47" s="148" cm="1">
        <f t="array" ref="O47">IF(AL47="N/A","",IF(AM47="N/A","",IF(AN47="N/A","",IF(AC47="N/A","",_xlfn.IFS(Z47="Wp",AC47,Z47="m2",AC47/AN47,Z47="stk",AC47/AL47,Z47="kWh","",Z47="N/A","")))))</f>
        <v>2.8477833333333331E-2</v>
      </c>
      <c r="P47" s="52" t="str">
        <f t="shared" si="10"/>
        <v>N/A</v>
      </c>
      <c r="Q47" s="155" t="str" cm="1">
        <f t="array" ref="Q47">IF(AL47="N/A","",IF(AM47="N/A","",IF(AN47="N/A","",IF(AE47="N/A","",_xlfn.IFS(Z47="Wp",AE47,Z47="m2",AE47/AN47,Z47="stk",AE47/AL47,Z47="kWh","",Z47="N/A","")))))</f>
        <v/>
      </c>
      <c r="R47" s="186" t="s">
        <v>5</v>
      </c>
      <c r="S47" s="47"/>
      <c r="T47" s="203" t="s">
        <v>803</v>
      </c>
      <c r="U47" s="47">
        <v>2025</v>
      </c>
      <c r="V47" s="47" t="s">
        <v>1228</v>
      </c>
      <c r="W47" s="47">
        <v>25</v>
      </c>
      <c r="Y47" s="47" t="s">
        <v>747</v>
      </c>
      <c r="Z47" s="47" t="s">
        <v>15</v>
      </c>
      <c r="AA47" s="52">
        <f t="shared" si="11"/>
        <v>280.29000000000002</v>
      </c>
      <c r="AB47" s="52">
        <v>275</v>
      </c>
      <c r="AC47" s="52">
        <v>5.29</v>
      </c>
      <c r="AD47" s="52" t="s">
        <v>191</v>
      </c>
      <c r="AE47" s="52" t="s">
        <v>191</v>
      </c>
      <c r="AF47" s="47"/>
      <c r="AG47" s="115"/>
      <c r="AH47" s="122"/>
      <c r="AI47" s="125"/>
      <c r="AJ47" s="46"/>
      <c r="AK47" s="46"/>
      <c r="AL47" s="47">
        <v>300</v>
      </c>
      <c r="AM47" s="188">
        <v>1.615</v>
      </c>
      <c r="AN47" s="116">
        <f t="shared" si="6"/>
        <v>185.75851393188856</v>
      </c>
      <c r="AP47" s="173" t="s">
        <v>17</v>
      </c>
      <c r="AQ47" s="73"/>
      <c r="AR47" s="46"/>
    </row>
    <row r="48" spans="1:44" s="25" customFormat="1" ht="25.2" customHeight="1" x14ac:dyDescent="0.15">
      <c r="A48" s="25" t="s">
        <v>748</v>
      </c>
      <c r="B48" s="47" t="s">
        <v>210</v>
      </c>
      <c r="C48" s="47" t="str">
        <f>""</f>
        <v/>
      </c>
      <c r="D48" s="47" t="s">
        <v>745</v>
      </c>
      <c r="E48" s="86" t="s">
        <v>262</v>
      </c>
      <c r="F48" s="47" t="s">
        <v>428</v>
      </c>
      <c r="G48" s="85" t="s">
        <v>807</v>
      </c>
      <c r="H48" s="46"/>
      <c r="I48" s="111">
        <v>1</v>
      </c>
      <c r="J48" s="52">
        <f t="shared" si="7"/>
        <v>1.3692960000000001</v>
      </c>
      <c r="K48" s="155" cm="1">
        <f t="array" ref="K48">IF(AL48="N/A","",IF(AM48="N/A","",IF(AN48="N/A","",IF(AA48="N/A","",_xlfn.IFS(Z48="Wp",AA48,Z48="m2",AA48/AN48,Z48="stk",AA48/AL48,Z48="kWh","",Z48="N/A","")))))</f>
        <v>1.3692960000000001</v>
      </c>
      <c r="L48" s="52">
        <f t="shared" si="8"/>
        <v>1.3497600000000001</v>
      </c>
      <c r="M48" s="155" cm="1">
        <f t="array" ref="M48">IF(AL48="N/A","",IF(AM48="N/A","",IF(AN48="N/A","",IF(AB48="N/A","",_xlfn.IFS(Z48="Wp",AB48,Z48="m2",AB48/AN48,Z48="stk",AB48/AL48,Z48="kWh","",Z48="N/A","")))))</f>
        <v>1.3497600000000001</v>
      </c>
      <c r="N48" s="52">
        <f t="shared" si="9"/>
        <v>1.9536000000000001E-2</v>
      </c>
      <c r="O48" s="148" cm="1">
        <f t="array" ref="O48">IF(AL48="N/A","",IF(AM48="N/A","",IF(AN48="N/A","",IF(AC48="N/A","",_xlfn.IFS(Z48="Wp",AC48,Z48="m2",AC48/AN48,Z48="stk",AC48/AL48,Z48="kWh","",Z48="N/A","")))))</f>
        <v>1.9536000000000001E-2</v>
      </c>
      <c r="P48" s="52" t="str">
        <f t="shared" si="10"/>
        <v>N/A</v>
      </c>
      <c r="Q48" s="155" t="str" cm="1">
        <f t="array" ref="Q48">IF(AL48="N/A","",IF(AM48="N/A","",IF(AN48="N/A","",IF(AE48="N/A","",_xlfn.IFS(Z48="Wp",AE48,Z48="m2",AE48/AN48,Z48="stk",AE48/AL48,Z48="kWh","",Z48="N/A","")))))</f>
        <v/>
      </c>
      <c r="R48" s="186" t="s">
        <v>5</v>
      </c>
      <c r="S48" s="47"/>
      <c r="T48" s="203" t="s">
        <v>804</v>
      </c>
      <c r="U48" s="47">
        <v>2025</v>
      </c>
      <c r="V48" s="47" t="s">
        <v>1228</v>
      </c>
      <c r="W48" s="47">
        <v>25</v>
      </c>
      <c r="Y48" s="47" t="s">
        <v>749</v>
      </c>
      <c r="Z48" s="47" t="s">
        <v>15</v>
      </c>
      <c r="AA48" s="52">
        <f t="shared" si="11"/>
        <v>231.3</v>
      </c>
      <c r="AB48" s="52">
        <v>228</v>
      </c>
      <c r="AC48" s="52">
        <v>3.3</v>
      </c>
      <c r="AD48" s="52" t="s">
        <v>191</v>
      </c>
      <c r="AE48" s="52" t="s">
        <v>191</v>
      </c>
      <c r="AF48" s="47"/>
      <c r="AG48" s="115"/>
      <c r="AH48" s="122"/>
      <c r="AI48" s="125"/>
      <c r="AJ48" s="46"/>
      <c r="AK48" s="46"/>
      <c r="AL48" s="47">
        <v>300</v>
      </c>
      <c r="AM48" s="188">
        <v>1.776</v>
      </c>
      <c r="AN48" s="116">
        <f t="shared" si="6"/>
        <v>168.91891891891891</v>
      </c>
      <c r="AP48" s="173" t="s">
        <v>17</v>
      </c>
      <c r="AQ48" s="73"/>
      <c r="AR48" s="46"/>
    </row>
    <row r="49" spans="1:44" s="25" customFormat="1" ht="25.2" customHeight="1" x14ac:dyDescent="0.15">
      <c r="A49" s="25" t="s">
        <v>750</v>
      </c>
      <c r="B49" s="47" t="s">
        <v>210</v>
      </c>
      <c r="C49" s="47" t="str">
        <f>""</f>
        <v/>
      </c>
      <c r="D49" s="47" t="s">
        <v>745</v>
      </c>
      <c r="E49" s="86" t="s">
        <v>262</v>
      </c>
      <c r="F49" s="47" t="s">
        <v>428</v>
      </c>
      <c r="G49" s="85" t="s">
        <v>807</v>
      </c>
      <c r="H49" s="46"/>
      <c r="I49" s="111">
        <v>1</v>
      </c>
      <c r="J49" s="52">
        <f t="shared" si="7"/>
        <v>0.7476368000000001</v>
      </c>
      <c r="K49" s="155" cm="1">
        <f t="array" ref="K49">IF(AL49="N/A","",IF(AM49="N/A","",IF(AN49="N/A","",IF(AA49="N/A","",_xlfn.IFS(Z49="Wp",AA49,Z49="m2",AA49/AN49,Z49="stk",AA49/AL49,Z49="kWh","",Z49="N/A","")))))</f>
        <v>0.7476368000000001</v>
      </c>
      <c r="L49" s="52">
        <f t="shared" si="8"/>
        <v>0.72816000000000003</v>
      </c>
      <c r="M49" s="155" cm="1">
        <f t="array" ref="M49">IF(AL49="N/A","",IF(AM49="N/A","",IF(AN49="N/A","",IF(AB49="N/A","",_xlfn.IFS(Z49="Wp",AB49,Z49="m2",AB49/AN49,Z49="stk",AB49/AL49,Z49="kWh","",Z49="N/A","")))))</f>
        <v>0.72816000000000003</v>
      </c>
      <c r="N49" s="52">
        <f t="shared" si="9"/>
        <v>1.9476800000000002E-2</v>
      </c>
      <c r="O49" s="148" cm="1">
        <f t="array" ref="O49">IF(AL49="N/A","",IF(AM49="N/A","",IF(AN49="N/A","",IF(AC49="N/A","",_xlfn.IFS(Z49="Wp",AC49,Z49="m2",AC49/AN49,Z49="stk",AC49/AL49,Z49="kWh","",Z49="N/A","")))))</f>
        <v>1.9476800000000002E-2</v>
      </c>
      <c r="P49" s="52" t="str">
        <f t="shared" si="10"/>
        <v>N/A</v>
      </c>
      <c r="Q49" s="155" t="str" cm="1">
        <f t="array" ref="Q49">IF(AL49="N/A","",IF(AM49="N/A","",IF(AN49="N/A","",IF(AE49="N/A","",_xlfn.IFS(Z49="Wp",AE49,Z49="m2",AE49/AN49,Z49="stk",AE49/AL49,Z49="kWh","",Z49="N/A","")))))</f>
        <v/>
      </c>
      <c r="R49" s="186" t="s">
        <v>5</v>
      </c>
      <c r="S49" s="47"/>
      <c r="T49" s="203" t="s">
        <v>804</v>
      </c>
      <c r="U49" s="47">
        <v>2026</v>
      </c>
      <c r="V49" s="47" t="s">
        <v>1228</v>
      </c>
      <c r="W49" s="47">
        <v>25</v>
      </c>
      <c r="Y49" s="47" t="s">
        <v>754</v>
      </c>
      <c r="Z49" s="47" t="s">
        <v>15</v>
      </c>
      <c r="AA49" s="52">
        <f t="shared" si="11"/>
        <v>126.29</v>
      </c>
      <c r="AB49" s="52">
        <v>123</v>
      </c>
      <c r="AC49" s="52">
        <v>3.29</v>
      </c>
      <c r="AD49" s="52" t="s">
        <v>191</v>
      </c>
      <c r="AE49" s="52" t="s">
        <v>191</v>
      </c>
      <c r="AF49" s="47"/>
      <c r="AG49" s="115"/>
      <c r="AH49" s="122"/>
      <c r="AI49" s="125"/>
      <c r="AJ49" s="46"/>
      <c r="AK49" s="46"/>
      <c r="AL49" s="47">
        <v>300</v>
      </c>
      <c r="AM49" s="188">
        <v>1.776</v>
      </c>
      <c r="AN49" s="116">
        <f t="shared" si="6"/>
        <v>168.91891891891891</v>
      </c>
      <c r="AP49" s="173" t="s">
        <v>17</v>
      </c>
      <c r="AQ49" s="73"/>
      <c r="AR49" s="46"/>
    </row>
    <row r="50" spans="1:44" s="25" customFormat="1" ht="25.2" customHeight="1" x14ac:dyDescent="0.15">
      <c r="A50" s="25" t="s">
        <v>752</v>
      </c>
      <c r="B50" s="47" t="s">
        <v>210</v>
      </c>
      <c r="C50" s="47" t="str">
        <f>""</f>
        <v/>
      </c>
      <c r="D50" s="47" t="s">
        <v>751</v>
      </c>
      <c r="E50" s="86" t="s">
        <v>191</v>
      </c>
      <c r="F50" s="47" t="s">
        <v>428</v>
      </c>
      <c r="G50" s="85" t="s">
        <v>807</v>
      </c>
      <c r="H50" s="46"/>
      <c r="I50" s="111">
        <v>1</v>
      </c>
      <c r="J50" s="52" t="str">
        <f t="shared" si="7"/>
        <v>N/A</v>
      </c>
      <c r="K50" s="155" t="str" cm="1">
        <f t="array" ref="K50">IF(AL50="N/A","",IF(AM50="N/A","",IF(AN50="N/A","",IF(AA50="N/A","",_xlfn.IFS(Z50="Wp",AA50,Z50="m2",AA50/AN50,Z50="stk",AA50/AL50,Z50="kWh","",Z50="N/A","")))))</f>
        <v/>
      </c>
      <c r="L50" s="52" t="str">
        <f t="shared" si="8"/>
        <v>N/A</v>
      </c>
      <c r="M50" s="155" t="str" cm="1">
        <f t="array" ref="M50">IF(AL50="N/A","",IF(AM50="N/A","",IF(AN50="N/A","",IF(AB50="N/A","",_xlfn.IFS(Z50="Wp",AB50,Z50="m2",AB50/AN50,Z50="stk",AB50/AL50,Z50="kWh","",Z50="N/A","")))))</f>
        <v/>
      </c>
      <c r="N50" s="52" t="str">
        <f t="shared" si="9"/>
        <v>N/A</v>
      </c>
      <c r="O50" s="148" t="str" cm="1">
        <f t="array" ref="O50">IF(AL50="N/A","",IF(AM50="N/A","",IF(AN50="N/A","",IF(AC50="N/A","",_xlfn.IFS(Z50="Wp",AC50,Z50="m2",AC50/AN50,Z50="stk",AC50/AL50,Z50="kWh","",Z50="N/A","")))))</f>
        <v/>
      </c>
      <c r="P50" s="52" t="str">
        <f t="shared" si="10"/>
        <v>N/A</v>
      </c>
      <c r="Q50" s="155" t="str" cm="1">
        <f t="array" ref="Q50">IF(AL50="N/A","",IF(AM50="N/A","",IF(AN50="N/A","",IF(AE50="N/A","",_xlfn.IFS(Z50="Wp",AE50,Z50="m2",AE50/AN50,Z50="stk",AE50/AL50,Z50="kWh","",Z50="N/A","")))))</f>
        <v/>
      </c>
      <c r="R50" s="186" t="s">
        <v>5</v>
      </c>
      <c r="S50" s="47"/>
      <c r="T50" s="203" t="s">
        <v>803</v>
      </c>
      <c r="U50" s="47">
        <v>2025</v>
      </c>
      <c r="V50" s="47" t="s">
        <v>14</v>
      </c>
      <c r="W50" s="47">
        <v>25</v>
      </c>
      <c r="Y50" s="47" t="s">
        <v>753</v>
      </c>
      <c r="Z50" s="47" t="s">
        <v>15</v>
      </c>
      <c r="AA50" s="52">
        <f t="shared" si="11"/>
        <v>342.3</v>
      </c>
      <c r="AB50" s="52">
        <v>332</v>
      </c>
      <c r="AC50" s="52">
        <v>10.3</v>
      </c>
      <c r="AD50" s="52" t="s">
        <v>191</v>
      </c>
      <c r="AE50" s="52" t="s">
        <v>191</v>
      </c>
      <c r="AF50" s="47"/>
      <c r="AG50" s="115"/>
      <c r="AH50" s="122"/>
      <c r="AI50" s="125"/>
      <c r="AJ50" s="46"/>
      <c r="AK50" s="46"/>
      <c r="AL50" s="47" t="s">
        <v>191</v>
      </c>
      <c r="AM50" s="47" t="s">
        <v>191</v>
      </c>
      <c r="AN50" s="47" t="s">
        <v>191</v>
      </c>
      <c r="AP50" s="173" t="s">
        <v>17</v>
      </c>
      <c r="AQ50" s="73"/>
      <c r="AR50" s="46"/>
    </row>
    <row r="51" spans="1:44" s="25" customFormat="1" ht="25.2" customHeight="1" x14ac:dyDescent="0.15">
      <c r="A51" s="25" t="s">
        <v>755</v>
      </c>
      <c r="B51" s="47" t="s">
        <v>210</v>
      </c>
      <c r="C51" s="47" t="str">
        <f>""</f>
        <v/>
      </c>
      <c r="D51" s="47" t="s">
        <v>660</v>
      </c>
      <c r="E51" s="86" t="s">
        <v>191</v>
      </c>
      <c r="F51" s="47" t="s">
        <v>428</v>
      </c>
      <c r="G51" s="85" t="s">
        <v>807</v>
      </c>
      <c r="H51" s="46"/>
      <c r="I51" s="111">
        <v>1</v>
      </c>
      <c r="J51" s="52">
        <f t="shared" si="7"/>
        <v>0.72304020186666684</v>
      </c>
      <c r="K51" s="155" cm="1">
        <f t="array" ref="K51">IF(AL51="N/A","",IF(AM51="N/A","",IF(AN51="N/A","",IF(AA51="N/A","",_xlfn.IFS(Z51="Wp",AA51,Z51="m2",AA51/AN51,Z51="stk",AA51/AL51,Z51="kWh","",Z51="N/A","")))))</f>
        <v>0.72304020186666684</v>
      </c>
      <c r="L51" s="52">
        <f t="shared" si="8"/>
        <v>0.71778647893333347</v>
      </c>
      <c r="M51" s="155" cm="1">
        <f t="array" ref="M51">IF(AL51="N/A","",IF(AM51="N/A","",IF(AN51="N/A","",IF(AB51="N/A","",_xlfn.IFS(Z51="Wp",AB51,Z51="m2",AB51/AN51,Z51="stk",AB51/AL51,Z51="kWh","",Z51="N/A","")))))</f>
        <v>0.71778647893333347</v>
      </c>
      <c r="N51" s="52">
        <f t="shared" si="9"/>
        <v>5.253722933333334E-3</v>
      </c>
      <c r="O51" s="148" cm="1">
        <f t="array" ref="O51">IF(AL51="N/A","",IF(AM51="N/A","",IF(AN51="N/A","",IF(AC51="N/A","",_xlfn.IFS(Z51="Wp",AC51,Z51="m2",AC51/AN51,Z51="stk",AC51/AL51,Z51="kWh","",Z51="N/A","")))))</f>
        <v>5.253722933333334E-3</v>
      </c>
      <c r="P51" s="52" t="str">
        <f t="shared" si="10"/>
        <v>N/A</v>
      </c>
      <c r="Q51" s="155" t="str" cm="1">
        <f t="array" ref="Q51">IF(AL51="N/A","",IF(AM51="N/A","",IF(AN51="N/A","",IF(AE51="N/A","",_xlfn.IFS(Z51="Wp",AE51,Z51="m2",AE51/AN51,Z51="stk",AE51/AL51,Z51="kWh","",Z51="N/A","")))))</f>
        <v/>
      </c>
      <c r="R51" s="186" t="s">
        <v>5</v>
      </c>
      <c r="S51" s="47"/>
      <c r="T51" s="203" t="s">
        <v>804</v>
      </c>
      <c r="U51" s="47">
        <v>2024</v>
      </c>
      <c r="V51" s="47" t="s">
        <v>14</v>
      </c>
      <c r="W51" s="47">
        <v>30</v>
      </c>
      <c r="Y51" s="47" t="s">
        <v>802</v>
      </c>
      <c r="Z51" s="47" t="s">
        <v>15</v>
      </c>
      <c r="AA51" s="52">
        <f t="shared" si="11"/>
        <v>132.25700000000003</v>
      </c>
      <c r="AB51" s="52">
        <f>129+1.43+0.866</f>
        <v>131.29600000000002</v>
      </c>
      <c r="AC51" s="52">
        <f>0.666+0.295</f>
        <v>0.96100000000000008</v>
      </c>
      <c r="AD51" s="52" t="s">
        <v>191</v>
      </c>
      <c r="AE51" s="52" t="s">
        <v>191</v>
      </c>
      <c r="AF51" s="47"/>
      <c r="AG51" s="115"/>
      <c r="AH51" s="122"/>
      <c r="AI51" s="125"/>
      <c r="AJ51" s="46"/>
      <c r="AK51" s="46"/>
      <c r="AL51" s="47">
        <v>300</v>
      </c>
      <c r="AM51" s="188">
        <f>1.66*0.988</f>
        <v>1.64008</v>
      </c>
      <c r="AN51" s="116">
        <f>AL51/AM51</f>
        <v>182.91790644358812</v>
      </c>
      <c r="AP51" s="109"/>
      <c r="AQ51" s="73"/>
      <c r="AR51" s="46"/>
    </row>
    <row r="52" spans="1:44" s="25" customFormat="1" ht="25.2" customHeight="1" x14ac:dyDescent="0.15">
      <c r="A52" s="25" t="s">
        <v>794</v>
      </c>
      <c r="B52" s="47" t="s">
        <v>210</v>
      </c>
      <c r="C52" s="47" t="str">
        <f>""</f>
        <v/>
      </c>
      <c r="D52" s="47" t="s">
        <v>757</v>
      </c>
      <c r="E52" s="86" t="s">
        <v>191</v>
      </c>
      <c r="F52" s="47" t="s">
        <v>191</v>
      </c>
      <c r="G52" s="85" t="s">
        <v>801</v>
      </c>
      <c r="H52" s="46"/>
      <c r="I52" s="111">
        <v>1</v>
      </c>
      <c r="J52" s="52" t="str">
        <f t="shared" si="7"/>
        <v>N/A</v>
      </c>
      <c r="K52" s="155" t="str" cm="1">
        <f t="array" ref="K52">IF(AL52="N/A","",IF(AM52="N/A","",IF(AN52="N/A","",IF(AA52="N/A","",_xlfn.IFS(Z52="Wp",AA52,Z52="m2",AA52/AN52,Z52="stk",AA52/AL52,Z52="kWh","",Z52="N/A","")))))</f>
        <v/>
      </c>
      <c r="L52" s="52" t="str">
        <f t="shared" si="8"/>
        <v>N/A</v>
      </c>
      <c r="M52" s="155" t="str" cm="1">
        <f t="array" ref="M52">IF(AL52="N/A","",IF(AM52="N/A","",IF(AN52="N/A","",IF(AB52="N/A","",_xlfn.IFS(Z52="Wp",AB52,Z52="m2",AB52/AN52,Z52="stk",AB52/AL52,Z52="kWh","",Z52="N/A","")))))</f>
        <v/>
      </c>
      <c r="N52" s="52" t="str">
        <f t="shared" si="9"/>
        <v>N/A</v>
      </c>
      <c r="O52" s="148" t="str" cm="1">
        <f t="array" ref="O52">IF(AL52="N/A","",IF(AM52="N/A","",IF(AN52="N/A","",IF(AC52="N/A","",_xlfn.IFS(Z52="Wp",AC52,Z52="m2",AC52/AN52,Z52="stk",AC52/AL52,Z52="kWh","",Z52="N/A","")))))</f>
        <v/>
      </c>
      <c r="P52" s="52" t="str">
        <f t="shared" si="10"/>
        <v>N/A</v>
      </c>
      <c r="Q52" s="155" t="str" cm="1">
        <f t="array" ref="Q52">IF(AL52="N/A","",IF(AM52="N/A","",IF(AN52="N/A","",IF(AE52="N/A","",_xlfn.IFS(Z52="Wp",AE52,Z52="m2",AE52/AN52,Z52="stk",AE52/AL52,Z52="kWh","",Z52="N/A","")))))</f>
        <v/>
      </c>
      <c r="R52" s="47" t="s">
        <v>191</v>
      </c>
      <c r="S52" s="47"/>
      <c r="T52" s="202"/>
      <c r="U52" s="47" t="s">
        <v>191</v>
      </c>
      <c r="V52" s="47" t="s">
        <v>191</v>
      </c>
      <c r="W52" s="47" t="s">
        <v>191</v>
      </c>
      <c r="Y52" s="47" t="s">
        <v>191</v>
      </c>
      <c r="Z52" s="47" t="s">
        <v>191</v>
      </c>
      <c r="AA52" s="52" t="str">
        <f t="shared" si="11"/>
        <v>N/A</v>
      </c>
      <c r="AB52" s="52" t="s">
        <v>191</v>
      </c>
      <c r="AC52" s="52" t="s">
        <v>191</v>
      </c>
      <c r="AD52" s="52" t="s">
        <v>191</v>
      </c>
      <c r="AE52" s="52" t="s">
        <v>191</v>
      </c>
      <c r="AF52" s="47"/>
      <c r="AG52" s="115"/>
      <c r="AH52" s="122"/>
      <c r="AI52" s="125"/>
      <c r="AJ52" s="46"/>
      <c r="AK52" s="46"/>
      <c r="AL52" s="47" t="s">
        <v>191</v>
      </c>
      <c r="AM52" s="47" t="s">
        <v>191</v>
      </c>
      <c r="AN52" s="47" t="s">
        <v>191</v>
      </c>
      <c r="AP52" s="173" t="s">
        <v>17</v>
      </c>
      <c r="AQ52" s="73"/>
      <c r="AR52" s="46"/>
    </row>
    <row r="53" spans="1:44" s="25" customFormat="1" ht="25.2" customHeight="1" x14ac:dyDescent="0.15">
      <c r="A53" s="25" t="s">
        <v>795</v>
      </c>
      <c r="B53" s="47" t="s">
        <v>210</v>
      </c>
      <c r="C53" s="47" t="str">
        <f>""</f>
        <v/>
      </c>
      <c r="D53" s="47" t="s">
        <v>757</v>
      </c>
      <c r="E53" s="86" t="s">
        <v>191</v>
      </c>
      <c r="F53" s="47" t="s">
        <v>191</v>
      </c>
      <c r="G53" s="85" t="s">
        <v>801</v>
      </c>
      <c r="H53" s="46"/>
      <c r="I53" s="111">
        <v>1</v>
      </c>
      <c r="J53" s="52" t="str">
        <f t="shared" si="7"/>
        <v>N/A</v>
      </c>
      <c r="K53" s="155" t="str" cm="1">
        <f t="array" ref="K53">IF(AL53="N/A","",IF(AM53="N/A","",IF(AN53="N/A","",IF(AA53="N/A","",_xlfn.IFS(Z53="Wp",AA53,Z53="m2",AA53/AN53,Z53="stk",AA53/AL53,Z53="kWh","",Z53="N/A","")))))</f>
        <v/>
      </c>
      <c r="L53" s="52" t="str">
        <f t="shared" si="8"/>
        <v>N/A</v>
      </c>
      <c r="M53" s="155" t="str" cm="1">
        <f t="array" ref="M53">IF(AL53="N/A","",IF(AM53="N/A","",IF(AN53="N/A","",IF(AB53="N/A","",_xlfn.IFS(Z53="Wp",AB53,Z53="m2",AB53/AN53,Z53="stk",AB53/AL53,Z53="kWh","",Z53="N/A","")))))</f>
        <v/>
      </c>
      <c r="N53" s="52" t="str">
        <f t="shared" si="9"/>
        <v>N/A</v>
      </c>
      <c r="O53" s="148" t="str" cm="1">
        <f t="array" ref="O53">IF(AL53="N/A","",IF(AM53="N/A","",IF(AN53="N/A","",IF(AC53="N/A","",_xlfn.IFS(Z53="Wp",AC53,Z53="m2",AC53/AN53,Z53="stk",AC53/AL53,Z53="kWh","",Z53="N/A","")))))</f>
        <v/>
      </c>
      <c r="P53" s="52" t="str">
        <f t="shared" si="10"/>
        <v>N/A</v>
      </c>
      <c r="Q53" s="155" t="str" cm="1">
        <f t="array" ref="Q53">IF(AL53="N/A","",IF(AM53="N/A","",IF(AN53="N/A","",IF(AE53="N/A","",_xlfn.IFS(Z53="Wp",AE53,Z53="m2",AE53/AN53,Z53="stk",AE53/AL53,Z53="kWh","",Z53="N/A","")))))</f>
        <v/>
      </c>
      <c r="R53" s="47" t="s">
        <v>191</v>
      </c>
      <c r="S53" s="47"/>
      <c r="T53" s="202"/>
      <c r="U53" s="47" t="s">
        <v>191</v>
      </c>
      <c r="V53" s="47" t="s">
        <v>191</v>
      </c>
      <c r="W53" s="47" t="s">
        <v>191</v>
      </c>
      <c r="Y53" s="47" t="s">
        <v>191</v>
      </c>
      <c r="Z53" s="47" t="s">
        <v>191</v>
      </c>
      <c r="AA53" s="52" t="str">
        <f t="shared" si="11"/>
        <v>N/A</v>
      </c>
      <c r="AB53" s="52" t="s">
        <v>191</v>
      </c>
      <c r="AC53" s="52" t="s">
        <v>191</v>
      </c>
      <c r="AD53" s="52" t="s">
        <v>191</v>
      </c>
      <c r="AE53" s="52" t="s">
        <v>191</v>
      </c>
      <c r="AF53" s="47"/>
      <c r="AG53" s="115"/>
      <c r="AH53" s="122"/>
      <c r="AI53" s="125"/>
      <c r="AJ53" s="46"/>
      <c r="AK53" s="46"/>
      <c r="AL53" s="47" t="s">
        <v>191</v>
      </c>
      <c r="AM53" s="47" t="s">
        <v>191</v>
      </c>
      <c r="AN53" s="47" t="s">
        <v>191</v>
      </c>
      <c r="AP53" s="173" t="s">
        <v>17</v>
      </c>
      <c r="AQ53" s="73"/>
      <c r="AR53" s="46"/>
    </row>
    <row r="54" spans="1:44" s="25" customFormat="1" ht="25.2" customHeight="1" x14ac:dyDescent="0.15">
      <c r="A54" s="25" t="s">
        <v>758</v>
      </c>
      <c r="B54" s="47" t="s">
        <v>210</v>
      </c>
      <c r="C54" s="47" t="str">
        <f>""</f>
        <v/>
      </c>
      <c r="D54" s="47" t="s">
        <v>762</v>
      </c>
      <c r="E54" s="86" t="s">
        <v>191</v>
      </c>
      <c r="F54" s="47" t="s">
        <v>191</v>
      </c>
      <c r="G54" s="85" t="s">
        <v>801</v>
      </c>
      <c r="H54" s="46"/>
      <c r="I54" s="111">
        <v>1</v>
      </c>
      <c r="J54" s="52" t="str">
        <f t="shared" si="7"/>
        <v>N/A</v>
      </c>
      <c r="K54" s="155" t="str" cm="1">
        <f t="array" ref="K54">IF(AL54="N/A","",IF(AM54="N/A","",IF(AN54="N/A","",IF(AA54="N/A","",_xlfn.IFS(Z54="Wp",AA54,Z54="m2",AA54/AN54,Z54="stk",AA54/AL54,Z54="kWh","",Z54="N/A","")))))</f>
        <v/>
      </c>
      <c r="L54" s="52" t="str">
        <f t="shared" si="8"/>
        <v>N/A</v>
      </c>
      <c r="M54" s="155" t="str" cm="1">
        <f t="array" ref="M54">IF(AL54="N/A","",IF(AM54="N/A","",IF(AN54="N/A","",IF(AB54="N/A","",_xlfn.IFS(Z54="Wp",AB54,Z54="m2",AB54/AN54,Z54="stk",AB54/AL54,Z54="kWh","",Z54="N/A","")))))</f>
        <v/>
      </c>
      <c r="N54" s="52" t="str">
        <f t="shared" si="9"/>
        <v>N/A</v>
      </c>
      <c r="O54" s="148" t="str" cm="1">
        <f t="array" ref="O54">IF(AL54="N/A","",IF(AM54="N/A","",IF(AN54="N/A","",IF(AC54="N/A","",_xlfn.IFS(Z54="Wp",AC54,Z54="m2",AC54/AN54,Z54="stk",AC54/AL54,Z54="kWh","",Z54="N/A","")))))</f>
        <v/>
      </c>
      <c r="P54" s="52" t="str">
        <f t="shared" si="10"/>
        <v>N/A</v>
      </c>
      <c r="Q54" s="155" t="str" cm="1">
        <f t="array" ref="Q54">IF(AL54="N/A","",IF(AM54="N/A","",IF(AN54="N/A","",IF(AE54="N/A","",_xlfn.IFS(Z54="Wp",AE54,Z54="m2",AE54/AN54,Z54="stk",AE54/AL54,Z54="kWh","",Z54="N/A","")))))</f>
        <v/>
      </c>
      <c r="R54" s="47" t="s">
        <v>191</v>
      </c>
      <c r="S54" s="47"/>
      <c r="T54" s="202"/>
      <c r="U54" s="47" t="s">
        <v>191</v>
      </c>
      <c r="V54" s="47" t="s">
        <v>191</v>
      </c>
      <c r="W54" s="47" t="s">
        <v>191</v>
      </c>
      <c r="Y54" s="47" t="s">
        <v>191</v>
      </c>
      <c r="Z54" s="47" t="s">
        <v>191</v>
      </c>
      <c r="AA54" s="52" t="str">
        <f t="shared" si="11"/>
        <v>N/A</v>
      </c>
      <c r="AB54" s="52" t="s">
        <v>191</v>
      </c>
      <c r="AC54" s="52" t="s">
        <v>191</v>
      </c>
      <c r="AD54" s="52" t="s">
        <v>191</v>
      </c>
      <c r="AE54" s="52" t="s">
        <v>191</v>
      </c>
      <c r="AF54" s="47"/>
      <c r="AG54" s="115"/>
      <c r="AH54" s="122"/>
      <c r="AI54" s="125"/>
      <c r="AJ54" s="46"/>
      <c r="AK54" s="46"/>
      <c r="AL54" s="47" t="s">
        <v>191</v>
      </c>
      <c r="AM54" s="47" t="s">
        <v>191</v>
      </c>
      <c r="AN54" s="47" t="s">
        <v>191</v>
      </c>
      <c r="AP54" s="173" t="s">
        <v>17</v>
      </c>
      <c r="AQ54" s="73"/>
      <c r="AR54" s="46"/>
    </row>
    <row r="55" spans="1:44" s="25" customFormat="1" ht="25.2" customHeight="1" x14ac:dyDescent="0.15">
      <c r="A55" s="25" t="s">
        <v>760</v>
      </c>
      <c r="B55" s="47" t="s">
        <v>210</v>
      </c>
      <c r="C55" s="47" t="str">
        <f>""</f>
        <v/>
      </c>
      <c r="D55" s="47" t="s">
        <v>761</v>
      </c>
      <c r="E55" s="86" t="s">
        <v>148</v>
      </c>
      <c r="F55" s="47" t="s">
        <v>428</v>
      </c>
      <c r="G55" s="85" t="s">
        <v>801</v>
      </c>
      <c r="H55" s="46"/>
      <c r="I55" s="111">
        <v>1</v>
      </c>
      <c r="J55" s="52">
        <f t="shared" si="7"/>
        <v>0.60026000000000002</v>
      </c>
      <c r="K55" s="155" cm="1">
        <f t="array" ref="K55">IF(AL55="N/A","",IF(AM55="N/A","",IF(AN55="N/A","",IF(AA55="N/A","",_xlfn.IFS(Z55="Wp",AA55,Z55="m2",AA55/AN55,Z55="stk",AA55/AL55,Z55="kWh","",Z55="N/A","")))))</f>
        <v>0.60026000000000002</v>
      </c>
      <c r="L55" s="52">
        <f t="shared" si="8"/>
        <v>0.58799999999999997</v>
      </c>
      <c r="M55" s="155" cm="1">
        <f t="array" ref="M55">IF(AL55="N/A","",IF(AM55="N/A","",IF(AN55="N/A","",IF(AB55="N/A","",_xlfn.IFS(Z55="Wp",AB55,Z55="m2",AB55/AN55,Z55="stk",AB55/AL55,Z55="kWh","",Z55="N/A","")))))</f>
        <v>0.58799999999999997</v>
      </c>
      <c r="N55" s="52">
        <f t="shared" si="9"/>
        <v>1.226E-2</v>
      </c>
      <c r="O55" s="148" cm="1">
        <f t="array" ref="O55">IF(AL55="N/A","",IF(AM55="N/A","",IF(AN55="N/A","",IF(AC55="N/A","",_xlfn.IFS(Z55="Wp",AC55,Z55="m2",AC55/AN55,Z55="stk",AC55/AL55,Z55="kWh","",Z55="N/A","")))))</f>
        <v>1.226E-2</v>
      </c>
      <c r="P55" s="52">
        <f t="shared" si="10"/>
        <v>2.3900000000000001E-2</v>
      </c>
      <c r="Q55" s="155" cm="1">
        <f t="array" ref="Q55">IF(AL55="N/A","",IF(AM55="N/A","",IF(AN55="N/A","",IF(AE55="N/A","",_xlfn.IFS(Z55="Wp",AE55,Z55="m2",AE55/AN55,Z55="stk",AE55/AL55,Z55="kWh","",Z55="N/A","")))))</f>
        <v>2.3900000000000001E-2</v>
      </c>
      <c r="R55" s="186" t="s">
        <v>5</v>
      </c>
      <c r="S55" s="47"/>
      <c r="T55" s="203" t="s">
        <v>804</v>
      </c>
      <c r="U55" s="47">
        <v>2028</v>
      </c>
      <c r="V55" s="47" t="s">
        <v>28</v>
      </c>
      <c r="W55" s="47">
        <v>25</v>
      </c>
      <c r="Y55" s="47" t="s">
        <v>1233</v>
      </c>
      <c r="Z55" s="47" t="s">
        <v>665</v>
      </c>
      <c r="AA55" s="52">
        <f t="shared" si="11"/>
        <v>0.60026000000000002</v>
      </c>
      <c r="AB55" s="52">
        <f>0.588</f>
        <v>0.58799999999999997</v>
      </c>
      <c r="AC55" s="52">
        <f>0.0108+0.00146</f>
        <v>1.226E-2</v>
      </c>
      <c r="AD55" s="52">
        <f>-0.0765</f>
        <v>-7.6499999999999999E-2</v>
      </c>
      <c r="AE55" s="52">
        <f>0.0239</f>
        <v>2.3900000000000001E-2</v>
      </c>
      <c r="AF55" s="47"/>
      <c r="AG55" s="115"/>
      <c r="AH55" s="122"/>
      <c r="AI55" s="125"/>
      <c r="AJ55" s="46"/>
      <c r="AK55" s="46"/>
      <c r="AL55" s="116">
        <f>AM55*AN55</f>
        <v>71.148600000000002</v>
      </c>
      <c r="AM55" s="188">
        <f>0.5046</f>
        <v>0.50460000000000005</v>
      </c>
      <c r="AN55" s="47">
        <f>0.141*1000</f>
        <v>141</v>
      </c>
      <c r="AP55" s="173" t="s">
        <v>17</v>
      </c>
      <c r="AQ55" s="73"/>
      <c r="AR55" s="46"/>
    </row>
    <row r="56" spans="1:44" s="25" customFormat="1" ht="25.2" customHeight="1" x14ac:dyDescent="0.15">
      <c r="A56" s="25" t="s">
        <v>764</v>
      </c>
      <c r="B56" s="47" t="s">
        <v>210</v>
      </c>
      <c r="C56" s="47" t="str">
        <f>""</f>
        <v/>
      </c>
      <c r="D56" s="47" t="s">
        <v>759</v>
      </c>
      <c r="E56" s="86" t="s">
        <v>146</v>
      </c>
      <c r="F56" s="47" t="s">
        <v>428</v>
      </c>
      <c r="G56" s="85" t="s">
        <v>801</v>
      </c>
      <c r="H56" s="46"/>
      <c r="I56" s="111">
        <v>1</v>
      </c>
      <c r="J56" s="52">
        <f t="shared" si="7"/>
        <v>0.98302800000000001</v>
      </c>
      <c r="K56" s="155" cm="1">
        <f t="array" ref="K56">IF(AL56="N/A","",IF(AM56="N/A","",IF(AN56="N/A","",IF(AA56="N/A","",_xlfn.IFS(Z56="Wp",AA56,Z56="m2",AA56/AN56,Z56="stk",AA56/AL56,Z56="kWh","",Z56="N/A","")))))</f>
        <v>0.98302800000000001</v>
      </c>
      <c r="L56" s="52">
        <f t="shared" si="8"/>
        <v>0.94599999999999995</v>
      </c>
      <c r="M56" s="155" cm="1">
        <f t="array" ref="M56">IF(AL56="N/A","",IF(AM56="N/A","",IF(AN56="N/A","",IF(AB56="N/A","",_xlfn.IFS(Z56="Wp",AB56,Z56="m2",AB56/AN56,Z56="stk",AB56/AL56,Z56="kWh","",Z56="N/A","")))))</f>
        <v>0.94599999999999995</v>
      </c>
      <c r="N56" s="52">
        <f t="shared" si="9"/>
        <v>3.7028000000000005E-2</v>
      </c>
      <c r="O56" s="148" cm="1">
        <f t="array" ref="O56">IF(AL56="N/A","",IF(AM56="N/A","",IF(AN56="N/A","",IF(AC56="N/A","",_xlfn.IFS(Z56="Wp",AC56,Z56="m2",AC56/AN56,Z56="stk",AC56/AL56,Z56="kWh","",Z56="N/A","")))))</f>
        <v>3.7028000000000005E-2</v>
      </c>
      <c r="P56" s="52">
        <f t="shared" si="10"/>
        <v>-1.1900000000000001E-2</v>
      </c>
      <c r="Q56" s="155" cm="1">
        <f t="array" ref="Q56">IF(AL56="N/A","",IF(AM56="N/A","",IF(AN56="N/A","",IF(AE56="N/A","",_xlfn.IFS(Z56="Wp",AE56,Z56="m2",AE56/AN56,Z56="stk",AE56/AL56,Z56="kWh","",Z56="N/A","")))))</f>
        <v>-1.1900000000000001E-2</v>
      </c>
      <c r="R56" s="186" t="s">
        <v>5</v>
      </c>
      <c r="S56" s="47"/>
      <c r="T56" s="203" t="s">
        <v>804</v>
      </c>
      <c r="U56" s="47">
        <v>2028</v>
      </c>
      <c r="V56" s="47" t="s">
        <v>28</v>
      </c>
      <c r="W56" s="47">
        <v>25</v>
      </c>
      <c r="Y56" s="47" t="s">
        <v>763</v>
      </c>
      <c r="Z56" s="47" t="s">
        <v>665</v>
      </c>
      <c r="AA56" s="52">
        <f t="shared" si="11"/>
        <v>0.98302800000000001</v>
      </c>
      <c r="AB56" s="52">
        <v>0.94599999999999995</v>
      </c>
      <c r="AC56" s="52">
        <f>0.0362+0.000828</f>
        <v>3.7028000000000005E-2</v>
      </c>
      <c r="AD56" s="52">
        <v>-6.8699999999999997E-2</v>
      </c>
      <c r="AE56" s="52">
        <v>-1.1900000000000001E-2</v>
      </c>
      <c r="AF56" s="47"/>
      <c r="AG56" s="115"/>
      <c r="AH56" s="122"/>
      <c r="AI56" s="125"/>
      <c r="AJ56" s="46"/>
      <c r="AK56" s="46"/>
      <c r="AL56" s="47">
        <v>130</v>
      </c>
      <c r="AM56" s="188">
        <f>1.19*0.625</f>
        <v>0.74374999999999991</v>
      </c>
      <c r="AN56" s="47">
        <v>175</v>
      </c>
      <c r="AP56" s="173" t="s">
        <v>17</v>
      </c>
      <c r="AQ56" s="205" t="s">
        <v>17</v>
      </c>
      <c r="AR56" s="46"/>
    </row>
    <row r="57" spans="1:44" s="25" customFormat="1" ht="25.2" customHeight="1" x14ac:dyDescent="0.15">
      <c r="A57" s="25" t="s">
        <v>765</v>
      </c>
      <c r="B57" s="47" t="s">
        <v>210</v>
      </c>
      <c r="C57" s="47" t="str">
        <f>""</f>
        <v/>
      </c>
      <c r="D57" s="47" t="s">
        <v>466</v>
      </c>
      <c r="E57" s="86" t="s">
        <v>191</v>
      </c>
      <c r="F57" s="47" t="s">
        <v>428</v>
      </c>
      <c r="G57" s="85" t="s">
        <v>801</v>
      </c>
      <c r="H57" s="46"/>
      <c r="I57" s="111">
        <v>1</v>
      </c>
      <c r="J57" s="52" t="str">
        <f t="shared" si="7"/>
        <v>N/A</v>
      </c>
      <c r="K57" s="155" t="str" cm="1">
        <f t="array" ref="K57">IF(AL57="N/A","",IF(AM57="N/A","",IF(AN57="N/A","",IF(AA57="N/A","",_xlfn.IFS(Z57="Wp",AA57,Z57="m2",AA57/AN57,Z57="stk",AA57/AL57,Z57="kWh","",Z57="N/A","")))))</f>
        <v/>
      </c>
      <c r="L57" s="52" t="str">
        <f t="shared" si="8"/>
        <v>N/A</v>
      </c>
      <c r="M57" s="155" t="str" cm="1">
        <f t="array" ref="M57">IF(AL57="N/A","",IF(AM57="N/A","",IF(AN57="N/A","",IF(AB57="N/A","",_xlfn.IFS(Z57="Wp",AB57,Z57="m2",AB57/AN57,Z57="stk",AB57/AL57,Z57="kWh","",Z57="N/A","")))))</f>
        <v/>
      </c>
      <c r="N57" s="52" t="str">
        <f t="shared" si="9"/>
        <v>N/A</v>
      </c>
      <c r="O57" s="148" t="str" cm="1">
        <f t="array" ref="O57">IF(AL57="N/A","",IF(AM57="N/A","",IF(AN57="N/A","",IF(AC57="N/A","",_xlfn.IFS(Z57="Wp",AC57,Z57="m2",AC57/AN57,Z57="stk",AC57/AL57,Z57="kWh","",Z57="N/A","")))))</f>
        <v/>
      </c>
      <c r="P57" s="52" t="str">
        <f t="shared" si="10"/>
        <v>N/A</v>
      </c>
      <c r="Q57" s="155" t="str" cm="1">
        <f t="array" ref="Q57">IF(AL57="N/A","",IF(AM57="N/A","",IF(AN57="N/A","",IF(AE57="N/A","",_xlfn.IFS(Z57="Wp",AE57,Z57="m2",AE57/AN57,Z57="stk",AE57/AL57,Z57="kWh","",Z57="N/A","")))))</f>
        <v/>
      </c>
      <c r="R57" s="47" t="s">
        <v>191</v>
      </c>
      <c r="S57" s="47"/>
      <c r="T57" s="202"/>
      <c r="U57" s="47" t="s">
        <v>191</v>
      </c>
      <c r="V57" s="47" t="s">
        <v>191</v>
      </c>
      <c r="W57" s="47" t="s">
        <v>191</v>
      </c>
      <c r="Y57" s="47" t="s">
        <v>191</v>
      </c>
      <c r="Z57" s="47" t="s">
        <v>191</v>
      </c>
      <c r="AA57" s="52" t="str">
        <f t="shared" si="11"/>
        <v>N/A</v>
      </c>
      <c r="AB57" s="52" t="s">
        <v>191</v>
      </c>
      <c r="AC57" s="52" t="s">
        <v>191</v>
      </c>
      <c r="AD57" s="52" t="s">
        <v>191</v>
      </c>
      <c r="AE57" s="52" t="s">
        <v>191</v>
      </c>
      <c r="AF57" s="47"/>
      <c r="AG57" s="115"/>
      <c r="AH57" s="122"/>
      <c r="AI57" s="125"/>
      <c r="AJ57" s="46"/>
      <c r="AK57" s="46"/>
      <c r="AL57" s="47">
        <v>81</v>
      </c>
      <c r="AM57" s="188">
        <f>1.465*0.4</f>
        <v>0.58600000000000008</v>
      </c>
      <c r="AN57" s="116">
        <f t="shared" ref="AN57:AN80" si="12">AL57/AM57</f>
        <v>138.22525597269623</v>
      </c>
      <c r="AP57" s="173" t="s">
        <v>17</v>
      </c>
      <c r="AQ57" s="73"/>
      <c r="AR57" s="46"/>
    </row>
    <row r="58" spans="1:44" s="25" customFormat="1" ht="25.2" customHeight="1" x14ac:dyDescent="0.15">
      <c r="A58" s="25" t="s">
        <v>766</v>
      </c>
      <c r="B58" s="47" t="s">
        <v>210</v>
      </c>
      <c r="C58" s="47" t="str">
        <f>""</f>
        <v/>
      </c>
      <c r="D58" s="47" t="s">
        <v>466</v>
      </c>
      <c r="E58" s="86" t="s">
        <v>191</v>
      </c>
      <c r="F58" s="47" t="s">
        <v>428</v>
      </c>
      <c r="G58" s="85" t="s">
        <v>801</v>
      </c>
      <c r="H58" s="46"/>
      <c r="I58" s="111">
        <v>1</v>
      </c>
      <c r="J58" s="52" t="str">
        <f t="shared" si="7"/>
        <v>N/A</v>
      </c>
      <c r="K58" s="155" t="str" cm="1">
        <f t="array" ref="K58">IF(AL58="N/A","",IF(AM58="N/A","",IF(AN58="N/A","",IF(AA58="N/A","",_xlfn.IFS(Z58="Wp",AA58,Z58="m2",AA58/AN58,Z58="stk",AA58/AL58,Z58="kWh","",Z58="N/A","")))))</f>
        <v/>
      </c>
      <c r="L58" s="52" t="str">
        <f t="shared" si="8"/>
        <v>N/A</v>
      </c>
      <c r="M58" s="155" t="str" cm="1">
        <f t="array" ref="M58">IF(AL58="N/A","",IF(AM58="N/A","",IF(AN58="N/A","",IF(AB58="N/A","",_xlfn.IFS(Z58="Wp",AB58,Z58="m2",AB58/AN58,Z58="stk",AB58/AL58,Z58="kWh","",Z58="N/A","")))))</f>
        <v/>
      </c>
      <c r="N58" s="52" t="str">
        <f t="shared" si="9"/>
        <v>N/A</v>
      </c>
      <c r="O58" s="148" t="str" cm="1">
        <f t="array" ref="O58">IF(AL58="N/A","",IF(AM58="N/A","",IF(AN58="N/A","",IF(AC58="N/A","",_xlfn.IFS(Z58="Wp",AC58,Z58="m2",AC58/AN58,Z58="stk",AC58/AL58,Z58="kWh","",Z58="N/A","")))))</f>
        <v/>
      </c>
      <c r="P58" s="52" t="str">
        <f t="shared" si="10"/>
        <v>N/A</v>
      </c>
      <c r="Q58" s="155" t="str" cm="1">
        <f t="array" ref="Q58">IF(AL58="N/A","",IF(AM58="N/A","",IF(AN58="N/A","",IF(AE58="N/A","",_xlfn.IFS(Z58="Wp",AE58,Z58="m2",AE58/AN58,Z58="stk",AE58/AL58,Z58="kWh","",Z58="N/A","")))))</f>
        <v/>
      </c>
      <c r="R58" s="47" t="s">
        <v>191</v>
      </c>
      <c r="S58" s="47"/>
      <c r="T58" s="202"/>
      <c r="U58" s="47" t="s">
        <v>191</v>
      </c>
      <c r="V58" s="47" t="s">
        <v>191</v>
      </c>
      <c r="W58" s="47" t="s">
        <v>191</v>
      </c>
      <c r="Y58" s="47" t="s">
        <v>191</v>
      </c>
      <c r="Z58" s="47" t="s">
        <v>191</v>
      </c>
      <c r="AA58" s="52" t="str">
        <f t="shared" si="11"/>
        <v>N/A</v>
      </c>
      <c r="AB58" s="52" t="s">
        <v>191</v>
      </c>
      <c r="AC58" s="52" t="s">
        <v>191</v>
      </c>
      <c r="AD58" s="52" t="s">
        <v>191</v>
      </c>
      <c r="AE58" s="52" t="s">
        <v>191</v>
      </c>
      <c r="AF58" s="47"/>
      <c r="AG58" s="115"/>
      <c r="AH58" s="122"/>
      <c r="AI58" s="125"/>
      <c r="AJ58" s="46"/>
      <c r="AK58" s="46"/>
      <c r="AL58" s="47">
        <v>81</v>
      </c>
      <c r="AM58" s="188">
        <f>1.465*0.4</f>
        <v>0.58600000000000008</v>
      </c>
      <c r="AN58" s="116">
        <f t="shared" si="12"/>
        <v>138.22525597269623</v>
      </c>
      <c r="AP58" s="173" t="s">
        <v>17</v>
      </c>
      <c r="AQ58" s="73"/>
      <c r="AR58" s="46"/>
    </row>
    <row r="59" spans="1:44" s="25" customFormat="1" ht="25.2" customHeight="1" x14ac:dyDescent="0.15">
      <c r="A59" s="25" t="s">
        <v>768</v>
      </c>
      <c r="B59" s="47" t="s">
        <v>210</v>
      </c>
      <c r="C59" s="47" t="str">
        <f>""</f>
        <v/>
      </c>
      <c r="D59" s="47" t="s">
        <v>767</v>
      </c>
      <c r="E59" s="86" t="s">
        <v>191</v>
      </c>
      <c r="F59" s="47" t="s">
        <v>428</v>
      </c>
      <c r="G59" s="85" t="s">
        <v>807</v>
      </c>
      <c r="H59" s="46"/>
      <c r="I59" s="111">
        <v>1</v>
      </c>
      <c r="J59" s="52" t="str">
        <f t="shared" si="7"/>
        <v>N/A</v>
      </c>
      <c r="K59" s="155" t="str" cm="1">
        <f t="array" ref="K59">IF(AL59="N/A","",IF(AM59="N/A","",IF(AN59="N/A","",IF(AA59="N/A","",_xlfn.IFS(Z59="Wp",AA59,Z59="m2",AA59/AN59,Z59="stk",AA59/AL59,Z59="kWh","",Z59="N/A","")))))</f>
        <v/>
      </c>
      <c r="L59" s="52" t="str">
        <f t="shared" si="8"/>
        <v>N/A</v>
      </c>
      <c r="M59" s="155" t="str" cm="1">
        <f t="array" ref="M59">IF(AL59="N/A","",IF(AM59="N/A","",IF(AN59="N/A","",IF(AB59="N/A","",_xlfn.IFS(Z59="Wp",AB59,Z59="m2",AB59/AN59,Z59="stk",AB59/AL59,Z59="kWh","",Z59="N/A","")))))</f>
        <v/>
      </c>
      <c r="N59" s="52" t="str">
        <f t="shared" si="9"/>
        <v>N/A</v>
      </c>
      <c r="O59" s="148" t="str" cm="1">
        <f t="array" ref="O59">IF(AL59="N/A","",IF(AM59="N/A","",IF(AN59="N/A","",IF(AC59="N/A","",_xlfn.IFS(Z59="Wp",AC59,Z59="m2",AC59/AN59,Z59="stk",AC59/AL59,Z59="kWh","",Z59="N/A","")))))</f>
        <v/>
      </c>
      <c r="P59" s="52" t="str">
        <f t="shared" si="10"/>
        <v>N/A</v>
      </c>
      <c r="Q59" s="155" t="str" cm="1">
        <f t="array" ref="Q59">IF(AL59="N/A","",IF(AM59="N/A","",IF(AN59="N/A","",IF(AE59="N/A","",_xlfn.IFS(Z59="Wp",AE59,Z59="m2",AE59/AN59,Z59="stk",AE59/AL59,Z59="kWh","",Z59="N/A","")))))</f>
        <v/>
      </c>
      <c r="R59" s="47" t="s">
        <v>191</v>
      </c>
      <c r="S59" s="47"/>
      <c r="T59" s="202"/>
      <c r="U59" s="47" t="s">
        <v>191</v>
      </c>
      <c r="V59" s="47" t="s">
        <v>191</v>
      </c>
      <c r="W59" s="47" t="s">
        <v>191</v>
      </c>
      <c r="Y59" s="47" t="s">
        <v>191</v>
      </c>
      <c r="Z59" s="47" t="s">
        <v>191</v>
      </c>
      <c r="AA59" s="52" t="str">
        <f t="shared" si="11"/>
        <v>N/A</v>
      </c>
      <c r="AB59" s="52" t="s">
        <v>191</v>
      </c>
      <c r="AC59" s="52" t="s">
        <v>191</v>
      </c>
      <c r="AD59" s="52" t="s">
        <v>191</v>
      </c>
      <c r="AE59" s="52" t="s">
        <v>191</v>
      </c>
      <c r="AF59" s="47"/>
      <c r="AG59" s="115"/>
      <c r="AH59" s="122"/>
      <c r="AI59" s="125"/>
      <c r="AJ59" s="46"/>
      <c r="AK59" s="46"/>
      <c r="AL59" s="47">
        <v>260</v>
      </c>
      <c r="AM59" s="188">
        <f>1.06*1.58</f>
        <v>1.6748000000000001</v>
      </c>
      <c r="AN59" s="116">
        <f t="shared" si="12"/>
        <v>155.24241700501551</v>
      </c>
      <c r="AP59" s="173" t="s">
        <v>17</v>
      </c>
      <c r="AQ59" s="73"/>
      <c r="AR59" s="46"/>
    </row>
    <row r="60" spans="1:44" s="25" customFormat="1" ht="25.2" customHeight="1" x14ac:dyDescent="0.15">
      <c r="A60" s="25" t="s">
        <v>770</v>
      </c>
      <c r="B60" s="47" t="s">
        <v>210</v>
      </c>
      <c r="C60" s="47" t="str">
        <f>""</f>
        <v/>
      </c>
      <c r="D60" s="47" t="s">
        <v>767</v>
      </c>
      <c r="E60" s="86" t="s">
        <v>191</v>
      </c>
      <c r="F60" s="47" t="s">
        <v>428</v>
      </c>
      <c r="G60" s="85" t="s">
        <v>807</v>
      </c>
      <c r="H60" s="46"/>
      <c r="I60" s="111">
        <v>1</v>
      </c>
      <c r="J60" s="52" t="str">
        <f t="shared" si="7"/>
        <v>N/A</v>
      </c>
      <c r="K60" s="155" t="str" cm="1">
        <f t="array" ref="K60">IF(AL60="N/A","",IF(AM60="N/A","",IF(AN60="N/A","",IF(AA60="N/A","",_xlfn.IFS(Z60="Wp",AA60,Z60="m2",AA60/AN60,Z60="stk",AA60/AL60,Z60="kWh","",Z60="N/A","")))))</f>
        <v/>
      </c>
      <c r="L60" s="52" t="str">
        <f t="shared" si="8"/>
        <v>N/A</v>
      </c>
      <c r="M60" s="155" t="str" cm="1">
        <f t="array" ref="M60">IF(AL60="N/A","",IF(AM60="N/A","",IF(AN60="N/A","",IF(AB60="N/A","",_xlfn.IFS(Z60="Wp",AB60,Z60="m2",AB60/AN60,Z60="stk",AB60/AL60,Z60="kWh","",Z60="N/A","")))))</f>
        <v/>
      </c>
      <c r="N60" s="52" t="str">
        <f t="shared" si="9"/>
        <v>N/A</v>
      </c>
      <c r="O60" s="148" t="str" cm="1">
        <f t="array" ref="O60">IF(AL60="N/A","",IF(AM60="N/A","",IF(AN60="N/A","",IF(AC60="N/A","",_xlfn.IFS(Z60="Wp",AC60,Z60="m2",AC60/AN60,Z60="stk",AC60/AL60,Z60="kWh","",Z60="N/A","")))))</f>
        <v/>
      </c>
      <c r="P60" s="52" t="str">
        <f t="shared" si="10"/>
        <v>N/A</v>
      </c>
      <c r="Q60" s="155" t="str" cm="1">
        <f t="array" ref="Q60">IF(AL60="N/A","",IF(AM60="N/A","",IF(AN60="N/A","",IF(AE60="N/A","",_xlfn.IFS(Z60="Wp",AE60,Z60="m2",AE60/AN60,Z60="stk",AE60/AL60,Z60="kWh","",Z60="N/A","")))))</f>
        <v/>
      </c>
      <c r="R60" s="47" t="s">
        <v>191</v>
      </c>
      <c r="S60" s="47"/>
      <c r="T60" s="202"/>
      <c r="U60" s="47" t="s">
        <v>191</v>
      </c>
      <c r="V60" s="47" t="s">
        <v>191</v>
      </c>
      <c r="W60" s="47" t="s">
        <v>191</v>
      </c>
      <c r="Y60" s="47" t="s">
        <v>191</v>
      </c>
      <c r="Z60" s="47" t="s">
        <v>191</v>
      </c>
      <c r="AA60" s="52" t="str">
        <f t="shared" si="11"/>
        <v>N/A</v>
      </c>
      <c r="AB60" s="52" t="s">
        <v>191</v>
      </c>
      <c r="AC60" s="52" t="s">
        <v>191</v>
      </c>
      <c r="AD60" s="52" t="s">
        <v>191</v>
      </c>
      <c r="AE60" s="52" t="s">
        <v>191</v>
      </c>
      <c r="AF60" s="47"/>
      <c r="AG60" s="115"/>
      <c r="AH60" s="122"/>
      <c r="AI60" s="125"/>
      <c r="AJ60" s="46"/>
      <c r="AK60" s="46"/>
      <c r="AL60" s="47">
        <v>260</v>
      </c>
      <c r="AM60" s="188">
        <f>1.046*1.559</f>
        <v>1.630714</v>
      </c>
      <c r="AN60" s="116">
        <f t="shared" si="12"/>
        <v>159.43936214443488</v>
      </c>
      <c r="AP60" s="173" t="s">
        <v>17</v>
      </c>
      <c r="AQ60" s="73"/>
      <c r="AR60" s="46"/>
    </row>
    <row r="61" spans="1:44" s="25" customFormat="1" ht="25.2" customHeight="1" x14ac:dyDescent="0.15">
      <c r="A61" s="25" t="s">
        <v>771</v>
      </c>
      <c r="B61" s="47" t="s">
        <v>210</v>
      </c>
      <c r="C61" s="47" t="str">
        <f>""</f>
        <v/>
      </c>
      <c r="D61" s="47" t="s">
        <v>767</v>
      </c>
      <c r="E61" s="86" t="s">
        <v>191</v>
      </c>
      <c r="F61" s="47" t="s">
        <v>428</v>
      </c>
      <c r="G61" s="85" t="s">
        <v>807</v>
      </c>
      <c r="H61" s="46"/>
      <c r="I61" s="111">
        <v>1</v>
      </c>
      <c r="J61" s="52" t="str">
        <f t="shared" si="7"/>
        <v>N/A</v>
      </c>
      <c r="K61" s="155" t="str" cm="1">
        <f t="array" ref="K61">IF(AL61="N/A","",IF(AM61="N/A","",IF(AN61="N/A","",IF(AA61="N/A","",_xlfn.IFS(Z61="Wp",AA61,Z61="m2",AA61/AN61,Z61="stk",AA61/AL61,Z61="kWh","",Z61="N/A","")))))</f>
        <v/>
      </c>
      <c r="L61" s="52" t="str">
        <f t="shared" si="8"/>
        <v>N/A</v>
      </c>
      <c r="M61" s="155" t="str" cm="1">
        <f t="array" ref="M61">IF(AL61="N/A","",IF(AM61="N/A","",IF(AN61="N/A","",IF(AB61="N/A","",_xlfn.IFS(Z61="Wp",AB61,Z61="m2",AB61/AN61,Z61="stk",AB61/AL61,Z61="kWh","",Z61="N/A","")))))</f>
        <v/>
      </c>
      <c r="N61" s="52" t="str">
        <f t="shared" si="9"/>
        <v>N/A</v>
      </c>
      <c r="O61" s="148" t="str" cm="1">
        <f t="array" ref="O61">IF(AL61="N/A","",IF(AM61="N/A","",IF(AN61="N/A","",IF(AC61="N/A","",_xlfn.IFS(Z61="Wp",AC61,Z61="m2",AC61/AN61,Z61="stk",AC61/AL61,Z61="kWh","",Z61="N/A","")))))</f>
        <v/>
      </c>
      <c r="P61" s="52" t="str">
        <f t="shared" si="10"/>
        <v>N/A</v>
      </c>
      <c r="Q61" s="155" t="str" cm="1">
        <f t="array" ref="Q61">IF(AL61="N/A","",IF(AM61="N/A","",IF(AN61="N/A","",IF(AE61="N/A","",_xlfn.IFS(Z61="Wp",AE61,Z61="m2",AE61/AN61,Z61="stk",AE61/AL61,Z61="kWh","",Z61="N/A","")))))</f>
        <v/>
      </c>
      <c r="R61" s="47" t="s">
        <v>191</v>
      </c>
      <c r="S61" s="47"/>
      <c r="T61" s="202"/>
      <c r="U61" s="47" t="s">
        <v>191</v>
      </c>
      <c r="V61" s="47" t="s">
        <v>191</v>
      </c>
      <c r="W61" s="47" t="s">
        <v>191</v>
      </c>
      <c r="Y61" s="47" t="s">
        <v>191</v>
      </c>
      <c r="Z61" s="47" t="s">
        <v>191</v>
      </c>
      <c r="AA61" s="52" t="str">
        <f t="shared" si="11"/>
        <v>N/A</v>
      </c>
      <c r="AB61" s="52" t="s">
        <v>191</v>
      </c>
      <c r="AC61" s="52" t="s">
        <v>191</v>
      </c>
      <c r="AD61" s="52" t="s">
        <v>191</v>
      </c>
      <c r="AE61" s="52" t="s">
        <v>191</v>
      </c>
      <c r="AF61" s="47"/>
      <c r="AG61" s="115"/>
      <c r="AH61" s="122"/>
      <c r="AI61" s="125"/>
      <c r="AJ61" s="46"/>
      <c r="AK61" s="46"/>
      <c r="AL61" s="47">
        <v>280</v>
      </c>
      <c r="AM61" s="188">
        <f>1.046*1.559</f>
        <v>1.630714</v>
      </c>
      <c r="AN61" s="116">
        <f t="shared" si="12"/>
        <v>171.70392846323759</v>
      </c>
      <c r="AP61" s="173" t="s">
        <v>17</v>
      </c>
      <c r="AQ61" s="73"/>
      <c r="AR61" s="46"/>
    </row>
    <row r="62" spans="1:44" s="25" customFormat="1" ht="25.2" customHeight="1" x14ac:dyDescent="0.15">
      <c r="A62" s="25" t="s">
        <v>773</v>
      </c>
      <c r="B62" s="47" t="s">
        <v>210</v>
      </c>
      <c r="C62" s="47" t="str">
        <f>""</f>
        <v/>
      </c>
      <c r="D62" s="47" t="s">
        <v>774</v>
      </c>
      <c r="E62" s="186" t="s">
        <v>137</v>
      </c>
      <c r="F62" s="47" t="s">
        <v>428</v>
      </c>
      <c r="G62" s="85" t="s">
        <v>807</v>
      </c>
      <c r="H62" s="46"/>
      <c r="I62" s="111">
        <v>1</v>
      </c>
      <c r="J62" s="52" t="str">
        <f t="shared" si="7"/>
        <v>N/A</v>
      </c>
      <c r="K62" s="155" t="str" cm="1">
        <f t="array" ref="K62">IF(AL62="N/A","",IF(AM62="N/A","",IF(AN62="N/A","",IF(AA62="N/A","",_xlfn.IFS(Z62="Wp",AA62,Z62="m2",AA62/AN62,Z62="stk",AA62/AL62,Z62="kWh","",Z62="N/A","")))))</f>
        <v/>
      </c>
      <c r="L62" s="52" t="str">
        <f t="shared" si="8"/>
        <v>N/A</v>
      </c>
      <c r="M62" s="155" t="str" cm="1">
        <f t="array" ref="M62">IF(AL62="N/A","",IF(AM62="N/A","",IF(AN62="N/A","",IF(AB62="N/A","",_xlfn.IFS(Z62="Wp",AB62,Z62="m2",AB62/AN62,Z62="stk",AB62/AL62,Z62="kWh","",Z62="N/A","")))))</f>
        <v/>
      </c>
      <c r="N62" s="52" t="str">
        <f t="shared" si="9"/>
        <v>N/A</v>
      </c>
      <c r="O62" s="148" t="str" cm="1">
        <f t="array" ref="O62">IF(AL62="N/A","",IF(AM62="N/A","",IF(AN62="N/A","",IF(AC62="N/A","",_xlfn.IFS(Z62="Wp",AC62,Z62="m2",AC62/AN62,Z62="stk",AC62/AL62,Z62="kWh","",Z62="N/A","")))))</f>
        <v/>
      </c>
      <c r="P62" s="52" t="str">
        <f t="shared" si="10"/>
        <v>N/A</v>
      </c>
      <c r="Q62" s="155" t="str" cm="1">
        <f t="array" ref="Q62">IF(AL62="N/A","",IF(AM62="N/A","",IF(AN62="N/A","",IF(AE62="N/A","",_xlfn.IFS(Z62="Wp",AE62,Z62="m2",AE62/AN62,Z62="stk",AE62/AL62,Z62="kWh","",Z62="N/A","")))))</f>
        <v/>
      </c>
      <c r="R62" s="47" t="s">
        <v>191</v>
      </c>
      <c r="S62" s="47"/>
      <c r="T62" s="202"/>
      <c r="U62" s="47" t="s">
        <v>191</v>
      </c>
      <c r="V62" s="47" t="s">
        <v>191</v>
      </c>
      <c r="W62" s="47" t="s">
        <v>191</v>
      </c>
      <c r="Y62" s="47" t="s">
        <v>191</v>
      </c>
      <c r="Z62" s="47" t="s">
        <v>191</v>
      </c>
      <c r="AA62" s="52" t="str">
        <f t="shared" si="11"/>
        <v>N/A</v>
      </c>
      <c r="AB62" s="52" t="s">
        <v>191</v>
      </c>
      <c r="AC62" s="52" t="s">
        <v>191</v>
      </c>
      <c r="AD62" s="52" t="s">
        <v>191</v>
      </c>
      <c r="AE62" s="52" t="s">
        <v>191</v>
      </c>
      <c r="AF62" s="47"/>
      <c r="AG62" s="115"/>
      <c r="AH62" s="122"/>
      <c r="AI62" s="125"/>
      <c r="AJ62" s="46"/>
      <c r="AK62" s="46"/>
      <c r="AL62" s="47">
        <v>270</v>
      </c>
      <c r="AM62" s="188">
        <f>1.64*0.992</f>
        <v>1.6268799999999999</v>
      </c>
      <c r="AN62" s="116">
        <f t="shared" si="12"/>
        <v>165.96184107002361</v>
      </c>
      <c r="AP62" s="173" t="s">
        <v>17</v>
      </c>
      <c r="AQ62" s="73"/>
      <c r="AR62" s="46"/>
    </row>
    <row r="63" spans="1:44" s="25" customFormat="1" ht="25.2" customHeight="1" x14ac:dyDescent="0.15">
      <c r="A63" s="25" t="s">
        <v>772</v>
      </c>
      <c r="B63" s="47" t="s">
        <v>210</v>
      </c>
      <c r="C63" s="47" t="str">
        <f>""</f>
        <v/>
      </c>
      <c r="D63" s="47" t="s">
        <v>774</v>
      </c>
      <c r="E63" s="186" t="s">
        <v>137</v>
      </c>
      <c r="F63" s="47" t="s">
        <v>428</v>
      </c>
      <c r="G63" s="85" t="s">
        <v>807</v>
      </c>
      <c r="H63" s="46"/>
      <c r="I63" s="111">
        <v>1</v>
      </c>
      <c r="J63" s="52" t="str">
        <f t="shared" si="7"/>
        <v>N/A</v>
      </c>
      <c r="K63" s="155" t="str" cm="1">
        <f t="array" ref="K63">IF(AL63="N/A","",IF(AM63="N/A","",IF(AN63="N/A","",IF(AA63="N/A","",_xlfn.IFS(Z63="Wp",AA63,Z63="m2",AA63/AN63,Z63="stk",AA63/AL63,Z63="kWh","",Z63="N/A","")))))</f>
        <v/>
      </c>
      <c r="L63" s="52" t="str">
        <f t="shared" si="8"/>
        <v>N/A</v>
      </c>
      <c r="M63" s="155" t="str" cm="1">
        <f t="array" ref="M63">IF(AL63="N/A","",IF(AM63="N/A","",IF(AN63="N/A","",IF(AB63="N/A","",_xlfn.IFS(Z63="Wp",AB63,Z63="m2",AB63/AN63,Z63="stk",AB63/AL63,Z63="kWh","",Z63="N/A","")))))</f>
        <v/>
      </c>
      <c r="N63" s="52" t="str">
        <f t="shared" si="9"/>
        <v>N/A</v>
      </c>
      <c r="O63" s="148" t="str" cm="1">
        <f t="array" ref="O63">IF(AL63="N/A","",IF(AM63="N/A","",IF(AN63="N/A","",IF(AC63="N/A","",_xlfn.IFS(Z63="Wp",AC63,Z63="m2",AC63/AN63,Z63="stk",AC63/AL63,Z63="kWh","",Z63="N/A","")))))</f>
        <v/>
      </c>
      <c r="P63" s="52" t="str">
        <f t="shared" si="10"/>
        <v>N/A</v>
      </c>
      <c r="Q63" s="155" t="str" cm="1">
        <f t="array" ref="Q63">IF(AL63="N/A","",IF(AM63="N/A","",IF(AN63="N/A","",IF(AE63="N/A","",_xlfn.IFS(Z63="Wp",AE63,Z63="m2",AE63/AN63,Z63="stk",AE63/AL63,Z63="kWh","",Z63="N/A","")))))</f>
        <v/>
      </c>
      <c r="R63" s="47" t="s">
        <v>191</v>
      </c>
      <c r="S63" s="47"/>
      <c r="T63" s="202"/>
      <c r="U63" s="47" t="s">
        <v>191</v>
      </c>
      <c r="V63" s="47" t="s">
        <v>191</v>
      </c>
      <c r="W63" s="47" t="s">
        <v>191</v>
      </c>
      <c r="Y63" s="47" t="s">
        <v>191</v>
      </c>
      <c r="Z63" s="47" t="s">
        <v>191</v>
      </c>
      <c r="AA63" s="52" t="str">
        <f t="shared" si="11"/>
        <v>N/A</v>
      </c>
      <c r="AB63" s="52" t="s">
        <v>191</v>
      </c>
      <c r="AC63" s="52" t="s">
        <v>191</v>
      </c>
      <c r="AD63" s="52" t="s">
        <v>191</v>
      </c>
      <c r="AE63" s="52" t="s">
        <v>191</v>
      </c>
      <c r="AF63" s="47"/>
      <c r="AG63" s="115"/>
      <c r="AH63" s="122"/>
      <c r="AI63" s="125"/>
      <c r="AJ63" s="46"/>
      <c r="AK63" s="46"/>
      <c r="AL63" s="47">
        <v>275</v>
      </c>
      <c r="AM63" s="188">
        <f>1.64*0.992</f>
        <v>1.6268799999999999</v>
      </c>
      <c r="AN63" s="116">
        <f t="shared" si="12"/>
        <v>169.03520849724629</v>
      </c>
      <c r="AP63" s="173" t="s">
        <v>17</v>
      </c>
      <c r="AQ63" s="73"/>
      <c r="AR63" s="46"/>
    </row>
    <row r="64" spans="1:44" s="25" customFormat="1" ht="25.2" customHeight="1" x14ac:dyDescent="0.15">
      <c r="A64" s="25" t="s">
        <v>775</v>
      </c>
      <c r="B64" s="47" t="s">
        <v>210</v>
      </c>
      <c r="C64" s="47" t="str">
        <f>""</f>
        <v/>
      </c>
      <c r="D64" s="47" t="s">
        <v>774</v>
      </c>
      <c r="E64" s="186" t="s">
        <v>137</v>
      </c>
      <c r="F64" s="47" t="s">
        <v>428</v>
      </c>
      <c r="G64" s="85" t="s">
        <v>807</v>
      </c>
      <c r="H64" s="46"/>
      <c r="I64" s="111">
        <v>1</v>
      </c>
      <c r="J64" s="52" t="str">
        <f t="shared" si="7"/>
        <v>N/A</v>
      </c>
      <c r="K64" s="155" t="str" cm="1">
        <f t="array" ref="K64">IF(AL64="N/A","",IF(AM64="N/A","",IF(AN64="N/A","",IF(AA64="N/A","",_xlfn.IFS(Z64="Wp",AA64,Z64="m2",AA64/AN64,Z64="stk",AA64/AL64,Z64="kWh","",Z64="N/A","")))))</f>
        <v/>
      </c>
      <c r="L64" s="52" t="str">
        <f t="shared" si="8"/>
        <v>N/A</v>
      </c>
      <c r="M64" s="155" t="str" cm="1">
        <f t="array" ref="M64">IF(AL64="N/A","",IF(AM64="N/A","",IF(AN64="N/A","",IF(AB64="N/A","",_xlfn.IFS(Z64="Wp",AB64,Z64="m2",AB64/AN64,Z64="stk",AB64/AL64,Z64="kWh","",Z64="N/A","")))))</f>
        <v/>
      </c>
      <c r="N64" s="52" t="str">
        <f t="shared" si="9"/>
        <v>N/A</v>
      </c>
      <c r="O64" s="148" t="str" cm="1">
        <f t="array" ref="O64">IF(AL64="N/A","",IF(AM64="N/A","",IF(AN64="N/A","",IF(AC64="N/A","",_xlfn.IFS(Z64="Wp",AC64,Z64="m2",AC64/AN64,Z64="stk",AC64/AL64,Z64="kWh","",Z64="N/A","")))))</f>
        <v/>
      </c>
      <c r="P64" s="52" t="str">
        <f t="shared" si="10"/>
        <v>N/A</v>
      </c>
      <c r="Q64" s="155" t="str" cm="1">
        <f t="array" ref="Q64">IF(AL64="N/A","",IF(AM64="N/A","",IF(AN64="N/A","",IF(AE64="N/A","",_xlfn.IFS(Z64="Wp",AE64,Z64="m2",AE64/AN64,Z64="stk",AE64/AL64,Z64="kWh","",Z64="N/A","")))))</f>
        <v/>
      </c>
      <c r="R64" s="47" t="s">
        <v>191</v>
      </c>
      <c r="S64" s="47"/>
      <c r="T64" s="202"/>
      <c r="U64" s="47" t="s">
        <v>191</v>
      </c>
      <c r="V64" s="47" t="s">
        <v>191</v>
      </c>
      <c r="W64" s="47" t="s">
        <v>191</v>
      </c>
      <c r="Y64" s="47" t="s">
        <v>191</v>
      </c>
      <c r="Z64" s="47" t="s">
        <v>191</v>
      </c>
      <c r="AA64" s="52" t="str">
        <f t="shared" si="11"/>
        <v>N/A</v>
      </c>
      <c r="AB64" s="52" t="s">
        <v>191</v>
      </c>
      <c r="AC64" s="52" t="s">
        <v>191</v>
      </c>
      <c r="AD64" s="52" t="s">
        <v>191</v>
      </c>
      <c r="AE64" s="52" t="s">
        <v>191</v>
      </c>
      <c r="AF64" s="47"/>
      <c r="AG64" s="115"/>
      <c r="AH64" s="122"/>
      <c r="AI64" s="125"/>
      <c r="AJ64" s="46"/>
      <c r="AK64" s="46"/>
      <c r="AL64" s="47">
        <v>670</v>
      </c>
      <c r="AM64" s="188">
        <f>2.384*1.303</f>
        <v>3.1063519999999998</v>
      </c>
      <c r="AN64" s="116">
        <f t="shared" si="12"/>
        <v>215.68708246843889</v>
      </c>
      <c r="AP64" s="173" t="s">
        <v>17</v>
      </c>
      <c r="AQ64" s="73"/>
      <c r="AR64" s="46"/>
    </row>
    <row r="65" spans="1:44" s="25" customFormat="1" ht="25.2" customHeight="1" x14ac:dyDescent="0.15">
      <c r="A65" s="25" t="s">
        <v>776</v>
      </c>
      <c r="B65" s="47" t="s">
        <v>210</v>
      </c>
      <c r="C65" s="47" t="str">
        <f>""</f>
        <v/>
      </c>
      <c r="D65" s="47" t="s">
        <v>774</v>
      </c>
      <c r="E65" s="186" t="s">
        <v>137</v>
      </c>
      <c r="F65" s="47" t="s">
        <v>428</v>
      </c>
      <c r="G65" s="85" t="s">
        <v>807</v>
      </c>
      <c r="H65" s="46"/>
      <c r="I65" s="111">
        <v>1</v>
      </c>
      <c r="J65" s="52" t="str">
        <f t="shared" si="7"/>
        <v>N/A</v>
      </c>
      <c r="K65" s="155" t="str" cm="1">
        <f t="array" ref="K65">IF(AL65="N/A","",IF(AM65="N/A","",IF(AN65="N/A","",IF(AA65="N/A","",_xlfn.IFS(Z65="Wp",AA65,Z65="m2",AA65/AN65,Z65="stk",AA65/AL65,Z65="kWh","",Z65="N/A","")))))</f>
        <v/>
      </c>
      <c r="L65" s="52" t="str">
        <f t="shared" si="8"/>
        <v>N/A</v>
      </c>
      <c r="M65" s="155" t="str" cm="1">
        <f t="array" ref="M65">IF(AL65="N/A","",IF(AM65="N/A","",IF(AN65="N/A","",IF(AB65="N/A","",_xlfn.IFS(Z65="Wp",AB65,Z65="m2",AB65/AN65,Z65="stk",AB65/AL65,Z65="kWh","",Z65="N/A","")))))</f>
        <v/>
      </c>
      <c r="N65" s="52" t="str">
        <f t="shared" si="9"/>
        <v>N/A</v>
      </c>
      <c r="O65" s="148" t="str" cm="1">
        <f t="array" ref="O65">IF(AL65="N/A","",IF(AM65="N/A","",IF(AN65="N/A","",IF(AC65="N/A","",_xlfn.IFS(Z65="Wp",AC65,Z65="m2",AC65/AN65,Z65="stk",AC65/AL65,Z65="kWh","",Z65="N/A","")))))</f>
        <v/>
      </c>
      <c r="P65" s="52" t="str">
        <f t="shared" si="10"/>
        <v>N/A</v>
      </c>
      <c r="Q65" s="155" t="str" cm="1">
        <f t="array" ref="Q65">IF(AL65="N/A","",IF(AM65="N/A","",IF(AN65="N/A","",IF(AE65="N/A","",_xlfn.IFS(Z65="Wp",AE65,Z65="m2",AE65/AN65,Z65="stk",AE65/AL65,Z65="kWh","",Z65="N/A","")))))</f>
        <v/>
      </c>
      <c r="R65" s="47" t="s">
        <v>191</v>
      </c>
      <c r="S65" s="47"/>
      <c r="T65" s="202"/>
      <c r="U65" s="47" t="s">
        <v>191</v>
      </c>
      <c r="V65" s="47" t="s">
        <v>191</v>
      </c>
      <c r="W65" s="47" t="s">
        <v>191</v>
      </c>
      <c r="Y65" s="47" t="s">
        <v>191</v>
      </c>
      <c r="Z65" s="47" t="s">
        <v>191</v>
      </c>
      <c r="AA65" s="52" t="str">
        <f t="shared" si="11"/>
        <v>N/A</v>
      </c>
      <c r="AB65" s="52" t="s">
        <v>191</v>
      </c>
      <c r="AC65" s="52" t="s">
        <v>191</v>
      </c>
      <c r="AD65" s="52" t="s">
        <v>191</v>
      </c>
      <c r="AE65" s="52" t="s">
        <v>191</v>
      </c>
      <c r="AF65" s="47"/>
      <c r="AG65" s="115"/>
      <c r="AH65" s="122"/>
      <c r="AI65" s="125"/>
      <c r="AJ65" s="46"/>
      <c r="AK65" s="46"/>
      <c r="AL65" s="47">
        <v>670</v>
      </c>
      <c r="AM65" s="188">
        <f>2.384*1.303</f>
        <v>3.1063519999999998</v>
      </c>
      <c r="AN65" s="116">
        <f t="shared" si="12"/>
        <v>215.68708246843889</v>
      </c>
      <c r="AP65" s="173" t="s">
        <v>17</v>
      </c>
      <c r="AQ65" s="73"/>
      <c r="AR65" s="46"/>
    </row>
    <row r="66" spans="1:44" s="25" customFormat="1" ht="25.2" customHeight="1" x14ac:dyDescent="0.15">
      <c r="A66" s="25" t="s">
        <v>777</v>
      </c>
      <c r="B66" s="47" t="s">
        <v>210</v>
      </c>
      <c r="C66" s="47" t="str">
        <f>""</f>
        <v/>
      </c>
      <c r="D66" s="47" t="s">
        <v>774</v>
      </c>
      <c r="E66" s="186" t="s">
        <v>137</v>
      </c>
      <c r="F66" s="47" t="s">
        <v>428</v>
      </c>
      <c r="G66" s="85" t="s">
        <v>807</v>
      </c>
      <c r="H66" s="46"/>
      <c r="I66" s="111">
        <v>1</v>
      </c>
      <c r="J66" s="52" t="str">
        <f t="shared" si="7"/>
        <v>N/A</v>
      </c>
      <c r="K66" s="155" t="str" cm="1">
        <f t="array" ref="K66">IF(AL66="N/A","",IF(AM66="N/A","",IF(AN66="N/A","",IF(AA66="N/A","",_xlfn.IFS(Z66="Wp",AA66,Z66="m2",AA66/AN66,Z66="stk",AA66/AL66,Z66="kWh","",Z66="N/A","")))))</f>
        <v/>
      </c>
      <c r="L66" s="52" t="str">
        <f t="shared" si="8"/>
        <v>N/A</v>
      </c>
      <c r="M66" s="155" t="str" cm="1">
        <f t="array" ref="M66">IF(AL66="N/A","",IF(AM66="N/A","",IF(AN66="N/A","",IF(AB66="N/A","",_xlfn.IFS(Z66="Wp",AB66,Z66="m2",AB66/AN66,Z66="stk",AB66/AL66,Z66="kWh","",Z66="N/A","")))))</f>
        <v/>
      </c>
      <c r="N66" s="52" t="str">
        <f t="shared" si="9"/>
        <v>N/A</v>
      </c>
      <c r="O66" s="148" t="str" cm="1">
        <f t="array" ref="O66">IF(AL66="N/A","",IF(AM66="N/A","",IF(AN66="N/A","",IF(AC66="N/A","",_xlfn.IFS(Z66="Wp",AC66,Z66="m2",AC66/AN66,Z66="stk",AC66/AL66,Z66="kWh","",Z66="N/A","")))))</f>
        <v/>
      </c>
      <c r="P66" s="52" t="str">
        <f t="shared" si="10"/>
        <v>N/A</v>
      </c>
      <c r="Q66" s="155" t="str" cm="1">
        <f t="array" ref="Q66">IF(AL66="N/A","",IF(AM66="N/A","",IF(AN66="N/A","",IF(AE66="N/A","",_xlfn.IFS(Z66="Wp",AE66,Z66="m2",AE66/AN66,Z66="stk",AE66/AL66,Z66="kWh","",Z66="N/A","")))))</f>
        <v/>
      </c>
      <c r="R66" s="47" t="s">
        <v>191</v>
      </c>
      <c r="S66" s="47"/>
      <c r="T66" s="202"/>
      <c r="U66" s="47" t="s">
        <v>191</v>
      </c>
      <c r="V66" s="47" t="s">
        <v>191</v>
      </c>
      <c r="W66" s="47" t="s">
        <v>191</v>
      </c>
      <c r="Y66" s="47" t="s">
        <v>191</v>
      </c>
      <c r="Z66" s="47" t="s">
        <v>191</v>
      </c>
      <c r="AA66" s="52" t="str">
        <f t="shared" si="11"/>
        <v>N/A</v>
      </c>
      <c r="AB66" s="52" t="s">
        <v>191</v>
      </c>
      <c r="AC66" s="52" t="s">
        <v>191</v>
      </c>
      <c r="AD66" s="52" t="s">
        <v>191</v>
      </c>
      <c r="AE66" s="52" t="s">
        <v>191</v>
      </c>
      <c r="AF66" s="47"/>
      <c r="AG66" s="115"/>
      <c r="AH66" s="122"/>
      <c r="AI66" s="125"/>
      <c r="AJ66" s="46"/>
      <c r="AK66" s="46"/>
      <c r="AL66" s="47">
        <v>410</v>
      </c>
      <c r="AM66" s="188">
        <f>1.722*1.134</f>
        <v>1.9527479999999997</v>
      </c>
      <c r="AN66" s="116">
        <f t="shared" si="12"/>
        <v>209.96052742084493</v>
      </c>
      <c r="AP66" s="173" t="s">
        <v>17</v>
      </c>
      <c r="AQ66" s="73"/>
      <c r="AR66" s="46"/>
    </row>
    <row r="67" spans="1:44" s="25" customFormat="1" ht="25.2" customHeight="1" x14ac:dyDescent="0.15">
      <c r="A67" s="25" t="s">
        <v>778</v>
      </c>
      <c r="B67" s="47" t="s">
        <v>210</v>
      </c>
      <c r="C67" s="47" t="str">
        <f>""</f>
        <v/>
      </c>
      <c r="D67" s="47" t="s">
        <v>774</v>
      </c>
      <c r="E67" s="186" t="s">
        <v>137</v>
      </c>
      <c r="F67" s="47" t="s">
        <v>428</v>
      </c>
      <c r="G67" s="85" t="s">
        <v>807</v>
      </c>
      <c r="H67" s="46"/>
      <c r="I67" s="111">
        <v>1</v>
      </c>
      <c r="J67" s="52" t="str">
        <f t="shared" si="7"/>
        <v>N/A</v>
      </c>
      <c r="K67" s="155" t="str" cm="1">
        <f t="array" ref="K67">IF(AL67="N/A","",IF(AM67="N/A","",IF(AN67="N/A","",IF(AA67="N/A","",_xlfn.IFS(Z67="Wp",AA67,Z67="m2",AA67/AN67,Z67="stk",AA67/AL67,Z67="kWh","",Z67="N/A","")))))</f>
        <v/>
      </c>
      <c r="L67" s="52" t="str">
        <f t="shared" si="8"/>
        <v>N/A</v>
      </c>
      <c r="M67" s="155" t="str" cm="1">
        <f t="array" ref="M67">IF(AL67="N/A","",IF(AM67="N/A","",IF(AN67="N/A","",IF(AB67="N/A","",_xlfn.IFS(Z67="Wp",AB67,Z67="m2",AB67/AN67,Z67="stk",AB67/AL67,Z67="kWh","",Z67="N/A","")))))</f>
        <v/>
      </c>
      <c r="N67" s="52" t="str">
        <f t="shared" si="9"/>
        <v>N/A</v>
      </c>
      <c r="O67" s="148" t="str" cm="1">
        <f t="array" ref="O67">IF(AL67="N/A","",IF(AM67="N/A","",IF(AN67="N/A","",IF(AC67="N/A","",_xlfn.IFS(Z67="Wp",AC67,Z67="m2",AC67/AN67,Z67="stk",AC67/AL67,Z67="kWh","",Z67="N/A","")))))</f>
        <v/>
      </c>
      <c r="P67" s="52" t="str">
        <f t="shared" si="10"/>
        <v>N/A</v>
      </c>
      <c r="Q67" s="155" t="str" cm="1">
        <f t="array" ref="Q67">IF(AL67="N/A","",IF(AM67="N/A","",IF(AN67="N/A","",IF(AE67="N/A","",_xlfn.IFS(Z67="Wp",AE67,Z67="m2",AE67/AN67,Z67="stk",AE67/AL67,Z67="kWh","",Z67="N/A","")))))</f>
        <v/>
      </c>
      <c r="R67" s="47" t="s">
        <v>191</v>
      </c>
      <c r="S67" s="47"/>
      <c r="T67" s="202"/>
      <c r="U67" s="47" t="s">
        <v>191</v>
      </c>
      <c r="V67" s="47" t="s">
        <v>191</v>
      </c>
      <c r="W67" s="47" t="s">
        <v>191</v>
      </c>
      <c r="Y67" s="47" t="s">
        <v>191</v>
      </c>
      <c r="Z67" s="47" t="s">
        <v>191</v>
      </c>
      <c r="AA67" s="52" t="str">
        <f t="shared" si="11"/>
        <v>N/A</v>
      </c>
      <c r="AB67" s="52" t="s">
        <v>191</v>
      </c>
      <c r="AC67" s="52" t="s">
        <v>191</v>
      </c>
      <c r="AD67" s="52" t="s">
        <v>191</v>
      </c>
      <c r="AE67" s="52" t="s">
        <v>191</v>
      </c>
      <c r="AF67" s="47"/>
      <c r="AG67" s="115"/>
      <c r="AH67" s="122"/>
      <c r="AI67" s="125"/>
      <c r="AJ67" s="46"/>
      <c r="AK67" s="46"/>
      <c r="AL67" s="47">
        <v>411</v>
      </c>
      <c r="AM67" s="188">
        <f>1.722*1.134</f>
        <v>1.9527479999999997</v>
      </c>
      <c r="AN67" s="116">
        <f t="shared" si="12"/>
        <v>210.47262626821282</v>
      </c>
      <c r="AP67" s="173" t="s">
        <v>17</v>
      </c>
      <c r="AQ67" s="73"/>
      <c r="AR67" s="46"/>
    </row>
    <row r="68" spans="1:44" s="25" customFormat="1" ht="25.2" customHeight="1" x14ac:dyDescent="0.15">
      <c r="A68" s="25" t="s">
        <v>779</v>
      </c>
      <c r="B68" s="47" t="s">
        <v>210</v>
      </c>
      <c r="C68" s="47" t="str">
        <f>""</f>
        <v/>
      </c>
      <c r="D68" s="47" t="s">
        <v>774</v>
      </c>
      <c r="E68" s="186" t="s">
        <v>137</v>
      </c>
      <c r="F68" s="47" t="s">
        <v>428</v>
      </c>
      <c r="G68" s="85" t="s">
        <v>807</v>
      </c>
      <c r="H68" s="46"/>
      <c r="I68" s="111">
        <v>1</v>
      </c>
      <c r="J68" s="52" t="str">
        <f t="shared" si="7"/>
        <v>N/A</v>
      </c>
      <c r="K68" s="155" t="str" cm="1">
        <f t="array" ref="K68">IF(AL68="N/A","",IF(AM68="N/A","",IF(AN68="N/A","",IF(AA68="N/A","",_xlfn.IFS(Z68="Wp",AA68,Z68="m2",AA68/AN68,Z68="stk",AA68/AL68,Z68="kWh","",Z68="N/A","")))))</f>
        <v/>
      </c>
      <c r="L68" s="52" t="str">
        <f t="shared" si="8"/>
        <v>N/A</v>
      </c>
      <c r="M68" s="155" t="str" cm="1">
        <f t="array" ref="M68">IF(AL68="N/A","",IF(AM68="N/A","",IF(AN68="N/A","",IF(AB68="N/A","",_xlfn.IFS(Z68="Wp",AB68,Z68="m2",AB68/AN68,Z68="stk",AB68/AL68,Z68="kWh","",Z68="N/A","")))))</f>
        <v/>
      </c>
      <c r="N68" s="52" t="str">
        <f t="shared" si="9"/>
        <v>N/A</v>
      </c>
      <c r="O68" s="148" t="str" cm="1">
        <f t="array" ref="O68">IF(AL68="N/A","",IF(AM68="N/A","",IF(AN68="N/A","",IF(AC68="N/A","",_xlfn.IFS(Z68="Wp",AC68,Z68="m2",AC68/AN68,Z68="stk",AC68/AL68,Z68="kWh","",Z68="N/A","")))))</f>
        <v/>
      </c>
      <c r="P68" s="52" t="str">
        <f t="shared" si="10"/>
        <v>N/A</v>
      </c>
      <c r="Q68" s="155" t="str" cm="1">
        <f t="array" ref="Q68">IF(AL68="N/A","",IF(AM68="N/A","",IF(AN68="N/A","",IF(AE68="N/A","",_xlfn.IFS(Z68="Wp",AE68,Z68="m2",AE68/AN68,Z68="stk",AE68/AL68,Z68="kWh","",Z68="N/A","")))))</f>
        <v/>
      </c>
      <c r="R68" s="47" t="s">
        <v>191</v>
      </c>
      <c r="S68" s="47"/>
      <c r="T68" s="202"/>
      <c r="U68" s="47" t="s">
        <v>191</v>
      </c>
      <c r="V68" s="47" t="s">
        <v>191</v>
      </c>
      <c r="W68" s="47" t="s">
        <v>191</v>
      </c>
      <c r="Y68" s="47" t="s">
        <v>191</v>
      </c>
      <c r="Z68" s="47" t="s">
        <v>191</v>
      </c>
      <c r="AA68" s="52" t="str">
        <f t="shared" si="11"/>
        <v>N/A</v>
      </c>
      <c r="AB68" s="52" t="s">
        <v>191</v>
      </c>
      <c r="AC68" s="52" t="s">
        <v>191</v>
      </c>
      <c r="AD68" s="52" t="s">
        <v>191</v>
      </c>
      <c r="AE68" s="52" t="s">
        <v>191</v>
      </c>
      <c r="AF68" s="47"/>
      <c r="AG68" s="115"/>
      <c r="AH68" s="122"/>
      <c r="AI68" s="125"/>
      <c r="AJ68" s="46"/>
      <c r="AK68" s="46"/>
      <c r="AL68" s="47">
        <v>550</v>
      </c>
      <c r="AM68" s="188">
        <f>2.278*1.134</f>
        <v>2.5832519999999999</v>
      </c>
      <c r="AN68" s="116">
        <f t="shared" si="12"/>
        <v>212.90992903518512</v>
      </c>
      <c r="AP68" s="173" t="s">
        <v>17</v>
      </c>
      <c r="AQ68" s="73"/>
      <c r="AR68" s="46"/>
    </row>
    <row r="69" spans="1:44" s="25" customFormat="1" ht="25.2" customHeight="1" x14ac:dyDescent="0.15">
      <c r="A69" s="25" t="s">
        <v>780</v>
      </c>
      <c r="B69" s="47" t="s">
        <v>210</v>
      </c>
      <c r="C69" s="47" t="str">
        <f>""</f>
        <v/>
      </c>
      <c r="D69" s="47" t="s">
        <v>774</v>
      </c>
      <c r="E69" s="186" t="s">
        <v>137</v>
      </c>
      <c r="F69" s="47" t="s">
        <v>428</v>
      </c>
      <c r="G69" s="85" t="s">
        <v>807</v>
      </c>
      <c r="H69" s="46"/>
      <c r="I69" s="111">
        <v>1</v>
      </c>
      <c r="J69" s="52" t="str">
        <f t="shared" si="7"/>
        <v>N/A</v>
      </c>
      <c r="K69" s="155" t="str" cm="1">
        <f t="array" ref="K69">IF(AL69="N/A","",IF(AM69="N/A","",IF(AN69="N/A","",IF(AA69="N/A","",_xlfn.IFS(Z69="Wp",AA69,Z69="m2",AA69/AN69,Z69="stk",AA69/AL69,Z69="kWh","",Z69="N/A","")))))</f>
        <v/>
      </c>
      <c r="L69" s="52" t="str">
        <f t="shared" si="8"/>
        <v>N/A</v>
      </c>
      <c r="M69" s="155" t="str" cm="1">
        <f t="array" ref="M69">IF(AL69="N/A","",IF(AM69="N/A","",IF(AN69="N/A","",IF(AB69="N/A","",_xlfn.IFS(Z69="Wp",AB69,Z69="m2",AB69/AN69,Z69="stk",AB69/AL69,Z69="kWh","",Z69="N/A","")))))</f>
        <v/>
      </c>
      <c r="N69" s="52" t="str">
        <f t="shared" si="9"/>
        <v>N/A</v>
      </c>
      <c r="O69" s="148" t="str" cm="1">
        <f t="array" ref="O69">IF(AL69="N/A","",IF(AM69="N/A","",IF(AN69="N/A","",IF(AC69="N/A","",_xlfn.IFS(Z69="Wp",AC69,Z69="m2",AC69/AN69,Z69="stk",AC69/AL69,Z69="kWh","",Z69="N/A","")))))</f>
        <v/>
      </c>
      <c r="P69" s="52" t="str">
        <f t="shared" si="10"/>
        <v>N/A</v>
      </c>
      <c r="Q69" s="155" t="str" cm="1">
        <f t="array" ref="Q69">IF(AL69="N/A","",IF(AM69="N/A","",IF(AN69="N/A","",IF(AE69="N/A","",_xlfn.IFS(Z69="Wp",AE69,Z69="m2",AE69/AN69,Z69="stk",AE69/AL69,Z69="kWh","",Z69="N/A","")))))</f>
        <v/>
      </c>
      <c r="R69" s="47" t="s">
        <v>191</v>
      </c>
      <c r="S69" s="47"/>
      <c r="T69" s="202"/>
      <c r="U69" s="47" t="s">
        <v>191</v>
      </c>
      <c r="V69" s="47" t="s">
        <v>191</v>
      </c>
      <c r="W69" s="47" t="s">
        <v>191</v>
      </c>
      <c r="Y69" s="47" t="s">
        <v>191</v>
      </c>
      <c r="Z69" s="47" t="s">
        <v>191</v>
      </c>
      <c r="AA69" s="52" t="str">
        <f t="shared" si="11"/>
        <v>N/A</v>
      </c>
      <c r="AB69" s="52" t="s">
        <v>191</v>
      </c>
      <c r="AC69" s="52" t="s">
        <v>191</v>
      </c>
      <c r="AD69" s="52" t="s">
        <v>191</v>
      </c>
      <c r="AE69" s="52" t="s">
        <v>191</v>
      </c>
      <c r="AF69" s="47"/>
      <c r="AG69" s="115"/>
      <c r="AH69" s="122"/>
      <c r="AI69" s="125"/>
      <c r="AJ69" s="46"/>
      <c r="AK69" s="46"/>
      <c r="AL69" s="47">
        <v>555</v>
      </c>
      <c r="AM69" s="188">
        <f>2.278*1.134</f>
        <v>2.5832519999999999</v>
      </c>
      <c r="AN69" s="116">
        <f t="shared" si="12"/>
        <v>214.84547384459589</v>
      </c>
      <c r="AP69" s="173" t="s">
        <v>17</v>
      </c>
      <c r="AQ69" s="73"/>
      <c r="AR69" s="46"/>
    </row>
    <row r="70" spans="1:44" s="25" customFormat="1" ht="25.2" customHeight="1" x14ac:dyDescent="0.15">
      <c r="A70" s="25" t="s">
        <v>781</v>
      </c>
      <c r="B70" s="47" t="s">
        <v>210</v>
      </c>
      <c r="C70" s="47" t="str">
        <f>""</f>
        <v/>
      </c>
      <c r="D70" s="47" t="s">
        <v>774</v>
      </c>
      <c r="E70" s="186" t="s">
        <v>137</v>
      </c>
      <c r="F70" s="47" t="s">
        <v>428</v>
      </c>
      <c r="G70" s="85" t="s">
        <v>807</v>
      </c>
      <c r="H70" s="46"/>
      <c r="I70" s="111">
        <v>1</v>
      </c>
      <c r="J70" s="52" t="str">
        <f t="shared" ref="J70:J81" si="13">IF(AC70="N/A","N/A",IF(K70="","N/A",K70))</f>
        <v>N/A</v>
      </c>
      <c r="K70" s="155" t="str" cm="1">
        <f t="array" ref="K70">IF(AL70="N/A","",IF(AM70="N/A","",IF(AN70="N/A","",IF(AA70="N/A","",_xlfn.IFS(Z70="Wp",AA70,Z70="m2",AA70/AN70,Z70="stk",AA70/AL70,Z70="kWh","",Z70="N/A","")))))</f>
        <v/>
      </c>
      <c r="L70" s="52" t="str">
        <f t="shared" ref="L70:L81" si="14">IF(M70="","N/A",M70)</f>
        <v>N/A</v>
      </c>
      <c r="M70" s="155" t="str" cm="1">
        <f t="array" ref="M70">IF(AL70="N/A","",IF(AM70="N/A","",IF(AN70="N/A","",IF(AB70="N/A","",_xlfn.IFS(Z70="Wp",AB70,Z70="m2",AB70/AN70,Z70="stk",AB70/AL70,Z70="kWh","",Z70="N/A","")))))</f>
        <v/>
      </c>
      <c r="N70" s="52" t="str">
        <f t="shared" ref="N70:N81" si="15">IF(O70="","N/A",O70)</f>
        <v>N/A</v>
      </c>
      <c r="O70" s="148" t="str" cm="1">
        <f t="array" ref="O70">IF(AL70="N/A","",IF(AM70="N/A","",IF(AN70="N/A","",IF(AC70="N/A","",_xlfn.IFS(Z70="Wp",AC70,Z70="m2",AC70/AN70,Z70="stk",AC70/AL70,Z70="kWh","",Z70="N/A","")))))</f>
        <v/>
      </c>
      <c r="P70" s="52" t="str">
        <f t="shared" ref="P70:P81" si="16">IF(Q70="","N/A",Q70)</f>
        <v>N/A</v>
      </c>
      <c r="Q70" s="155" t="str" cm="1">
        <f t="array" ref="Q70">IF(AL70="N/A","",IF(AM70="N/A","",IF(AN70="N/A","",IF(AE70="N/A","",_xlfn.IFS(Z70="Wp",AE70,Z70="m2",AE70/AN70,Z70="stk",AE70/AL70,Z70="kWh","",Z70="N/A","")))))</f>
        <v/>
      </c>
      <c r="R70" s="47" t="s">
        <v>191</v>
      </c>
      <c r="S70" s="47"/>
      <c r="T70" s="202"/>
      <c r="U70" s="47" t="s">
        <v>191</v>
      </c>
      <c r="V70" s="47" t="s">
        <v>191</v>
      </c>
      <c r="W70" s="47" t="s">
        <v>191</v>
      </c>
      <c r="Y70" s="47" t="s">
        <v>191</v>
      </c>
      <c r="Z70" s="47" t="s">
        <v>191</v>
      </c>
      <c r="AA70" s="52" t="str">
        <f t="shared" ref="AA70:AA81" si="17">IF(AC70="N/A","N/A",SUM(AB70:AC70))</f>
        <v>N/A</v>
      </c>
      <c r="AB70" s="52" t="s">
        <v>191</v>
      </c>
      <c r="AC70" s="52" t="s">
        <v>191</v>
      </c>
      <c r="AD70" s="52" t="s">
        <v>191</v>
      </c>
      <c r="AE70" s="52" t="s">
        <v>191</v>
      </c>
      <c r="AF70" s="47"/>
      <c r="AG70" s="115"/>
      <c r="AH70" s="122"/>
      <c r="AI70" s="125"/>
      <c r="AJ70" s="46"/>
      <c r="AK70" s="46"/>
      <c r="AL70" s="47">
        <v>435</v>
      </c>
      <c r="AM70" s="188">
        <f>1.722*1.134</f>
        <v>1.9527479999999997</v>
      </c>
      <c r="AN70" s="116">
        <f t="shared" si="12"/>
        <v>222.76299860504278</v>
      </c>
      <c r="AP70" s="173" t="s">
        <v>17</v>
      </c>
      <c r="AQ70" s="73"/>
      <c r="AR70" s="46"/>
    </row>
    <row r="71" spans="1:44" s="25" customFormat="1" ht="25.2" customHeight="1" x14ac:dyDescent="0.15">
      <c r="A71" s="25" t="s">
        <v>782</v>
      </c>
      <c r="B71" s="47" t="s">
        <v>210</v>
      </c>
      <c r="C71" s="47" t="str">
        <f>""</f>
        <v/>
      </c>
      <c r="D71" s="47" t="s">
        <v>774</v>
      </c>
      <c r="E71" s="186" t="s">
        <v>137</v>
      </c>
      <c r="F71" s="47" t="s">
        <v>428</v>
      </c>
      <c r="G71" s="85" t="s">
        <v>807</v>
      </c>
      <c r="H71" s="46"/>
      <c r="I71" s="111">
        <v>1</v>
      </c>
      <c r="J71" s="52" t="str">
        <f t="shared" si="13"/>
        <v>N/A</v>
      </c>
      <c r="K71" s="155" t="str" cm="1">
        <f t="array" ref="K71">IF(AL71="N/A","",IF(AM71="N/A","",IF(AN71="N/A","",IF(AA71="N/A","",_xlfn.IFS(Z71="Wp",AA71,Z71="m2",AA71/AN71,Z71="stk",AA71/AL71,Z71="kWh","",Z71="N/A","")))))</f>
        <v/>
      </c>
      <c r="L71" s="52" t="str">
        <f t="shared" si="14"/>
        <v>N/A</v>
      </c>
      <c r="M71" s="155" t="str" cm="1">
        <f t="array" ref="M71">IF(AL71="N/A","",IF(AM71="N/A","",IF(AN71="N/A","",IF(AB71="N/A","",_xlfn.IFS(Z71="Wp",AB71,Z71="m2",AB71/AN71,Z71="stk",AB71/AL71,Z71="kWh","",Z71="N/A","")))))</f>
        <v/>
      </c>
      <c r="N71" s="52" t="str">
        <f t="shared" si="15"/>
        <v>N/A</v>
      </c>
      <c r="O71" s="148" t="str" cm="1">
        <f t="array" ref="O71">IF(AL71="N/A","",IF(AM71="N/A","",IF(AN71="N/A","",IF(AC71="N/A","",_xlfn.IFS(Z71="Wp",AC71,Z71="m2",AC71/AN71,Z71="stk",AC71/AL71,Z71="kWh","",Z71="N/A","")))))</f>
        <v/>
      </c>
      <c r="P71" s="52" t="str">
        <f t="shared" si="16"/>
        <v>N/A</v>
      </c>
      <c r="Q71" s="155" t="str" cm="1">
        <f t="array" ref="Q71">IF(AL71="N/A","",IF(AM71="N/A","",IF(AN71="N/A","",IF(AE71="N/A","",_xlfn.IFS(Z71="Wp",AE71,Z71="m2",AE71/AN71,Z71="stk",AE71/AL71,Z71="kWh","",Z71="N/A","")))))</f>
        <v/>
      </c>
      <c r="R71" s="47" t="s">
        <v>191</v>
      </c>
      <c r="S71" s="47"/>
      <c r="T71" s="202"/>
      <c r="U71" s="47" t="s">
        <v>191</v>
      </c>
      <c r="V71" s="47" t="s">
        <v>191</v>
      </c>
      <c r="W71" s="47" t="s">
        <v>191</v>
      </c>
      <c r="Y71" s="47" t="s">
        <v>191</v>
      </c>
      <c r="Z71" s="47" t="s">
        <v>191</v>
      </c>
      <c r="AA71" s="52" t="str">
        <f t="shared" si="17"/>
        <v>N/A</v>
      </c>
      <c r="AB71" s="52" t="s">
        <v>191</v>
      </c>
      <c r="AC71" s="52" t="s">
        <v>191</v>
      </c>
      <c r="AD71" s="52" t="s">
        <v>191</v>
      </c>
      <c r="AE71" s="52" t="s">
        <v>191</v>
      </c>
      <c r="AF71" s="47"/>
      <c r="AG71" s="115"/>
      <c r="AH71" s="122"/>
      <c r="AI71" s="125"/>
      <c r="AJ71" s="46"/>
      <c r="AK71" s="46"/>
      <c r="AL71" s="47">
        <v>435</v>
      </c>
      <c r="AM71" s="188">
        <f>1.722*1.134</f>
        <v>1.9527479999999997</v>
      </c>
      <c r="AN71" s="116">
        <f t="shared" si="12"/>
        <v>222.76299860504278</v>
      </c>
      <c r="AP71" s="173" t="s">
        <v>17</v>
      </c>
      <c r="AQ71" s="73"/>
      <c r="AR71" s="46"/>
    </row>
    <row r="72" spans="1:44" s="25" customFormat="1" ht="25.2" customHeight="1" x14ac:dyDescent="0.15">
      <c r="A72" s="25" t="s">
        <v>783</v>
      </c>
      <c r="B72" s="47" t="s">
        <v>210</v>
      </c>
      <c r="C72" s="47" t="str">
        <f>""</f>
        <v/>
      </c>
      <c r="D72" s="47" t="s">
        <v>774</v>
      </c>
      <c r="E72" s="186" t="s">
        <v>137</v>
      </c>
      <c r="F72" s="47" t="s">
        <v>428</v>
      </c>
      <c r="G72" s="85" t="s">
        <v>807</v>
      </c>
      <c r="H72" s="46"/>
      <c r="I72" s="111">
        <v>1</v>
      </c>
      <c r="J72" s="52" t="str">
        <f t="shared" si="13"/>
        <v>N/A</v>
      </c>
      <c r="K72" s="155" t="str" cm="1">
        <f t="array" ref="K72">IF(AL72="N/A","",IF(AM72="N/A","",IF(AN72="N/A","",IF(AA72="N/A","",_xlfn.IFS(Z72="Wp",AA72,Z72="m2",AA72/AN72,Z72="stk",AA72/AL72,Z72="kWh","",Z72="N/A","")))))</f>
        <v/>
      </c>
      <c r="L72" s="52" t="str">
        <f t="shared" si="14"/>
        <v>N/A</v>
      </c>
      <c r="M72" s="155" t="str" cm="1">
        <f t="array" ref="M72">IF(AL72="N/A","",IF(AM72="N/A","",IF(AN72="N/A","",IF(AB72="N/A","",_xlfn.IFS(Z72="Wp",AB72,Z72="m2",AB72/AN72,Z72="stk",AB72/AL72,Z72="kWh","",Z72="N/A","")))))</f>
        <v/>
      </c>
      <c r="N72" s="52" t="str">
        <f t="shared" si="15"/>
        <v>N/A</v>
      </c>
      <c r="O72" s="148" t="str" cm="1">
        <f t="array" ref="O72">IF(AL72="N/A","",IF(AM72="N/A","",IF(AN72="N/A","",IF(AC72="N/A","",_xlfn.IFS(Z72="Wp",AC72,Z72="m2",AC72/AN72,Z72="stk",AC72/AL72,Z72="kWh","",Z72="N/A","")))))</f>
        <v/>
      </c>
      <c r="P72" s="52" t="str">
        <f t="shared" si="16"/>
        <v>N/A</v>
      </c>
      <c r="Q72" s="155" t="str" cm="1">
        <f t="array" ref="Q72">IF(AL72="N/A","",IF(AM72="N/A","",IF(AN72="N/A","",IF(AE72="N/A","",_xlfn.IFS(Z72="Wp",AE72,Z72="m2",AE72/AN72,Z72="stk",AE72/AL72,Z72="kWh","",Z72="N/A","")))))</f>
        <v/>
      </c>
      <c r="R72" s="47" t="s">
        <v>191</v>
      </c>
      <c r="S72" s="47"/>
      <c r="T72" s="202"/>
      <c r="U72" s="47" t="s">
        <v>191</v>
      </c>
      <c r="V72" s="47" t="s">
        <v>191</v>
      </c>
      <c r="W72" s="47" t="s">
        <v>191</v>
      </c>
      <c r="Y72" s="47" t="s">
        <v>191</v>
      </c>
      <c r="Z72" s="47" t="s">
        <v>191</v>
      </c>
      <c r="AA72" s="52" t="str">
        <f t="shared" si="17"/>
        <v>N/A</v>
      </c>
      <c r="AB72" s="52" t="s">
        <v>191</v>
      </c>
      <c r="AC72" s="52" t="s">
        <v>191</v>
      </c>
      <c r="AD72" s="52" t="s">
        <v>191</v>
      </c>
      <c r="AE72" s="52" t="s">
        <v>191</v>
      </c>
      <c r="AF72" s="47"/>
      <c r="AG72" s="115"/>
      <c r="AH72" s="122"/>
      <c r="AI72" s="125"/>
      <c r="AJ72" s="46"/>
      <c r="AK72" s="46"/>
      <c r="AL72" s="47">
        <v>580</v>
      </c>
      <c r="AM72" s="188">
        <f>2.278*1.134</f>
        <v>2.5832519999999999</v>
      </c>
      <c r="AN72" s="116">
        <f t="shared" si="12"/>
        <v>224.52319789164977</v>
      </c>
      <c r="AP72" s="173" t="s">
        <v>17</v>
      </c>
      <c r="AQ72" s="73"/>
      <c r="AR72" s="46"/>
    </row>
    <row r="73" spans="1:44" s="25" customFormat="1" ht="25.2" customHeight="1" x14ac:dyDescent="0.15">
      <c r="A73" s="25" t="s">
        <v>783</v>
      </c>
      <c r="B73" s="47" t="s">
        <v>210</v>
      </c>
      <c r="C73" s="47" t="str">
        <f>""</f>
        <v/>
      </c>
      <c r="D73" s="47" t="s">
        <v>774</v>
      </c>
      <c r="E73" s="186" t="s">
        <v>137</v>
      </c>
      <c r="F73" s="47" t="s">
        <v>428</v>
      </c>
      <c r="G73" s="85" t="s">
        <v>807</v>
      </c>
      <c r="H73" s="46"/>
      <c r="I73" s="111">
        <v>1</v>
      </c>
      <c r="J73" s="52" t="str">
        <f t="shared" si="13"/>
        <v>N/A</v>
      </c>
      <c r="K73" s="155" t="str" cm="1">
        <f t="array" ref="K73">IF(AL73="N/A","",IF(AM73="N/A","",IF(AN73="N/A","",IF(AA73="N/A","",_xlfn.IFS(Z73="Wp",AA73,Z73="m2",AA73/AN73,Z73="stk",AA73/AL73,Z73="kWh","",Z73="N/A","")))))</f>
        <v/>
      </c>
      <c r="L73" s="52" t="str">
        <f t="shared" si="14"/>
        <v>N/A</v>
      </c>
      <c r="M73" s="155" t="str" cm="1">
        <f t="array" ref="M73">IF(AL73="N/A","",IF(AM73="N/A","",IF(AN73="N/A","",IF(AB73="N/A","",_xlfn.IFS(Z73="Wp",AB73,Z73="m2",AB73/AN73,Z73="stk",AB73/AL73,Z73="kWh","",Z73="N/A","")))))</f>
        <v/>
      </c>
      <c r="N73" s="52" t="str">
        <f t="shared" si="15"/>
        <v>N/A</v>
      </c>
      <c r="O73" s="148" t="str" cm="1">
        <f t="array" ref="O73">IF(AL73="N/A","",IF(AM73="N/A","",IF(AN73="N/A","",IF(AC73="N/A","",_xlfn.IFS(Z73="Wp",AC73,Z73="m2",AC73/AN73,Z73="stk",AC73/AL73,Z73="kWh","",Z73="N/A","")))))</f>
        <v/>
      </c>
      <c r="P73" s="52" t="str">
        <f t="shared" si="16"/>
        <v>N/A</v>
      </c>
      <c r="Q73" s="155" t="str" cm="1">
        <f t="array" ref="Q73">IF(AL73="N/A","",IF(AM73="N/A","",IF(AN73="N/A","",IF(AE73="N/A","",_xlfn.IFS(Z73="Wp",AE73,Z73="m2",AE73/AN73,Z73="stk",AE73/AL73,Z73="kWh","",Z73="N/A","")))))</f>
        <v/>
      </c>
      <c r="R73" s="47" t="s">
        <v>191</v>
      </c>
      <c r="S73" s="47"/>
      <c r="T73" s="202"/>
      <c r="U73" s="47" t="s">
        <v>191</v>
      </c>
      <c r="V73" s="47" t="s">
        <v>191</v>
      </c>
      <c r="W73" s="47" t="s">
        <v>191</v>
      </c>
      <c r="Y73" s="47" t="s">
        <v>191</v>
      </c>
      <c r="Z73" s="47" t="s">
        <v>191</v>
      </c>
      <c r="AA73" s="52" t="str">
        <f t="shared" si="17"/>
        <v>N/A</v>
      </c>
      <c r="AB73" s="52" t="s">
        <v>191</v>
      </c>
      <c r="AC73" s="52" t="s">
        <v>191</v>
      </c>
      <c r="AD73" s="52" t="s">
        <v>191</v>
      </c>
      <c r="AE73" s="52" t="s">
        <v>191</v>
      </c>
      <c r="AF73" s="47"/>
      <c r="AG73" s="115"/>
      <c r="AH73" s="122"/>
      <c r="AI73" s="125"/>
      <c r="AJ73" s="46"/>
      <c r="AK73" s="46"/>
      <c r="AL73" s="47">
        <v>630</v>
      </c>
      <c r="AM73" s="188">
        <f>2.441*1.134</f>
        <v>2.7680939999999996</v>
      </c>
      <c r="AN73" s="116">
        <f t="shared" si="12"/>
        <v>227.59342710182534</v>
      </c>
      <c r="AP73" s="173" t="s">
        <v>17</v>
      </c>
      <c r="AQ73" s="73"/>
      <c r="AR73" s="46"/>
    </row>
    <row r="74" spans="1:44" s="25" customFormat="1" ht="25.2" customHeight="1" x14ac:dyDescent="0.15">
      <c r="A74" s="25" t="s">
        <v>784</v>
      </c>
      <c r="B74" s="47" t="s">
        <v>210</v>
      </c>
      <c r="C74" s="47" t="str">
        <f>""</f>
        <v/>
      </c>
      <c r="D74" s="47" t="s">
        <v>774</v>
      </c>
      <c r="E74" s="186" t="s">
        <v>137</v>
      </c>
      <c r="F74" s="47" t="s">
        <v>699</v>
      </c>
      <c r="G74" s="85" t="s">
        <v>807</v>
      </c>
      <c r="H74" s="46"/>
      <c r="I74" s="111">
        <v>1</v>
      </c>
      <c r="J74" s="52" t="str">
        <f t="shared" si="13"/>
        <v>N/A</v>
      </c>
      <c r="K74" s="155" t="str" cm="1">
        <f t="array" ref="K74">IF(AL74="N/A","",IF(AM74="N/A","",IF(AN74="N/A","",IF(AA74="N/A","",_xlfn.IFS(Z74="Wp",AA74,Z74="m2",AA74/AN74,Z74="stk",AA74/AL74,Z74="kWh","",Z74="N/A","")))))</f>
        <v/>
      </c>
      <c r="L74" s="52" t="str">
        <f t="shared" si="14"/>
        <v>N/A</v>
      </c>
      <c r="M74" s="155" t="str" cm="1">
        <f t="array" ref="M74">IF(AL74="N/A","",IF(AM74="N/A","",IF(AN74="N/A","",IF(AB74="N/A","",_xlfn.IFS(Z74="Wp",AB74,Z74="m2",AB74/AN74,Z74="stk",AB74/AL74,Z74="kWh","",Z74="N/A","")))))</f>
        <v/>
      </c>
      <c r="N74" s="52" t="str">
        <f t="shared" si="15"/>
        <v>N/A</v>
      </c>
      <c r="O74" s="148" t="str" cm="1">
        <f t="array" ref="O74">IF(AL74="N/A","",IF(AM74="N/A","",IF(AN74="N/A","",IF(AC74="N/A","",_xlfn.IFS(Z74="Wp",AC74,Z74="m2",AC74/AN74,Z74="stk",AC74/AL74,Z74="kWh","",Z74="N/A","")))))</f>
        <v/>
      </c>
      <c r="P74" s="52" t="str">
        <f t="shared" si="16"/>
        <v>N/A</v>
      </c>
      <c r="Q74" s="155" t="str" cm="1">
        <f t="array" ref="Q74">IF(AL74="N/A","",IF(AM74="N/A","",IF(AN74="N/A","",IF(AE74="N/A","",_xlfn.IFS(Z74="Wp",AE74,Z74="m2",AE74/AN74,Z74="stk",AE74/AL74,Z74="kWh","",Z74="N/A","")))))</f>
        <v/>
      </c>
      <c r="R74" s="47" t="s">
        <v>191</v>
      </c>
      <c r="S74" s="47"/>
      <c r="T74" s="202"/>
      <c r="U74" s="47" t="s">
        <v>191</v>
      </c>
      <c r="V74" s="47" t="s">
        <v>191</v>
      </c>
      <c r="W74" s="47" t="s">
        <v>191</v>
      </c>
      <c r="Y74" s="47" t="s">
        <v>191</v>
      </c>
      <c r="Z74" s="47" t="s">
        <v>191</v>
      </c>
      <c r="AA74" s="52" t="str">
        <f t="shared" si="17"/>
        <v>N/A</v>
      </c>
      <c r="AB74" s="52" t="s">
        <v>191</v>
      </c>
      <c r="AC74" s="52" t="s">
        <v>191</v>
      </c>
      <c r="AD74" s="52" t="s">
        <v>191</v>
      </c>
      <c r="AE74" s="52" t="s">
        <v>191</v>
      </c>
      <c r="AF74" s="47"/>
      <c r="AG74" s="115"/>
      <c r="AH74" s="122"/>
      <c r="AI74" s="125"/>
      <c r="AJ74" s="46"/>
      <c r="AK74" s="46"/>
      <c r="AL74" s="47">
        <v>255</v>
      </c>
      <c r="AM74" s="188">
        <f>1.64*0.992</f>
        <v>1.6268799999999999</v>
      </c>
      <c r="AN74" s="116">
        <f t="shared" si="12"/>
        <v>156.74173878835563</v>
      </c>
      <c r="AP74" s="173" t="s">
        <v>17</v>
      </c>
      <c r="AQ74" s="73"/>
      <c r="AR74" s="46"/>
    </row>
    <row r="75" spans="1:44" s="25" customFormat="1" ht="25.2" customHeight="1" x14ac:dyDescent="0.15">
      <c r="A75" s="25" t="s">
        <v>785</v>
      </c>
      <c r="B75" s="47" t="s">
        <v>210</v>
      </c>
      <c r="C75" s="47" t="str">
        <f>""</f>
        <v/>
      </c>
      <c r="D75" s="47" t="s">
        <v>774</v>
      </c>
      <c r="E75" s="186" t="s">
        <v>137</v>
      </c>
      <c r="F75" s="47" t="s">
        <v>699</v>
      </c>
      <c r="G75" s="85" t="s">
        <v>807</v>
      </c>
      <c r="H75" s="46"/>
      <c r="I75" s="111">
        <v>1</v>
      </c>
      <c r="J75" s="52" t="str">
        <f t="shared" si="13"/>
        <v>N/A</v>
      </c>
      <c r="K75" s="155" t="str" cm="1">
        <f t="array" ref="K75">IF(AL75="N/A","",IF(AM75="N/A","",IF(AN75="N/A","",IF(AA75="N/A","",_xlfn.IFS(Z75="Wp",AA75,Z75="m2",AA75/AN75,Z75="stk",AA75/AL75,Z75="kWh","",Z75="N/A","")))))</f>
        <v/>
      </c>
      <c r="L75" s="52" t="str">
        <f t="shared" si="14"/>
        <v>N/A</v>
      </c>
      <c r="M75" s="155" t="str" cm="1">
        <f t="array" ref="M75">IF(AL75="N/A","",IF(AM75="N/A","",IF(AN75="N/A","",IF(AB75="N/A","",_xlfn.IFS(Z75="Wp",AB75,Z75="m2",AB75/AN75,Z75="stk",AB75/AL75,Z75="kWh","",Z75="N/A","")))))</f>
        <v/>
      </c>
      <c r="N75" s="52" t="str">
        <f t="shared" si="15"/>
        <v>N/A</v>
      </c>
      <c r="O75" s="148" t="str" cm="1">
        <f t="array" ref="O75">IF(AL75="N/A","",IF(AM75="N/A","",IF(AN75="N/A","",IF(AC75="N/A","",_xlfn.IFS(Z75="Wp",AC75,Z75="m2",AC75/AN75,Z75="stk",AC75/AL75,Z75="kWh","",Z75="N/A","")))))</f>
        <v/>
      </c>
      <c r="P75" s="52" t="str">
        <f t="shared" si="16"/>
        <v>N/A</v>
      </c>
      <c r="Q75" s="155" t="str" cm="1">
        <f t="array" ref="Q75">IF(AL75="N/A","",IF(AM75="N/A","",IF(AN75="N/A","",IF(AE75="N/A","",_xlfn.IFS(Z75="Wp",AE75,Z75="m2",AE75/AN75,Z75="stk",AE75/AL75,Z75="kWh","",Z75="N/A","")))))</f>
        <v/>
      </c>
      <c r="R75" s="47" t="s">
        <v>191</v>
      </c>
      <c r="S75" s="47"/>
      <c r="T75" s="202"/>
      <c r="U75" s="47" t="s">
        <v>191</v>
      </c>
      <c r="V75" s="47" t="s">
        <v>191</v>
      </c>
      <c r="W75" s="47" t="s">
        <v>191</v>
      </c>
      <c r="Y75" s="47" t="s">
        <v>191</v>
      </c>
      <c r="Z75" s="47" t="s">
        <v>191</v>
      </c>
      <c r="AA75" s="52" t="str">
        <f t="shared" si="17"/>
        <v>N/A</v>
      </c>
      <c r="AB75" s="52" t="s">
        <v>191</v>
      </c>
      <c r="AC75" s="52" t="s">
        <v>191</v>
      </c>
      <c r="AD75" s="52" t="s">
        <v>191</v>
      </c>
      <c r="AE75" s="52" t="s">
        <v>191</v>
      </c>
      <c r="AF75" s="47"/>
      <c r="AG75" s="115"/>
      <c r="AH75" s="122"/>
      <c r="AI75" s="125"/>
      <c r="AJ75" s="46"/>
      <c r="AK75" s="46"/>
      <c r="AL75" s="47">
        <v>250</v>
      </c>
      <c r="AM75" s="188">
        <f>1.64*0.992</f>
        <v>1.6268799999999999</v>
      </c>
      <c r="AN75" s="116">
        <f t="shared" si="12"/>
        <v>153.66837136113298</v>
      </c>
      <c r="AP75" s="173" t="s">
        <v>17</v>
      </c>
      <c r="AQ75" s="73"/>
      <c r="AR75" s="46"/>
    </row>
    <row r="76" spans="1:44" s="25" customFormat="1" ht="25.2" customHeight="1" x14ac:dyDescent="0.15">
      <c r="A76" s="25" t="s">
        <v>787</v>
      </c>
      <c r="B76" s="47" t="s">
        <v>210</v>
      </c>
      <c r="C76" s="47" t="str">
        <f>""</f>
        <v/>
      </c>
      <c r="D76" s="47" t="s">
        <v>786</v>
      </c>
      <c r="E76" s="86" t="s">
        <v>191</v>
      </c>
      <c r="F76" s="47" t="s">
        <v>428</v>
      </c>
      <c r="G76" s="85" t="s">
        <v>807</v>
      </c>
      <c r="H76" s="46"/>
      <c r="I76" s="111">
        <v>1</v>
      </c>
      <c r="J76" s="52" t="str">
        <f t="shared" si="13"/>
        <v>N/A</v>
      </c>
      <c r="K76" s="155" t="str" cm="1">
        <f t="array" ref="K76">IF(AL76="N/A","",IF(AM76="N/A","",IF(AN76="N/A","",IF(AA76="N/A","",_xlfn.IFS(Z76="Wp",AA76,Z76="m2",AA76/AN76,Z76="stk",AA76/AL76,Z76="kWh","",Z76="N/A","")))))</f>
        <v/>
      </c>
      <c r="L76" s="52" t="str">
        <f t="shared" si="14"/>
        <v>N/A</v>
      </c>
      <c r="M76" s="155" t="str" cm="1">
        <f t="array" ref="M76">IF(AL76="N/A","",IF(AM76="N/A","",IF(AN76="N/A","",IF(AB76="N/A","",_xlfn.IFS(Z76="Wp",AB76,Z76="m2",AB76/AN76,Z76="stk",AB76/AL76,Z76="kWh","",Z76="N/A","")))))</f>
        <v/>
      </c>
      <c r="N76" s="52" t="str">
        <f t="shared" si="15"/>
        <v>N/A</v>
      </c>
      <c r="O76" s="148" t="str" cm="1">
        <f t="array" ref="O76">IF(AL76="N/A","",IF(AM76="N/A","",IF(AN76="N/A","",IF(AC76="N/A","",_xlfn.IFS(Z76="Wp",AC76,Z76="m2",AC76/AN76,Z76="stk",AC76/AL76,Z76="kWh","",Z76="N/A","")))))</f>
        <v/>
      </c>
      <c r="P76" s="52" t="str">
        <f t="shared" si="16"/>
        <v>N/A</v>
      </c>
      <c r="Q76" s="155" t="str" cm="1">
        <f t="array" ref="Q76">IF(AL76="N/A","",IF(AM76="N/A","",IF(AN76="N/A","",IF(AE76="N/A","",_xlfn.IFS(Z76="Wp",AE76,Z76="m2",AE76/AN76,Z76="stk",AE76/AL76,Z76="kWh","",Z76="N/A","")))))</f>
        <v/>
      </c>
      <c r="R76" s="47" t="s">
        <v>191</v>
      </c>
      <c r="S76" s="47"/>
      <c r="T76" s="202"/>
      <c r="U76" s="47" t="s">
        <v>191</v>
      </c>
      <c r="V76" s="47" t="s">
        <v>191</v>
      </c>
      <c r="W76" s="47" t="s">
        <v>191</v>
      </c>
      <c r="Y76" s="47" t="s">
        <v>191</v>
      </c>
      <c r="Z76" s="47" t="s">
        <v>191</v>
      </c>
      <c r="AA76" s="52" t="str">
        <f t="shared" si="17"/>
        <v>N/A</v>
      </c>
      <c r="AB76" s="52" t="s">
        <v>191</v>
      </c>
      <c r="AC76" s="52" t="s">
        <v>191</v>
      </c>
      <c r="AD76" s="52" t="s">
        <v>191</v>
      </c>
      <c r="AE76" s="52" t="s">
        <v>191</v>
      </c>
      <c r="AF76" s="47"/>
      <c r="AG76" s="115"/>
      <c r="AH76" s="122"/>
      <c r="AI76" s="125"/>
      <c r="AJ76" s="46"/>
      <c r="AK76" s="46"/>
      <c r="AL76" s="47">
        <v>260</v>
      </c>
      <c r="AM76" s="188">
        <f>1.637*0.992</f>
        <v>1.623904</v>
      </c>
      <c r="AN76" s="116">
        <f t="shared" si="12"/>
        <v>160.10798667901551</v>
      </c>
      <c r="AP76" s="173" t="s">
        <v>17</v>
      </c>
      <c r="AQ76" s="73"/>
      <c r="AR76" s="46"/>
    </row>
    <row r="77" spans="1:44" s="25" customFormat="1" ht="25.2" customHeight="1" x14ac:dyDescent="0.15">
      <c r="A77" s="25" t="s">
        <v>788</v>
      </c>
      <c r="B77" s="47" t="s">
        <v>210</v>
      </c>
      <c r="C77" s="47" t="str">
        <f>""</f>
        <v/>
      </c>
      <c r="D77" s="47" t="s">
        <v>786</v>
      </c>
      <c r="E77" s="86" t="s">
        <v>191</v>
      </c>
      <c r="F77" s="47" t="s">
        <v>428</v>
      </c>
      <c r="G77" s="85" t="s">
        <v>807</v>
      </c>
      <c r="H77" s="46"/>
      <c r="I77" s="111">
        <v>1</v>
      </c>
      <c r="J77" s="52" t="str">
        <f t="shared" si="13"/>
        <v>N/A</v>
      </c>
      <c r="K77" s="155" t="str" cm="1">
        <f t="array" ref="K77">IF(AL77="N/A","",IF(AM77="N/A","",IF(AN77="N/A","",IF(AA77="N/A","",_xlfn.IFS(Z77="Wp",AA77,Z77="m2",AA77/AN77,Z77="stk",AA77/AL77,Z77="kWh","",Z77="N/A","")))))</f>
        <v/>
      </c>
      <c r="L77" s="52" t="str">
        <f t="shared" si="14"/>
        <v>N/A</v>
      </c>
      <c r="M77" s="155" t="str" cm="1">
        <f t="array" ref="M77">IF(AL77="N/A","",IF(AM77="N/A","",IF(AN77="N/A","",IF(AB77="N/A","",_xlfn.IFS(Z77="Wp",AB77,Z77="m2",AB77/AN77,Z77="stk",AB77/AL77,Z77="kWh","",Z77="N/A","")))))</f>
        <v/>
      </c>
      <c r="N77" s="52" t="str">
        <f t="shared" si="15"/>
        <v>N/A</v>
      </c>
      <c r="O77" s="148" t="str" cm="1">
        <f t="array" ref="O77">IF(AL77="N/A","",IF(AM77="N/A","",IF(AN77="N/A","",IF(AC77="N/A","",_xlfn.IFS(Z77="Wp",AC77,Z77="m2",AC77/AN77,Z77="stk",AC77/AL77,Z77="kWh","",Z77="N/A","")))))</f>
        <v/>
      </c>
      <c r="P77" s="52" t="str">
        <f t="shared" si="16"/>
        <v>N/A</v>
      </c>
      <c r="Q77" s="155" t="str" cm="1">
        <f t="array" ref="Q77">IF(AL77="N/A","",IF(AM77="N/A","",IF(AN77="N/A","",IF(AE77="N/A","",_xlfn.IFS(Z77="Wp",AE77,Z77="m2",AE77/AN77,Z77="stk",AE77/AL77,Z77="kWh","",Z77="N/A","")))))</f>
        <v/>
      </c>
      <c r="R77" s="47" t="s">
        <v>191</v>
      </c>
      <c r="S77" s="47"/>
      <c r="T77" s="202"/>
      <c r="U77" s="47" t="s">
        <v>191</v>
      </c>
      <c r="V77" s="47" t="s">
        <v>191</v>
      </c>
      <c r="W77" s="47" t="s">
        <v>191</v>
      </c>
      <c r="Y77" s="47" t="s">
        <v>191</v>
      </c>
      <c r="Z77" s="47" t="s">
        <v>191</v>
      </c>
      <c r="AA77" s="52" t="str">
        <f t="shared" si="17"/>
        <v>N/A</v>
      </c>
      <c r="AB77" s="52" t="s">
        <v>191</v>
      </c>
      <c r="AC77" s="52" t="s">
        <v>191</v>
      </c>
      <c r="AD77" s="52" t="s">
        <v>191</v>
      </c>
      <c r="AE77" s="52" t="s">
        <v>191</v>
      </c>
      <c r="AF77" s="47"/>
      <c r="AG77" s="115"/>
      <c r="AH77" s="122"/>
      <c r="AI77" s="125"/>
      <c r="AJ77" s="46"/>
      <c r="AK77" s="46"/>
      <c r="AL77" s="47">
        <v>265</v>
      </c>
      <c r="AM77" s="188">
        <f>1.637*0.992</f>
        <v>1.623904</v>
      </c>
      <c r="AN77" s="116">
        <f t="shared" si="12"/>
        <v>163.18698642284272</v>
      </c>
      <c r="AP77" s="173" t="s">
        <v>17</v>
      </c>
      <c r="AQ77" s="73"/>
      <c r="AR77" s="46"/>
    </row>
    <row r="78" spans="1:44" s="25" customFormat="1" ht="25.2" customHeight="1" x14ac:dyDescent="0.15">
      <c r="A78" s="25" t="s">
        <v>789</v>
      </c>
      <c r="B78" s="47" t="s">
        <v>210</v>
      </c>
      <c r="C78" s="47" t="str">
        <f>""</f>
        <v/>
      </c>
      <c r="D78" s="47" t="s">
        <v>786</v>
      </c>
      <c r="E78" s="86" t="s">
        <v>191</v>
      </c>
      <c r="F78" s="47" t="s">
        <v>428</v>
      </c>
      <c r="G78" s="85" t="s">
        <v>807</v>
      </c>
      <c r="H78" s="46"/>
      <c r="I78" s="111">
        <v>1</v>
      </c>
      <c r="J78" s="52" t="str">
        <f t="shared" si="13"/>
        <v>N/A</v>
      </c>
      <c r="K78" s="155" t="str" cm="1">
        <f t="array" ref="K78">IF(AL78="N/A","",IF(AM78="N/A","",IF(AN78="N/A","",IF(AA78="N/A","",_xlfn.IFS(Z78="Wp",AA78,Z78="m2",AA78/AN78,Z78="stk",AA78/AL78,Z78="kWh","",Z78="N/A","")))))</f>
        <v/>
      </c>
      <c r="L78" s="52" t="str">
        <f t="shared" si="14"/>
        <v>N/A</v>
      </c>
      <c r="M78" s="155" t="str" cm="1">
        <f t="array" ref="M78">IF(AL78="N/A","",IF(AM78="N/A","",IF(AN78="N/A","",IF(AB78="N/A","",_xlfn.IFS(Z78="Wp",AB78,Z78="m2",AB78/AN78,Z78="stk",AB78/AL78,Z78="kWh","",Z78="N/A","")))))</f>
        <v/>
      </c>
      <c r="N78" s="52" t="str">
        <f t="shared" si="15"/>
        <v>N/A</v>
      </c>
      <c r="O78" s="148" t="str" cm="1">
        <f t="array" ref="O78">IF(AL78="N/A","",IF(AM78="N/A","",IF(AN78="N/A","",IF(AC78="N/A","",_xlfn.IFS(Z78="Wp",AC78,Z78="m2",AC78/AN78,Z78="stk",AC78/AL78,Z78="kWh","",Z78="N/A","")))))</f>
        <v/>
      </c>
      <c r="P78" s="52" t="str">
        <f t="shared" si="16"/>
        <v>N/A</v>
      </c>
      <c r="Q78" s="155" t="str" cm="1">
        <f t="array" ref="Q78">IF(AL78="N/A","",IF(AM78="N/A","",IF(AN78="N/A","",IF(AE78="N/A","",_xlfn.IFS(Z78="Wp",AE78,Z78="m2",AE78/AN78,Z78="stk",AE78/AL78,Z78="kWh","",Z78="N/A","")))))</f>
        <v/>
      </c>
      <c r="R78" s="47" t="s">
        <v>191</v>
      </c>
      <c r="S78" s="47"/>
      <c r="T78" s="202"/>
      <c r="U78" s="47" t="s">
        <v>191</v>
      </c>
      <c r="V78" s="47" t="s">
        <v>191</v>
      </c>
      <c r="W78" s="47" t="s">
        <v>191</v>
      </c>
      <c r="Y78" s="47" t="s">
        <v>191</v>
      </c>
      <c r="Z78" s="47" t="s">
        <v>191</v>
      </c>
      <c r="AA78" s="52" t="str">
        <f t="shared" si="17"/>
        <v>N/A</v>
      </c>
      <c r="AB78" s="52" t="s">
        <v>191</v>
      </c>
      <c r="AC78" s="52" t="s">
        <v>191</v>
      </c>
      <c r="AD78" s="52" t="s">
        <v>191</v>
      </c>
      <c r="AE78" s="52" t="s">
        <v>191</v>
      </c>
      <c r="AF78" s="47"/>
      <c r="AG78" s="115"/>
      <c r="AH78" s="122"/>
      <c r="AI78" s="125"/>
      <c r="AJ78" s="46"/>
      <c r="AK78" s="46"/>
      <c r="AL78" s="47">
        <v>270</v>
      </c>
      <c r="AM78" s="188">
        <f>1.637*0.992</f>
        <v>1.623904</v>
      </c>
      <c r="AN78" s="116">
        <f t="shared" si="12"/>
        <v>166.26598616666996</v>
      </c>
      <c r="AP78" s="173" t="s">
        <v>17</v>
      </c>
      <c r="AQ78" s="73"/>
      <c r="AR78" s="46"/>
    </row>
    <row r="79" spans="1:44" s="25" customFormat="1" ht="25.2" customHeight="1" x14ac:dyDescent="0.15">
      <c r="A79" s="25" t="s">
        <v>791</v>
      </c>
      <c r="B79" s="47" t="s">
        <v>210</v>
      </c>
      <c r="C79" s="47" t="str">
        <f>""</f>
        <v/>
      </c>
      <c r="D79" s="47" t="s">
        <v>790</v>
      </c>
      <c r="E79" s="86" t="s">
        <v>191</v>
      </c>
      <c r="F79" s="47" t="s">
        <v>699</v>
      </c>
      <c r="G79" s="85" t="s">
        <v>807</v>
      </c>
      <c r="H79" s="46"/>
      <c r="I79" s="111">
        <v>1</v>
      </c>
      <c r="J79" s="52" t="str">
        <f t="shared" si="13"/>
        <v>N/A</v>
      </c>
      <c r="K79" s="155" t="str" cm="1">
        <f t="array" ref="K79">IF(AL79="N/A","",IF(AM79="N/A","",IF(AN79="N/A","",IF(AA79="N/A","",_xlfn.IFS(Z79="Wp",AA79,Z79="m2",AA79/AN79,Z79="stk",AA79/AL79,Z79="kWh","",Z79="N/A","")))))</f>
        <v/>
      </c>
      <c r="L79" s="52" t="str">
        <f t="shared" si="14"/>
        <v>N/A</v>
      </c>
      <c r="M79" s="155" t="str" cm="1">
        <f t="array" ref="M79">IF(AL79="N/A","",IF(AM79="N/A","",IF(AN79="N/A","",IF(AB79="N/A","",_xlfn.IFS(Z79="Wp",AB79,Z79="m2",AB79/AN79,Z79="stk",AB79/AL79,Z79="kWh","",Z79="N/A","")))))</f>
        <v/>
      </c>
      <c r="N79" s="52" t="str">
        <f t="shared" si="15"/>
        <v>N/A</v>
      </c>
      <c r="O79" s="148" t="str" cm="1">
        <f t="array" ref="O79">IF(AL79="N/A","",IF(AM79="N/A","",IF(AN79="N/A","",IF(AC79="N/A","",_xlfn.IFS(Z79="Wp",AC79,Z79="m2",AC79/AN79,Z79="stk",AC79/AL79,Z79="kWh","",Z79="N/A","")))))</f>
        <v/>
      </c>
      <c r="P79" s="52" t="str">
        <f t="shared" si="16"/>
        <v>N/A</v>
      </c>
      <c r="Q79" s="155" t="str" cm="1">
        <f t="array" ref="Q79">IF(AL79="N/A","",IF(AM79="N/A","",IF(AN79="N/A","",IF(AE79="N/A","",_xlfn.IFS(Z79="Wp",AE79,Z79="m2",AE79/AN79,Z79="stk",AE79/AL79,Z79="kWh","",Z79="N/A","")))))</f>
        <v/>
      </c>
      <c r="R79" s="47" t="s">
        <v>191</v>
      </c>
      <c r="S79" s="47"/>
      <c r="T79" s="202"/>
      <c r="U79" s="47" t="s">
        <v>191</v>
      </c>
      <c r="V79" s="47" t="s">
        <v>191</v>
      </c>
      <c r="W79" s="47" t="s">
        <v>191</v>
      </c>
      <c r="Y79" s="47" t="s">
        <v>191</v>
      </c>
      <c r="Z79" s="47" t="s">
        <v>191</v>
      </c>
      <c r="AA79" s="52" t="str">
        <f t="shared" si="17"/>
        <v>N/A</v>
      </c>
      <c r="AB79" s="52" t="s">
        <v>191</v>
      </c>
      <c r="AC79" s="52" t="s">
        <v>191</v>
      </c>
      <c r="AD79" s="52" t="s">
        <v>191</v>
      </c>
      <c r="AE79" s="52" t="s">
        <v>191</v>
      </c>
      <c r="AF79" s="47"/>
      <c r="AG79" s="115"/>
      <c r="AH79" s="122"/>
      <c r="AI79" s="125"/>
      <c r="AJ79" s="46"/>
      <c r="AK79" s="46"/>
      <c r="AL79" s="47">
        <v>280</v>
      </c>
      <c r="AM79" s="188">
        <f>1.65*0.991</f>
        <v>1.6351499999999999</v>
      </c>
      <c r="AN79" s="116">
        <f t="shared" si="12"/>
        <v>171.23811271137205</v>
      </c>
      <c r="AP79" s="173" t="s">
        <v>17</v>
      </c>
      <c r="AQ79" s="73"/>
      <c r="AR79" s="46"/>
    </row>
    <row r="80" spans="1:44" s="25" customFormat="1" ht="25.2" customHeight="1" x14ac:dyDescent="0.15">
      <c r="A80" s="25" t="s">
        <v>793</v>
      </c>
      <c r="B80" s="47" t="s">
        <v>210</v>
      </c>
      <c r="C80" s="47" t="str">
        <f>""</f>
        <v/>
      </c>
      <c r="D80" s="47" t="s">
        <v>792</v>
      </c>
      <c r="E80" s="86" t="s">
        <v>191</v>
      </c>
      <c r="F80" s="47" t="s">
        <v>428</v>
      </c>
      <c r="G80" s="85" t="s">
        <v>807</v>
      </c>
      <c r="H80" s="46"/>
      <c r="I80" s="111">
        <v>1</v>
      </c>
      <c r="J80" s="52" t="str">
        <f t="shared" si="13"/>
        <v>N/A</v>
      </c>
      <c r="K80" s="155" t="str" cm="1">
        <f t="array" ref="K80">IF(AL80="N/A","",IF(AM80="N/A","",IF(AN80="N/A","",IF(AA80="N/A","",_xlfn.IFS(Z80="Wp",AA80,Z80="m2",AA80/AN80,Z80="stk",AA80/AL80,Z80="kWh","",Z80="N/A","")))))</f>
        <v/>
      </c>
      <c r="L80" s="52" t="str">
        <f t="shared" si="14"/>
        <v>N/A</v>
      </c>
      <c r="M80" s="155" t="str" cm="1">
        <f t="array" ref="M80">IF(AL80="N/A","",IF(AM80="N/A","",IF(AN80="N/A","",IF(AB80="N/A","",_xlfn.IFS(Z80="Wp",AB80,Z80="m2",AB80/AN80,Z80="stk",AB80/AL80,Z80="kWh","",Z80="N/A","")))))</f>
        <v/>
      </c>
      <c r="N80" s="52" t="str">
        <f t="shared" si="15"/>
        <v>N/A</v>
      </c>
      <c r="O80" s="148" t="str" cm="1">
        <f t="array" ref="O80">IF(AL80="N/A","",IF(AM80="N/A","",IF(AN80="N/A","",IF(AC80="N/A","",_xlfn.IFS(Z80="Wp",AC80,Z80="m2",AC80/AN80,Z80="stk",AC80/AL80,Z80="kWh","",Z80="N/A","")))))</f>
        <v/>
      </c>
      <c r="P80" s="52" t="str">
        <f t="shared" si="16"/>
        <v>N/A</v>
      </c>
      <c r="Q80" s="155" t="str" cm="1">
        <f t="array" ref="Q80">IF(AL80="N/A","",IF(AM80="N/A","",IF(AN80="N/A","",IF(AE80="N/A","",_xlfn.IFS(Z80="Wp",AE80,Z80="m2",AE80/AN80,Z80="stk",AE80/AL80,Z80="kWh","",Z80="N/A","")))))</f>
        <v/>
      </c>
      <c r="R80" s="47" t="s">
        <v>191</v>
      </c>
      <c r="S80" s="47"/>
      <c r="T80" s="202"/>
      <c r="U80" s="47" t="s">
        <v>191</v>
      </c>
      <c r="V80" s="47" t="s">
        <v>191</v>
      </c>
      <c r="W80" s="47" t="s">
        <v>191</v>
      </c>
      <c r="Y80" s="47" t="s">
        <v>191</v>
      </c>
      <c r="Z80" s="47" t="s">
        <v>191</v>
      </c>
      <c r="AA80" s="52" t="str">
        <f t="shared" si="17"/>
        <v>N/A</v>
      </c>
      <c r="AB80" s="52" t="s">
        <v>191</v>
      </c>
      <c r="AC80" s="52" t="s">
        <v>191</v>
      </c>
      <c r="AD80" s="52" t="s">
        <v>191</v>
      </c>
      <c r="AE80" s="52" t="s">
        <v>191</v>
      </c>
      <c r="AF80" s="47"/>
      <c r="AG80" s="115"/>
      <c r="AH80" s="122"/>
      <c r="AI80" s="125"/>
      <c r="AJ80" s="46"/>
      <c r="AK80" s="46"/>
      <c r="AL80" s="47">
        <v>280</v>
      </c>
      <c r="AM80" s="188">
        <f>1.65*0.99</f>
        <v>1.6335</v>
      </c>
      <c r="AN80" s="116">
        <f t="shared" si="12"/>
        <v>171.4110805019896</v>
      </c>
      <c r="AP80" s="173" t="s">
        <v>17</v>
      </c>
      <c r="AQ80" s="205" t="s">
        <v>17</v>
      </c>
      <c r="AR80" s="46"/>
    </row>
    <row r="81" spans="1:44" s="25" customFormat="1" ht="25.2" customHeight="1" x14ac:dyDescent="0.15">
      <c r="A81" s="25" t="s">
        <v>1230</v>
      </c>
      <c r="B81" s="47" t="s">
        <v>210</v>
      </c>
      <c r="C81" s="47" t="str">
        <f>""</f>
        <v/>
      </c>
      <c r="D81" s="47" t="s">
        <v>654</v>
      </c>
      <c r="E81" s="183" t="s">
        <v>152</v>
      </c>
      <c r="F81" s="47" t="s">
        <v>1231</v>
      </c>
      <c r="G81" s="47" t="s">
        <v>807</v>
      </c>
      <c r="H81" s="46"/>
      <c r="I81" s="111">
        <v>1</v>
      </c>
      <c r="J81" s="52">
        <f t="shared" si="13"/>
        <v>0.25009999999999999</v>
      </c>
      <c r="K81" s="155" cm="1">
        <f t="array" ref="K81">IF(AL81="N/A","",IF(AM81="N/A","",IF(AN81="N/A","",IF(AA81="N/A","",_xlfn.IFS(Z81="Wp",AA81,Z81="m2",AA81/AN81,Z81="stk",AA81/AL81,Z81="kWh","",Z81="N/A","")))))</f>
        <v>0.25009999999999999</v>
      </c>
      <c r="L81" s="52">
        <f t="shared" si="14"/>
        <v>0.23499999999999999</v>
      </c>
      <c r="M81" s="155" cm="1">
        <f t="array" ref="M81">IF(AL81="N/A","",IF(AM81="N/A","",IF(AN81="N/A","",IF(AB81="N/A","",_xlfn.IFS(Z81="Wp",AB81,Z81="m2",AB81/AN81,Z81="stk",AB81/AL81,Z81="kWh","",Z81="N/A","")))))</f>
        <v>0.23499999999999999</v>
      </c>
      <c r="N81" s="52">
        <f t="shared" si="15"/>
        <v>1.5100000000000001E-2</v>
      </c>
      <c r="O81" s="148" cm="1">
        <f t="array" ref="O81">IF(AL81="N/A","",IF(AM81="N/A","",IF(AN81="N/A","",IF(AC81="N/A","",_xlfn.IFS(Z81="Wp",AC81,Z81="m2",AC81/AN81,Z81="stk",AC81/AL81,Z81="kWh","",Z81="N/A","")))))</f>
        <v>1.5100000000000001E-2</v>
      </c>
      <c r="P81" s="52">
        <f t="shared" si="16"/>
        <v>-1.06E-3</v>
      </c>
      <c r="Q81" s="155" cm="1">
        <f t="array" ref="Q81">IF(AL81="N/A","",IF(AM81="N/A","",IF(AN81="N/A","",IF(AE81="N/A","",_xlfn.IFS(Z81="Wp",AE81,Z81="m2",AE81/AN81,Z81="stk",AE81/AL81,Z81="kWh","",Z81="N/A","")))))</f>
        <v>-1.06E-3</v>
      </c>
      <c r="R81" s="186" t="s">
        <v>5</v>
      </c>
      <c r="S81" s="47"/>
      <c r="T81" s="203" t="s">
        <v>804</v>
      </c>
      <c r="U81" s="47">
        <v>2028</v>
      </c>
      <c r="V81" s="47" t="s">
        <v>28</v>
      </c>
      <c r="W81" s="47">
        <v>30</v>
      </c>
      <c r="Y81" s="47" t="s">
        <v>1232</v>
      </c>
      <c r="Z81" s="47" t="s">
        <v>665</v>
      </c>
      <c r="AA81" s="52">
        <f t="shared" si="17"/>
        <v>0.25009999999999999</v>
      </c>
      <c r="AB81" s="52">
        <v>0.23499999999999999</v>
      </c>
      <c r="AC81" s="52">
        <v>1.5100000000000001E-2</v>
      </c>
      <c r="AD81" s="52">
        <v>-6.4199999999999993E-2</v>
      </c>
      <c r="AE81" s="52">
        <v>-1.06E-3</v>
      </c>
      <c r="AF81" s="47"/>
      <c r="AG81" s="115"/>
      <c r="AH81" s="122"/>
      <c r="AI81" s="125"/>
      <c r="AJ81" s="46"/>
      <c r="AK81" s="46"/>
      <c r="AL81" s="116">
        <f>AM81*AN81</f>
        <v>523.6</v>
      </c>
      <c r="AM81" s="188">
        <v>2.8</v>
      </c>
      <c r="AN81" s="116">
        <v>187</v>
      </c>
      <c r="AP81" s="109"/>
      <c r="AQ81" s="73"/>
      <c r="AR81" s="46"/>
    </row>
    <row r="82" spans="1:44" s="25" customFormat="1" ht="25.2" customHeight="1" x14ac:dyDescent="0.15">
      <c r="B82" s="47"/>
      <c r="C82" s="47"/>
      <c r="D82" s="47"/>
      <c r="E82" s="86"/>
      <c r="F82" s="47"/>
      <c r="G82" s="47"/>
      <c r="H82" s="46"/>
      <c r="I82" s="111"/>
      <c r="J82" s="52"/>
      <c r="K82" s="155"/>
      <c r="L82" s="52"/>
      <c r="M82" s="155"/>
      <c r="N82" s="52"/>
      <c r="O82" s="148"/>
      <c r="P82" s="52"/>
      <c r="Q82" s="155"/>
      <c r="R82" s="47"/>
      <c r="S82" s="47"/>
      <c r="T82" s="202"/>
      <c r="U82" s="47"/>
      <c r="V82" s="47"/>
      <c r="W82" s="47"/>
      <c r="Y82" s="47"/>
      <c r="Z82" s="47"/>
      <c r="AA82" s="52"/>
      <c r="AB82" s="52"/>
      <c r="AC82" s="52"/>
      <c r="AD82" s="52"/>
      <c r="AE82" s="52"/>
      <c r="AF82" s="47"/>
      <c r="AG82" s="115"/>
      <c r="AH82" s="122"/>
      <c r="AI82" s="125"/>
      <c r="AJ82" s="46"/>
      <c r="AK82" s="46"/>
      <c r="AL82" s="47"/>
      <c r="AM82" s="47"/>
      <c r="AN82" s="47"/>
      <c r="AP82" s="109"/>
      <c r="AQ82" s="73"/>
      <c r="AR82" s="46"/>
    </row>
    <row r="83" spans="1:44" s="25" customFormat="1" ht="25.2" customHeight="1" x14ac:dyDescent="0.15">
      <c r="B83" s="47"/>
      <c r="C83" s="47"/>
      <c r="D83" s="47"/>
      <c r="E83" s="86"/>
      <c r="F83" s="47"/>
      <c r="G83" s="47"/>
      <c r="H83" s="46"/>
      <c r="I83" s="111"/>
      <c r="J83" s="52"/>
      <c r="K83" s="155"/>
      <c r="L83" s="52"/>
      <c r="M83" s="155"/>
      <c r="N83" s="52"/>
      <c r="O83" s="148"/>
      <c r="P83" s="52"/>
      <c r="Q83" s="155"/>
      <c r="R83" s="47"/>
      <c r="S83" s="47"/>
      <c r="T83" s="202"/>
      <c r="U83" s="47"/>
      <c r="V83" s="47"/>
      <c r="W83" s="47"/>
      <c r="Y83" s="47"/>
      <c r="Z83" s="47"/>
      <c r="AA83" s="52"/>
      <c r="AB83" s="52"/>
      <c r="AC83" s="52"/>
      <c r="AD83" s="52"/>
      <c r="AE83" s="52"/>
      <c r="AF83" s="47"/>
      <c r="AG83" s="115"/>
      <c r="AH83" s="122"/>
      <c r="AI83" s="125"/>
      <c r="AJ83" s="46"/>
      <c r="AK83" s="46"/>
      <c r="AL83" s="47"/>
      <c r="AM83" s="47"/>
      <c r="AN83" s="47"/>
      <c r="AP83" s="109"/>
      <c r="AQ83" s="73"/>
      <c r="AR83" s="46"/>
    </row>
    <row r="84" spans="1:44" s="25" customFormat="1" ht="25.2" customHeight="1" x14ac:dyDescent="0.15">
      <c r="B84" s="47"/>
      <c r="C84" s="47"/>
      <c r="D84" s="47"/>
      <c r="E84" s="86"/>
      <c r="F84" s="47"/>
      <c r="G84" s="47"/>
      <c r="H84" s="46"/>
      <c r="I84" s="111"/>
      <c r="J84" s="52"/>
      <c r="K84" s="155"/>
      <c r="L84" s="52"/>
      <c r="M84" s="155"/>
      <c r="N84" s="52"/>
      <c r="O84" s="148"/>
      <c r="P84" s="52"/>
      <c r="Q84" s="155"/>
      <c r="R84" s="47"/>
      <c r="S84" s="47"/>
      <c r="T84" s="202"/>
      <c r="U84" s="47"/>
      <c r="V84" s="47"/>
      <c r="W84" s="47"/>
      <c r="Y84" s="47"/>
      <c r="Z84" s="47"/>
      <c r="AA84" s="52"/>
      <c r="AB84" s="52"/>
      <c r="AC84" s="52"/>
      <c r="AD84" s="52"/>
      <c r="AE84" s="52"/>
      <c r="AF84" s="47"/>
      <c r="AG84" s="115"/>
      <c r="AH84" s="122"/>
      <c r="AI84" s="125"/>
      <c r="AJ84" s="46"/>
      <c r="AK84" s="46"/>
      <c r="AL84" s="47"/>
      <c r="AM84" s="47"/>
      <c r="AN84" s="47"/>
      <c r="AP84" s="109"/>
      <c r="AQ84" s="73"/>
      <c r="AR84" s="46"/>
    </row>
    <row r="85" spans="1:44" s="25" customFormat="1" ht="25.2" customHeight="1" x14ac:dyDescent="0.15">
      <c r="B85" s="47"/>
      <c r="C85" s="47"/>
      <c r="D85" s="47"/>
      <c r="E85" s="86"/>
      <c r="F85" s="47"/>
      <c r="G85" s="47"/>
      <c r="H85" s="46"/>
      <c r="I85" s="111"/>
      <c r="J85" s="52"/>
      <c r="K85" s="155"/>
      <c r="L85" s="52"/>
      <c r="M85" s="155"/>
      <c r="N85" s="52"/>
      <c r="O85" s="148"/>
      <c r="P85" s="52"/>
      <c r="Q85" s="155"/>
      <c r="R85" s="47"/>
      <c r="S85" s="47"/>
      <c r="T85" s="202"/>
      <c r="U85" s="47"/>
      <c r="V85" s="47"/>
      <c r="W85" s="47"/>
      <c r="Y85" s="47"/>
      <c r="Z85" s="47"/>
      <c r="AA85" s="52"/>
      <c r="AB85" s="52"/>
      <c r="AC85" s="52"/>
      <c r="AD85" s="52"/>
      <c r="AE85" s="52"/>
      <c r="AF85" s="47"/>
      <c r="AG85" s="115"/>
      <c r="AH85" s="122"/>
      <c r="AI85" s="125"/>
      <c r="AJ85" s="46"/>
      <c r="AK85" s="46"/>
      <c r="AL85" s="47"/>
      <c r="AM85" s="47"/>
      <c r="AN85" s="47"/>
      <c r="AP85" s="109"/>
      <c r="AQ85" s="73"/>
      <c r="AR85" s="46"/>
    </row>
    <row r="86" spans="1:44" s="25" customFormat="1" ht="25.2" customHeight="1" x14ac:dyDescent="0.15">
      <c r="B86" s="47"/>
      <c r="C86" s="47"/>
      <c r="D86" s="47"/>
      <c r="E86" s="86"/>
      <c r="F86" s="47"/>
      <c r="G86" s="47"/>
      <c r="H86" s="46"/>
      <c r="I86" s="111"/>
      <c r="J86" s="52"/>
      <c r="K86" s="155"/>
      <c r="L86" s="52"/>
      <c r="M86" s="155"/>
      <c r="N86" s="52"/>
      <c r="O86" s="148"/>
      <c r="P86" s="52"/>
      <c r="Q86" s="155"/>
      <c r="R86" s="47"/>
      <c r="S86" s="47"/>
      <c r="T86" s="202"/>
      <c r="U86" s="47"/>
      <c r="V86" s="47"/>
      <c r="W86" s="47"/>
      <c r="Y86" s="47"/>
      <c r="Z86" s="47"/>
      <c r="AA86" s="52"/>
      <c r="AB86" s="52"/>
      <c r="AC86" s="52"/>
      <c r="AD86" s="52"/>
      <c r="AE86" s="52"/>
      <c r="AF86" s="47"/>
      <c r="AG86" s="115"/>
      <c r="AH86" s="122"/>
      <c r="AI86" s="125"/>
      <c r="AJ86" s="46"/>
      <c r="AK86" s="46"/>
      <c r="AL86" s="47"/>
      <c r="AM86" s="47"/>
      <c r="AN86" s="47"/>
      <c r="AP86" s="109"/>
      <c r="AQ86" s="73"/>
      <c r="AR86" s="46"/>
    </row>
    <row r="87" spans="1:44" s="25" customFormat="1" ht="25.2" customHeight="1" x14ac:dyDescent="0.15">
      <c r="B87" s="47"/>
      <c r="C87" s="47"/>
      <c r="D87" s="47"/>
      <c r="E87" s="86"/>
      <c r="F87" s="47"/>
      <c r="G87" s="47"/>
      <c r="H87" s="46"/>
      <c r="I87" s="111"/>
      <c r="J87" s="52"/>
      <c r="K87" s="155"/>
      <c r="L87" s="52"/>
      <c r="M87" s="155"/>
      <c r="N87" s="52"/>
      <c r="O87" s="148"/>
      <c r="P87" s="52"/>
      <c r="Q87" s="155"/>
      <c r="R87" s="47"/>
      <c r="S87" s="47"/>
      <c r="T87" s="202"/>
      <c r="U87" s="47"/>
      <c r="V87" s="47"/>
      <c r="W87" s="47"/>
      <c r="Y87" s="47"/>
      <c r="Z87" s="47"/>
      <c r="AA87" s="52"/>
      <c r="AB87" s="52"/>
      <c r="AC87" s="52"/>
      <c r="AD87" s="52"/>
      <c r="AE87" s="52"/>
      <c r="AF87" s="47"/>
      <c r="AG87" s="115"/>
      <c r="AH87" s="122"/>
      <c r="AI87" s="125"/>
      <c r="AJ87" s="46"/>
      <c r="AK87" s="46"/>
      <c r="AL87" s="47"/>
      <c r="AM87" s="47"/>
      <c r="AN87" s="47"/>
      <c r="AP87" s="109"/>
      <c r="AQ87" s="73"/>
      <c r="AR87" s="46"/>
    </row>
    <row r="88" spans="1:44" s="25" customFormat="1" ht="25.2" customHeight="1" x14ac:dyDescent="0.3">
      <c r="B88" s="47"/>
      <c r="C88" s="47"/>
      <c r="D88"/>
      <c r="E88" s="86"/>
      <c r="F88" s="47"/>
      <c r="G88" s="47"/>
      <c r="H88" s="46"/>
      <c r="I88" s="111"/>
      <c r="J88" s="52"/>
      <c r="K88" s="155"/>
      <c r="L88" s="52"/>
      <c r="M88" s="155"/>
      <c r="N88" s="52"/>
      <c r="O88" s="148"/>
      <c r="P88" s="52"/>
      <c r="Q88" s="155"/>
      <c r="R88" s="47"/>
      <c r="S88" s="47"/>
      <c r="T88" s="202"/>
      <c r="U88" s="47"/>
      <c r="V88" s="47"/>
      <c r="W88" s="47"/>
      <c r="Y88" s="47"/>
      <c r="Z88" s="47"/>
      <c r="AA88" s="52"/>
      <c r="AB88" s="52"/>
      <c r="AC88" s="52"/>
      <c r="AD88" s="52"/>
      <c r="AE88" s="52"/>
      <c r="AF88" s="47"/>
      <c r="AG88" s="115"/>
      <c r="AH88" s="122"/>
      <c r="AI88" s="125"/>
      <c r="AJ88" s="46"/>
      <c r="AK88" s="46"/>
      <c r="AL88" s="47"/>
      <c r="AM88" s="47"/>
      <c r="AN88" s="47"/>
      <c r="AP88" s="109"/>
      <c r="AQ88" s="73"/>
      <c r="AR88" s="46"/>
    </row>
    <row r="89" spans="1:44" s="25" customFormat="1" ht="25.2" customHeight="1" x14ac:dyDescent="0.15">
      <c r="B89" s="47"/>
      <c r="C89" s="47"/>
      <c r="D89" s="47"/>
      <c r="E89" s="86"/>
      <c r="F89" s="47"/>
      <c r="G89" s="47"/>
      <c r="H89" s="46"/>
      <c r="I89" s="111"/>
      <c r="J89" s="52"/>
      <c r="K89" s="155"/>
      <c r="L89" s="52"/>
      <c r="M89" s="155"/>
      <c r="N89" s="52"/>
      <c r="O89" s="148"/>
      <c r="P89" s="52"/>
      <c r="Q89" s="155"/>
      <c r="R89" s="47"/>
      <c r="S89" s="47"/>
      <c r="T89" s="202"/>
      <c r="U89" s="47"/>
      <c r="V89" s="47"/>
      <c r="W89" s="47"/>
      <c r="Y89" s="47"/>
      <c r="Z89" s="47"/>
      <c r="AA89" s="52"/>
      <c r="AB89" s="52"/>
      <c r="AC89" s="52"/>
      <c r="AD89" s="52"/>
      <c r="AE89" s="52"/>
      <c r="AF89" s="47"/>
      <c r="AG89" s="115"/>
      <c r="AH89" s="122"/>
      <c r="AI89" s="125"/>
      <c r="AJ89" s="46"/>
      <c r="AK89" s="46"/>
      <c r="AL89" s="47"/>
      <c r="AM89" s="47"/>
      <c r="AN89" s="47"/>
      <c r="AP89" s="109"/>
      <c r="AQ89" s="73"/>
      <c r="AR89" s="46"/>
    </row>
    <row r="90" spans="1:44" s="25" customFormat="1" ht="25.2" customHeight="1" x14ac:dyDescent="0.15">
      <c r="B90" s="47"/>
      <c r="C90" s="47"/>
      <c r="D90" s="47"/>
      <c r="E90" s="86"/>
      <c r="F90" s="47"/>
      <c r="G90" s="47"/>
      <c r="H90" s="46"/>
      <c r="I90" s="111"/>
      <c r="J90" s="52"/>
      <c r="K90" s="155"/>
      <c r="L90" s="52"/>
      <c r="M90" s="155"/>
      <c r="N90" s="52"/>
      <c r="O90" s="148"/>
      <c r="P90" s="52"/>
      <c r="Q90" s="155"/>
      <c r="R90" s="47"/>
      <c r="S90" s="47"/>
      <c r="T90" s="202"/>
      <c r="U90" s="47"/>
      <c r="V90" s="47"/>
      <c r="W90" s="47"/>
      <c r="Y90" s="47"/>
      <c r="Z90" s="47"/>
      <c r="AA90" s="52"/>
      <c r="AB90" s="52"/>
      <c r="AC90" s="52"/>
      <c r="AD90" s="52"/>
      <c r="AE90" s="52"/>
      <c r="AF90" s="47"/>
      <c r="AG90" s="115"/>
      <c r="AH90" s="122"/>
      <c r="AI90" s="125"/>
      <c r="AJ90" s="46"/>
      <c r="AK90" s="46"/>
      <c r="AL90" s="47"/>
      <c r="AM90" s="47"/>
      <c r="AN90" s="47"/>
      <c r="AP90" s="109"/>
      <c r="AQ90" s="73"/>
      <c r="AR90" s="46"/>
    </row>
    <row r="91" spans="1:44" s="25" customFormat="1" ht="25.2" customHeight="1" x14ac:dyDescent="0.15">
      <c r="B91" s="47"/>
      <c r="C91" s="47"/>
      <c r="D91" s="47"/>
      <c r="E91" s="86"/>
      <c r="F91" s="47"/>
      <c r="G91" s="47"/>
      <c r="H91" s="46"/>
      <c r="I91" s="111"/>
      <c r="J91" s="52"/>
      <c r="K91" s="155"/>
      <c r="L91" s="52"/>
      <c r="M91" s="155"/>
      <c r="N91" s="52"/>
      <c r="O91" s="148"/>
      <c r="P91" s="52"/>
      <c r="Q91" s="155"/>
      <c r="R91" s="47"/>
      <c r="S91" s="47"/>
      <c r="T91" s="202"/>
      <c r="U91" s="47"/>
      <c r="V91" s="47"/>
      <c r="W91" s="47"/>
      <c r="Y91" s="47"/>
      <c r="Z91" s="47"/>
      <c r="AA91" s="52"/>
      <c r="AB91" s="52"/>
      <c r="AC91" s="52"/>
      <c r="AD91" s="52"/>
      <c r="AE91" s="52"/>
      <c r="AF91" s="47"/>
      <c r="AG91" s="115"/>
      <c r="AH91" s="122"/>
      <c r="AI91" s="125"/>
      <c r="AJ91" s="46"/>
      <c r="AK91" s="46"/>
      <c r="AL91" s="47"/>
      <c r="AM91" s="47"/>
      <c r="AN91" s="47"/>
      <c r="AP91" s="109"/>
      <c r="AQ91" s="73"/>
      <c r="AR91" s="46"/>
    </row>
    <row r="92" spans="1:44" s="25" customFormat="1" ht="25.2" customHeight="1" x14ac:dyDescent="0.15">
      <c r="B92" s="47"/>
      <c r="C92" s="47"/>
      <c r="D92" s="47"/>
      <c r="E92" s="86"/>
      <c r="F92" s="47"/>
      <c r="G92" s="47"/>
      <c r="H92" s="46"/>
      <c r="I92" s="111"/>
      <c r="J92" s="52"/>
      <c r="K92" s="155"/>
      <c r="L92" s="52"/>
      <c r="M92" s="155"/>
      <c r="N92" s="52"/>
      <c r="O92" s="148"/>
      <c r="P92" s="52"/>
      <c r="Q92" s="155"/>
      <c r="R92" s="47"/>
      <c r="S92" s="47"/>
      <c r="T92" s="202"/>
      <c r="U92" s="47"/>
      <c r="V92" s="47"/>
      <c r="W92" s="47"/>
      <c r="Y92" s="47"/>
      <c r="Z92" s="47"/>
      <c r="AA92" s="52"/>
      <c r="AB92" s="52"/>
      <c r="AC92" s="52"/>
      <c r="AD92" s="52"/>
      <c r="AE92" s="52"/>
      <c r="AF92" s="47"/>
      <c r="AG92" s="115"/>
      <c r="AH92" s="122"/>
      <c r="AI92" s="125"/>
      <c r="AJ92" s="46"/>
      <c r="AK92" s="46"/>
      <c r="AL92" s="47"/>
      <c r="AM92" s="47"/>
      <c r="AN92" s="47"/>
      <c r="AP92" s="109"/>
      <c r="AQ92" s="73"/>
      <c r="AR92" s="46"/>
    </row>
    <row r="93" spans="1:44" s="25" customFormat="1" ht="25.2" customHeight="1" x14ac:dyDescent="0.15">
      <c r="B93" s="47"/>
      <c r="C93" s="47"/>
      <c r="D93" s="47"/>
      <c r="E93" s="86"/>
      <c r="F93" s="47"/>
      <c r="G93" s="47"/>
      <c r="H93" s="46"/>
      <c r="I93" s="111"/>
      <c r="J93" s="52"/>
      <c r="K93" s="155"/>
      <c r="L93" s="52"/>
      <c r="M93" s="155"/>
      <c r="N93" s="52"/>
      <c r="O93" s="148"/>
      <c r="P93" s="52"/>
      <c r="Q93" s="155"/>
      <c r="R93" s="47"/>
      <c r="S93" s="47"/>
      <c r="T93" s="202"/>
      <c r="U93" s="47"/>
      <c r="V93" s="47"/>
      <c r="W93" s="47"/>
      <c r="Y93" s="47"/>
      <c r="Z93" s="47"/>
      <c r="AA93" s="52"/>
      <c r="AB93" s="52"/>
      <c r="AC93" s="52"/>
      <c r="AD93" s="52"/>
      <c r="AE93" s="52"/>
      <c r="AF93" s="47"/>
      <c r="AG93" s="115"/>
      <c r="AH93" s="122"/>
      <c r="AI93" s="125"/>
      <c r="AJ93" s="46"/>
      <c r="AK93" s="46"/>
      <c r="AL93" s="47"/>
      <c r="AM93" s="47"/>
      <c r="AN93" s="47"/>
      <c r="AP93" s="109"/>
      <c r="AQ93" s="73"/>
      <c r="AR93" s="46"/>
    </row>
    <row r="94" spans="1:44" s="25" customFormat="1" ht="25.2" customHeight="1" x14ac:dyDescent="0.15">
      <c r="B94" s="47"/>
      <c r="C94" s="47"/>
      <c r="D94" s="47"/>
      <c r="E94" s="86"/>
      <c r="F94" s="47"/>
      <c r="G94" s="47"/>
      <c r="H94" s="46"/>
      <c r="I94" s="111"/>
      <c r="J94" s="52"/>
      <c r="K94" s="155"/>
      <c r="L94" s="52"/>
      <c r="M94" s="155"/>
      <c r="N94" s="52"/>
      <c r="O94" s="148"/>
      <c r="P94" s="52"/>
      <c r="Q94" s="155"/>
      <c r="R94" s="47"/>
      <c r="S94" s="47"/>
      <c r="T94" s="202"/>
      <c r="U94" s="47"/>
      <c r="V94" s="47"/>
      <c r="W94" s="47"/>
      <c r="Y94" s="47"/>
      <c r="Z94" s="47"/>
      <c r="AA94" s="52"/>
      <c r="AB94" s="52"/>
      <c r="AC94" s="52"/>
      <c r="AD94" s="52"/>
      <c r="AE94" s="52"/>
      <c r="AF94" s="47"/>
      <c r="AG94" s="115"/>
      <c r="AH94" s="122"/>
      <c r="AI94" s="125"/>
      <c r="AJ94" s="46"/>
      <c r="AK94" s="46"/>
      <c r="AL94" s="47"/>
      <c r="AM94" s="47"/>
      <c r="AN94" s="47"/>
      <c r="AP94" s="109"/>
      <c r="AQ94" s="73"/>
      <c r="AR94" s="46"/>
    </row>
    <row r="95" spans="1:44" s="25" customFormat="1" ht="25.2" customHeight="1" x14ac:dyDescent="0.15">
      <c r="B95" s="47"/>
      <c r="C95" s="47"/>
      <c r="D95" s="47"/>
      <c r="E95" s="86"/>
      <c r="F95" s="47"/>
      <c r="G95" s="47"/>
      <c r="H95" s="46"/>
      <c r="I95" s="111"/>
      <c r="J95" s="52"/>
      <c r="K95" s="155"/>
      <c r="L95" s="52"/>
      <c r="M95" s="155"/>
      <c r="N95" s="52"/>
      <c r="O95" s="148"/>
      <c r="P95" s="52"/>
      <c r="Q95" s="155"/>
      <c r="R95" s="47"/>
      <c r="S95" s="47"/>
      <c r="T95" s="202"/>
      <c r="U95" s="47"/>
      <c r="V95" s="47"/>
      <c r="W95" s="47"/>
      <c r="Y95" s="47"/>
      <c r="Z95" s="47"/>
      <c r="AA95" s="52"/>
      <c r="AB95" s="52"/>
      <c r="AC95" s="52"/>
      <c r="AD95" s="52"/>
      <c r="AE95" s="52"/>
      <c r="AF95" s="47"/>
      <c r="AG95" s="115"/>
      <c r="AH95" s="122"/>
      <c r="AI95" s="125"/>
      <c r="AJ95" s="46"/>
      <c r="AK95" s="46"/>
      <c r="AL95" s="47"/>
      <c r="AM95" s="47"/>
      <c r="AN95" s="47"/>
      <c r="AP95" s="109"/>
      <c r="AQ95" s="73"/>
      <c r="AR95" s="46"/>
    </row>
    <row r="96" spans="1:44" s="25" customFormat="1" ht="25.2" customHeight="1" x14ac:dyDescent="0.15">
      <c r="B96" s="47"/>
      <c r="C96" s="47"/>
      <c r="D96" s="47"/>
      <c r="E96" s="86"/>
      <c r="F96" s="47"/>
      <c r="G96" s="47"/>
      <c r="H96" s="46"/>
      <c r="I96" s="111"/>
      <c r="J96" s="52"/>
      <c r="K96" s="155"/>
      <c r="L96" s="52"/>
      <c r="M96" s="155"/>
      <c r="N96" s="52"/>
      <c r="O96" s="148"/>
      <c r="P96" s="52"/>
      <c r="Q96" s="155"/>
      <c r="R96" s="47"/>
      <c r="S96" s="47"/>
      <c r="T96" s="202"/>
      <c r="U96" s="47"/>
      <c r="V96" s="47"/>
      <c r="W96" s="47"/>
      <c r="Y96" s="47"/>
      <c r="Z96" s="47"/>
      <c r="AA96" s="52"/>
      <c r="AB96" s="52"/>
      <c r="AC96" s="52"/>
      <c r="AD96" s="52"/>
      <c r="AE96" s="52"/>
      <c r="AF96" s="47"/>
      <c r="AG96" s="115"/>
      <c r="AH96" s="122"/>
      <c r="AI96" s="125"/>
      <c r="AJ96" s="46"/>
      <c r="AK96" s="46"/>
      <c r="AL96" s="47"/>
      <c r="AM96" s="47"/>
      <c r="AN96" s="47"/>
      <c r="AP96" s="109"/>
      <c r="AQ96" s="73"/>
      <c r="AR96" s="46"/>
    </row>
    <row r="97" spans="2:44" s="25" customFormat="1" ht="25.2" customHeight="1" x14ac:dyDescent="0.15">
      <c r="B97" s="47"/>
      <c r="C97" s="47"/>
      <c r="D97" s="47"/>
      <c r="E97" s="86"/>
      <c r="F97" s="47"/>
      <c r="G97" s="47"/>
      <c r="H97" s="46"/>
      <c r="I97" s="111"/>
      <c r="J97" s="52"/>
      <c r="K97" s="155"/>
      <c r="L97" s="52"/>
      <c r="M97" s="155"/>
      <c r="N97" s="52"/>
      <c r="O97" s="148"/>
      <c r="P97" s="52"/>
      <c r="Q97" s="155"/>
      <c r="R97" s="47"/>
      <c r="S97" s="47"/>
      <c r="T97" s="202"/>
      <c r="U97" s="47"/>
      <c r="V97" s="47"/>
      <c r="W97" s="47"/>
      <c r="Y97" s="47"/>
      <c r="Z97" s="47"/>
      <c r="AA97" s="52"/>
      <c r="AB97" s="52"/>
      <c r="AC97" s="52"/>
      <c r="AD97" s="52"/>
      <c r="AE97" s="52"/>
      <c r="AF97" s="47"/>
      <c r="AG97" s="115"/>
      <c r="AH97" s="122"/>
      <c r="AI97" s="125"/>
      <c r="AJ97" s="46"/>
      <c r="AK97" s="46"/>
      <c r="AL97" s="47"/>
      <c r="AM97" s="47"/>
      <c r="AN97" s="47"/>
      <c r="AP97" s="109"/>
      <c r="AQ97" s="73"/>
      <c r="AR97" s="46"/>
    </row>
    <row r="98" spans="2:44" s="25" customFormat="1" ht="25.2" customHeight="1" x14ac:dyDescent="0.15">
      <c r="B98" s="47"/>
      <c r="C98" s="47"/>
      <c r="D98" s="47"/>
      <c r="E98" s="86"/>
      <c r="F98" s="47"/>
      <c r="G98" s="47"/>
      <c r="H98" s="46"/>
      <c r="I98" s="111"/>
      <c r="J98" s="52"/>
      <c r="K98" s="155"/>
      <c r="L98" s="52"/>
      <c r="M98" s="155"/>
      <c r="N98" s="52"/>
      <c r="O98" s="148"/>
      <c r="P98" s="52"/>
      <c r="Q98" s="155"/>
      <c r="R98" s="47"/>
      <c r="S98" s="47"/>
      <c r="T98" s="202"/>
      <c r="U98" s="47"/>
      <c r="V98" s="47"/>
      <c r="W98" s="47"/>
      <c r="Y98" s="47"/>
      <c r="Z98" s="47"/>
      <c r="AA98" s="52"/>
      <c r="AB98" s="52"/>
      <c r="AC98" s="52"/>
      <c r="AD98" s="52"/>
      <c r="AE98" s="52"/>
      <c r="AF98" s="47"/>
      <c r="AG98" s="115"/>
      <c r="AH98" s="122"/>
      <c r="AI98" s="125"/>
      <c r="AJ98" s="46"/>
      <c r="AK98" s="46"/>
      <c r="AL98" s="47"/>
      <c r="AM98" s="47"/>
      <c r="AN98" s="47"/>
      <c r="AP98" s="109"/>
      <c r="AQ98" s="73"/>
      <c r="AR98" s="46"/>
    </row>
    <row r="99" spans="2:44" s="25" customFormat="1" ht="25.2" customHeight="1" x14ac:dyDescent="0.15">
      <c r="B99" s="47"/>
      <c r="C99" s="47"/>
      <c r="D99" s="47"/>
      <c r="E99" s="86"/>
      <c r="F99" s="47"/>
      <c r="G99" s="47"/>
      <c r="H99" s="46"/>
      <c r="I99" s="111"/>
      <c r="J99" s="52"/>
      <c r="K99" s="155"/>
      <c r="L99" s="52"/>
      <c r="M99" s="155"/>
      <c r="N99" s="52"/>
      <c r="O99" s="148"/>
      <c r="P99" s="52"/>
      <c r="Q99" s="155"/>
      <c r="R99" s="47"/>
      <c r="S99" s="47"/>
      <c r="T99" s="202"/>
      <c r="U99" s="47"/>
      <c r="V99" s="47"/>
      <c r="W99" s="47"/>
      <c r="Y99" s="47"/>
      <c r="Z99" s="47"/>
      <c r="AA99" s="52"/>
      <c r="AB99" s="52"/>
      <c r="AC99" s="52"/>
      <c r="AD99" s="52"/>
      <c r="AE99" s="52"/>
      <c r="AF99" s="47"/>
      <c r="AG99" s="115"/>
      <c r="AH99" s="122"/>
      <c r="AI99" s="125"/>
      <c r="AJ99" s="46"/>
      <c r="AK99" s="46"/>
      <c r="AL99" s="47"/>
      <c r="AM99" s="47"/>
      <c r="AN99" s="47"/>
      <c r="AP99" s="109"/>
      <c r="AQ99" s="73"/>
      <c r="AR99" s="46"/>
    </row>
    <row r="100" spans="2:44" s="25" customFormat="1" ht="25.2" customHeight="1" x14ac:dyDescent="0.15">
      <c r="B100" s="47"/>
      <c r="C100" s="47"/>
      <c r="D100" s="47"/>
      <c r="E100" s="86"/>
      <c r="F100" s="47"/>
      <c r="G100" s="47"/>
      <c r="H100" s="46"/>
      <c r="I100" s="111"/>
      <c r="J100" s="52"/>
      <c r="K100" s="155"/>
      <c r="L100" s="52"/>
      <c r="M100" s="155"/>
      <c r="N100" s="52"/>
      <c r="O100" s="148"/>
      <c r="P100" s="52"/>
      <c r="Q100" s="155"/>
      <c r="R100" s="47"/>
      <c r="S100" s="47"/>
      <c r="T100" s="202"/>
      <c r="U100" s="47"/>
      <c r="V100" s="47"/>
      <c r="W100" s="47"/>
      <c r="Y100" s="47"/>
      <c r="Z100" s="47"/>
      <c r="AA100" s="52"/>
      <c r="AB100" s="52"/>
      <c r="AC100" s="52"/>
      <c r="AD100" s="52"/>
      <c r="AE100" s="52"/>
      <c r="AF100" s="47"/>
      <c r="AG100" s="115"/>
      <c r="AH100" s="122"/>
      <c r="AI100" s="125"/>
      <c r="AJ100" s="46"/>
      <c r="AK100" s="46"/>
      <c r="AL100" s="47"/>
      <c r="AM100" s="47"/>
      <c r="AN100" s="47"/>
      <c r="AP100" s="109"/>
      <c r="AQ100" s="73"/>
      <c r="AR100" s="46"/>
    </row>
    <row r="101" spans="2:44" s="25" customFormat="1" ht="25.2" customHeight="1" x14ac:dyDescent="0.15">
      <c r="B101" s="47"/>
      <c r="C101" s="47"/>
      <c r="D101" s="47"/>
      <c r="E101" s="86"/>
      <c r="F101" s="47"/>
      <c r="G101" s="47"/>
      <c r="H101" s="46"/>
      <c r="I101" s="111"/>
      <c r="J101" s="52"/>
      <c r="K101" s="155"/>
      <c r="L101" s="52"/>
      <c r="M101" s="155"/>
      <c r="N101" s="52"/>
      <c r="O101" s="148"/>
      <c r="P101" s="52"/>
      <c r="Q101" s="155"/>
      <c r="R101" s="47"/>
      <c r="S101" s="47"/>
      <c r="T101" s="202"/>
      <c r="U101" s="47"/>
      <c r="V101" s="47"/>
      <c r="W101" s="47"/>
      <c r="Y101" s="47"/>
      <c r="Z101" s="47"/>
      <c r="AA101" s="52"/>
      <c r="AB101" s="52"/>
      <c r="AC101" s="52"/>
      <c r="AD101" s="52"/>
      <c r="AE101" s="52"/>
      <c r="AF101" s="47"/>
      <c r="AG101" s="115"/>
      <c r="AH101" s="122"/>
      <c r="AI101" s="125"/>
      <c r="AJ101" s="46"/>
      <c r="AK101" s="46"/>
      <c r="AL101" s="47"/>
      <c r="AM101" s="47"/>
      <c r="AN101" s="47"/>
      <c r="AP101" s="109"/>
      <c r="AQ101" s="73"/>
      <c r="AR101" s="46"/>
    </row>
    <row r="102" spans="2:44" s="25" customFormat="1" ht="25.2" customHeight="1" x14ac:dyDescent="0.15">
      <c r="B102" s="47"/>
      <c r="C102" s="47"/>
      <c r="D102" s="47"/>
      <c r="E102" s="86"/>
      <c r="F102" s="47"/>
      <c r="G102" s="47"/>
      <c r="H102" s="46"/>
      <c r="I102" s="111"/>
      <c r="J102" s="52"/>
      <c r="K102" s="155"/>
      <c r="L102" s="52"/>
      <c r="M102" s="155"/>
      <c r="N102" s="52"/>
      <c r="O102" s="148"/>
      <c r="P102" s="52"/>
      <c r="Q102" s="155"/>
      <c r="R102" s="47"/>
      <c r="S102" s="47"/>
      <c r="T102" s="202"/>
      <c r="U102" s="47"/>
      <c r="V102" s="47"/>
      <c r="W102" s="47"/>
      <c r="Y102" s="47"/>
      <c r="Z102" s="47"/>
      <c r="AA102" s="52"/>
      <c r="AB102" s="52"/>
      <c r="AC102" s="52"/>
      <c r="AD102" s="52"/>
      <c r="AE102" s="52"/>
      <c r="AF102" s="47"/>
      <c r="AG102" s="115"/>
      <c r="AH102" s="122"/>
      <c r="AI102" s="125"/>
      <c r="AJ102" s="46"/>
      <c r="AK102" s="46"/>
      <c r="AL102" s="47"/>
      <c r="AM102" s="47"/>
      <c r="AN102" s="47"/>
      <c r="AP102" s="109"/>
      <c r="AQ102" s="73"/>
      <c r="AR102" s="46"/>
    </row>
    <row r="103" spans="2:44" s="25" customFormat="1" ht="25.2" customHeight="1" x14ac:dyDescent="0.15">
      <c r="B103" s="47"/>
      <c r="C103" s="47"/>
      <c r="D103" s="47"/>
      <c r="E103" s="86"/>
      <c r="F103" s="47"/>
      <c r="G103" s="47"/>
      <c r="H103" s="46"/>
      <c r="I103" s="111"/>
      <c r="J103" s="52"/>
      <c r="K103" s="155"/>
      <c r="L103" s="52"/>
      <c r="M103" s="155"/>
      <c r="N103" s="52"/>
      <c r="O103" s="148"/>
      <c r="P103" s="52"/>
      <c r="Q103" s="155"/>
      <c r="R103" s="47"/>
      <c r="S103" s="47"/>
      <c r="T103" s="202"/>
      <c r="U103" s="47"/>
      <c r="V103" s="47"/>
      <c r="W103" s="47"/>
      <c r="Y103" s="47"/>
      <c r="Z103" s="47"/>
      <c r="AA103" s="52"/>
      <c r="AB103" s="52"/>
      <c r="AC103" s="52"/>
      <c r="AD103" s="52"/>
      <c r="AE103" s="52"/>
      <c r="AF103" s="47"/>
      <c r="AG103" s="115"/>
      <c r="AH103" s="122"/>
      <c r="AI103" s="125"/>
      <c r="AJ103" s="46"/>
      <c r="AK103" s="46"/>
      <c r="AL103" s="47"/>
      <c r="AM103" s="47"/>
      <c r="AN103" s="47"/>
      <c r="AP103" s="109"/>
      <c r="AQ103" s="73"/>
      <c r="AR103" s="46"/>
    </row>
    <row r="104" spans="2:44" s="25" customFormat="1" ht="25.2" customHeight="1" x14ac:dyDescent="0.15">
      <c r="B104" s="47"/>
      <c r="C104" s="47"/>
      <c r="D104" s="47"/>
      <c r="E104" s="86"/>
      <c r="F104" s="47"/>
      <c r="G104" s="47"/>
      <c r="H104" s="46"/>
      <c r="I104" s="111"/>
      <c r="J104" s="52"/>
      <c r="K104" s="155"/>
      <c r="L104" s="52"/>
      <c r="M104" s="155"/>
      <c r="N104" s="52"/>
      <c r="O104" s="148"/>
      <c r="P104" s="52"/>
      <c r="Q104" s="155"/>
      <c r="R104" s="47"/>
      <c r="S104" s="47"/>
      <c r="T104" s="202"/>
      <c r="U104" s="47"/>
      <c r="V104" s="47"/>
      <c r="W104" s="47"/>
      <c r="Y104" s="47"/>
      <c r="Z104" s="47"/>
      <c r="AA104" s="52"/>
      <c r="AB104" s="52"/>
      <c r="AC104" s="52"/>
      <c r="AD104" s="52"/>
      <c r="AE104" s="52"/>
      <c r="AF104" s="47"/>
      <c r="AG104" s="115"/>
      <c r="AH104" s="122"/>
      <c r="AI104" s="125"/>
      <c r="AJ104" s="46"/>
      <c r="AK104" s="46"/>
      <c r="AL104" s="47"/>
      <c r="AM104" s="47"/>
      <c r="AN104" s="47"/>
      <c r="AP104" s="109"/>
      <c r="AQ104" s="73"/>
      <c r="AR104" s="46"/>
    </row>
    <row r="105" spans="2:44" s="25" customFormat="1" ht="25.2" customHeight="1" x14ac:dyDescent="0.15">
      <c r="B105" s="47"/>
      <c r="C105" s="47"/>
      <c r="D105" s="47"/>
      <c r="E105" s="86"/>
      <c r="F105" s="47"/>
      <c r="G105" s="47"/>
      <c r="H105" s="46"/>
      <c r="I105" s="111"/>
      <c r="J105" s="52"/>
      <c r="K105" s="155"/>
      <c r="L105" s="52"/>
      <c r="M105" s="155"/>
      <c r="N105" s="52"/>
      <c r="O105" s="148"/>
      <c r="P105" s="52"/>
      <c r="Q105" s="155"/>
      <c r="R105" s="47"/>
      <c r="S105" s="47"/>
      <c r="T105" s="202"/>
      <c r="U105" s="47"/>
      <c r="V105" s="47"/>
      <c r="W105" s="47"/>
      <c r="Y105" s="47"/>
      <c r="Z105" s="47"/>
      <c r="AA105" s="52"/>
      <c r="AB105" s="52"/>
      <c r="AC105" s="52"/>
      <c r="AD105" s="52"/>
      <c r="AE105" s="52"/>
      <c r="AF105" s="47"/>
      <c r="AG105" s="115"/>
      <c r="AH105" s="122"/>
      <c r="AI105" s="125"/>
      <c r="AJ105" s="46"/>
      <c r="AK105" s="46"/>
      <c r="AL105" s="47"/>
      <c r="AM105" s="47"/>
      <c r="AN105" s="47"/>
      <c r="AP105" s="109"/>
      <c r="AQ105" s="73"/>
      <c r="AR105" s="46"/>
    </row>
    <row r="106" spans="2:44" s="25" customFormat="1" ht="25.2" customHeight="1" x14ac:dyDescent="0.15">
      <c r="B106" s="47"/>
      <c r="C106" s="47"/>
      <c r="D106" s="47"/>
      <c r="E106" s="86"/>
      <c r="F106" s="47"/>
      <c r="G106" s="47"/>
      <c r="H106" s="46"/>
      <c r="I106" s="111"/>
      <c r="J106" s="52"/>
      <c r="K106" s="155"/>
      <c r="L106" s="52"/>
      <c r="M106" s="155"/>
      <c r="N106" s="52"/>
      <c r="O106" s="148"/>
      <c r="P106" s="52"/>
      <c r="Q106" s="155"/>
      <c r="R106" s="47"/>
      <c r="S106" s="47"/>
      <c r="T106" s="202"/>
      <c r="U106" s="47"/>
      <c r="V106" s="47"/>
      <c r="W106" s="47"/>
      <c r="Y106" s="47"/>
      <c r="Z106" s="47"/>
      <c r="AA106" s="52"/>
      <c r="AB106" s="52"/>
      <c r="AC106" s="52"/>
      <c r="AD106" s="52"/>
      <c r="AE106" s="52"/>
      <c r="AF106" s="47"/>
      <c r="AG106" s="115"/>
      <c r="AH106" s="122"/>
      <c r="AI106" s="125"/>
      <c r="AJ106" s="46"/>
      <c r="AK106" s="46"/>
      <c r="AL106" s="47"/>
      <c r="AM106" s="47"/>
      <c r="AN106" s="47"/>
      <c r="AP106" s="109"/>
      <c r="AQ106" s="73"/>
      <c r="AR106" s="46"/>
    </row>
    <row r="107" spans="2:44" s="25" customFormat="1" ht="25.2" customHeight="1" x14ac:dyDescent="0.15">
      <c r="B107" s="47"/>
      <c r="C107" s="47"/>
      <c r="D107" s="47"/>
      <c r="E107" s="86"/>
      <c r="F107" s="47"/>
      <c r="G107" s="47"/>
      <c r="H107" s="46"/>
      <c r="I107" s="111"/>
      <c r="J107" s="52"/>
      <c r="K107" s="155"/>
      <c r="L107" s="52"/>
      <c r="M107" s="155"/>
      <c r="N107" s="52"/>
      <c r="O107" s="148"/>
      <c r="P107" s="52"/>
      <c r="Q107" s="155"/>
      <c r="R107" s="47"/>
      <c r="S107" s="47"/>
      <c r="T107" s="202"/>
      <c r="U107" s="47"/>
      <c r="V107" s="47"/>
      <c r="W107" s="47"/>
      <c r="Y107" s="47"/>
      <c r="Z107" s="47"/>
      <c r="AA107" s="52"/>
      <c r="AB107" s="52"/>
      <c r="AC107" s="52"/>
      <c r="AD107" s="52"/>
      <c r="AE107" s="52"/>
      <c r="AF107" s="47"/>
      <c r="AG107" s="115"/>
      <c r="AH107" s="122"/>
      <c r="AI107" s="125"/>
      <c r="AJ107" s="46"/>
      <c r="AK107" s="46"/>
      <c r="AL107" s="47"/>
      <c r="AM107" s="47"/>
      <c r="AN107" s="47"/>
      <c r="AP107" s="109"/>
      <c r="AQ107" s="73"/>
      <c r="AR107" s="46"/>
    </row>
    <row r="108" spans="2:44" s="25" customFormat="1" ht="25.2" customHeight="1" x14ac:dyDescent="0.15">
      <c r="B108" s="47"/>
      <c r="C108" s="47"/>
      <c r="D108" s="47"/>
      <c r="E108" s="86"/>
      <c r="F108" s="47"/>
      <c r="G108" s="47"/>
      <c r="H108" s="46"/>
      <c r="I108" s="111"/>
      <c r="J108" s="52"/>
      <c r="K108" s="155"/>
      <c r="L108" s="52"/>
      <c r="M108" s="155"/>
      <c r="N108" s="52"/>
      <c r="O108" s="148"/>
      <c r="P108" s="52"/>
      <c r="Q108" s="155"/>
      <c r="R108" s="47"/>
      <c r="S108" s="47"/>
      <c r="T108" s="202"/>
      <c r="U108" s="47"/>
      <c r="V108" s="47"/>
      <c r="W108" s="47"/>
      <c r="Y108" s="47"/>
      <c r="Z108" s="47"/>
      <c r="AA108" s="52"/>
      <c r="AB108" s="52"/>
      <c r="AC108" s="52"/>
      <c r="AD108" s="52"/>
      <c r="AE108" s="52"/>
      <c r="AF108" s="47"/>
      <c r="AG108" s="115"/>
      <c r="AH108" s="122"/>
      <c r="AI108" s="125"/>
      <c r="AJ108" s="46"/>
      <c r="AK108" s="46"/>
      <c r="AL108" s="47"/>
      <c r="AM108" s="47"/>
      <c r="AN108" s="47"/>
      <c r="AP108" s="109"/>
      <c r="AQ108" s="73"/>
      <c r="AR108" s="46"/>
    </row>
    <row r="109" spans="2:44" s="25" customFormat="1" ht="25.2" customHeight="1" x14ac:dyDescent="0.15">
      <c r="B109" s="47"/>
      <c r="C109" s="47"/>
      <c r="D109" s="47"/>
      <c r="E109" s="86"/>
      <c r="F109" s="47"/>
      <c r="G109" s="47"/>
      <c r="H109" s="46"/>
      <c r="I109" s="111"/>
      <c r="J109" s="52"/>
      <c r="K109" s="155"/>
      <c r="L109" s="52"/>
      <c r="M109" s="155"/>
      <c r="N109" s="52"/>
      <c r="O109" s="148"/>
      <c r="P109" s="52"/>
      <c r="Q109" s="155"/>
      <c r="R109" s="47"/>
      <c r="S109" s="47"/>
      <c r="T109" s="202"/>
      <c r="U109" s="47"/>
      <c r="V109" s="47"/>
      <c r="W109" s="47"/>
      <c r="Y109" s="47"/>
      <c r="Z109" s="47"/>
      <c r="AA109" s="52"/>
      <c r="AB109" s="52"/>
      <c r="AC109" s="52"/>
      <c r="AD109" s="52"/>
      <c r="AE109" s="52"/>
      <c r="AF109" s="47"/>
      <c r="AG109" s="115"/>
      <c r="AH109" s="122"/>
      <c r="AI109" s="125"/>
      <c r="AJ109" s="46"/>
      <c r="AK109" s="46"/>
      <c r="AL109" s="47"/>
      <c r="AM109" s="47"/>
      <c r="AN109" s="47"/>
      <c r="AP109" s="109"/>
      <c r="AQ109" s="73"/>
      <c r="AR109" s="46"/>
    </row>
    <row r="110" spans="2:44" s="25" customFormat="1" ht="25.2" customHeight="1" x14ac:dyDescent="0.15">
      <c r="B110" s="47"/>
      <c r="C110" s="47"/>
      <c r="D110" s="47"/>
      <c r="E110" s="86"/>
      <c r="F110" s="47"/>
      <c r="G110" s="47"/>
      <c r="H110" s="46"/>
      <c r="I110" s="111"/>
      <c r="J110" s="52"/>
      <c r="K110" s="155"/>
      <c r="L110" s="52"/>
      <c r="M110" s="155"/>
      <c r="N110" s="52"/>
      <c r="O110" s="148"/>
      <c r="P110" s="52"/>
      <c r="Q110" s="155"/>
      <c r="R110" s="47"/>
      <c r="S110" s="47"/>
      <c r="T110" s="202"/>
      <c r="U110" s="47"/>
      <c r="V110" s="47"/>
      <c r="W110" s="47"/>
      <c r="Y110" s="47"/>
      <c r="Z110" s="47"/>
      <c r="AA110" s="52"/>
      <c r="AB110" s="52"/>
      <c r="AC110" s="52"/>
      <c r="AD110" s="52"/>
      <c r="AE110" s="52"/>
      <c r="AF110" s="47"/>
      <c r="AG110" s="115"/>
      <c r="AH110" s="122"/>
      <c r="AI110" s="125"/>
      <c r="AJ110" s="46"/>
      <c r="AK110" s="46"/>
      <c r="AL110" s="47"/>
      <c r="AM110" s="47"/>
      <c r="AN110" s="47"/>
      <c r="AP110" s="109"/>
      <c r="AQ110" s="73"/>
      <c r="AR110" s="46"/>
    </row>
    <row r="111" spans="2:44" s="25" customFormat="1" ht="25.2" customHeight="1" x14ac:dyDescent="0.15">
      <c r="B111" s="47"/>
      <c r="C111" s="47"/>
      <c r="D111" s="47"/>
      <c r="E111" s="86"/>
      <c r="F111" s="47"/>
      <c r="G111" s="47"/>
      <c r="H111" s="46"/>
      <c r="I111" s="111"/>
      <c r="J111" s="52"/>
      <c r="K111" s="155"/>
      <c r="L111" s="52"/>
      <c r="M111" s="155"/>
      <c r="N111" s="52"/>
      <c r="O111" s="148"/>
      <c r="P111" s="52"/>
      <c r="Q111" s="155"/>
      <c r="R111" s="47"/>
      <c r="S111" s="47"/>
      <c r="T111" s="202"/>
      <c r="U111" s="47"/>
      <c r="V111" s="47"/>
      <c r="W111" s="47"/>
      <c r="Y111" s="47"/>
      <c r="Z111" s="47"/>
      <c r="AA111" s="52"/>
      <c r="AB111" s="52"/>
      <c r="AC111" s="52"/>
      <c r="AD111" s="52"/>
      <c r="AE111" s="52"/>
      <c r="AF111" s="47"/>
      <c r="AG111" s="115"/>
      <c r="AH111" s="122"/>
      <c r="AI111" s="125"/>
      <c r="AJ111" s="46"/>
      <c r="AK111" s="46"/>
      <c r="AL111" s="47"/>
      <c r="AM111" s="47"/>
      <c r="AN111" s="47"/>
      <c r="AP111" s="109"/>
      <c r="AQ111" s="73"/>
      <c r="AR111" s="46"/>
    </row>
    <row r="112" spans="2:44" s="25" customFormat="1" ht="25.2" customHeight="1" x14ac:dyDescent="0.15">
      <c r="B112" s="47"/>
      <c r="C112" s="47"/>
      <c r="D112" s="47"/>
      <c r="E112" s="86"/>
      <c r="F112" s="47"/>
      <c r="G112" s="47"/>
      <c r="H112" s="46"/>
      <c r="I112" s="111"/>
      <c r="J112" s="52"/>
      <c r="K112" s="155"/>
      <c r="L112" s="52"/>
      <c r="M112" s="155"/>
      <c r="N112" s="52"/>
      <c r="O112" s="148"/>
      <c r="P112" s="52"/>
      <c r="Q112" s="155"/>
      <c r="R112" s="47"/>
      <c r="S112" s="47"/>
      <c r="T112" s="202"/>
      <c r="U112" s="47"/>
      <c r="V112" s="47"/>
      <c r="W112" s="47"/>
      <c r="Y112" s="47"/>
      <c r="Z112" s="47"/>
      <c r="AA112" s="52"/>
      <c r="AB112" s="52"/>
      <c r="AC112" s="52"/>
      <c r="AD112" s="52"/>
      <c r="AE112" s="52"/>
      <c r="AF112" s="47"/>
      <c r="AG112" s="115"/>
      <c r="AH112" s="122"/>
      <c r="AI112" s="125"/>
      <c r="AJ112" s="46"/>
      <c r="AK112" s="46"/>
      <c r="AL112" s="47"/>
      <c r="AM112" s="47"/>
      <c r="AN112" s="47"/>
      <c r="AP112" s="109"/>
      <c r="AQ112" s="73"/>
      <c r="AR112" s="46"/>
    </row>
    <row r="113" spans="2:44" s="25" customFormat="1" ht="25.2" customHeight="1" x14ac:dyDescent="0.15">
      <c r="B113" s="47"/>
      <c r="C113" s="47"/>
      <c r="D113" s="47"/>
      <c r="E113" s="86"/>
      <c r="F113" s="47"/>
      <c r="G113" s="47"/>
      <c r="H113" s="46"/>
      <c r="I113" s="111"/>
      <c r="J113" s="52"/>
      <c r="K113" s="155"/>
      <c r="L113" s="52"/>
      <c r="M113" s="155"/>
      <c r="N113" s="52"/>
      <c r="O113" s="148"/>
      <c r="P113" s="52"/>
      <c r="Q113" s="155"/>
      <c r="R113" s="47"/>
      <c r="S113" s="47"/>
      <c r="T113" s="202"/>
      <c r="U113" s="47"/>
      <c r="V113" s="47"/>
      <c r="W113" s="47"/>
      <c r="Y113" s="47"/>
      <c r="Z113" s="47"/>
      <c r="AA113" s="52"/>
      <c r="AB113" s="52"/>
      <c r="AC113" s="52"/>
      <c r="AD113" s="52"/>
      <c r="AE113" s="52"/>
      <c r="AF113" s="47"/>
      <c r="AG113" s="115"/>
      <c r="AH113" s="122"/>
      <c r="AI113" s="125"/>
      <c r="AJ113" s="46"/>
      <c r="AK113" s="46"/>
      <c r="AL113" s="47"/>
      <c r="AM113" s="47"/>
      <c r="AN113" s="47"/>
      <c r="AP113" s="109"/>
      <c r="AQ113" s="73"/>
      <c r="AR113" s="46"/>
    </row>
    <row r="114" spans="2:44" s="25" customFormat="1" ht="25.2" customHeight="1" x14ac:dyDescent="0.15">
      <c r="B114" s="47"/>
      <c r="C114" s="47"/>
      <c r="D114" s="47"/>
      <c r="E114" s="86"/>
      <c r="F114" s="47"/>
      <c r="G114" s="47"/>
      <c r="H114" s="46"/>
      <c r="I114" s="111"/>
      <c r="J114" s="52"/>
      <c r="K114" s="155"/>
      <c r="L114" s="52"/>
      <c r="M114" s="155"/>
      <c r="N114" s="52"/>
      <c r="O114" s="148"/>
      <c r="P114" s="52"/>
      <c r="Q114" s="155"/>
      <c r="R114" s="47"/>
      <c r="S114" s="47"/>
      <c r="T114" s="202"/>
      <c r="U114" s="47"/>
      <c r="V114" s="47"/>
      <c r="W114" s="47"/>
      <c r="Y114" s="47"/>
      <c r="Z114" s="47"/>
      <c r="AA114" s="52"/>
      <c r="AB114" s="52"/>
      <c r="AC114" s="52"/>
      <c r="AD114" s="52"/>
      <c r="AE114" s="52"/>
      <c r="AF114" s="47"/>
      <c r="AG114" s="115"/>
      <c r="AH114" s="122"/>
      <c r="AI114" s="125"/>
      <c r="AJ114" s="46"/>
      <c r="AK114" s="46"/>
      <c r="AL114" s="47"/>
      <c r="AM114" s="47"/>
      <c r="AN114" s="47"/>
      <c r="AP114" s="109"/>
      <c r="AQ114" s="73"/>
      <c r="AR114" s="46"/>
    </row>
    <row r="115" spans="2:44" s="25" customFormat="1" ht="25.2" customHeight="1" x14ac:dyDescent="0.15">
      <c r="B115" s="47"/>
      <c r="C115" s="47"/>
      <c r="D115" s="47"/>
      <c r="E115" s="86"/>
      <c r="F115" s="47"/>
      <c r="G115" s="47"/>
      <c r="H115" s="46"/>
      <c r="I115" s="111"/>
      <c r="J115" s="52"/>
      <c r="K115" s="155"/>
      <c r="L115" s="52"/>
      <c r="M115" s="155"/>
      <c r="N115" s="52"/>
      <c r="O115" s="148"/>
      <c r="P115" s="52"/>
      <c r="Q115" s="155"/>
      <c r="R115" s="47"/>
      <c r="S115" s="47"/>
      <c r="T115" s="202"/>
      <c r="U115" s="47"/>
      <c r="V115" s="47"/>
      <c r="W115" s="47"/>
      <c r="Y115" s="47"/>
      <c r="Z115" s="47"/>
      <c r="AA115" s="52"/>
      <c r="AB115" s="52"/>
      <c r="AC115" s="52"/>
      <c r="AD115" s="52"/>
      <c r="AE115" s="52"/>
      <c r="AF115" s="47"/>
      <c r="AG115" s="115"/>
      <c r="AH115" s="122"/>
      <c r="AI115" s="125"/>
      <c r="AJ115" s="46"/>
      <c r="AK115" s="46"/>
      <c r="AL115" s="47"/>
      <c r="AM115" s="47"/>
      <c r="AN115" s="47"/>
      <c r="AP115" s="109"/>
      <c r="AQ115" s="73"/>
      <c r="AR115" s="46"/>
    </row>
    <row r="116" spans="2:44" s="25" customFormat="1" ht="25.2" customHeight="1" x14ac:dyDescent="0.15">
      <c r="B116" s="47"/>
      <c r="C116" s="47"/>
      <c r="D116" s="47"/>
      <c r="E116" s="86"/>
      <c r="F116" s="47"/>
      <c r="G116" s="47"/>
      <c r="H116" s="46"/>
      <c r="I116" s="111"/>
      <c r="J116" s="52"/>
      <c r="K116" s="155"/>
      <c r="L116" s="52"/>
      <c r="M116" s="155"/>
      <c r="N116" s="52"/>
      <c r="O116" s="148"/>
      <c r="P116" s="52"/>
      <c r="Q116" s="155"/>
      <c r="R116" s="47"/>
      <c r="S116" s="47"/>
      <c r="T116" s="202"/>
      <c r="U116" s="47"/>
      <c r="V116" s="47"/>
      <c r="W116" s="47"/>
      <c r="Y116" s="47"/>
      <c r="Z116" s="47"/>
      <c r="AA116" s="52"/>
      <c r="AB116" s="52"/>
      <c r="AC116" s="52"/>
      <c r="AD116" s="52"/>
      <c r="AE116" s="52"/>
      <c r="AF116" s="47"/>
      <c r="AG116" s="115"/>
      <c r="AH116" s="122"/>
      <c r="AI116" s="125"/>
      <c r="AJ116" s="46"/>
      <c r="AK116" s="46"/>
      <c r="AL116" s="47"/>
      <c r="AM116" s="47"/>
      <c r="AN116" s="47"/>
      <c r="AP116" s="109"/>
      <c r="AQ116" s="73"/>
      <c r="AR116" s="46"/>
    </row>
    <row r="117" spans="2:44" s="25" customFormat="1" ht="25.2" customHeight="1" x14ac:dyDescent="0.15">
      <c r="B117" s="47"/>
      <c r="C117" s="47"/>
      <c r="D117" s="47"/>
      <c r="E117" s="86"/>
      <c r="F117" s="47"/>
      <c r="G117" s="47"/>
      <c r="H117" s="46"/>
      <c r="I117" s="111"/>
      <c r="J117" s="52"/>
      <c r="K117" s="155"/>
      <c r="L117" s="52"/>
      <c r="M117" s="155"/>
      <c r="N117" s="52"/>
      <c r="O117" s="148"/>
      <c r="P117" s="52"/>
      <c r="Q117" s="155"/>
      <c r="R117" s="47"/>
      <c r="S117" s="47"/>
      <c r="T117" s="202"/>
      <c r="U117" s="47"/>
      <c r="V117" s="47"/>
      <c r="W117" s="47"/>
      <c r="Y117" s="47"/>
      <c r="Z117" s="47"/>
      <c r="AA117" s="52"/>
      <c r="AB117" s="52"/>
      <c r="AC117" s="52"/>
      <c r="AD117" s="52"/>
      <c r="AE117" s="52"/>
      <c r="AF117" s="47"/>
      <c r="AG117" s="115"/>
      <c r="AH117" s="122"/>
      <c r="AI117" s="125"/>
      <c r="AJ117" s="46"/>
      <c r="AK117" s="46"/>
      <c r="AL117" s="47"/>
      <c r="AM117" s="47"/>
      <c r="AN117" s="47"/>
      <c r="AP117" s="109"/>
      <c r="AQ117" s="73"/>
      <c r="AR117" s="46"/>
    </row>
    <row r="118" spans="2:44" s="25" customFormat="1" ht="25.2" customHeight="1" x14ac:dyDescent="0.15">
      <c r="B118" s="47"/>
      <c r="C118" s="47"/>
      <c r="D118" s="47"/>
      <c r="E118" s="86"/>
      <c r="F118" s="47"/>
      <c r="G118" s="47"/>
      <c r="H118" s="46"/>
      <c r="I118" s="111"/>
      <c r="J118" s="52"/>
      <c r="K118" s="155"/>
      <c r="L118" s="52"/>
      <c r="M118" s="155"/>
      <c r="N118" s="52"/>
      <c r="O118" s="148"/>
      <c r="P118" s="52"/>
      <c r="Q118" s="155"/>
      <c r="R118" s="47"/>
      <c r="S118" s="47"/>
      <c r="T118" s="202"/>
      <c r="U118" s="47"/>
      <c r="V118" s="47"/>
      <c r="W118" s="47"/>
      <c r="Y118" s="47"/>
      <c r="Z118" s="47"/>
      <c r="AA118" s="52"/>
      <c r="AB118" s="52"/>
      <c r="AC118" s="52"/>
      <c r="AD118" s="52"/>
      <c r="AE118" s="52"/>
      <c r="AF118" s="47"/>
      <c r="AG118" s="115"/>
      <c r="AH118" s="122"/>
      <c r="AI118" s="125"/>
      <c r="AJ118" s="46"/>
      <c r="AK118" s="46"/>
      <c r="AL118" s="47"/>
      <c r="AM118" s="47"/>
      <c r="AN118" s="47"/>
      <c r="AP118" s="109"/>
      <c r="AQ118" s="73"/>
      <c r="AR118" s="46"/>
    </row>
    <row r="119" spans="2:44" s="25" customFormat="1" ht="25.2" customHeight="1" x14ac:dyDescent="0.15">
      <c r="B119" s="47"/>
      <c r="C119" s="47"/>
      <c r="D119" s="47"/>
      <c r="E119" s="86"/>
      <c r="F119" s="47"/>
      <c r="G119" s="47"/>
      <c r="H119" s="46"/>
      <c r="I119" s="111"/>
      <c r="J119" s="52"/>
      <c r="K119" s="155"/>
      <c r="L119" s="52"/>
      <c r="M119" s="155"/>
      <c r="N119" s="52"/>
      <c r="O119" s="148"/>
      <c r="P119" s="52"/>
      <c r="Q119" s="155"/>
      <c r="R119" s="47"/>
      <c r="S119" s="47"/>
      <c r="T119" s="202"/>
      <c r="U119" s="47"/>
      <c r="V119" s="47"/>
      <c r="W119" s="47"/>
      <c r="Y119" s="47"/>
      <c r="Z119" s="47"/>
      <c r="AA119" s="52"/>
      <c r="AB119" s="52"/>
      <c r="AC119" s="52"/>
      <c r="AD119" s="52"/>
      <c r="AE119" s="52"/>
      <c r="AF119" s="47"/>
      <c r="AG119" s="115"/>
      <c r="AH119" s="122"/>
      <c r="AI119" s="125"/>
      <c r="AJ119" s="46"/>
      <c r="AK119" s="46"/>
      <c r="AL119" s="47"/>
      <c r="AM119" s="47"/>
      <c r="AN119" s="47"/>
      <c r="AP119" s="109"/>
      <c r="AQ119" s="73"/>
      <c r="AR119" s="46"/>
    </row>
    <row r="120" spans="2:44" s="25" customFormat="1" ht="25.2" customHeight="1" x14ac:dyDescent="0.15">
      <c r="B120" s="47"/>
      <c r="C120" s="47"/>
      <c r="D120" s="47"/>
      <c r="E120" s="86"/>
      <c r="F120" s="47"/>
      <c r="G120" s="47"/>
      <c r="H120" s="46"/>
      <c r="I120" s="111"/>
      <c r="J120" s="52"/>
      <c r="K120" s="155"/>
      <c r="L120" s="52"/>
      <c r="M120" s="155"/>
      <c r="N120" s="52"/>
      <c r="O120" s="148"/>
      <c r="P120" s="52"/>
      <c r="Q120" s="155"/>
      <c r="R120" s="47"/>
      <c r="S120" s="47"/>
      <c r="T120" s="202"/>
      <c r="U120" s="47"/>
      <c r="V120" s="47"/>
      <c r="W120" s="47"/>
      <c r="Y120" s="47"/>
      <c r="Z120" s="47"/>
      <c r="AA120" s="52"/>
      <c r="AB120" s="52"/>
      <c r="AC120" s="52"/>
      <c r="AD120" s="52"/>
      <c r="AE120" s="52"/>
      <c r="AF120" s="47"/>
      <c r="AG120" s="115"/>
      <c r="AH120" s="122"/>
      <c r="AI120" s="125"/>
      <c r="AJ120" s="46"/>
      <c r="AK120" s="46"/>
      <c r="AL120" s="47"/>
      <c r="AM120" s="47"/>
      <c r="AN120" s="47"/>
      <c r="AP120" s="109"/>
      <c r="AQ120" s="73"/>
      <c r="AR120" s="46"/>
    </row>
    <row r="121" spans="2:44" s="25" customFormat="1" ht="25.2" customHeight="1" x14ac:dyDescent="0.15">
      <c r="B121" s="47"/>
      <c r="C121" s="47"/>
      <c r="D121" s="47"/>
      <c r="E121" s="86"/>
      <c r="F121" s="47"/>
      <c r="G121" s="47"/>
      <c r="H121" s="46"/>
      <c r="I121" s="111"/>
      <c r="J121" s="52"/>
      <c r="K121" s="155"/>
      <c r="L121" s="52"/>
      <c r="M121" s="155"/>
      <c r="N121" s="52"/>
      <c r="O121" s="148"/>
      <c r="P121" s="52"/>
      <c r="Q121" s="155"/>
      <c r="R121" s="47"/>
      <c r="S121" s="47"/>
      <c r="T121" s="202"/>
      <c r="U121" s="47"/>
      <c r="V121" s="47"/>
      <c r="W121" s="47"/>
      <c r="Y121" s="47"/>
      <c r="Z121" s="47"/>
      <c r="AA121" s="52"/>
      <c r="AB121" s="52"/>
      <c r="AC121" s="52"/>
      <c r="AD121" s="52"/>
      <c r="AE121" s="52"/>
      <c r="AF121" s="47"/>
      <c r="AG121" s="115"/>
      <c r="AH121" s="122"/>
      <c r="AI121" s="125"/>
      <c r="AJ121" s="46"/>
      <c r="AK121" s="46"/>
      <c r="AL121" s="47"/>
      <c r="AM121" s="47"/>
      <c r="AN121" s="47"/>
      <c r="AP121" s="109"/>
      <c r="AQ121" s="73"/>
      <c r="AR121" s="46"/>
    </row>
    <row r="122" spans="2:44" s="25" customFormat="1" ht="25.2" customHeight="1" x14ac:dyDescent="0.15">
      <c r="B122" s="47"/>
      <c r="C122" s="47"/>
      <c r="D122" s="47"/>
      <c r="E122" s="86"/>
      <c r="F122" s="47"/>
      <c r="G122" s="47"/>
      <c r="H122" s="46"/>
      <c r="I122" s="111"/>
      <c r="J122" s="52"/>
      <c r="K122" s="155"/>
      <c r="L122" s="52"/>
      <c r="M122" s="155"/>
      <c r="N122" s="52"/>
      <c r="O122" s="148"/>
      <c r="P122" s="52"/>
      <c r="Q122" s="155"/>
      <c r="R122" s="47"/>
      <c r="S122" s="47"/>
      <c r="T122" s="202"/>
      <c r="U122" s="47"/>
      <c r="V122" s="47"/>
      <c r="W122" s="47"/>
      <c r="Y122" s="47"/>
      <c r="Z122" s="47"/>
      <c r="AA122" s="52"/>
      <c r="AB122" s="52"/>
      <c r="AC122" s="52"/>
      <c r="AD122" s="52"/>
      <c r="AE122" s="52"/>
      <c r="AF122" s="47"/>
      <c r="AG122" s="115"/>
      <c r="AH122" s="122"/>
      <c r="AI122" s="125"/>
      <c r="AJ122" s="46"/>
      <c r="AK122" s="46"/>
      <c r="AL122" s="47"/>
      <c r="AM122" s="47"/>
      <c r="AN122" s="47"/>
      <c r="AP122" s="109"/>
      <c r="AQ122" s="73"/>
      <c r="AR122" s="46"/>
    </row>
    <row r="123" spans="2:44" s="25" customFormat="1" ht="25.2" customHeight="1" x14ac:dyDescent="0.15">
      <c r="B123" s="47"/>
      <c r="C123" s="47"/>
      <c r="D123" s="47"/>
      <c r="E123" s="86"/>
      <c r="F123" s="47"/>
      <c r="G123" s="47"/>
      <c r="H123" s="46"/>
      <c r="I123" s="111"/>
      <c r="J123" s="52"/>
      <c r="K123" s="155"/>
      <c r="L123" s="52"/>
      <c r="M123" s="155"/>
      <c r="N123" s="52"/>
      <c r="O123" s="148"/>
      <c r="P123" s="52"/>
      <c r="Q123" s="155"/>
      <c r="R123" s="47"/>
      <c r="S123" s="47"/>
      <c r="T123" s="202"/>
      <c r="U123" s="47"/>
      <c r="V123" s="47"/>
      <c r="W123" s="47"/>
      <c r="Y123" s="47"/>
      <c r="Z123" s="47"/>
      <c r="AA123" s="52"/>
      <c r="AB123" s="52"/>
      <c r="AC123" s="52"/>
      <c r="AD123" s="52"/>
      <c r="AE123" s="52"/>
      <c r="AF123" s="47"/>
      <c r="AG123" s="115"/>
      <c r="AH123" s="122"/>
      <c r="AI123" s="125"/>
      <c r="AJ123" s="46"/>
      <c r="AK123" s="46"/>
      <c r="AL123" s="47"/>
      <c r="AM123" s="47"/>
      <c r="AN123" s="47"/>
      <c r="AP123" s="109"/>
      <c r="AQ123" s="73"/>
      <c r="AR123" s="46"/>
    </row>
    <row r="124" spans="2:44" s="25" customFormat="1" ht="25.2" customHeight="1" x14ac:dyDescent="0.15">
      <c r="B124" s="47"/>
      <c r="C124" s="47"/>
      <c r="D124" s="47"/>
      <c r="E124" s="86"/>
      <c r="F124" s="47"/>
      <c r="G124" s="47"/>
      <c r="H124" s="46"/>
      <c r="I124" s="111"/>
      <c r="J124" s="52"/>
      <c r="K124" s="155"/>
      <c r="L124" s="52"/>
      <c r="M124" s="155"/>
      <c r="N124" s="52"/>
      <c r="O124" s="148"/>
      <c r="P124" s="52"/>
      <c r="Q124" s="155"/>
      <c r="R124" s="47"/>
      <c r="S124" s="47"/>
      <c r="T124" s="202"/>
      <c r="U124" s="47"/>
      <c r="V124" s="47"/>
      <c r="W124" s="47"/>
      <c r="Y124" s="47"/>
      <c r="Z124" s="47"/>
      <c r="AA124" s="52"/>
      <c r="AB124" s="52"/>
      <c r="AC124" s="52"/>
      <c r="AD124" s="52"/>
      <c r="AE124" s="52"/>
      <c r="AF124" s="47"/>
      <c r="AG124" s="115"/>
      <c r="AH124" s="122"/>
      <c r="AI124" s="125"/>
      <c r="AJ124" s="46"/>
      <c r="AK124" s="46"/>
      <c r="AL124" s="47"/>
      <c r="AM124" s="47"/>
      <c r="AN124" s="47"/>
      <c r="AP124" s="109"/>
      <c r="AQ124" s="73"/>
      <c r="AR124" s="46"/>
    </row>
    <row r="125" spans="2:44" s="25" customFormat="1" ht="25.2" customHeight="1" x14ac:dyDescent="0.15">
      <c r="B125" s="47"/>
      <c r="C125" s="47"/>
      <c r="D125" s="47"/>
      <c r="E125" s="86"/>
      <c r="F125" s="47"/>
      <c r="G125" s="47"/>
      <c r="H125" s="46"/>
      <c r="I125" s="111"/>
      <c r="J125" s="52"/>
      <c r="K125" s="155"/>
      <c r="L125" s="52"/>
      <c r="M125" s="155"/>
      <c r="N125" s="52"/>
      <c r="O125" s="148"/>
      <c r="P125" s="52"/>
      <c r="Q125" s="155"/>
      <c r="R125" s="47"/>
      <c r="S125" s="47"/>
      <c r="T125" s="202"/>
      <c r="U125" s="47"/>
      <c r="V125" s="47"/>
      <c r="W125" s="47"/>
      <c r="Y125" s="47"/>
      <c r="Z125" s="47"/>
      <c r="AA125" s="52"/>
      <c r="AB125" s="52"/>
      <c r="AC125" s="52"/>
      <c r="AD125" s="52"/>
      <c r="AE125" s="52"/>
      <c r="AF125" s="47"/>
      <c r="AG125" s="115"/>
      <c r="AH125" s="122"/>
      <c r="AI125" s="125"/>
      <c r="AJ125" s="46"/>
      <c r="AK125" s="46"/>
      <c r="AL125" s="47"/>
      <c r="AM125" s="47"/>
      <c r="AN125" s="47"/>
      <c r="AP125" s="109"/>
      <c r="AQ125" s="73"/>
      <c r="AR125" s="46"/>
    </row>
    <row r="126" spans="2:44" s="25" customFormat="1" ht="25.2" customHeight="1" x14ac:dyDescent="0.15">
      <c r="B126" s="47"/>
      <c r="C126" s="47"/>
      <c r="D126" s="47"/>
      <c r="E126" s="86"/>
      <c r="F126" s="47"/>
      <c r="G126" s="47"/>
      <c r="H126" s="46"/>
      <c r="I126" s="111"/>
      <c r="J126" s="52"/>
      <c r="K126" s="155"/>
      <c r="L126" s="52"/>
      <c r="M126" s="155"/>
      <c r="N126" s="52"/>
      <c r="O126" s="148"/>
      <c r="P126" s="52"/>
      <c r="Q126" s="155"/>
      <c r="R126" s="47"/>
      <c r="S126" s="47"/>
      <c r="T126" s="202"/>
      <c r="U126" s="47"/>
      <c r="V126" s="47"/>
      <c r="W126" s="47"/>
      <c r="Y126" s="47"/>
      <c r="Z126" s="47"/>
      <c r="AA126" s="52"/>
      <c r="AB126" s="52"/>
      <c r="AC126" s="52"/>
      <c r="AD126" s="52"/>
      <c r="AE126" s="52"/>
      <c r="AF126" s="47"/>
      <c r="AG126" s="115"/>
      <c r="AH126" s="122"/>
      <c r="AI126" s="125"/>
      <c r="AJ126" s="46"/>
      <c r="AK126" s="46"/>
      <c r="AL126" s="47"/>
      <c r="AM126" s="47"/>
      <c r="AN126" s="47"/>
      <c r="AP126" s="109"/>
      <c r="AQ126" s="73"/>
      <c r="AR126" s="46"/>
    </row>
    <row r="127" spans="2:44" s="25" customFormat="1" ht="25.2" customHeight="1" x14ac:dyDescent="0.15">
      <c r="B127" s="47"/>
      <c r="C127" s="47"/>
      <c r="D127" s="47"/>
      <c r="E127" s="86"/>
      <c r="F127" s="47"/>
      <c r="G127" s="47"/>
      <c r="H127" s="46"/>
      <c r="I127" s="111"/>
      <c r="J127" s="52"/>
      <c r="K127" s="155"/>
      <c r="L127" s="52"/>
      <c r="M127" s="155"/>
      <c r="N127" s="52"/>
      <c r="O127" s="148"/>
      <c r="P127" s="52"/>
      <c r="Q127" s="155"/>
      <c r="R127" s="47"/>
      <c r="S127" s="47"/>
      <c r="T127" s="202"/>
      <c r="U127" s="47"/>
      <c r="V127" s="47"/>
      <c r="W127" s="47"/>
      <c r="Y127" s="47"/>
      <c r="Z127" s="47"/>
      <c r="AA127" s="52"/>
      <c r="AB127" s="52"/>
      <c r="AC127" s="52"/>
      <c r="AD127" s="52"/>
      <c r="AE127" s="52"/>
      <c r="AF127" s="47"/>
      <c r="AG127" s="115"/>
      <c r="AH127" s="122"/>
      <c r="AI127" s="125"/>
      <c r="AJ127" s="46"/>
      <c r="AK127" s="46"/>
      <c r="AL127" s="47"/>
      <c r="AM127" s="47"/>
      <c r="AN127" s="47"/>
      <c r="AP127" s="109"/>
      <c r="AQ127" s="73"/>
      <c r="AR127" s="46"/>
    </row>
    <row r="128" spans="2:44" s="25" customFormat="1" ht="25.2" customHeight="1" x14ac:dyDescent="0.15">
      <c r="B128" s="47"/>
      <c r="C128" s="47"/>
      <c r="D128" s="47"/>
      <c r="E128" s="86"/>
      <c r="F128" s="47"/>
      <c r="G128" s="47"/>
      <c r="H128" s="46"/>
      <c r="I128" s="111"/>
      <c r="J128" s="52"/>
      <c r="K128" s="155"/>
      <c r="L128" s="52"/>
      <c r="M128" s="155"/>
      <c r="N128" s="52"/>
      <c r="O128" s="148"/>
      <c r="P128" s="52"/>
      <c r="Q128" s="155"/>
      <c r="R128" s="47"/>
      <c r="S128" s="47"/>
      <c r="T128" s="202"/>
      <c r="U128" s="47"/>
      <c r="V128" s="47"/>
      <c r="W128" s="47"/>
      <c r="Y128" s="47"/>
      <c r="Z128" s="47"/>
      <c r="AA128" s="52"/>
      <c r="AB128" s="52"/>
      <c r="AC128" s="52"/>
      <c r="AD128" s="52"/>
      <c r="AE128" s="52"/>
      <c r="AF128" s="47"/>
      <c r="AG128" s="115"/>
      <c r="AH128" s="122"/>
      <c r="AI128" s="125"/>
      <c r="AJ128" s="46"/>
      <c r="AK128" s="46"/>
      <c r="AL128" s="47"/>
      <c r="AM128" s="47"/>
      <c r="AN128" s="47"/>
      <c r="AP128" s="109"/>
      <c r="AQ128" s="73"/>
      <c r="AR128" s="46"/>
    </row>
    <row r="129" spans="2:44" s="25" customFormat="1" ht="25.2" customHeight="1" x14ac:dyDescent="0.15">
      <c r="B129" s="47"/>
      <c r="C129" s="47"/>
      <c r="D129" s="47"/>
      <c r="E129" s="86"/>
      <c r="F129" s="47"/>
      <c r="G129" s="47"/>
      <c r="H129" s="46"/>
      <c r="I129" s="111"/>
      <c r="J129" s="52"/>
      <c r="K129" s="155"/>
      <c r="L129" s="52"/>
      <c r="M129" s="155"/>
      <c r="N129" s="52"/>
      <c r="O129" s="148"/>
      <c r="P129" s="52"/>
      <c r="Q129" s="155"/>
      <c r="R129" s="47"/>
      <c r="S129" s="47"/>
      <c r="T129" s="202"/>
      <c r="U129" s="47"/>
      <c r="V129" s="47"/>
      <c r="W129" s="47"/>
      <c r="Y129" s="47"/>
      <c r="Z129" s="47"/>
      <c r="AA129" s="52"/>
      <c r="AB129" s="52"/>
      <c r="AC129" s="52"/>
      <c r="AD129" s="52"/>
      <c r="AE129" s="52"/>
      <c r="AF129" s="47"/>
      <c r="AG129" s="115"/>
      <c r="AH129" s="122"/>
      <c r="AI129" s="125"/>
      <c r="AJ129" s="46"/>
      <c r="AK129" s="46"/>
      <c r="AL129" s="47"/>
      <c r="AM129" s="47"/>
      <c r="AN129" s="47"/>
      <c r="AP129" s="109"/>
      <c r="AQ129" s="73"/>
      <c r="AR129" s="46"/>
    </row>
    <row r="130" spans="2:44" s="25" customFormat="1" ht="25.2" customHeight="1" x14ac:dyDescent="0.15">
      <c r="B130" s="47"/>
      <c r="C130" s="47"/>
      <c r="D130" s="47"/>
      <c r="E130" s="86"/>
      <c r="F130" s="47"/>
      <c r="G130" s="47"/>
      <c r="H130" s="46"/>
      <c r="I130" s="111"/>
      <c r="J130" s="52"/>
      <c r="K130" s="155"/>
      <c r="L130" s="52"/>
      <c r="M130" s="155"/>
      <c r="N130" s="52"/>
      <c r="O130" s="148"/>
      <c r="P130" s="52"/>
      <c r="Q130" s="155"/>
      <c r="R130" s="47"/>
      <c r="S130" s="47"/>
      <c r="T130" s="202"/>
      <c r="U130" s="47"/>
      <c r="V130" s="47"/>
      <c r="W130" s="47"/>
      <c r="Y130" s="47"/>
      <c r="Z130" s="47"/>
      <c r="AA130" s="52"/>
      <c r="AB130" s="52"/>
      <c r="AC130" s="52"/>
      <c r="AD130" s="52"/>
      <c r="AE130" s="52"/>
      <c r="AF130" s="47"/>
      <c r="AG130" s="115"/>
      <c r="AH130" s="122"/>
      <c r="AI130" s="125"/>
      <c r="AJ130" s="46"/>
      <c r="AK130" s="46"/>
      <c r="AL130" s="47"/>
      <c r="AM130" s="47"/>
      <c r="AN130" s="47"/>
      <c r="AP130" s="109"/>
      <c r="AQ130" s="73"/>
      <c r="AR130" s="46"/>
    </row>
    <row r="131" spans="2:44" s="25" customFormat="1" ht="25.2" customHeight="1" x14ac:dyDescent="0.15">
      <c r="B131" s="47"/>
      <c r="C131" s="47"/>
      <c r="D131" s="47"/>
      <c r="E131" s="86"/>
      <c r="F131" s="47"/>
      <c r="G131" s="47"/>
      <c r="H131" s="46"/>
      <c r="I131" s="111"/>
      <c r="J131" s="52"/>
      <c r="K131" s="155"/>
      <c r="L131" s="52"/>
      <c r="M131" s="155"/>
      <c r="N131" s="52"/>
      <c r="O131" s="148"/>
      <c r="P131" s="52"/>
      <c r="Q131" s="155"/>
      <c r="R131" s="47"/>
      <c r="S131" s="47"/>
      <c r="T131" s="202"/>
      <c r="U131" s="47"/>
      <c r="V131" s="47"/>
      <c r="W131" s="47"/>
      <c r="Y131" s="47"/>
      <c r="Z131" s="47"/>
      <c r="AA131" s="52"/>
      <c r="AB131" s="52"/>
      <c r="AC131" s="52"/>
      <c r="AD131" s="52"/>
      <c r="AE131" s="52"/>
      <c r="AF131" s="47"/>
      <c r="AG131" s="115"/>
      <c r="AH131" s="122"/>
      <c r="AI131" s="125"/>
      <c r="AJ131" s="46"/>
      <c r="AK131" s="46"/>
      <c r="AL131" s="47"/>
      <c r="AM131" s="47"/>
      <c r="AN131" s="47"/>
      <c r="AP131" s="109"/>
      <c r="AQ131" s="73"/>
      <c r="AR131" s="46"/>
    </row>
    <row r="132" spans="2:44" s="25" customFormat="1" ht="25.2" customHeight="1" x14ac:dyDescent="0.15">
      <c r="B132" s="47"/>
      <c r="C132" s="47"/>
      <c r="D132" s="47"/>
      <c r="E132" s="86"/>
      <c r="F132" s="47"/>
      <c r="G132" s="47"/>
      <c r="H132" s="46"/>
      <c r="I132" s="111"/>
      <c r="J132" s="52"/>
      <c r="K132" s="155"/>
      <c r="L132" s="52"/>
      <c r="M132" s="155"/>
      <c r="N132" s="52"/>
      <c r="O132" s="148"/>
      <c r="P132" s="52"/>
      <c r="Q132" s="155"/>
      <c r="R132" s="47"/>
      <c r="S132" s="47"/>
      <c r="T132" s="202"/>
      <c r="U132" s="47"/>
      <c r="V132" s="47"/>
      <c r="W132" s="47"/>
      <c r="Y132" s="47"/>
      <c r="Z132" s="47"/>
      <c r="AA132" s="52"/>
      <c r="AB132" s="52"/>
      <c r="AC132" s="52"/>
      <c r="AD132" s="52"/>
      <c r="AE132" s="52"/>
      <c r="AF132" s="47"/>
      <c r="AG132" s="115"/>
      <c r="AH132" s="122"/>
      <c r="AI132" s="125"/>
      <c r="AJ132" s="46"/>
      <c r="AK132" s="46"/>
      <c r="AL132" s="47"/>
      <c r="AM132" s="47"/>
      <c r="AN132" s="47"/>
      <c r="AP132" s="109"/>
      <c r="AQ132" s="73"/>
      <c r="AR132" s="46"/>
    </row>
    <row r="133" spans="2:44" s="25" customFormat="1" ht="25.2" customHeight="1" x14ac:dyDescent="0.15">
      <c r="B133" s="47"/>
      <c r="C133" s="47"/>
      <c r="D133" s="47"/>
      <c r="E133" s="86"/>
      <c r="F133" s="47"/>
      <c r="G133" s="47"/>
      <c r="H133" s="46"/>
      <c r="I133" s="111"/>
      <c r="J133" s="52"/>
      <c r="K133" s="155"/>
      <c r="L133" s="52"/>
      <c r="M133" s="155"/>
      <c r="N133" s="52"/>
      <c r="O133" s="148"/>
      <c r="P133" s="52"/>
      <c r="Q133" s="155"/>
      <c r="R133" s="47"/>
      <c r="S133" s="47"/>
      <c r="T133" s="202"/>
      <c r="U133" s="47"/>
      <c r="V133" s="47"/>
      <c r="W133" s="47"/>
      <c r="Y133" s="47"/>
      <c r="Z133" s="47"/>
      <c r="AA133" s="52"/>
      <c r="AB133" s="52"/>
      <c r="AC133" s="52"/>
      <c r="AD133" s="52"/>
      <c r="AE133" s="52"/>
      <c r="AF133" s="47"/>
      <c r="AG133" s="115"/>
      <c r="AH133" s="122"/>
      <c r="AI133" s="125"/>
      <c r="AJ133" s="46"/>
      <c r="AK133" s="46"/>
      <c r="AL133" s="47"/>
      <c r="AM133" s="47"/>
      <c r="AN133" s="47"/>
      <c r="AP133" s="109"/>
      <c r="AQ133" s="73"/>
      <c r="AR133" s="46"/>
    </row>
    <row r="134" spans="2:44" s="25" customFormat="1" ht="25.2" customHeight="1" x14ac:dyDescent="0.15">
      <c r="B134" s="47"/>
      <c r="C134" s="47"/>
      <c r="D134" s="47"/>
      <c r="E134" s="86"/>
      <c r="F134" s="47"/>
      <c r="G134" s="47"/>
      <c r="H134" s="46"/>
      <c r="I134" s="111"/>
      <c r="J134" s="52"/>
      <c r="K134" s="155"/>
      <c r="L134" s="52"/>
      <c r="M134" s="155"/>
      <c r="N134" s="52"/>
      <c r="O134" s="148"/>
      <c r="P134" s="52"/>
      <c r="Q134" s="155"/>
      <c r="R134" s="47"/>
      <c r="S134" s="47"/>
      <c r="T134" s="202"/>
      <c r="U134" s="47"/>
      <c r="V134" s="47"/>
      <c r="W134" s="47"/>
      <c r="Y134" s="47"/>
      <c r="Z134" s="47"/>
      <c r="AA134" s="52"/>
      <c r="AB134" s="52"/>
      <c r="AC134" s="52"/>
      <c r="AD134" s="52"/>
      <c r="AE134" s="52"/>
      <c r="AF134" s="47"/>
      <c r="AG134" s="115"/>
      <c r="AH134" s="122"/>
      <c r="AI134" s="125"/>
      <c r="AJ134" s="46"/>
      <c r="AK134" s="46"/>
      <c r="AL134" s="47"/>
      <c r="AM134" s="47"/>
      <c r="AN134" s="47"/>
      <c r="AP134" s="109"/>
      <c r="AQ134" s="73"/>
      <c r="AR134" s="46"/>
    </row>
    <row r="135" spans="2:44" s="25" customFormat="1" ht="25.2" customHeight="1" x14ac:dyDescent="0.15">
      <c r="B135" s="47"/>
      <c r="C135" s="47"/>
      <c r="D135" s="47"/>
      <c r="E135" s="86"/>
      <c r="F135" s="47"/>
      <c r="G135" s="47"/>
      <c r="H135" s="46"/>
      <c r="I135" s="111"/>
      <c r="J135" s="52"/>
      <c r="K135" s="155"/>
      <c r="L135" s="52"/>
      <c r="M135" s="155"/>
      <c r="N135" s="52"/>
      <c r="O135" s="148"/>
      <c r="P135" s="52"/>
      <c r="Q135" s="155"/>
      <c r="R135" s="47"/>
      <c r="S135" s="47"/>
      <c r="T135" s="202"/>
      <c r="U135" s="47"/>
      <c r="V135" s="47"/>
      <c r="W135" s="47"/>
      <c r="Y135" s="47"/>
      <c r="Z135" s="47"/>
      <c r="AA135" s="52"/>
      <c r="AB135" s="52"/>
      <c r="AC135" s="52"/>
      <c r="AD135" s="52"/>
      <c r="AE135" s="52"/>
      <c r="AF135" s="47"/>
      <c r="AG135" s="115"/>
      <c r="AH135" s="122"/>
      <c r="AI135" s="125"/>
      <c r="AJ135" s="46"/>
      <c r="AK135" s="46"/>
      <c r="AL135" s="47"/>
      <c r="AM135" s="47"/>
      <c r="AN135" s="47"/>
      <c r="AP135" s="109"/>
      <c r="AQ135" s="73"/>
      <c r="AR135" s="46"/>
    </row>
    <row r="136" spans="2:44" s="25" customFormat="1" ht="25.2" customHeight="1" x14ac:dyDescent="0.15">
      <c r="B136" s="47"/>
      <c r="C136" s="47"/>
      <c r="D136" s="47"/>
      <c r="E136" s="86"/>
      <c r="F136" s="47"/>
      <c r="G136" s="47"/>
      <c r="H136" s="46"/>
      <c r="I136" s="111"/>
      <c r="J136" s="52"/>
      <c r="K136" s="155"/>
      <c r="L136" s="52"/>
      <c r="M136" s="155"/>
      <c r="N136" s="52"/>
      <c r="O136" s="148"/>
      <c r="P136" s="52"/>
      <c r="Q136" s="155"/>
      <c r="R136" s="47"/>
      <c r="S136" s="47"/>
      <c r="T136" s="202"/>
      <c r="U136" s="47"/>
      <c r="V136" s="47"/>
      <c r="W136" s="47"/>
      <c r="Y136" s="47"/>
      <c r="Z136" s="47"/>
      <c r="AA136" s="52"/>
      <c r="AB136" s="52"/>
      <c r="AC136" s="52"/>
      <c r="AD136" s="52"/>
      <c r="AE136" s="52"/>
      <c r="AF136" s="47"/>
      <c r="AG136" s="115"/>
      <c r="AH136" s="122"/>
      <c r="AI136" s="125"/>
      <c r="AJ136" s="46"/>
      <c r="AK136" s="46"/>
      <c r="AL136" s="47"/>
      <c r="AM136" s="47"/>
      <c r="AN136" s="47"/>
      <c r="AP136" s="109"/>
      <c r="AQ136" s="73"/>
      <c r="AR136" s="46"/>
    </row>
    <row r="137" spans="2:44" s="25" customFormat="1" ht="25.2" customHeight="1" x14ac:dyDescent="0.15">
      <c r="B137" s="47"/>
      <c r="C137" s="47"/>
      <c r="D137" s="47"/>
      <c r="E137" s="86"/>
      <c r="F137" s="47"/>
      <c r="G137" s="47"/>
      <c r="H137" s="46"/>
      <c r="I137" s="111"/>
      <c r="J137" s="52"/>
      <c r="K137" s="155"/>
      <c r="L137" s="52"/>
      <c r="M137" s="155"/>
      <c r="N137" s="52"/>
      <c r="O137" s="148"/>
      <c r="P137" s="52"/>
      <c r="Q137" s="155"/>
      <c r="R137" s="47"/>
      <c r="S137" s="47"/>
      <c r="T137" s="202"/>
      <c r="U137" s="47"/>
      <c r="V137" s="47"/>
      <c r="W137" s="47"/>
      <c r="Y137" s="47"/>
      <c r="Z137" s="47"/>
      <c r="AA137" s="52"/>
      <c r="AB137" s="52"/>
      <c r="AC137" s="52"/>
      <c r="AD137" s="52"/>
      <c r="AE137" s="52"/>
      <c r="AF137" s="47"/>
      <c r="AG137" s="115"/>
      <c r="AH137" s="122"/>
      <c r="AI137" s="125"/>
      <c r="AJ137" s="46"/>
      <c r="AK137" s="46"/>
      <c r="AL137" s="47"/>
      <c r="AM137" s="47"/>
      <c r="AN137" s="47"/>
      <c r="AP137" s="109"/>
      <c r="AQ137" s="73"/>
      <c r="AR137" s="46"/>
    </row>
    <row r="138" spans="2:44" s="25" customFormat="1" ht="25.2" customHeight="1" x14ac:dyDescent="0.15">
      <c r="B138" s="47"/>
      <c r="C138" s="47"/>
      <c r="D138" s="47"/>
      <c r="E138" s="86"/>
      <c r="F138" s="47"/>
      <c r="G138" s="47"/>
      <c r="H138" s="46"/>
      <c r="I138" s="111"/>
      <c r="J138" s="52"/>
      <c r="K138" s="155"/>
      <c r="L138" s="52"/>
      <c r="M138" s="155"/>
      <c r="N138" s="52"/>
      <c r="O138" s="148"/>
      <c r="P138" s="52"/>
      <c r="Q138" s="155"/>
      <c r="R138" s="47"/>
      <c r="S138" s="47"/>
      <c r="T138" s="202"/>
      <c r="U138" s="47"/>
      <c r="V138" s="47"/>
      <c r="W138" s="47"/>
      <c r="Y138" s="47"/>
      <c r="Z138" s="47"/>
      <c r="AA138" s="52"/>
      <c r="AB138" s="52"/>
      <c r="AC138" s="52"/>
      <c r="AD138" s="52"/>
      <c r="AE138" s="52"/>
      <c r="AF138" s="47"/>
      <c r="AG138" s="115"/>
      <c r="AH138" s="122"/>
      <c r="AI138" s="125"/>
      <c r="AJ138" s="46"/>
      <c r="AK138" s="46"/>
      <c r="AL138" s="47"/>
      <c r="AM138" s="47"/>
      <c r="AN138" s="47"/>
      <c r="AP138" s="109"/>
      <c r="AQ138" s="73"/>
      <c r="AR138" s="46"/>
    </row>
    <row r="139" spans="2:44" ht="12.75" customHeight="1" x14ac:dyDescent="0.15">
      <c r="B139" s="40"/>
      <c r="C139" s="40"/>
      <c r="D139" s="40"/>
      <c r="E139" s="185"/>
      <c r="F139" s="40"/>
      <c r="G139" s="40"/>
      <c r="H139" s="53"/>
      <c r="R139" s="40"/>
      <c r="S139" s="40"/>
      <c r="U139" s="40"/>
      <c r="V139" s="40"/>
      <c r="W139" s="40"/>
      <c r="Y139" s="40"/>
      <c r="Z139" s="40"/>
      <c r="AA139" s="41"/>
      <c r="AB139" s="41"/>
      <c r="AC139" s="41"/>
      <c r="AD139" s="41"/>
      <c r="AE139" s="41"/>
      <c r="AF139" s="40"/>
      <c r="AG139" s="40"/>
      <c r="AH139" s="5"/>
      <c r="AI139" s="5"/>
      <c r="AJ139" s="40"/>
      <c r="AK139" s="40"/>
      <c r="AL139" s="40"/>
      <c r="AM139" s="40"/>
      <c r="AN139" s="40"/>
      <c r="AP139" s="40"/>
      <c r="AR139" s="40"/>
    </row>
    <row r="140" spans="2:44" ht="12.75" customHeight="1" x14ac:dyDescent="0.15">
      <c r="B140" s="40"/>
      <c r="C140" s="40"/>
      <c r="D140" s="40"/>
      <c r="E140" s="185"/>
      <c r="F140" s="40"/>
      <c r="G140" s="40"/>
      <c r="H140" s="53"/>
      <c r="R140" s="40"/>
      <c r="S140" s="40"/>
      <c r="U140" s="40"/>
      <c r="V140" s="40"/>
      <c r="W140" s="40"/>
      <c r="Y140" s="40"/>
      <c r="Z140" s="40"/>
      <c r="AA140" s="41"/>
      <c r="AB140" s="41"/>
      <c r="AC140" s="41"/>
      <c r="AD140" s="41"/>
      <c r="AE140" s="41"/>
      <c r="AF140" s="40"/>
      <c r="AG140" s="40"/>
      <c r="AH140" s="5"/>
      <c r="AI140" s="5"/>
      <c r="AJ140" s="40"/>
      <c r="AK140" s="40"/>
      <c r="AL140" s="40"/>
      <c r="AM140" s="40"/>
      <c r="AN140" s="40"/>
      <c r="AP140" s="40"/>
      <c r="AR140" s="40"/>
    </row>
    <row r="141" spans="2:44" ht="12.75" customHeight="1" x14ac:dyDescent="0.15">
      <c r="B141" s="40"/>
      <c r="C141" s="40"/>
      <c r="D141" s="40"/>
      <c r="E141" s="185"/>
      <c r="F141" s="40"/>
      <c r="G141" s="40"/>
      <c r="H141" s="53"/>
      <c r="R141" s="40"/>
      <c r="S141" s="40"/>
      <c r="U141" s="40"/>
      <c r="V141" s="40"/>
      <c r="W141" s="40"/>
      <c r="Y141" s="40"/>
      <c r="Z141" s="40"/>
      <c r="AA141" s="41"/>
      <c r="AB141" s="41"/>
      <c r="AC141" s="41"/>
      <c r="AD141" s="41"/>
      <c r="AE141" s="41"/>
      <c r="AF141" s="40"/>
      <c r="AG141" s="40"/>
      <c r="AH141" s="5"/>
      <c r="AI141" s="5"/>
      <c r="AJ141" s="40"/>
      <c r="AK141" s="40"/>
      <c r="AL141" s="40"/>
      <c r="AM141" s="40"/>
      <c r="AN141" s="40"/>
      <c r="AP141" s="40"/>
      <c r="AR141" s="40"/>
    </row>
    <row r="142" spans="2:44" ht="12.75" customHeight="1" x14ac:dyDescent="0.15">
      <c r="B142" s="40"/>
      <c r="C142" s="40"/>
      <c r="D142" s="40"/>
      <c r="E142" s="185"/>
      <c r="F142" s="40"/>
      <c r="G142" s="40"/>
      <c r="H142" s="53"/>
      <c r="R142" s="40"/>
      <c r="S142" s="40"/>
      <c r="U142" s="40"/>
      <c r="V142" s="40"/>
      <c r="W142" s="40"/>
      <c r="Y142" s="40"/>
      <c r="Z142" s="40"/>
      <c r="AA142" s="41"/>
      <c r="AB142" s="41"/>
      <c r="AC142" s="41"/>
      <c r="AD142" s="41"/>
      <c r="AE142" s="41"/>
      <c r="AF142" s="40"/>
      <c r="AG142" s="40"/>
      <c r="AH142" s="5"/>
      <c r="AI142" s="5"/>
      <c r="AJ142" s="40"/>
      <c r="AK142" s="40"/>
      <c r="AL142" s="40"/>
      <c r="AM142" s="40"/>
      <c r="AN142" s="40"/>
      <c r="AP142" s="40"/>
      <c r="AR142" s="40"/>
    </row>
    <row r="143" spans="2:44" ht="12.75" customHeight="1" x14ac:dyDescent="0.15">
      <c r="B143" s="40"/>
      <c r="C143" s="40"/>
      <c r="D143" s="40"/>
      <c r="E143" s="185"/>
      <c r="F143" s="40"/>
      <c r="G143" s="40"/>
      <c r="H143" s="53"/>
      <c r="R143" s="40"/>
      <c r="S143" s="40"/>
      <c r="U143" s="40"/>
      <c r="V143" s="40"/>
      <c r="W143" s="40"/>
      <c r="Y143" s="40"/>
      <c r="Z143" s="40"/>
      <c r="AA143" s="41"/>
      <c r="AB143" s="41"/>
      <c r="AC143" s="41"/>
      <c r="AD143" s="41"/>
      <c r="AE143" s="41"/>
      <c r="AF143" s="40"/>
      <c r="AG143" s="40"/>
      <c r="AH143" s="5"/>
      <c r="AI143" s="5"/>
      <c r="AJ143" s="40"/>
      <c r="AK143" s="40"/>
      <c r="AL143" s="40"/>
      <c r="AM143" s="40"/>
      <c r="AN143" s="40"/>
      <c r="AP143" s="40"/>
      <c r="AR143" s="40"/>
    </row>
    <row r="144" spans="2:44" ht="12.75" customHeight="1" x14ac:dyDescent="0.15">
      <c r="B144" s="40"/>
      <c r="C144" s="40"/>
      <c r="D144" s="40"/>
      <c r="E144" s="185"/>
      <c r="F144" s="40"/>
      <c r="G144" s="40"/>
      <c r="H144" s="53"/>
      <c r="R144" s="40"/>
      <c r="S144" s="40"/>
      <c r="U144" s="40"/>
      <c r="V144" s="40"/>
      <c r="W144" s="40"/>
      <c r="Y144" s="40"/>
      <c r="Z144" s="40"/>
      <c r="AA144" s="41"/>
      <c r="AB144" s="41"/>
      <c r="AC144" s="41"/>
      <c r="AD144" s="41"/>
      <c r="AE144" s="41"/>
      <c r="AF144" s="40"/>
      <c r="AG144" s="40"/>
      <c r="AH144" s="5"/>
      <c r="AI144" s="5"/>
      <c r="AJ144" s="40"/>
      <c r="AK144" s="40"/>
      <c r="AL144" s="40"/>
      <c r="AM144" s="40"/>
      <c r="AN144" s="40"/>
      <c r="AP144" s="40"/>
      <c r="AR144" s="40"/>
    </row>
    <row r="145" spans="2:44" ht="12.75" customHeight="1" x14ac:dyDescent="0.15">
      <c r="B145" s="40"/>
      <c r="C145" s="40"/>
      <c r="D145" s="40"/>
      <c r="E145" s="185"/>
      <c r="F145" s="40"/>
      <c r="G145" s="40"/>
      <c r="H145" s="53"/>
      <c r="R145" s="40"/>
      <c r="S145" s="40"/>
      <c r="U145" s="40"/>
      <c r="V145" s="40"/>
      <c r="W145" s="40"/>
      <c r="Y145" s="40"/>
      <c r="Z145" s="40"/>
      <c r="AA145" s="41"/>
      <c r="AB145" s="41"/>
      <c r="AC145" s="41"/>
      <c r="AD145" s="41"/>
      <c r="AE145" s="41"/>
      <c r="AF145" s="40"/>
      <c r="AG145" s="40"/>
      <c r="AH145" s="5"/>
      <c r="AI145" s="5"/>
      <c r="AJ145" s="40"/>
      <c r="AK145" s="40"/>
      <c r="AL145" s="40"/>
      <c r="AM145" s="40"/>
      <c r="AN145" s="40"/>
      <c r="AP145" s="40"/>
      <c r="AR145" s="40"/>
    </row>
    <row r="146" spans="2:44" ht="12.75" customHeight="1" x14ac:dyDescent="0.15">
      <c r="B146" s="40"/>
      <c r="C146" s="40"/>
      <c r="D146" s="40"/>
      <c r="E146" s="185"/>
      <c r="F146" s="40"/>
      <c r="G146" s="40"/>
      <c r="H146" s="53"/>
      <c r="R146" s="40"/>
      <c r="S146" s="40"/>
      <c r="U146" s="40"/>
      <c r="V146" s="40"/>
      <c r="W146" s="40"/>
      <c r="Y146" s="40"/>
      <c r="Z146" s="40"/>
      <c r="AA146" s="41"/>
      <c r="AB146" s="41"/>
      <c r="AC146" s="41"/>
      <c r="AD146" s="41"/>
      <c r="AE146" s="41"/>
      <c r="AF146" s="40"/>
      <c r="AG146" s="40"/>
      <c r="AH146" s="5"/>
      <c r="AI146" s="5"/>
      <c r="AJ146" s="40"/>
      <c r="AK146" s="40"/>
      <c r="AL146" s="40"/>
      <c r="AM146" s="40"/>
      <c r="AN146" s="40"/>
      <c r="AP146" s="40"/>
      <c r="AR146" s="40"/>
    </row>
    <row r="147" spans="2:44" ht="12.75" customHeight="1" x14ac:dyDescent="0.15">
      <c r="B147" s="40"/>
      <c r="C147" s="40"/>
      <c r="D147" s="40"/>
      <c r="E147" s="185"/>
      <c r="F147" s="40"/>
      <c r="G147" s="40"/>
      <c r="H147" s="53"/>
      <c r="R147" s="40"/>
      <c r="S147" s="40"/>
      <c r="U147" s="40"/>
      <c r="V147" s="40"/>
      <c r="W147" s="40"/>
      <c r="Y147" s="40"/>
      <c r="Z147" s="40"/>
      <c r="AA147" s="41"/>
      <c r="AB147" s="41"/>
      <c r="AC147" s="41"/>
      <c r="AD147" s="41"/>
      <c r="AE147" s="41"/>
      <c r="AF147" s="40"/>
      <c r="AG147" s="40"/>
      <c r="AH147" s="5"/>
      <c r="AI147" s="5"/>
      <c r="AJ147" s="40"/>
      <c r="AK147" s="40"/>
      <c r="AL147" s="40"/>
      <c r="AM147" s="40"/>
      <c r="AN147" s="40"/>
      <c r="AP147" s="40"/>
      <c r="AR147" s="40"/>
    </row>
    <row r="148" spans="2:44" ht="12.75" customHeight="1" x14ac:dyDescent="0.15">
      <c r="B148" s="40"/>
      <c r="C148" s="40"/>
      <c r="D148" s="40"/>
      <c r="E148" s="185"/>
      <c r="F148" s="40"/>
      <c r="G148" s="40"/>
      <c r="H148" s="53"/>
      <c r="R148" s="40"/>
      <c r="S148" s="40"/>
      <c r="U148" s="40"/>
      <c r="V148" s="40"/>
      <c r="W148" s="40"/>
      <c r="Y148" s="40"/>
      <c r="Z148" s="40"/>
      <c r="AA148" s="41"/>
      <c r="AB148" s="41"/>
      <c r="AC148" s="41"/>
      <c r="AD148" s="41"/>
      <c r="AE148" s="41"/>
      <c r="AF148" s="40"/>
      <c r="AG148" s="40"/>
      <c r="AH148" s="5"/>
      <c r="AI148" s="5"/>
      <c r="AJ148" s="40"/>
      <c r="AK148" s="40"/>
      <c r="AL148" s="40"/>
      <c r="AM148" s="40"/>
      <c r="AN148" s="40"/>
      <c r="AP148" s="40"/>
      <c r="AR148" s="40"/>
    </row>
    <row r="149" spans="2:44" ht="12.75" customHeight="1" x14ac:dyDescent="0.15">
      <c r="B149" s="40"/>
      <c r="C149" s="40"/>
      <c r="D149" s="40"/>
      <c r="E149" s="185"/>
      <c r="F149" s="40"/>
      <c r="G149" s="40"/>
      <c r="H149" s="53"/>
      <c r="R149" s="40"/>
      <c r="S149" s="40"/>
      <c r="U149" s="40"/>
      <c r="V149" s="40"/>
      <c r="W149" s="40"/>
      <c r="Y149" s="40"/>
      <c r="Z149" s="40"/>
      <c r="AA149" s="41"/>
      <c r="AB149" s="41"/>
      <c r="AC149" s="41"/>
      <c r="AD149" s="41"/>
      <c r="AE149" s="41"/>
      <c r="AF149" s="40"/>
      <c r="AG149" s="40"/>
      <c r="AH149" s="5"/>
      <c r="AI149" s="5"/>
      <c r="AJ149" s="40"/>
      <c r="AK149" s="40"/>
      <c r="AL149" s="40"/>
      <c r="AM149" s="40"/>
      <c r="AN149" s="40"/>
      <c r="AP149" s="40"/>
      <c r="AR149" s="40"/>
    </row>
    <row r="150" spans="2:44" ht="12.75" customHeight="1" x14ac:dyDescent="0.15">
      <c r="B150" s="40"/>
      <c r="C150" s="40"/>
      <c r="D150" s="40"/>
      <c r="E150" s="185"/>
      <c r="F150" s="40"/>
      <c r="G150" s="40"/>
      <c r="H150" s="53"/>
      <c r="R150" s="40"/>
      <c r="S150" s="40"/>
      <c r="U150" s="40"/>
      <c r="V150" s="40"/>
      <c r="W150" s="40"/>
      <c r="Y150" s="40"/>
      <c r="Z150" s="40"/>
      <c r="AA150" s="41"/>
      <c r="AB150" s="41"/>
      <c r="AC150" s="41"/>
      <c r="AD150" s="41"/>
      <c r="AE150" s="41"/>
      <c r="AF150" s="40"/>
      <c r="AG150" s="40"/>
      <c r="AH150" s="5"/>
      <c r="AI150" s="5"/>
      <c r="AJ150" s="40"/>
      <c r="AK150" s="40"/>
      <c r="AL150" s="40"/>
      <c r="AM150" s="40"/>
      <c r="AN150" s="40"/>
      <c r="AP150" s="40"/>
      <c r="AR150" s="40"/>
    </row>
    <row r="151" spans="2:44" ht="12.75" customHeight="1" x14ac:dyDescent="0.15">
      <c r="B151" s="40"/>
      <c r="C151" s="40"/>
      <c r="D151" s="40"/>
      <c r="E151" s="185"/>
      <c r="F151" s="40"/>
      <c r="G151" s="40"/>
      <c r="H151" s="53"/>
      <c r="R151" s="40"/>
      <c r="S151" s="40"/>
      <c r="U151" s="40"/>
      <c r="V151" s="40"/>
      <c r="W151" s="40"/>
      <c r="Y151" s="40"/>
      <c r="Z151" s="40"/>
      <c r="AA151" s="41"/>
      <c r="AB151" s="41"/>
      <c r="AC151" s="41"/>
      <c r="AD151" s="41"/>
      <c r="AE151" s="41"/>
      <c r="AF151" s="40"/>
      <c r="AG151" s="40"/>
      <c r="AH151" s="5"/>
      <c r="AI151" s="5"/>
      <c r="AJ151" s="40"/>
      <c r="AK151" s="40"/>
      <c r="AL151" s="40"/>
      <c r="AM151" s="40"/>
      <c r="AN151" s="40"/>
      <c r="AP151" s="40"/>
      <c r="AR151" s="40"/>
    </row>
    <row r="152" spans="2:44" ht="12.75" customHeight="1" x14ac:dyDescent="0.15">
      <c r="B152" s="40"/>
      <c r="C152" s="40"/>
      <c r="D152" s="40"/>
      <c r="E152" s="185"/>
      <c r="F152" s="40"/>
      <c r="G152" s="40"/>
      <c r="H152" s="53"/>
      <c r="R152" s="40"/>
      <c r="S152" s="40"/>
      <c r="U152" s="40"/>
      <c r="V152" s="40"/>
      <c r="W152" s="40"/>
      <c r="Y152" s="40"/>
      <c r="Z152" s="40"/>
      <c r="AA152" s="41"/>
      <c r="AB152" s="41"/>
      <c r="AC152" s="41"/>
      <c r="AD152" s="41"/>
      <c r="AE152" s="41"/>
      <c r="AF152" s="40"/>
      <c r="AG152" s="40"/>
      <c r="AH152" s="5"/>
      <c r="AI152" s="5"/>
      <c r="AJ152" s="40"/>
      <c r="AK152" s="40"/>
      <c r="AL152" s="40"/>
      <c r="AM152" s="40"/>
      <c r="AN152" s="40"/>
      <c r="AP152" s="40"/>
      <c r="AR152" s="40"/>
    </row>
    <row r="153" spans="2:44" ht="12.75" customHeight="1" x14ac:dyDescent="0.15">
      <c r="B153" s="40"/>
      <c r="C153" s="40"/>
      <c r="D153" s="40"/>
      <c r="E153" s="185"/>
      <c r="F153" s="40"/>
      <c r="G153" s="40"/>
      <c r="H153" s="53"/>
      <c r="R153" s="40"/>
      <c r="S153" s="40"/>
      <c r="U153" s="40"/>
      <c r="V153" s="40"/>
      <c r="W153" s="40"/>
      <c r="Y153" s="40"/>
      <c r="Z153" s="40"/>
      <c r="AA153" s="41"/>
      <c r="AB153" s="41"/>
      <c r="AC153" s="41"/>
      <c r="AD153" s="41"/>
      <c r="AE153" s="41"/>
      <c r="AF153" s="40"/>
      <c r="AG153" s="40"/>
      <c r="AH153" s="5"/>
      <c r="AI153" s="5"/>
      <c r="AJ153" s="40"/>
      <c r="AK153" s="40"/>
      <c r="AL153" s="40"/>
      <c r="AM153" s="40"/>
      <c r="AN153" s="40"/>
      <c r="AP153" s="40"/>
      <c r="AR153" s="40"/>
    </row>
    <row r="154" spans="2:44" ht="12.75" customHeight="1" x14ac:dyDescent="0.15">
      <c r="B154" s="40"/>
      <c r="C154" s="40"/>
      <c r="D154" s="40"/>
      <c r="E154" s="185"/>
      <c r="F154" s="40"/>
      <c r="G154" s="40"/>
      <c r="H154" s="53"/>
      <c r="R154" s="40"/>
      <c r="S154" s="40"/>
      <c r="U154" s="40"/>
      <c r="V154" s="40"/>
      <c r="W154" s="40"/>
      <c r="Y154" s="40"/>
      <c r="Z154" s="40"/>
      <c r="AA154" s="41"/>
      <c r="AB154" s="41"/>
      <c r="AC154" s="41"/>
      <c r="AD154" s="41"/>
      <c r="AE154" s="41"/>
      <c r="AF154" s="40"/>
      <c r="AG154" s="40"/>
      <c r="AH154" s="5"/>
      <c r="AI154" s="5"/>
      <c r="AJ154" s="40"/>
      <c r="AK154" s="40"/>
      <c r="AL154" s="40"/>
      <c r="AM154" s="40"/>
      <c r="AN154" s="40"/>
      <c r="AP154" s="40"/>
      <c r="AR154" s="40"/>
    </row>
    <row r="155" spans="2:44" ht="12.75" customHeight="1" x14ac:dyDescent="0.15">
      <c r="B155" s="40"/>
      <c r="C155" s="40"/>
      <c r="D155" s="40"/>
      <c r="E155" s="185"/>
      <c r="F155" s="40"/>
      <c r="G155" s="40"/>
      <c r="H155" s="53"/>
      <c r="R155" s="40"/>
      <c r="S155" s="40"/>
      <c r="U155" s="40"/>
      <c r="V155" s="40"/>
      <c r="W155" s="40"/>
      <c r="Y155" s="40"/>
      <c r="Z155" s="40"/>
      <c r="AA155" s="41"/>
      <c r="AB155" s="41"/>
      <c r="AC155" s="41"/>
      <c r="AD155" s="41"/>
      <c r="AE155" s="41"/>
      <c r="AF155" s="40"/>
      <c r="AG155" s="40"/>
      <c r="AH155" s="5"/>
      <c r="AI155" s="5"/>
      <c r="AJ155" s="40"/>
      <c r="AK155" s="40"/>
      <c r="AL155" s="40"/>
      <c r="AM155" s="40"/>
      <c r="AN155" s="40"/>
      <c r="AP155" s="40"/>
      <c r="AR155" s="40"/>
    </row>
    <row r="156" spans="2:44" ht="12.75" customHeight="1" x14ac:dyDescent="0.15">
      <c r="B156" s="40"/>
      <c r="C156" s="40"/>
      <c r="D156" s="40"/>
      <c r="E156" s="185"/>
      <c r="F156" s="40"/>
      <c r="G156" s="40"/>
      <c r="H156" s="53"/>
      <c r="R156" s="40"/>
      <c r="S156" s="40"/>
      <c r="U156" s="40"/>
      <c r="V156" s="40"/>
      <c r="W156" s="40"/>
      <c r="Y156" s="40"/>
      <c r="Z156" s="40"/>
      <c r="AA156" s="41"/>
      <c r="AB156" s="41"/>
      <c r="AC156" s="41"/>
      <c r="AD156" s="41"/>
      <c r="AE156" s="41"/>
      <c r="AF156" s="40"/>
      <c r="AG156" s="40"/>
      <c r="AH156" s="5"/>
      <c r="AI156" s="5"/>
      <c r="AJ156" s="40"/>
      <c r="AK156" s="40"/>
      <c r="AL156" s="40"/>
      <c r="AM156" s="40"/>
      <c r="AN156" s="40"/>
      <c r="AP156" s="40"/>
      <c r="AR156" s="40"/>
    </row>
    <row r="157" spans="2:44" ht="12.75" customHeight="1" x14ac:dyDescent="0.15">
      <c r="B157" s="40"/>
      <c r="C157" s="40"/>
      <c r="D157" s="40"/>
      <c r="E157" s="185"/>
      <c r="F157" s="40"/>
      <c r="G157" s="40"/>
      <c r="H157" s="53"/>
      <c r="R157" s="40"/>
      <c r="S157" s="40"/>
      <c r="U157" s="40"/>
      <c r="V157" s="40"/>
      <c r="W157" s="40"/>
      <c r="Y157" s="40"/>
      <c r="Z157" s="40"/>
      <c r="AA157" s="41"/>
      <c r="AB157" s="41"/>
      <c r="AC157" s="41"/>
      <c r="AD157" s="41"/>
      <c r="AE157" s="41"/>
      <c r="AF157" s="40"/>
      <c r="AG157" s="40"/>
      <c r="AH157" s="5"/>
      <c r="AI157" s="5"/>
      <c r="AJ157" s="40"/>
      <c r="AK157" s="40"/>
      <c r="AL157" s="40"/>
      <c r="AM157" s="40"/>
      <c r="AN157" s="40"/>
      <c r="AP157" s="40"/>
      <c r="AR157" s="40"/>
    </row>
    <row r="158" spans="2:44" ht="12.75" customHeight="1" x14ac:dyDescent="0.15">
      <c r="B158" s="40"/>
      <c r="C158" s="40"/>
      <c r="D158" s="40"/>
      <c r="E158" s="185"/>
      <c r="F158" s="40"/>
      <c r="G158" s="40"/>
      <c r="H158" s="53"/>
      <c r="R158" s="40"/>
      <c r="S158" s="40"/>
      <c r="U158" s="40"/>
      <c r="V158" s="40"/>
      <c r="W158" s="40"/>
      <c r="Y158" s="40"/>
      <c r="Z158" s="40"/>
      <c r="AA158" s="41"/>
      <c r="AB158" s="41"/>
      <c r="AC158" s="41"/>
      <c r="AD158" s="41"/>
      <c r="AE158" s="41"/>
      <c r="AF158" s="40"/>
      <c r="AG158" s="40"/>
      <c r="AH158" s="5"/>
      <c r="AI158" s="5"/>
      <c r="AJ158" s="40"/>
      <c r="AK158" s="40"/>
      <c r="AL158" s="40"/>
      <c r="AM158" s="40"/>
      <c r="AN158" s="40"/>
      <c r="AP158" s="40"/>
      <c r="AR158" s="40"/>
    </row>
    <row r="159" spans="2:44" ht="12.75" customHeight="1" x14ac:dyDescent="0.15">
      <c r="B159" s="40"/>
      <c r="C159" s="40"/>
      <c r="D159" s="40"/>
      <c r="E159" s="185"/>
      <c r="F159" s="40"/>
      <c r="G159" s="40"/>
      <c r="H159" s="53"/>
      <c r="R159" s="40"/>
      <c r="S159" s="40"/>
      <c r="U159" s="40"/>
      <c r="V159" s="40"/>
      <c r="W159" s="40"/>
      <c r="Y159" s="40"/>
      <c r="Z159" s="40"/>
      <c r="AA159" s="41"/>
      <c r="AB159" s="41"/>
      <c r="AC159" s="41"/>
      <c r="AD159" s="41"/>
      <c r="AE159" s="41"/>
      <c r="AF159" s="40"/>
      <c r="AG159" s="40"/>
      <c r="AH159" s="5"/>
      <c r="AI159" s="5"/>
      <c r="AJ159" s="40"/>
      <c r="AK159" s="40"/>
      <c r="AL159" s="40"/>
      <c r="AM159" s="40"/>
      <c r="AN159" s="40"/>
      <c r="AP159" s="40"/>
      <c r="AR159" s="40"/>
    </row>
    <row r="160" spans="2:44" ht="12.75" customHeight="1" x14ac:dyDescent="0.15">
      <c r="B160" s="40"/>
      <c r="C160" s="40"/>
      <c r="D160" s="40"/>
      <c r="E160" s="185"/>
      <c r="F160" s="40"/>
      <c r="G160" s="40"/>
      <c r="H160" s="53"/>
      <c r="R160" s="40"/>
      <c r="S160" s="40"/>
      <c r="U160" s="40"/>
      <c r="V160" s="40"/>
      <c r="W160" s="40"/>
      <c r="Y160" s="40"/>
      <c r="Z160" s="40"/>
      <c r="AA160" s="41"/>
      <c r="AB160" s="41"/>
      <c r="AC160" s="41"/>
      <c r="AD160" s="41"/>
      <c r="AE160" s="41"/>
      <c r="AF160" s="40"/>
      <c r="AG160" s="40"/>
      <c r="AH160" s="5"/>
      <c r="AI160" s="5"/>
      <c r="AJ160" s="40"/>
      <c r="AK160" s="40"/>
      <c r="AL160" s="40"/>
      <c r="AM160" s="40"/>
      <c r="AN160" s="40"/>
      <c r="AP160" s="40"/>
      <c r="AR160" s="40"/>
    </row>
    <row r="161" spans="2:44" ht="12.75" customHeight="1" x14ac:dyDescent="0.15">
      <c r="B161" s="40"/>
      <c r="C161" s="40"/>
      <c r="D161" s="40"/>
      <c r="E161" s="185"/>
      <c r="F161" s="40"/>
      <c r="G161" s="40"/>
      <c r="H161" s="53"/>
      <c r="R161" s="40"/>
      <c r="S161" s="40"/>
      <c r="U161" s="40"/>
      <c r="V161" s="40"/>
      <c r="W161" s="40"/>
      <c r="Y161" s="40"/>
      <c r="Z161" s="40"/>
      <c r="AA161" s="41"/>
      <c r="AB161" s="41"/>
      <c r="AC161" s="41"/>
      <c r="AD161" s="41"/>
      <c r="AE161" s="41"/>
      <c r="AF161" s="40"/>
      <c r="AG161" s="40"/>
      <c r="AH161" s="5"/>
      <c r="AI161" s="5"/>
      <c r="AJ161" s="40"/>
      <c r="AK161" s="40"/>
      <c r="AL161" s="40"/>
      <c r="AM161" s="40"/>
      <c r="AN161" s="40"/>
      <c r="AP161" s="40"/>
      <c r="AR161" s="40"/>
    </row>
    <row r="162" spans="2:44" ht="12.75" customHeight="1" x14ac:dyDescent="0.15">
      <c r="B162" s="40"/>
      <c r="C162" s="40"/>
      <c r="D162" s="40"/>
      <c r="E162" s="185"/>
      <c r="F162" s="40"/>
      <c r="G162" s="40"/>
      <c r="H162" s="53"/>
      <c r="R162" s="40"/>
      <c r="S162" s="40"/>
      <c r="U162" s="40"/>
      <c r="V162" s="40"/>
      <c r="W162" s="40"/>
      <c r="Y162" s="40"/>
      <c r="Z162" s="40"/>
      <c r="AA162" s="41"/>
      <c r="AB162" s="41"/>
      <c r="AC162" s="41"/>
      <c r="AD162" s="41"/>
      <c r="AE162" s="41"/>
      <c r="AF162" s="40"/>
      <c r="AG162" s="40"/>
      <c r="AH162" s="5"/>
      <c r="AI162" s="5"/>
      <c r="AJ162" s="40"/>
      <c r="AK162" s="40"/>
      <c r="AL162" s="40"/>
      <c r="AM162" s="40"/>
      <c r="AN162" s="40"/>
      <c r="AP162" s="40"/>
      <c r="AR162" s="40"/>
    </row>
    <row r="163" spans="2:44" ht="12.75" customHeight="1" x14ac:dyDescent="0.15">
      <c r="B163" s="40"/>
      <c r="C163" s="40"/>
      <c r="D163" s="40"/>
      <c r="E163" s="185"/>
      <c r="F163" s="40"/>
      <c r="G163" s="40"/>
      <c r="H163" s="53"/>
      <c r="R163" s="40"/>
      <c r="S163" s="40"/>
      <c r="U163" s="40"/>
      <c r="V163" s="40"/>
      <c r="W163" s="40"/>
      <c r="Y163" s="40"/>
      <c r="Z163" s="40"/>
      <c r="AA163" s="41"/>
      <c r="AB163" s="41"/>
      <c r="AC163" s="41"/>
      <c r="AD163" s="41"/>
      <c r="AE163" s="41"/>
      <c r="AF163" s="40"/>
      <c r="AG163" s="40"/>
      <c r="AH163" s="5"/>
      <c r="AI163" s="5"/>
      <c r="AJ163" s="40"/>
      <c r="AK163" s="40"/>
      <c r="AL163" s="40"/>
      <c r="AM163" s="40"/>
      <c r="AN163" s="40"/>
      <c r="AP163" s="40"/>
      <c r="AR163" s="40"/>
    </row>
    <row r="164" spans="2:44" ht="12.75" customHeight="1" x14ac:dyDescent="0.15">
      <c r="B164" s="40"/>
      <c r="C164" s="40"/>
      <c r="D164" s="40"/>
      <c r="E164" s="185"/>
      <c r="F164" s="40"/>
      <c r="G164" s="40"/>
      <c r="H164" s="53"/>
      <c r="R164" s="40"/>
      <c r="S164" s="40"/>
      <c r="U164" s="40"/>
      <c r="V164" s="40"/>
      <c r="W164" s="40"/>
      <c r="Y164" s="40"/>
      <c r="Z164" s="40"/>
      <c r="AA164" s="41"/>
      <c r="AB164" s="41"/>
      <c r="AC164" s="41"/>
      <c r="AD164" s="41"/>
      <c r="AE164" s="41"/>
      <c r="AF164" s="40"/>
      <c r="AG164" s="40"/>
      <c r="AH164" s="5"/>
      <c r="AI164" s="5"/>
      <c r="AJ164" s="40"/>
      <c r="AK164" s="40"/>
      <c r="AL164" s="40"/>
      <c r="AM164" s="40"/>
      <c r="AN164" s="40"/>
      <c r="AP164" s="40"/>
      <c r="AR164" s="40"/>
    </row>
    <row r="165" spans="2:44" ht="12.75" customHeight="1" x14ac:dyDescent="0.15">
      <c r="B165" s="40"/>
      <c r="C165" s="40"/>
      <c r="D165" s="40"/>
      <c r="E165" s="185"/>
      <c r="F165" s="40"/>
      <c r="G165" s="40"/>
      <c r="H165" s="53"/>
      <c r="R165" s="40"/>
      <c r="S165" s="40"/>
      <c r="U165" s="40"/>
      <c r="V165" s="40"/>
      <c r="W165" s="40"/>
      <c r="Y165" s="40"/>
      <c r="Z165" s="40"/>
      <c r="AA165" s="41"/>
      <c r="AB165" s="41"/>
      <c r="AC165" s="41"/>
      <c r="AD165" s="41"/>
      <c r="AE165" s="41"/>
      <c r="AF165" s="40"/>
      <c r="AG165" s="40"/>
      <c r="AH165" s="5"/>
      <c r="AI165" s="5"/>
      <c r="AJ165" s="40"/>
      <c r="AK165" s="40"/>
      <c r="AL165" s="40"/>
      <c r="AM165" s="40"/>
      <c r="AN165" s="40"/>
      <c r="AP165" s="40"/>
      <c r="AR165" s="40"/>
    </row>
    <row r="166" spans="2:44" ht="12.75" customHeight="1" x14ac:dyDescent="0.15">
      <c r="B166" s="40"/>
      <c r="C166" s="40"/>
      <c r="D166" s="40"/>
      <c r="E166" s="185"/>
      <c r="F166" s="40"/>
      <c r="G166" s="40"/>
      <c r="H166" s="53"/>
      <c r="R166" s="40"/>
      <c r="S166" s="40"/>
      <c r="U166" s="40"/>
      <c r="V166" s="40"/>
      <c r="W166" s="40"/>
      <c r="Y166" s="40"/>
      <c r="Z166" s="40"/>
      <c r="AA166" s="41"/>
      <c r="AB166" s="41"/>
      <c r="AC166" s="41"/>
      <c r="AD166" s="41"/>
      <c r="AE166" s="41"/>
      <c r="AF166" s="40"/>
      <c r="AG166" s="40"/>
      <c r="AH166" s="5"/>
      <c r="AI166" s="5"/>
      <c r="AJ166" s="40"/>
      <c r="AK166" s="40"/>
      <c r="AL166" s="40"/>
      <c r="AM166" s="40"/>
      <c r="AN166" s="40"/>
      <c r="AP166" s="40"/>
      <c r="AR166" s="40"/>
    </row>
    <row r="167" spans="2:44" ht="12.75" customHeight="1" x14ac:dyDescent="0.15">
      <c r="B167" s="40"/>
      <c r="C167" s="40"/>
      <c r="D167" s="40"/>
      <c r="E167" s="185"/>
      <c r="F167" s="40"/>
      <c r="G167" s="40"/>
      <c r="H167" s="53"/>
      <c r="R167" s="40"/>
      <c r="S167" s="40"/>
      <c r="U167" s="40"/>
      <c r="V167" s="40"/>
      <c r="W167" s="40"/>
      <c r="Y167" s="40"/>
      <c r="Z167" s="40"/>
      <c r="AA167" s="41"/>
      <c r="AB167" s="41"/>
      <c r="AC167" s="41"/>
      <c r="AD167" s="41"/>
      <c r="AE167" s="41"/>
      <c r="AF167" s="40"/>
      <c r="AG167" s="40"/>
      <c r="AH167" s="5"/>
      <c r="AI167" s="5"/>
      <c r="AJ167" s="40"/>
      <c r="AK167" s="40"/>
      <c r="AL167" s="40"/>
      <c r="AM167" s="40"/>
      <c r="AN167" s="40"/>
      <c r="AP167" s="40"/>
      <c r="AR167" s="40"/>
    </row>
    <row r="168" spans="2:44" ht="12.75" customHeight="1" x14ac:dyDescent="0.15">
      <c r="B168" s="40"/>
      <c r="C168" s="40"/>
      <c r="D168" s="40"/>
      <c r="E168" s="185"/>
      <c r="F168" s="40"/>
      <c r="G168" s="40"/>
      <c r="H168" s="53"/>
      <c r="R168" s="40"/>
      <c r="S168" s="40"/>
      <c r="U168" s="40"/>
      <c r="V168" s="40"/>
      <c r="W168" s="40"/>
      <c r="Y168" s="40"/>
      <c r="Z168" s="40"/>
      <c r="AA168" s="41"/>
      <c r="AB168" s="41"/>
      <c r="AC168" s="41"/>
      <c r="AD168" s="41"/>
      <c r="AE168" s="41"/>
      <c r="AF168" s="40"/>
      <c r="AG168" s="40"/>
      <c r="AH168" s="5"/>
      <c r="AI168" s="5"/>
      <c r="AJ168" s="40"/>
      <c r="AK168" s="40"/>
      <c r="AL168" s="40"/>
      <c r="AM168" s="40"/>
      <c r="AN168" s="40"/>
      <c r="AP168" s="40"/>
      <c r="AR168" s="40"/>
    </row>
    <row r="169" spans="2:44" ht="12.75" customHeight="1" x14ac:dyDescent="0.15">
      <c r="B169" s="40"/>
      <c r="C169" s="40"/>
      <c r="D169" s="40"/>
      <c r="E169" s="185"/>
      <c r="F169" s="40"/>
      <c r="G169" s="40"/>
      <c r="H169" s="53"/>
      <c r="R169" s="40"/>
      <c r="S169" s="40"/>
      <c r="U169" s="40"/>
      <c r="V169" s="40"/>
      <c r="W169" s="40"/>
      <c r="Y169" s="40"/>
      <c r="Z169" s="40"/>
      <c r="AA169" s="41"/>
      <c r="AB169" s="41"/>
      <c r="AC169" s="41"/>
      <c r="AD169" s="41"/>
      <c r="AE169" s="41"/>
      <c r="AF169" s="40"/>
      <c r="AG169" s="40"/>
      <c r="AH169" s="5"/>
      <c r="AI169" s="5"/>
      <c r="AJ169" s="40"/>
      <c r="AK169" s="40"/>
      <c r="AL169" s="40"/>
      <c r="AM169" s="40"/>
      <c r="AN169" s="40"/>
      <c r="AP169" s="40"/>
      <c r="AR169" s="40"/>
    </row>
    <row r="170" spans="2:44" ht="12.75" customHeight="1" x14ac:dyDescent="0.15">
      <c r="B170" s="40"/>
      <c r="C170" s="40"/>
      <c r="D170" s="40"/>
      <c r="E170" s="185"/>
      <c r="F170" s="40"/>
      <c r="G170" s="40"/>
      <c r="H170" s="53"/>
      <c r="R170" s="40"/>
      <c r="S170" s="40"/>
      <c r="U170" s="40"/>
      <c r="V170" s="40"/>
      <c r="W170" s="40"/>
      <c r="Y170" s="40"/>
      <c r="Z170" s="40"/>
      <c r="AA170" s="41"/>
      <c r="AB170" s="41"/>
      <c r="AC170" s="41"/>
      <c r="AD170" s="41"/>
      <c r="AE170" s="41"/>
      <c r="AF170" s="40"/>
      <c r="AG170" s="40"/>
      <c r="AH170" s="5"/>
      <c r="AI170" s="5"/>
      <c r="AJ170" s="40"/>
      <c r="AK170" s="40"/>
      <c r="AL170" s="40"/>
      <c r="AM170" s="40"/>
      <c r="AN170" s="40"/>
      <c r="AP170" s="40"/>
      <c r="AR170" s="40"/>
    </row>
    <row r="171" spans="2:44" ht="12.75" customHeight="1" x14ac:dyDescent="0.15">
      <c r="B171" s="40"/>
      <c r="C171" s="40"/>
      <c r="D171" s="40"/>
      <c r="E171" s="185"/>
      <c r="F171" s="40"/>
      <c r="G171" s="40"/>
      <c r="H171" s="53"/>
      <c r="R171" s="40"/>
      <c r="S171" s="40"/>
      <c r="U171" s="40"/>
      <c r="V171" s="40"/>
      <c r="W171" s="40"/>
      <c r="Y171" s="40"/>
      <c r="Z171" s="40"/>
      <c r="AA171" s="41"/>
      <c r="AB171" s="41"/>
      <c r="AC171" s="41"/>
      <c r="AD171" s="41"/>
      <c r="AE171" s="41"/>
      <c r="AF171" s="40"/>
      <c r="AG171" s="40"/>
      <c r="AH171" s="5"/>
      <c r="AI171" s="5"/>
      <c r="AJ171" s="40"/>
      <c r="AK171" s="40"/>
      <c r="AL171" s="40"/>
      <c r="AM171" s="40"/>
      <c r="AN171" s="40"/>
      <c r="AP171" s="40"/>
      <c r="AR171" s="40"/>
    </row>
    <row r="172" spans="2:44" ht="12.75" customHeight="1" x14ac:dyDescent="0.15">
      <c r="B172" s="40"/>
      <c r="C172" s="40"/>
      <c r="D172" s="40"/>
      <c r="E172" s="185"/>
      <c r="F172" s="40"/>
      <c r="G172" s="40"/>
      <c r="H172" s="53"/>
      <c r="R172" s="40"/>
      <c r="S172" s="40"/>
      <c r="U172" s="40"/>
      <c r="V172" s="40"/>
      <c r="W172" s="40"/>
      <c r="Y172" s="40"/>
      <c r="Z172" s="40"/>
      <c r="AA172" s="41"/>
      <c r="AB172" s="41"/>
      <c r="AC172" s="41"/>
      <c r="AD172" s="41"/>
      <c r="AE172" s="41"/>
      <c r="AF172" s="40"/>
      <c r="AG172" s="40"/>
      <c r="AH172" s="5"/>
      <c r="AI172" s="5"/>
      <c r="AJ172" s="40"/>
      <c r="AK172" s="40"/>
      <c r="AL172" s="40"/>
      <c r="AM172" s="40"/>
      <c r="AN172" s="40"/>
      <c r="AP172" s="40"/>
      <c r="AR172" s="40"/>
    </row>
    <row r="173" spans="2:44" ht="12.75" customHeight="1" x14ac:dyDescent="0.15">
      <c r="B173" s="40"/>
      <c r="C173" s="40"/>
      <c r="D173" s="40"/>
      <c r="E173" s="185"/>
      <c r="F173" s="40"/>
      <c r="G173" s="40"/>
      <c r="H173" s="53"/>
      <c r="R173" s="40"/>
      <c r="S173" s="40"/>
      <c r="U173" s="40"/>
      <c r="V173" s="40"/>
      <c r="W173" s="40"/>
      <c r="Y173" s="40"/>
      <c r="Z173" s="40"/>
      <c r="AA173" s="41"/>
      <c r="AB173" s="41"/>
      <c r="AC173" s="41"/>
      <c r="AD173" s="41"/>
      <c r="AE173" s="41"/>
      <c r="AF173" s="40"/>
      <c r="AG173" s="40"/>
      <c r="AH173" s="5"/>
      <c r="AI173" s="5"/>
      <c r="AJ173" s="40"/>
      <c r="AK173" s="40"/>
      <c r="AL173" s="40"/>
      <c r="AM173" s="40"/>
      <c r="AN173" s="40"/>
      <c r="AP173" s="40"/>
      <c r="AR173" s="40"/>
    </row>
    <row r="174" spans="2:44" ht="12.75" customHeight="1" x14ac:dyDescent="0.15">
      <c r="B174" s="40"/>
      <c r="C174" s="40"/>
      <c r="D174" s="40"/>
      <c r="E174" s="185"/>
      <c r="F174" s="40"/>
      <c r="G174" s="40"/>
      <c r="H174" s="53"/>
      <c r="R174" s="40"/>
      <c r="S174" s="40"/>
      <c r="U174" s="40"/>
      <c r="V174" s="40"/>
      <c r="W174" s="40"/>
      <c r="Y174" s="40"/>
      <c r="Z174" s="40"/>
      <c r="AA174" s="41"/>
      <c r="AB174" s="41"/>
      <c r="AC174" s="41"/>
      <c r="AD174" s="41"/>
      <c r="AE174" s="41"/>
      <c r="AF174" s="40"/>
      <c r="AG174" s="40"/>
      <c r="AH174" s="5"/>
      <c r="AI174" s="5"/>
      <c r="AJ174" s="40"/>
      <c r="AK174" s="40"/>
      <c r="AL174" s="40"/>
      <c r="AM174" s="40"/>
      <c r="AN174" s="40"/>
      <c r="AP174" s="40"/>
      <c r="AR174" s="40"/>
    </row>
    <row r="175" spans="2:44" ht="12.75" customHeight="1" x14ac:dyDescent="0.15">
      <c r="B175" s="40"/>
      <c r="C175" s="40"/>
      <c r="D175" s="40"/>
      <c r="E175" s="185"/>
      <c r="F175" s="40"/>
      <c r="G175" s="40"/>
      <c r="H175" s="53"/>
      <c r="R175" s="40"/>
      <c r="S175" s="40"/>
      <c r="U175" s="40"/>
      <c r="V175" s="40"/>
      <c r="W175" s="40"/>
      <c r="Y175" s="40"/>
      <c r="Z175" s="40"/>
      <c r="AA175" s="41"/>
      <c r="AB175" s="41"/>
      <c r="AC175" s="41"/>
      <c r="AD175" s="41"/>
      <c r="AE175" s="41"/>
      <c r="AF175" s="40"/>
      <c r="AG175" s="40"/>
      <c r="AH175" s="5"/>
      <c r="AI175" s="5"/>
      <c r="AJ175" s="40"/>
      <c r="AK175" s="40"/>
      <c r="AL175" s="40"/>
      <c r="AM175" s="40"/>
      <c r="AN175" s="40"/>
      <c r="AP175" s="40"/>
      <c r="AR175" s="40"/>
    </row>
    <row r="176" spans="2:44" ht="12.75" customHeight="1" x14ac:dyDescent="0.15">
      <c r="B176" s="40"/>
      <c r="C176" s="40"/>
      <c r="D176" s="40"/>
      <c r="E176" s="185"/>
      <c r="F176" s="40"/>
      <c r="G176" s="40"/>
      <c r="H176" s="53"/>
      <c r="R176" s="40"/>
      <c r="S176" s="40"/>
      <c r="U176" s="40"/>
      <c r="V176" s="40"/>
      <c r="W176" s="40"/>
      <c r="Y176" s="40"/>
      <c r="Z176" s="40"/>
      <c r="AA176" s="41"/>
      <c r="AB176" s="41"/>
      <c r="AC176" s="41"/>
      <c r="AD176" s="41"/>
      <c r="AE176" s="41"/>
      <c r="AF176" s="40"/>
      <c r="AG176" s="40"/>
      <c r="AH176" s="5"/>
      <c r="AI176" s="5"/>
      <c r="AJ176" s="40"/>
      <c r="AK176" s="40"/>
      <c r="AL176" s="40"/>
      <c r="AM176" s="40"/>
      <c r="AN176" s="40"/>
      <c r="AP176" s="40"/>
      <c r="AR176" s="40"/>
    </row>
    <row r="177" spans="2:44" ht="12.75" customHeight="1" x14ac:dyDescent="0.15">
      <c r="B177" s="40"/>
      <c r="C177" s="40"/>
      <c r="D177" s="40"/>
      <c r="E177" s="185"/>
      <c r="F177" s="40"/>
      <c r="G177" s="40"/>
      <c r="H177" s="53"/>
      <c r="R177" s="40"/>
      <c r="S177" s="40"/>
      <c r="U177" s="40"/>
      <c r="V177" s="40"/>
      <c r="W177" s="40"/>
      <c r="Y177" s="40"/>
      <c r="Z177" s="40"/>
      <c r="AA177" s="41"/>
      <c r="AB177" s="41"/>
      <c r="AC177" s="41"/>
      <c r="AD177" s="41"/>
      <c r="AE177" s="41"/>
      <c r="AF177" s="40"/>
      <c r="AG177" s="40"/>
      <c r="AH177" s="5"/>
      <c r="AI177" s="5"/>
      <c r="AJ177" s="40"/>
      <c r="AK177" s="40"/>
      <c r="AL177" s="40"/>
      <c r="AM177" s="40"/>
      <c r="AN177" s="40"/>
      <c r="AP177" s="40"/>
      <c r="AR177" s="40"/>
    </row>
    <row r="178" spans="2:44" ht="12.75" customHeight="1" x14ac:dyDescent="0.15">
      <c r="B178" s="40"/>
      <c r="C178" s="40"/>
      <c r="D178" s="40"/>
      <c r="E178" s="185"/>
      <c r="F178" s="40"/>
      <c r="G178" s="40"/>
      <c r="H178" s="53"/>
      <c r="R178" s="40"/>
      <c r="S178" s="40"/>
      <c r="U178" s="40"/>
      <c r="V178" s="40"/>
      <c r="W178" s="40"/>
      <c r="Y178" s="40"/>
      <c r="Z178" s="40"/>
      <c r="AA178" s="41"/>
      <c r="AB178" s="41"/>
      <c r="AC178" s="41"/>
      <c r="AD178" s="41"/>
      <c r="AE178" s="41"/>
      <c r="AF178" s="40"/>
      <c r="AG178" s="40"/>
      <c r="AH178" s="5"/>
      <c r="AI178" s="5"/>
      <c r="AJ178" s="40"/>
      <c r="AK178" s="40"/>
      <c r="AL178" s="40"/>
      <c r="AM178" s="40"/>
      <c r="AN178" s="40"/>
      <c r="AP178" s="40"/>
      <c r="AR178" s="40"/>
    </row>
    <row r="179" spans="2:44" ht="12.75" customHeight="1" x14ac:dyDescent="0.15">
      <c r="B179" s="40"/>
      <c r="C179" s="40"/>
      <c r="D179" s="40"/>
      <c r="E179" s="185"/>
      <c r="F179" s="40"/>
      <c r="G179" s="40"/>
      <c r="H179" s="53"/>
      <c r="R179" s="40"/>
      <c r="S179" s="40"/>
      <c r="U179" s="40"/>
      <c r="V179" s="40"/>
      <c r="W179" s="40"/>
      <c r="Y179" s="40"/>
      <c r="Z179" s="40"/>
      <c r="AA179" s="41"/>
      <c r="AB179" s="41"/>
      <c r="AC179" s="41"/>
      <c r="AD179" s="41"/>
      <c r="AE179" s="41"/>
      <c r="AF179" s="40"/>
      <c r="AG179" s="40"/>
      <c r="AH179" s="5"/>
      <c r="AI179" s="5"/>
      <c r="AJ179" s="40"/>
      <c r="AK179" s="40"/>
      <c r="AL179" s="40"/>
      <c r="AM179" s="40"/>
      <c r="AN179" s="40"/>
      <c r="AP179" s="40"/>
      <c r="AR179" s="40"/>
    </row>
    <row r="180" spans="2:44" ht="12.75" customHeight="1" x14ac:dyDescent="0.15">
      <c r="B180" s="40"/>
      <c r="C180" s="40"/>
      <c r="D180" s="40"/>
      <c r="E180" s="185"/>
      <c r="F180" s="40"/>
      <c r="G180" s="40"/>
      <c r="H180" s="53"/>
      <c r="R180" s="40"/>
      <c r="S180" s="40"/>
      <c r="U180" s="40"/>
      <c r="V180" s="40"/>
      <c r="W180" s="40"/>
      <c r="Y180" s="40"/>
      <c r="Z180" s="40"/>
      <c r="AA180" s="41"/>
      <c r="AB180" s="41"/>
      <c r="AC180" s="41"/>
      <c r="AD180" s="41"/>
      <c r="AE180" s="41"/>
      <c r="AF180" s="40"/>
      <c r="AG180" s="40"/>
      <c r="AH180" s="5"/>
      <c r="AI180" s="5"/>
      <c r="AJ180" s="40"/>
      <c r="AK180" s="40"/>
      <c r="AL180" s="40"/>
      <c r="AM180" s="40"/>
      <c r="AN180" s="40"/>
      <c r="AP180" s="40"/>
      <c r="AR180" s="40"/>
    </row>
    <row r="181" spans="2:44" ht="12.75" customHeight="1" x14ac:dyDescent="0.15">
      <c r="B181" s="40"/>
      <c r="C181" s="40"/>
      <c r="D181" s="40"/>
      <c r="E181" s="185"/>
      <c r="F181" s="40"/>
      <c r="G181" s="40"/>
      <c r="H181" s="53"/>
      <c r="R181" s="40"/>
      <c r="S181" s="40"/>
      <c r="U181" s="40"/>
      <c r="V181" s="40"/>
      <c r="W181" s="40"/>
      <c r="Y181" s="40"/>
      <c r="Z181" s="40"/>
      <c r="AA181" s="41"/>
      <c r="AB181" s="41"/>
      <c r="AC181" s="41"/>
      <c r="AD181" s="41"/>
      <c r="AE181" s="41"/>
      <c r="AF181" s="40"/>
      <c r="AG181" s="40"/>
      <c r="AH181" s="5"/>
      <c r="AI181" s="5"/>
      <c r="AJ181" s="40"/>
      <c r="AK181" s="40"/>
      <c r="AL181" s="40"/>
      <c r="AM181" s="40"/>
      <c r="AN181" s="40"/>
      <c r="AP181" s="40"/>
      <c r="AR181" s="40"/>
    </row>
    <row r="182" spans="2:44" ht="12.75" customHeight="1" x14ac:dyDescent="0.15">
      <c r="B182" s="40"/>
      <c r="C182" s="40"/>
      <c r="D182" s="40"/>
      <c r="E182" s="185"/>
      <c r="F182" s="40"/>
      <c r="G182" s="40"/>
      <c r="H182" s="53"/>
      <c r="R182" s="40"/>
      <c r="S182" s="40"/>
      <c r="U182" s="40"/>
      <c r="V182" s="40"/>
      <c r="W182" s="40"/>
      <c r="Y182" s="40"/>
      <c r="Z182" s="40"/>
      <c r="AA182" s="41"/>
      <c r="AB182" s="41"/>
      <c r="AC182" s="41"/>
      <c r="AD182" s="41"/>
      <c r="AE182" s="41"/>
      <c r="AF182" s="40"/>
      <c r="AG182" s="40"/>
      <c r="AH182" s="5"/>
      <c r="AI182" s="5"/>
      <c r="AJ182" s="40"/>
      <c r="AK182" s="40"/>
      <c r="AL182" s="40"/>
      <c r="AM182" s="40"/>
      <c r="AN182" s="40"/>
      <c r="AP182" s="40"/>
      <c r="AR182" s="40"/>
    </row>
    <row r="183" spans="2:44" ht="12.75" customHeight="1" x14ac:dyDescent="0.15">
      <c r="B183" s="40"/>
      <c r="C183" s="40"/>
      <c r="D183" s="40"/>
      <c r="E183" s="185"/>
      <c r="F183" s="40"/>
      <c r="G183" s="40"/>
      <c r="H183" s="53"/>
      <c r="R183" s="40"/>
      <c r="S183" s="40"/>
      <c r="U183" s="40"/>
      <c r="V183" s="40"/>
      <c r="W183" s="40"/>
      <c r="Y183" s="40"/>
      <c r="Z183" s="40"/>
      <c r="AA183" s="41"/>
      <c r="AB183" s="41"/>
      <c r="AC183" s="41"/>
      <c r="AD183" s="41"/>
      <c r="AE183" s="41"/>
      <c r="AF183" s="40"/>
      <c r="AG183" s="40"/>
      <c r="AH183" s="5"/>
      <c r="AI183" s="5"/>
      <c r="AJ183" s="40"/>
      <c r="AK183" s="40"/>
      <c r="AL183" s="40"/>
      <c r="AM183" s="40"/>
      <c r="AN183" s="40"/>
      <c r="AP183" s="40"/>
      <c r="AR183" s="40"/>
    </row>
    <row r="184" spans="2:44" ht="12.75" customHeight="1" x14ac:dyDescent="0.15">
      <c r="B184" s="40"/>
      <c r="C184" s="40"/>
      <c r="D184" s="40"/>
      <c r="E184" s="185"/>
      <c r="F184" s="40"/>
      <c r="G184" s="40"/>
      <c r="H184" s="53"/>
      <c r="R184" s="40"/>
      <c r="S184" s="40"/>
      <c r="U184" s="40"/>
      <c r="V184" s="40"/>
      <c r="W184" s="40"/>
      <c r="Y184" s="40"/>
      <c r="Z184" s="40"/>
      <c r="AA184" s="41"/>
      <c r="AB184" s="41"/>
      <c r="AC184" s="41"/>
      <c r="AD184" s="41"/>
      <c r="AE184" s="41"/>
      <c r="AF184" s="40"/>
      <c r="AG184" s="40"/>
      <c r="AH184" s="5"/>
      <c r="AI184" s="5"/>
      <c r="AJ184" s="40"/>
      <c r="AK184" s="40"/>
      <c r="AL184" s="40"/>
      <c r="AM184" s="40"/>
      <c r="AN184" s="40"/>
      <c r="AP184" s="40"/>
      <c r="AR184" s="40"/>
    </row>
    <row r="185" spans="2:44" ht="12.75" customHeight="1" x14ac:dyDescent="0.15">
      <c r="B185" s="40"/>
      <c r="C185" s="40"/>
      <c r="D185" s="40"/>
      <c r="E185" s="185"/>
      <c r="F185" s="40"/>
      <c r="G185" s="40"/>
      <c r="H185" s="53"/>
      <c r="R185" s="40"/>
      <c r="S185" s="40"/>
      <c r="U185" s="40"/>
      <c r="V185" s="40"/>
      <c r="W185" s="40"/>
      <c r="Y185" s="40"/>
      <c r="Z185" s="40"/>
      <c r="AA185" s="41"/>
      <c r="AB185" s="41"/>
      <c r="AC185" s="41"/>
      <c r="AD185" s="41"/>
      <c r="AE185" s="41"/>
      <c r="AF185" s="40"/>
      <c r="AG185" s="40"/>
      <c r="AH185" s="5"/>
      <c r="AI185" s="5"/>
      <c r="AJ185" s="40"/>
      <c r="AK185" s="40"/>
      <c r="AL185" s="40"/>
      <c r="AM185" s="40"/>
      <c r="AN185" s="40"/>
      <c r="AP185" s="40"/>
      <c r="AR185" s="40"/>
    </row>
    <row r="186" spans="2:44" ht="12.75" customHeight="1" x14ac:dyDescent="0.15">
      <c r="B186" s="40"/>
      <c r="C186" s="40"/>
      <c r="D186" s="40"/>
      <c r="E186" s="185"/>
      <c r="F186" s="40"/>
      <c r="G186" s="40"/>
      <c r="H186" s="53"/>
      <c r="R186" s="40"/>
      <c r="S186" s="40"/>
      <c r="U186" s="40"/>
      <c r="V186" s="40"/>
      <c r="W186" s="40"/>
      <c r="Y186" s="40"/>
      <c r="Z186" s="40"/>
      <c r="AA186" s="41"/>
      <c r="AB186" s="41"/>
      <c r="AC186" s="41"/>
      <c r="AD186" s="41"/>
      <c r="AE186" s="41"/>
      <c r="AF186" s="40"/>
      <c r="AG186" s="40"/>
      <c r="AH186" s="5"/>
      <c r="AI186" s="5"/>
      <c r="AJ186" s="40"/>
      <c r="AK186" s="40"/>
      <c r="AL186" s="40"/>
      <c r="AM186" s="40"/>
      <c r="AN186" s="40"/>
      <c r="AP186" s="40"/>
      <c r="AR186" s="40"/>
    </row>
    <row r="187" spans="2:44" ht="12.75" customHeight="1" x14ac:dyDescent="0.15">
      <c r="B187" s="40"/>
      <c r="C187" s="40"/>
      <c r="D187" s="40"/>
      <c r="E187" s="185"/>
      <c r="F187" s="40"/>
      <c r="G187" s="40"/>
      <c r="H187" s="53"/>
      <c r="R187" s="40"/>
      <c r="S187" s="40"/>
      <c r="U187" s="40"/>
      <c r="V187" s="40"/>
      <c r="W187" s="40"/>
      <c r="Y187" s="40"/>
      <c r="Z187" s="40"/>
      <c r="AA187" s="41"/>
      <c r="AB187" s="41"/>
      <c r="AC187" s="41"/>
      <c r="AD187" s="41"/>
      <c r="AE187" s="41"/>
      <c r="AF187" s="40"/>
      <c r="AG187" s="40"/>
      <c r="AH187" s="5"/>
      <c r="AI187" s="5"/>
      <c r="AJ187" s="40"/>
      <c r="AK187" s="40"/>
      <c r="AL187" s="40"/>
      <c r="AM187" s="40"/>
      <c r="AN187" s="40"/>
      <c r="AP187" s="40"/>
      <c r="AR187" s="40"/>
    </row>
    <row r="188" spans="2:44" ht="12.75" customHeight="1" x14ac:dyDescent="0.15">
      <c r="B188" s="40"/>
      <c r="C188" s="40"/>
      <c r="D188" s="40"/>
      <c r="E188" s="185"/>
      <c r="F188" s="40"/>
      <c r="G188" s="40"/>
      <c r="H188" s="53"/>
      <c r="R188" s="40"/>
      <c r="S188" s="40"/>
      <c r="U188" s="40"/>
      <c r="V188" s="40"/>
      <c r="W188" s="40"/>
      <c r="Y188" s="40"/>
      <c r="Z188" s="40"/>
      <c r="AA188" s="41"/>
      <c r="AB188" s="41"/>
      <c r="AC188" s="41"/>
      <c r="AD188" s="41"/>
      <c r="AE188" s="41"/>
      <c r="AF188" s="40"/>
      <c r="AG188" s="40"/>
      <c r="AH188" s="5"/>
      <c r="AI188" s="5"/>
      <c r="AJ188" s="40"/>
      <c r="AK188" s="40"/>
      <c r="AL188" s="40"/>
      <c r="AM188" s="40"/>
      <c r="AN188" s="40"/>
      <c r="AP188" s="40"/>
      <c r="AR188" s="40"/>
    </row>
    <row r="189" spans="2:44" ht="12.75" customHeight="1" x14ac:dyDescent="0.15">
      <c r="B189" s="40"/>
      <c r="C189" s="40"/>
      <c r="D189" s="40"/>
      <c r="E189" s="185"/>
      <c r="F189" s="40"/>
      <c r="G189" s="40"/>
      <c r="H189" s="53"/>
      <c r="R189" s="40"/>
      <c r="S189" s="40"/>
      <c r="U189" s="40"/>
      <c r="V189" s="40"/>
      <c r="W189" s="40"/>
      <c r="Y189" s="40"/>
      <c r="Z189" s="40"/>
      <c r="AA189" s="41"/>
      <c r="AB189" s="41"/>
      <c r="AC189" s="41"/>
      <c r="AD189" s="41"/>
      <c r="AE189" s="41"/>
      <c r="AF189" s="40"/>
      <c r="AG189" s="40"/>
      <c r="AH189" s="5"/>
      <c r="AI189" s="5"/>
      <c r="AJ189" s="40"/>
      <c r="AK189" s="40"/>
      <c r="AL189" s="40"/>
      <c r="AM189" s="40"/>
      <c r="AN189" s="40"/>
      <c r="AP189" s="40"/>
      <c r="AR189" s="40"/>
    </row>
    <row r="190" spans="2:44" ht="12.75" customHeight="1" x14ac:dyDescent="0.15">
      <c r="B190" s="40"/>
      <c r="C190" s="40"/>
      <c r="D190" s="40"/>
      <c r="E190" s="185"/>
      <c r="F190" s="40"/>
      <c r="G190" s="40"/>
      <c r="H190" s="53"/>
      <c r="R190" s="40"/>
      <c r="S190" s="40"/>
      <c r="U190" s="40"/>
      <c r="V190" s="40"/>
      <c r="W190" s="40"/>
      <c r="Y190" s="40"/>
      <c r="Z190" s="40"/>
      <c r="AA190" s="41"/>
      <c r="AB190" s="41"/>
      <c r="AC190" s="41"/>
      <c r="AD190" s="41"/>
      <c r="AE190" s="41"/>
      <c r="AF190" s="40"/>
      <c r="AG190" s="40"/>
      <c r="AH190" s="5"/>
      <c r="AI190" s="5"/>
      <c r="AJ190" s="40"/>
      <c r="AK190" s="40"/>
      <c r="AL190" s="40"/>
      <c r="AM190" s="40"/>
      <c r="AN190" s="40"/>
      <c r="AP190" s="40"/>
      <c r="AR190" s="40"/>
    </row>
    <row r="191" spans="2:44" ht="12.75" customHeight="1" x14ac:dyDescent="0.15">
      <c r="B191" s="40"/>
      <c r="C191" s="40"/>
      <c r="D191" s="40"/>
      <c r="E191" s="185"/>
      <c r="F191" s="40"/>
      <c r="G191" s="40"/>
      <c r="H191" s="53"/>
      <c r="R191" s="40"/>
      <c r="S191" s="40"/>
      <c r="U191" s="40"/>
      <c r="V191" s="40"/>
      <c r="W191" s="40"/>
      <c r="Y191" s="40"/>
      <c r="Z191" s="40"/>
      <c r="AA191" s="41"/>
      <c r="AB191" s="41"/>
      <c r="AC191" s="41"/>
      <c r="AD191" s="41"/>
      <c r="AE191" s="41"/>
      <c r="AF191" s="40"/>
      <c r="AG191" s="40"/>
      <c r="AH191" s="5"/>
      <c r="AI191" s="5"/>
      <c r="AJ191" s="40"/>
      <c r="AK191" s="40"/>
      <c r="AL191" s="40"/>
      <c r="AM191" s="40"/>
      <c r="AN191" s="40"/>
      <c r="AP191" s="40"/>
      <c r="AR191" s="40"/>
    </row>
    <row r="192" spans="2:44" ht="12.75" customHeight="1" x14ac:dyDescent="0.15">
      <c r="B192" s="40"/>
      <c r="C192" s="40"/>
      <c r="D192" s="40"/>
      <c r="E192" s="185"/>
      <c r="F192" s="40"/>
      <c r="G192" s="40"/>
      <c r="H192" s="53"/>
      <c r="R192" s="40"/>
      <c r="S192" s="40"/>
      <c r="U192" s="40"/>
      <c r="V192" s="40"/>
      <c r="W192" s="40"/>
      <c r="Y192" s="40"/>
      <c r="Z192" s="40"/>
      <c r="AA192" s="41"/>
      <c r="AB192" s="41"/>
      <c r="AC192" s="41"/>
      <c r="AD192" s="41"/>
      <c r="AE192" s="41"/>
      <c r="AF192" s="40"/>
      <c r="AG192" s="40"/>
      <c r="AH192" s="5"/>
      <c r="AI192" s="5"/>
      <c r="AJ192" s="40"/>
      <c r="AK192" s="40"/>
      <c r="AL192" s="40"/>
      <c r="AM192" s="40"/>
      <c r="AN192" s="40"/>
      <c r="AP192" s="40"/>
      <c r="AR192" s="40"/>
    </row>
    <row r="193" spans="2:44" ht="12.75" customHeight="1" x14ac:dyDescent="0.15">
      <c r="B193" s="40"/>
      <c r="C193" s="40"/>
      <c r="D193" s="40"/>
      <c r="E193" s="185"/>
      <c r="F193" s="40"/>
      <c r="G193" s="40"/>
      <c r="H193" s="53"/>
      <c r="R193" s="40"/>
      <c r="S193" s="40"/>
      <c r="U193" s="40"/>
      <c r="V193" s="40"/>
      <c r="W193" s="40"/>
      <c r="Y193" s="40"/>
      <c r="Z193" s="40"/>
      <c r="AA193" s="41"/>
      <c r="AB193" s="41"/>
      <c r="AC193" s="41"/>
      <c r="AD193" s="41"/>
      <c r="AE193" s="41"/>
      <c r="AF193" s="40"/>
      <c r="AG193" s="40"/>
      <c r="AH193" s="5"/>
      <c r="AI193" s="5"/>
      <c r="AJ193" s="40"/>
      <c r="AK193" s="40"/>
      <c r="AL193" s="40"/>
      <c r="AM193" s="40"/>
      <c r="AN193" s="40"/>
      <c r="AP193" s="40"/>
      <c r="AR193" s="40"/>
    </row>
    <row r="194" spans="2:44" ht="12.75" customHeight="1" x14ac:dyDescent="0.15">
      <c r="B194" s="40"/>
      <c r="C194" s="40"/>
      <c r="D194" s="40"/>
      <c r="E194" s="185"/>
      <c r="F194" s="40"/>
      <c r="G194" s="40"/>
      <c r="H194" s="53"/>
      <c r="R194" s="40"/>
      <c r="S194" s="40"/>
      <c r="U194" s="40"/>
      <c r="V194" s="40"/>
      <c r="W194" s="40"/>
      <c r="Y194" s="40"/>
      <c r="Z194" s="40"/>
      <c r="AA194" s="41"/>
      <c r="AB194" s="41"/>
      <c r="AC194" s="41"/>
      <c r="AD194" s="41"/>
      <c r="AE194" s="41"/>
      <c r="AF194" s="40"/>
      <c r="AG194" s="40"/>
      <c r="AH194" s="5"/>
      <c r="AI194" s="5"/>
      <c r="AJ194" s="40"/>
      <c r="AK194" s="40"/>
      <c r="AL194" s="40"/>
      <c r="AM194" s="40"/>
      <c r="AN194" s="40"/>
      <c r="AP194" s="40"/>
      <c r="AR194" s="40"/>
    </row>
    <row r="195" spans="2:44" ht="12.75" customHeight="1" x14ac:dyDescent="0.15">
      <c r="B195" s="40"/>
      <c r="C195" s="40"/>
      <c r="D195" s="40"/>
      <c r="E195" s="185"/>
      <c r="F195" s="40"/>
      <c r="G195" s="40"/>
      <c r="H195" s="53"/>
      <c r="R195" s="40"/>
      <c r="S195" s="40"/>
      <c r="U195" s="40"/>
      <c r="V195" s="40"/>
      <c r="W195" s="40"/>
      <c r="Y195" s="40"/>
      <c r="Z195" s="40"/>
      <c r="AA195" s="41"/>
      <c r="AB195" s="41"/>
      <c r="AC195" s="41"/>
      <c r="AD195" s="41"/>
      <c r="AE195" s="41"/>
      <c r="AF195" s="40"/>
      <c r="AG195" s="40"/>
      <c r="AH195" s="5"/>
      <c r="AI195" s="5"/>
      <c r="AJ195" s="40"/>
      <c r="AK195" s="40"/>
      <c r="AL195" s="40"/>
      <c r="AM195" s="40"/>
      <c r="AN195" s="40"/>
      <c r="AP195" s="40"/>
      <c r="AR195" s="40"/>
    </row>
    <row r="196" spans="2:44" ht="12.75" customHeight="1" x14ac:dyDescent="0.15">
      <c r="B196" s="40"/>
      <c r="C196" s="40"/>
      <c r="D196" s="40"/>
      <c r="E196" s="185"/>
      <c r="F196" s="40"/>
      <c r="G196" s="40"/>
      <c r="H196" s="53"/>
      <c r="R196" s="40"/>
      <c r="S196" s="40"/>
      <c r="U196" s="40"/>
      <c r="V196" s="40"/>
      <c r="W196" s="40"/>
      <c r="Y196" s="40"/>
      <c r="Z196" s="40"/>
      <c r="AA196" s="41"/>
      <c r="AB196" s="41"/>
      <c r="AC196" s="41"/>
      <c r="AD196" s="41"/>
      <c r="AE196" s="41"/>
      <c r="AF196" s="40"/>
      <c r="AG196" s="40"/>
      <c r="AH196" s="5"/>
      <c r="AI196" s="5"/>
      <c r="AJ196" s="40"/>
      <c r="AK196" s="40"/>
      <c r="AL196" s="40"/>
      <c r="AM196" s="40"/>
      <c r="AN196" s="40"/>
      <c r="AP196" s="40"/>
      <c r="AR196" s="40"/>
    </row>
    <row r="197" spans="2:44" ht="12.75" customHeight="1" x14ac:dyDescent="0.15">
      <c r="B197" s="40"/>
      <c r="C197" s="40"/>
      <c r="D197" s="40"/>
      <c r="E197" s="185"/>
      <c r="F197" s="40"/>
      <c r="G197" s="40"/>
      <c r="H197" s="53"/>
      <c r="R197" s="40"/>
      <c r="S197" s="40"/>
      <c r="U197" s="40"/>
      <c r="V197" s="40"/>
      <c r="W197" s="40"/>
      <c r="Y197" s="40"/>
      <c r="Z197" s="40"/>
      <c r="AA197" s="41"/>
      <c r="AB197" s="41"/>
      <c r="AC197" s="41"/>
      <c r="AD197" s="41"/>
      <c r="AE197" s="41"/>
      <c r="AF197" s="40"/>
      <c r="AG197" s="40"/>
      <c r="AH197" s="5"/>
      <c r="AI197" s="5"/>
      <c r="AJ197" s="40"/>
      <c r="AK197" s="40"/>
      <c r="AL197" s="40"/>
      <c r="AM197" s="40"/>
      <c r="AN197" s="40"/>
      <c r="AP197" s="40"/>
      <c r="AR197" s="40"/>
    </row>
    <row r="198" spans="2:44" ht="12.75" customHeight="1" x14ac:dyDescent="0.15">
      <c r="B198" s="40"/>
      <c r="C198" s="40"/>
      <c r="D198" s="40"/>
      <c r="E198" s="185"/>
      <c r="F198" s="40"/>
      <c r="G198" s="40"/>
      <c r="H198" s="53"/>
      <c r="R198" s="40"/>
      <c r="S198" s="40"/>
      <c r="U198" s="40"/>
      <c r="V198" s="40"/>
      <c r="W198" s="40"/>
      <c r="Y198" s="40"/>
      <c r="Z198" s="40"/>
      <c r="AA198" s="41"/>
      <c r="AB198" s="41"/>
      <c r="AC198" s="41"/>
      <c r="AD198" s="41"/>
      <c r="AE198" s="41"/>
      <c r="AF198" s="40"/>
      <c r="AG198" s="40"/>
      <c r="AH198" s="5"/>
      <c r="AI198" s="5"/>
      <c r="AJ198" s="40"/>
      <c r="AK198" s="40"/>
      <c r="AL198" s="40"/>
      <c r="AM198" s="40"/>
      <c r="AN198" s="40"/>
      <c r="AP198" s="40"/>
      <c r="AR198" s="40"/>
    </row>
    <row r="199" spans="2:44" ht="12.75" customHeight="1" x14ac:dyDescent="0.15">
      <c r="B199" s="40"/>
      <c r="C199" s="40"/>
      <c r="D199" s="40"/>
      <c r="E199" s="185"/>
      <c r="F199" s="40"/>
      <c r="G199" s="40"/>
      <c r="H199" s="53"/>
      <c r="R199" s="40"/>
      <c r="S199" s="40"/>
      <c r="U199" s="40"/>
      <c r="V199" s="40"/>
      <c r="W199" s="40"/>
      <c r="Y199" s="40"/>
      <c r="Z199" s="40"/>
      <c r="AA199" s="41"/>
      <c r="AB199" s="41"/>
      <c r="AC199" s="41"/>
      <c r="AD199" s="41"/>
      <c r="AE199" s="41"/>
      <c r="AF199" s="40"/>
      <c r="AG199" s="40"/>
      <c r="AH199" s="5"/>
      <c r="AI199" s="5"/>
      <c r="AJ199" s="40"/>
      <c r="AK199" s="40"/>
      <c r="AL199" s="40"/>
      <c r="AM199" s="40"/>
      <c r="AN199" s="40"/>
      <c r="AP199" s="40"/>
      <c r="AR199" s="40"/>
    </row>
    <row r="200" spans="2:44" ht="12.75" customHeight="1" x14ac:dyDescent="0.15">
      <c r="B200" s="40"/>
      <c r="C200" s="40"/>
      <c r="D200" s="40"/>
      <c r="E200" s="185"/>
      <c r="F200" s="40"/>
      <c r="G200" s="40"/>
      <c r="H200" s="53"/>
      <c r="R200" s="40"/>
      <c r="S200" s="40"/>
      <c r="U200" s="40"/>
      <c r="V200" s="40"/>
      <c r="W200" s="40"/>
      <c r="Y200" s="40"/>
      <c r="Z200" s="40"/>
      <c r="AA200" s="41"/>
      <c r="AB200" s="41"/>
      <c r="AC200" s="41"/>
      <c r="AD200" s="41"/>
      <c r="AE200" s="41"/>
      <c r="AF200" s="40"/>
      <c r="AG200" s="40"/>
      <c r="AH200" s="5"/>
      <c r="AI200" s="5"/>
      <c r="AJ200" s="40"/>
      <c r="AK200" s="40"/>
      <c r="AL200" s="40"/>
      <c r="AM200" s="40"/>
      <c r="AN200" s="40"/>
      <c r="AP200" s="40"/>
      <c r="AR200" s="40"/>
    </row>
    <row r="201" spans="2:44" ht="12.75" customHeight="1" x14ac:dyDescent="0.15">
      <c r="B201" s="40"/>
      <c r="C201" s="40"/>
      <c r="D201" s="40"/>
      <c r="E201" s="185"/>
      <c r="F201" s="40"/>
      <c r="G201" s="40"/>
      <c r="H201" s="53"/>
      <c r="R201" s="40"/>
      <c r="S201" s="40"/>
      <c r="U201" s="40"/>
      <c r="V201" s="40"/>
      <c r="W201" s="40"/>
      <c r="Y201" s="40"/>
      <c r="Z201" s="40"/>
      <c r="AA201" s="41"/>
      <c r="AB201" s="41"/>
      <c r="AC201" s="41"/>
      <c r="AD201" s="41"/>
      <c r="AE201" s="41"/>
      <c r="AF201" s="40"/>
      <c r="AG201" s="40"/>
      <c r="AH201" s="5"/>
      <c r="AI201" s="5"/>
      <c r="AJ201" s="40"/>
      <c r="AK201" s="40"/>
      <c r="AL201" s="40"/>
      <c r="AM201" s="40"/>
      <c r="AN201" s="40"/>
      <c r="AP201" s="40"/>
      <c r="AR201" s="40"/>
    </row>
    <row r="202" spans="2:44" ht="12.75" customHeight="1" x14ac:dyDescent="0.15">
      <c r="B202" s="40"/>
      <c r="C202" s="40"/>
      <c r="D202" s="40"/>
      <c r="E202" s="185"/>
      <c r="F202" s="40"/>
      <c r="G202" s="40"/>
      <c r="H202" s="53"/>
      <c r="R202" s="40"/>
      <c r="S202" s="40"/>
      <c r="U202" s="40"/>
      <c r="V202" s="40"/>
      <c r="W202" s="40"/>
      <c r="Y202" s="40"/>
      <c r="Z202" s="40"/>
      <c r="AA202" s="41"/>
      <c r="AB202" s="41"/>
      <c r="AC202" s="41"/>
      <c r="AD202" s="41"/>
      <c r="AE202" s="41"/>
      <c r="AF202" s="40"/>
      <c r="AG202" s="40"/>
      <c r="AH202" s="5"/>
      <c r="AI202" s="5"/>
      <c r="AJ202" s="40"/>
      <c r="AK202" s="40"/>
      <c r="AL202" s="40"/>
      <c r="AM202" s="40"/>
      <c r="AN202" s="40"/>
      <c r="AP202" s="40"/>
      <c r="AR202" s="40"/>
    </row>
    <row r="203" spans="2:44" ht="12.75" customHeight="1" x14ac:dyDescent="0.15">
      <c r="B203" s="40"/>
      <c r="C203" s="40"/>
      <c r="D203" s="40"/>
      <c r="E203" s="185"/>
      <c r="F203" s="40"/>
      <c r="G203" s="40"/>
      <c r="H203" s="53"/>
      <c r="R203" s="40"/>
      <c r="S203" s="40"/>
      <c r="U203" s="40"/>
      <c r="V203" s="40"/>
      <c r="W203" s="40"/>
      <c r="Y203" s="40"/>
      <c r="Z203" s="40"/>
      <c r="AA203" s="41"/>
      <c r="AB203" s="41"/>
      <c r="AC203" s="41"/>
      <c r="AD203" s="41"/>
      <c r="AE203" s="41"/>
      <c r="AF203" s="40"/>
      <c r="AG203" s="40"/>
      <c r="AH203" s="5"/>
      <c r="AI203" s="5"/>
      <c r="AJ203" s="40"/>
      <c r="AK203" s="40"/>
      <c r="AL203" s="40"/>
      <c r="AM203" s="40"/>
      <c r="AN203" s="40"/>
      <c r="AP203" s="40"/>
      <c r="AR203" s="40"/>
    </row>
    <row r="204" spans="2:44" ht="12.75" customHeight="1" x14ac:dyDescent="0.15">
      <c r="B204" s="40"/>
      <c r="C204" s="40"/>
      <c r="D204" s="40"/>
      <c r="E204" s="185"/>
      <c r="F204" s="40"/>
      <c r="G204" s="40"/>
      <c r="H204" s="53"/>
      <c r="R204" s="40"/>
      <c r="S204" s="40"/>
      <c r="U204" s="40"/>
      <c r="V204" s="40"/>
      <c r="W204" s="40"/>
      <c r="Y204" s="40"/>
      <c r="Z204" s="40"/>
      <c r="AA204" s="41"/>
      <c r="AB204" s="41"/>
      <c r="AC204" s="41"/>
      <c r="AD204" s="41"/>
      <c r="AE204" s="41"/>
      <c r="AF204" s="40"/>
      <c r="AG204" s="40"/>
      <c r="AH204" s="5"/>
      <c r="AI204" s="5"/>
      <c r="AJ204" s="40"/>
      <c r="AK204" s="40"/>
      <c r="AL204" s="40"/>
      <c r="AM204" s="40"/>
      <c r="AN204" s="40"/>
      <c r="AP204" s="40"/>
      <c r="AR204" s="40"/>
    </row>
    <row r="205" spans="2:44" ht="12.75" customHeight="1" x14ac:dyDescent="0.15">
      <c r="B205" s="40"/>
      <c r="C205" s="40"/>
      <c r="D205" s="40"/>
      <c r="E205" s="185"/>
      <c r="F205" s="40"/>
      <c r="G205" s="40"/>
      <c r="H205" s="53"/>
      <c r="R205" s="40"/>
      <c r="S205" s="40"/>
      <c r="U205" s="40"/>
      <c r="V205" s="40"/>
      <c r="W205" s="40"/>
      <c r="Y205" s="40"/>
      <c r="Z205" s="40"/>
      <c r="AA205" s="41"/>
      <c r="AB205" s="41"/>
      <c r="AC205" s="41"/>
      <c r="AD205" s="41"/>
      <c r="AE205" s="41"/>
      <c r="AF205" s="40"/>
      <c r="AG205" s="40"/>
      <c r="AH205" s="5"/>
      <c r="AI205" s="5"/>
      <c r="AJ205" s="40"/>
      <c r="AK205" s="40"/>
      <c r="AL205" s="40"/>
      <c r="AM205" s="40"/>
      <c r="AN205" s="40"/>
      <c r="AP205" s="40"/>
      <c r="AR205" s="40"/>
    </row>
    <row r="206" spans="2:44" ht="12.75" customHeight="1" x14ac:dyDescent="0.15">
      <c r="B206" s="40"/>
      <c r="C206" s="40"/>
      <c r="D206" s="40"/>
      <c r="E206" s="185"/>
      <c r="F206" s="40"/>
      <c r="G206" s="40"/>
      <c r="H206" s="53"/>
      <c r="R206" s="40"/>
      <c r="S206" s="40"/>
      <c r="U206" s="40"/>
      <c r="V206" s="40"/>
      <c r="W206" s="40"/>
      <c r="Y206" s="40"/>
      <c r="Z206" s="40"/>
      <c r="AA206" s="41"/>
      <c r="AB206" s="41"/>
      <c r="AC206" s="41"/>
      <c r="AD206" s="41"/>
      <c r="AE206" s="41"/>
      <c r="AF206" s="40"/>
      <c r="AG206" s="40"/>
      <c r="AH206" s="5"/>
      <c r="AI206" s="5"/>
      <c r="AJ206" s="40"/>
      <c r="AK206" s="40"/>
      <c r="AL206" s="40"/>
      <c r="AM206" s="40"/>
      <c r="AN206" s="40"/>
      <c r="AP206" s="40"/>
      <c r="AR206" s="40"/>
    </row>
    <row r="207" spans="2:44" ht="12.75" customHeight="1" x14ac:dyDescent="0.15">
      <c r="B207" s="40"/>
      <c r="C207" s="40"/>
      <c r="D207" s="40"/>
      <c r="E207" s="185"/>
      <c r="F207" s="40"/>
      <c r="G207" s="40"/>
      <c r="H207" s="53"/>
      <c r="R207" s="40"/>
      <c r="S207" s="40"/>
      <c r="U207" s="40"/>
      <c r="V207" s="40"/>
      <c r="W207" s="40"/>
      <c r="Y207" s="40"/>
      <c r="Z207" s="40"/>
      <c r="AA207" s="41"/>
      <c r="AB207" s="41"/>
      <c r="AC207" s="41"/>
      <c r="AD207" s="41"/>
      <c r="AE207" s="41"/>
      <c r="AF207" s="40"/>
      <c r="AG207" s="40"/>
      <c r="AH207" s="5"/>
      <c r="AI207" s="5"/>
      <c r="AJ207" s="40"/>
      <c r="AK207" s="40"/>
      <c r="AL207" s="40"/>
      <c r="AM207" s="40"/>
      <c r="AN207" s="40"/>
      <c r="AP207" s="40"/>
      <c r="AR207" s="40"/>
    </row>
    <row r="208" spans="2:44" ht="12.75" customHeight="1" x14ac:dyDescent="0.15">
      <c r="B208" s="40"/>
      <c r="C208" s="40"/>
      <c r="D208" s="40"/>
      <c r="E208" s="185"/>
      <c r="F208" s="40"/>
      <c r="G208" s="40"/>
      <c r="H208" s="53"/>
      <c r="R208" s="40"/>
      <c r="S208" s="40"/>
      <c r="U208" s="40"/>
      <c r="V208" s="40"/>
      <c r="W208" s="40"/>
      <c r="Y208" s="40"/>
      <c r="Z208" s="40"/>
      <c r="AA208" s="41"/>
      <c r="AB208" s="41"/>
      <c r="AC208" s="41"/>
      <c r="AD208" s="41"/>
      <c r="AE208" s="41"/>
      <c r="AF208" s="40"/>
      <c r="AG208" s="40"/>
      <c r="AH208" s="5"/>
      <c r="AI208" s="5"/>
      <c r="AJ208" s="40"/>
      <c r="AK208" s="40"/>
      <c r="AL208" s="40"/>
      <c r="AM208" s="40"/>
      <c r="AN208" s="40"/>
      <c r="AP208" s="40"/>
      <c r="AR208" s="40"/>
    </row>
    <row r="209" spans="2:44" ht="12.75" customHeight="1" x14ac:dyDescent="0.15">
      <c r="B209" s="40"/>
      <c r="C209" s="40"/>
      <c r="D209" s="40"/>
      <c r="E209" s="185"/>
      <c r="F209" s="40"/>
      <c r="G209" s="40"/>
      <c r="H209" s="53"/>
      <c r="R209" s="40"/>
      <c r="S209" s="40"/>
      <c r="U209" s="40"/>
      <c r="V209" s="40"/>
      <c r="W209" s="40"/>
      <c r="Y209" s="40"/>
      <c r="Z209" s="40"/>
      <c r="AA209" s="41"/>
      <c r="AB209" s="41"/>
      <c r="AC209" s="41"/>
      <c r="AD209" s="41"/>
      <c r="AE209" s="41"/>
      <c r="AF209" s="40"/>
      <c r="AG209" s="40"/>
      <c r="AH209" s="5"/>
      <c r="AI209" s="5"/>
      <c r="AJ209" s="40"/>
      <c r="AK209" s="40"/>
      <c r="AL209" s="40"/>
      <c r="AM209" s="40"/>
      <c r="AN209" s="40"/>
      <c r="AP209" s="40"/>
      <c r="AR209" s="40"/>
    </row>
    <row r="210" spans="2:44" ht="12.75" customHeight="1" x14ac:dyDescent="0.15">
      <c r="B210" s="40"/>
      <c r="C210" s="40"/>
      <c r="D210" s="40"/>
      <c r="E210" s="185"/>
      <c r="F210" s="40"/>
      <c r="G210" s="40"/>
      <c r="H210" s="53"/>
      <c r="R210" s="40"/>
      <c r="S210" s="40"/>
      <c r="U210" s="40"/>
      <c r="V210" s="40"/>
      <c r="W210" s="40"/>
      <c r="Y210" s="40"/>
      <c r="Z210" s="40"/>
      <c r="AA210" s="41"/>
      <c r="AB210" s="41"/>
      <c r="AC210" s="41"/>
      <c r="AD210" s="41"/>
      <c r="AE210" s="41"/>
      <c r="AF210" s="40"/>
      <c r="AG210" s="40"/>
      <c r="AH210" s="5"/>
      <c r="AI210" s="5"/>
      <c r="AJ210" s="40"/>
      <c r="AK210" s="40"/>
      <c r="AL210" s="40"/>
      <c r="AM210" s="40"/>
      <c r="AN210" s="40"/>
      <c r="AP210" s="40"/>
      <c r="AR210" s="40"/>
    </row>
    <row r="211" spans="2:44" ht="12.75" customHeight="1" x14ac:dyDescent="0.15">
      <c r="B211" s="40"/>
      <c r="C211" s="40"/>
      <c r="D211" s="40"/>
      <c r="E211" s="185"/>
      <c r="F211" s="40"/>
      <c r="G211" s="40"/>
      <c r="H211" s="53"/>
      <c r="R211" s="40"/>
      <c r="S211" s="40"/>
      <c r="U211" s="40"/>
      <c r="V211" s="40"/>
      <c r="W211" s="40"/>
      <c r="Y211" s="40"/>
      <c r="Z211" s="40"/>
      <c r="AA211" s="41"/>
      <c r="AB211" s="41"/>
      <c r="AC211" s="41"/>
      <c r="AD211" s="41"/>
      <c r="AE211" s="41"/>
      <c r="AF211" s="40"/>
      <c r="AG211" s="40"/>
      <c r="AH211" s="5"/>
      <c r="AI211" s="5"/>
      <c r="AJ211" s="40"/>
      <c r="AK211" s="40"/>
      <c r="AL211" s="40"/>
      <c r="AM211" s="40"/>
      <c r="AN211" s="40"/>
      <c r="AP211" s="40"/>
      <c r="AR211" s="40"/>
    </row>
    <row r="212" spans="2:44" ht="12.75" customHeight="1" x14ac:dyDescent="0.15">
      <c r="B212" s="40"/>
      <c r="C212" s="40"/>
      <c r="D212" s="40"/>
      <c r="E212" s="185"/>
      <c r="F212" s="40"/>
      <c r="G212" s="40"/>
      <c r="H212" s="53"/>
      <c r="R212" s="40"/>
      <c r="S212" s="40"/>
      <c r="U212" s="40"/>
      <c r="V212" s="40"/>
      <c r="W212" s="40"/>
      <c r="Y212" s="40"/>
      <c r="Z212" s="40"/>
      <c r="AA212" s="41"/>
      <c r="AB212" s="41"/>
      <c r="AC212" s="41"/>
      <c r="AD212" s="41"/>
      <c r="AE212" s="41"/>
      <c r="AF212" s="40"/>
      <c r="AG212" s="40"/>
      <c r="AH212" s="5"/>
      <c r="AI212" s="5"/>
      <c r="AJ212" s="40"/>
      <c r="AK212" s="40"/>
      <c r="AL212" s="40"/>
      <c r="AM212" s="40"/>
      <c r="AN212" s="40"/>
      <c r="AP212" s="40"/>
      <c r="AR212" s="40"/>
    </row>
    <row r="213" spans="2:44" ht="12.75" customHeight="1" x14ac:dyDescent="0.15">
      <c r="B213" s="40"/>
      <c r="C213" s="40"/>
      <c r="D213" s="40"/>
      <c r="E213" s="185"/>
      <c r="F213" s="40"/>
      <c r="G213" s="40"/>
      <c r="H213" s="53"/>
      <c r="R213" s="40"/>
      <c r="S213" s="40"/>
      <c r="U213" s="40"/>
      <c r="V213" s="40"/>
      <c r="W213" s="40"/>
      <c r="Y213" s="40"/>
      <c r="Z213" s="40"/>
      <c r="AA213" s="41"/>
      <c r="AB213" s="41"/>
      <c r="AC213" s="41"/>
      <c r="AD213" s="41"/>
      <c r="AE213" s="41"/>
      <c r="AF213" s="40"/>
      <c r="AG213" s="40"/>
      <c r="AH213" s="5"/>
      <c r="AI213" s="5"/>
      <c r="AJ213" s="40"/>
      <c r="AK213" s="40"/>
      <c r="AL213" s="40"/>
      <c r="AM213" s="40"/>
      <c r="AN213" s="40"/>
      <c r="AP213" s="40"/>
      <c r="AR213" s="40"/>
    </row>
    <row r="214" spans="2:44" ht="12.75" customHeight="1" x14ac:dyDescent="0.15">
      <c r="B214" s="40"/>
      <c r="C214" s="40"/>
      <c r="D214" s="40"/>
      <c r="E214" s="185"/>
      <c r="F214" s="40"/>
      <c r="G214" s="40"/>
      <c r="H214" s="53"/>
      <c r="R214" s="40"/>
      <c r="S214" s="40"/>
      <c r="U214" s="40"/>
      <c r="V214" s="40"/>
      <c r="W214" s="40"/>
      <c r="Y214" s="40"/>
      <c r="Z214" s="40"/>
      <c r="AA214" s="41"/>
      <c r="AB214" s="41"/>
      <c r="AC214" s="41"/>
      <c r="AD214" s="41"/>
      <c r="AE214" s="41"/>
      <c r="AF214" s="40"/>
      <c r="AG214" s="40"/>
      <c r="AH214" s="5"/>
      <c r="AI214" s="5"/>
      <c r="AJ214" s="40"/>
      <c r="AK214" s="40"/>
      <c r="AL214" s="40"/>
      <c r="AM214" s="40"/>
      <c r="AN214" s="40"/>
      <c r="AP214" s="40"/>
      <c r="AR214" s="40"/>
    </row>
    <row r="215" spans="2:44" ht="12.75" customHeight="1" x14ac:dyDescent="0.15">
      <c r="B215" s="40"/>
      <c r="C215" s="40"/>
      <c r="D215" s="40"/>
      <c r="E215" s="185"/>
      <c r="F215" s="40"/>
      <c r="G215" s="40"/>
      <c r="H215" s="53"/>
      <c r="R215" s="40"/>
      <c r="S215" s="40"/>
      <c r="U215" s="40"/>
      <c r="V215" s="40"/>
      <c r="W215" s="40"/>
      <c r="Y215" s="40"/>
      <c r="Z215" s="40"/>
      <c r="AA215" s="41"/>
      <c r="AB215" s="41"/>
      <c r="AC215" s="41"/>
      <c r="AD215" s="41"/>
      <c r="AE215" s="41"/>
      <c r="AF215" s="40"/>
      <c r="AG215" s="40"/>
      <c r="AH215" s="5"/>
      <c r="AI215" s="5"/>
      <c r="AJ215" s="40"/>
      <c r="AK215" s="40"/>
      <c r="AL215" s="40"/>
      <c r="AM215" s="40"/>
      <c r="AN215" s="40"/>
      <c r="AP215" s="40"/>
      <c r="AR215" s="40"/>
    </row>
    <row r="216" spans="2:44" ht="12.75" customHeight="1" x14ac:dyDescent="0.15">
      <c r="B216" s="40"/>
      <c r="C216" s="40"/>
      <c r="D216" s="40"/>
      <c r="E216" s="185"/>
      <c r="F216" s="40"/>
      <c r="G216" s="40"/>
      <c r="H216" s="53"/>
      <c r="R216" s="40"/>
      <c r="S216" s="40"/>
      <c r="U216" s="40"/>
      <c r="V216" s="40"/>
      <c r="W216" s="40"/>
      <c r="Y216" s="40"/>
      <c r="Z216" s="40"/>
      <c r="AA216" s="41"/>
      <c r="AB216" s="41"/>
      <c r="AC216" s="41"/>
      <c r="AD216" s="41"/>
      <c r="AE216" s="41"/>
      <c r="AF216" s="40"/>
      <c r="AG216" s="40"/>
      <c r="AH216" s="5"/>
      <c r="AI216" s="5"/>
      <c r="AJ216" s="40"/>
      <c r="AK216" s="40"/>
      <c r="AL216" s="40"/>
      <c r="AM216" s="40"/>
      <c r="AN216" s="40"/>
      <c r="AP216" s="40"/>
      <c r="AR216" s="40"/>
    </row>
    <row r="217" spans="2:44" ht="12.75" customHeight="1" x14ac:dyDescent="0.15">
      <c r="B217" s="40"/>
      <c r="C217" s="40"/>
      <c r="D217" s="40"/>
      <c r="E217" s="185"/>
      <c r="F217" s="40"/>
      <c r="G217" s="40"/>
      <c r="H217" s="53"/>
      <c r="R217" s="40"/>
      <c r="S217" s="40"/>
      <c r="U217" s="40"/>
      <c r="V217" s="40"/>
      <c r="W217" s="40"/>
      <c r="Y217" s="40"/>
      <c r="Z217" s="40"/>
      <c r="AA217" s="41"/>
      <c r="AB217" s="41"/>
      <c r="AC217" s="41"/>
      <c r="AD217" s="41"/>
      <c r="AE217" s="41"/>
      <c r="AF217" s="40"/>
      <c r="AG217" s="40"/>
      <c r="AH217" s="5"/>
      <c r="AI217" s="5"/>
      <c r="AJ217" s="40"/>
      <c r="AK217" s="40"/>
      <c r="AL217" s="40"/>
      <c r="AM217" s="40"/>
      <c r="AN217" s="40"/>
      <c r="AP217" s="40"/>
      <c r="AR217" s="40"/>
    </row>
    <row r="218" spans="2:44" ht="12.75" customHeight="1" x14ac:dyDescent="0.15">
      <c r="B218" s="40"/>
      <c r="C218" s="40"/>
      <c r="D218" s="40"/>
      <c r="E218" s="185"/>
      <c r="F218" s="40"/>
      <c r="G218" s="40"/>
      <c r="H218" s="53"/>
      <c r="R218" s="40"/>
      <c r="S218" s="40"/>
      <c r="U218" s="40"/>
      <c r="V218" s="40"/>
      <c r="W218" s="40"/>
      <c r="Y218" s="40"/>
      <c r="Z218" s="40"/>
      <c r="AA218" s="41"/>
      <c r="AB218" s="41"/>
      <c r="AC218" s="41"/>
      <c r="AD218" s="41"/>
      <c r="AE218" s="41"/>
      <c r="AF218" s="40"/>
      <c r="AG218" s="40"/>
      <c r="AH218" s="5"/>
      <c r="AI218" s="5"/>
      <c r="AJ218" s="40"/>
      <c r="AK218" s="40"/>
      <c r="AL218" s="40"/>
      <c r="AM218" s="40"/>
      <c r="AN218" s="40"/>
      <c r="AP218" s="40"/>
      <c r="AR218" s="40"/>
    </row>
    <row r="219" spans="2:44" ht="12.75" customHeight="1" x14ac:dyDescent="0.15">
      <c r="B219" s="40"/>
      <c r="C219" s="40"/>
      <c r="D219" s="40"/>
      <c r="E219" s="185"/>
      <c r="F219" s="40"/>
      <c r="G219" s="40"/>
      <c r="H219" s="53"/>
      <c r="R219" s="40"/>
      <c r="S219" s="40"/>
      <c r="U219" s="40"/>
      <c r="V219" s="40"/>
      <c r="W219" s="40"/>
      <c r="Y219" s="40"/>
      <c r="Z219" s="40"/>
      <c r="AA219" s="41"/>
      <c r="AB219" s="41"/>
      <c r="AC219" s="41"/>
      <c r="AD219" s="41"/>
      <c r="AE219" s="41"/>
      <c r="AF219" s="40"/>
      <c r="AG219" s="40"/>
      <c r="AH219" s="5"/>
      <c r="AI219" s="5"/>
      <c r="AJ219" s="40"/>
      <c r="AK219" s="40"/>
      <c r="AL219" s="40"/>
      <c r="AM219" s="40"/>
      <c r="AN219" s="40"/>
      <c r="AP219" s="40"/>
      <c r="AR219" s="40"/>
    </row>
    <row r="220" spans="2:44" ht="12.75" customHeight="1" x14ac:dyDescent="0.15">
      <c r="B220" s="40"/>
      <c r="C220" s="40"/>
      <c r="D220" s="40"/>
      <c r="E220" s="185"/>
      <c r="F220" s="40"/>
      <c r="G220" s="40"/>
      <c r="H220" s="53"/>
      <c r="R220" s="40"/>
      <c r="S220" s="40"/>
      <c r="U220" s="40"/>
      <c r="V220" s="40"/>
      <c r="W220" s="40"/>
      <c r="Y220" s="40"/>
      <c r="Z220" s="40"/>
      <c r="AA220" s="41"/>
      <c r="AB220" s="41"/>
      <c r="AC220" s="41"/>
      <c r="AD220" s="41"/>
      <c r="AE220" s="41"/>
      <c r="AF220" s="40"/>
      <c r="AG220" s="40"/>
      <c r="AH220" s="5"/>
      <c r="AI220" s="5"/>
      <c r="AJ220" s="40"/>
      <c r="AK220" s="40"/>
      <c r="AL220" s="40"/>
      <c r="AM220" s="40"/>
      <c r="AN220" s="40"/>
      <c r="AP220" s="40"/>
      <c r="AR220" s="40"/>
    </row>
    <row r="221" spans="2:44" ht="12.75" customHeight="1" x14ac:dyDescent="0.15">
      <c r="B221" s="40"/>
      <c r="C221" s="40"/>
      <c r="D221" s="40"/>
      <c r="E221" s="185"/>
      <c r="F221" s="40"/>
      <c r="G221" s="40"/>
      <c r="H221" s="53"/>
      <c r="R221" s="40"/>
      <c r="S221" s="40"/>
      <c r="U221" s="40"/>
      <c r="V221" s="40"/>
      <c r="W221" s="40"/>
      <c r="Y221" s="40"/>
      <c r="Z221" s="40"/>
      <c r="AA221" s="41"/>
      <c r="AB221" s="41"/>
      <c r="AC221" s="41"/>
      <c r="AD221" s="41"/>
      <c r="AE221" s="41"/>
      <c r="AF221" s="40"/>
      <c r="AG221" s="40"/>
      <c r="AH221" s="5"/>
      <c r="AI221" s="5"/>
      <c r="AJ221" s="40"/>
      <c r="AK221" s="40"/>
      <c r="AL221" s="40"/>
      <c r="AM221" s="40"/>
      <c r="AN221" s="40"/>
      <c r="AP221" s="40"/>
      <c r="AR221" s="40"/>
    </row>
    <row r="222" spans="2:44" ht="12.75" customHeight="1" x14ac:dyDescent="0.15">
      <c r="B222" s="40"/>
      <c r="C222" s="40"/>
      <c r="D222" s="40"/>
      <c r="E222" s="185"/>
      <c r="F222" s="40"/>
      <c r="G222" s="40"/>
      <c r="H222" s="53"/>
      <c r="R222" s="40"/>
      <c r="S222" s="40"/>
      <c r="U222" s="40"/>
      <c r="V222" s="40"/>
      <c r="W222" s="40"/>
      <c r="Y222" s="40"/>
      <c r="Z222" s="40"/>
      <c r="AA222" s="41"/>
      <c r="AB222" s="41"/>
      <c r="AC222" s="41"/>
      <c r="AD222" s="41"/>
      <c r="AE222" s="41"/>
      <c r="AF222" s="40"/>
      <c r="AG222" s="40"/>
      <c r="AH222" s="5"/>
      <c r="AI222" s="5"/>
      <c r="AJ222" s="40"/>
      <c r="AK222" s="40"/>
      <c r="AL222" s="40"/>
      <c r="AM222" s="40"/>
      <c r="AN222" s="40"/>
      <c r="AP222" s="40"/>
      <c r="AR222" s="40"/>
    </row>
    <row r="223" spans="2:44" ht="12.75" customHeight="1" x14ac:dyDescent="0.15">
      <c r="B223" s="40"/>
      <c r="C223" s="40"/>
      <c r="D223" s="40"/>
      <c r="E223" s="185"/>
      <c r="F223" s="40"/>
      <c r="G223" s="40"/>
      <c r="H223" s="53"/>
      <c r="R223" s="40"/>
      <c r="S223" s="40"/>
      <c r="U223" s="40"/>
      <c r="V223" s="40"/>
      <c r="W223" s="40"/>
      <c r="Y223" s="40"/>
      <c r="Z223" s="40"/>
      <c r="AA223" s="41"/>
      <c r="AB223" s="41"/>
      <c r="AC223" s="41"/>
      <c r="AD223" s="41"/>
      <c r="AE223" s="41"/>
      <c r="AF223" s="40"/>
      <c r="AG223" s="40"/>
      <c r="AH223" s="5"/>
      <c r="AI223" s="5"/>
      <c r="AJ223" s="40"/>
      <c r="AK223" s="40"/>
      <c r="AL223" s="40"/>
      <c r="AM223" s="40"/>
      <c r="AN223" s="40"/>
      <c r="AP223" s="40"/>
      <c r="AR223" s="40"/>
    </row>
    <row r="224" spans="2:44" ht="12.75" customHeight="1" x14ac:dyDescent="0.15">
      <c r="B224" s="40"/>
      <c r="C224" s="40"/>
      <c r="D224" s="40"/>
      <c r="E224" s="185"/>
      <c r="F224" s="40"/>
      <c r="G224" s="40"/>
      <c r="H224" s="53"/>
      <c r="R224" s="40"/>
      <c r="S224" s="40"/>
      <c r="U224" s="40"/>
      <c r="V224" s="40"/>
      <c r="W224" s="40"/>
      <c r="Y224" s="40"/>
      <c r="Z224" s="40"/>
      <c r="AA224" s="41"/>
      <c r="AB224" s="41"/>
      <c r="AC224" s="41"/>
      <c r="AD224" s="41"/>
      <c r="AE224" s="41"/>
      <c r="AF224" s="40"/>
      <c r="AG224" s="40"/>
      <c r="AH224" s="5"/>
      <c r="AI224" s="5"/>
      <c r="AJ224" s="40"/>
      <c r="AK224" s="40"/>
      <c r="AL224" s="40"/>
      <c r="AM224" s="40"/>
      <c r="AN224" s="40"/>
      <c r="AP224" s="40"/>
      <c r="AR224" s="40"/>
    </row>
    <row r="225" spans="2:44" ht="12.75" customHeight="1" x14ac:dyDescent="0.15">
      <c r="B225" s="40"/>
      <c r="C225" s="40"/>
      <c r="D225" s="40"/>
      <c r="E225" s="185"/>
      <c r="F225" s="40"/>
      <c r="G225" s="40"/>
      <c r="H225" s="53"/>
      <c r="R225" s="40"/>
      <c r="S225" s="40"/>
      <c r="U225" s="40"/>
      <c r="V225" s="40"/>
      <c r="W225" s="40"/>
      <c r="Y225" s="40"/>
      <c r="Z225" s="40"/>
      <c r="AA225" s="41"/>
      <c r="AB225" s="41"/>
      <c r="AC225" s="41"/>
      <c r="AD225" s="41"/>
      <c r="AE225" s="41"/>
      <c r="AF225" s="40"/>
      <c r="AG225" s="40"/>
      <c r="AH225" s="5"/>
      <c r="AI225" s="5"/>
      <c r="AJ225" s="40"/>
      <c r="AK225" s="40"/>
      <c r="AL225" s="40"/>
      <c r="AM225" s="40"/>
      <c r="AN225" s="40"/>
      <c r="AP225" s="40"/>
      <c r="AR225" s="40"/>
    </row>
    <row r="226" spans="2:44" ht="12.75" customHeight="1" x14ac:dyDescent="0.15">
      <c r="B226" s="40"/>
      <c r="C226" s="40"/>
      <c r="D226" s="40"/>
      <c r="E226" s="185"/>
      <c r="F226" s="40"/>
      <c r="G226" s="40"/>
      <c r="H226" s="53"/>
      <c r="R226" s="40"/>
      <c r="S226" s="40"/>
      <c r="U226" s="40"/>
      <c r="V226" s="40"/>
      <c r="W226" s="40"/>
      <c r="Y226" s="40"/>
      <c r="Z226" s="40"/>
      <c r="AA226" s="41"/>
      <c r="AB226" s="41"/>
      <c r="AC226" s="41"/>
      <c r="AD226" s="41"/>
      <c r="AE226" s="41"/>
      <c r="AF226" s="40"/>
      <c r="AG226" s="40"/>
      <c r="AH226" s="5"/>
      <c r="AI226" s="5"/>
      <c r="AJ226" s="40"/>
      <c r="AK226" s="40"/>
      <c r="AL226" s="40"/>
      <c r="AM226" s="40"/>
      <c r="AN226" s="40"/>
      <c r="AP226" s="40"/>
      <c r="AR226" s="40"/>
    </row>
    <row r="227" spans="2:44" ht="12.75" customHeight="1" x14ac:dyDescent="0.15">
      <c r="B227" s="40"/>
      <c r="C227" s="40"/>
      <c r="D227" s="40"/>
      <c r="E227" s="185"/>
      <c r="F227" s="40"/>
      <c r="G227" s="40"/>
      <c r="H227" s="53"/>
      <c r="R227" s="40"/>
      <c r="S227" s="40"/>
      <c r="U227" s="40"/>
      <c r="V227" s="40"/>
      <c r="W227" s="40"/>
      <c r="Y227" s="40"/>
      <c r="Z227" s="40"/>
      <c r="AA227" s="41"/>
      <c r="AB227" s="41"/>
      <c r="AC227" s="41"/>
      <c r="AD227" s="41"/>
      <c r="AE227" s="41"/>
      <c r="AF227" s="40"/>
      <c r="AG227" s="40"/>
      <c r="AH227" s="5"/>
      <c r="AI227" s="5"/>
      <c r="AJ227" s="40"/>
      <c r="AK227" s="40"/>
      <c r="AL227" s="40"/>
      <c r="AM227" s="40"/>
      <c r="AN227" s="40"/>
      <c r="AP227" s="40"/>
      <c r="AR227" s="40"/>
    </row>
    <row r="228" spans="2:44" ht="12.75" customHeight="1" x14ac:dyDescent="0.15">
      <c r="B228" s="40"/>
      <c r="C228" s="40"/>
      <c r="D228" s="40"/>
      <c r="E228" s="185"/>
      <c r="F228" s="40"/>
      <c r="G228" s="40"/>
      <c r="H228" s="53"/>
      <c r="R228" s="40"/>
      <c r="S228" s="40"/>
      <c r="U228" s="40"/>
      <c r="V228" s="40"/>
      <c r="W228" s="40"/>
      <c r="Y228" s="40"/>
      <c r="Z228" s="40"/>
      <c r="AA228" s="41"/>
      <c r="AB228" s="41"/>
      <c r="AC228" s="41"/>
      <c r="AD228" s="41"/>
      <c r="AE228" s="41"/>
      <c r="AF228" s="40"/>
      <c r="AG228" s="40"/>
      <c r="AH228" s="5"/>
      <c r="AI228" s="5"/>
      <c r="AJ228" s="40"/>
      <c r="AK228" s="40"/>
      <c r="AL228" s="40"/>
      <c r="AM228" s="40"/>
      <c r="AN228" s="40"/>
      <c r="AP228" s="40"/>
      <c r="AR228" s="40"/>
    </row>
    <row r="229" spans="2:44" ht="12.75" customHeight="1" x14ac:dyDescent="0.15">
      <c r="B229" s="40"/>
      <c r="C229" s="40"/>
      <c r="D229" s="40"/>
      <c r="E229" s="185"/>
      <c r="F229" s="40"/>
      <c r="G229" s="40"/>
      <c r="H229" s="53"/>
      <c r="R229" s="40"/>
      <c r="S229" s="40"/>
      <c r="U229" s="40"/>
      <c r="V229" s="40"/>
      <c r="W229" s="40"/>
      <c r="Y229" s="40"/>
      <c r="Z229" s="40"/>
      <c r="AA229" s="41"/>
      <c r="AB229" s="41"/>
      <c r="AC229" s="41"/>
      <c r="AD229" s="41"/>
      <c r="AE229" s="41"/>
      <c r="AF229" s="40"/>
      <c r="AG229" s="40"/>
      <c r="AH229" s="5"/>
      <c r="AI229" s="5"/>
      <c r="AJ229" s="40"/>
      <c r="AK229" s="40"/>
      <c r="AL229" s="40"/>
      <c r="AM229" s="40"/>
      <c r="AN229" s="40"/>
      <c r="AP229" s="40"/>
      <c r="AR229" s="40"/>
    </row>
    <row r="230" spans="2:44" ht="12.75" customHeight="1" x14ac:dyDescent="0.15">
      <c r="B230" s="40"/>
      <c r="C230" s="40"/>
      <c r="D230" s="40"/>
      <c r="E230" s="185"/>
      <c r="F230" s="40"/>
      <c r="G230" s="40"/>
      <c r="H230" s="53"/>
      <c r="R230" s="40"/>
      <c r="S230" s="40"/>
      <c r="U230" s="40"/>
      <c r="V230" s="40"/>
      <c r="W230" s="40"/>
      <c r="Y230" s="40"/>
      <c r="Z230" s="40"/>
      <c r="AA230" s="41"/>
      <c r="AB230" s="41"/>
      <c r="AC230" s="41"/>
      <c r="AD230" s="41"/>
      <c r="AE230" s="41"/>
      <c r="AF230" s="40"/>
      <c r="AG230" s="40"/>
      <c r="AH230" s="5"/>
      <c r="AI230" s="5"/>
      <c r="AJ230" s="40"/>
      <c r="AK230" s="40"/>
      <c r="AL230" s="40"/>
      <c r="AM230" s="40"/>
      <c r="AN230" s="40"/>
      <c r="AP230" s="40"/>
      <c r="AR230" s="40"/>
    </row>
    <row r="231" spans="2:44" ht="12.75" customHeight="1" x14ac:dyDescent="0.15">
      <c r="B231" s="40"/>
      <c r="C231" s="40"/>
      <c r="D231" s="40"/>
      <c r="E231" s="185"/>
      <c r="F231" s="40"/>
      <c r="G231" s="40"/>
      <c r="H231" s="53"/>
      <c r="R231" s="40"/>
      <c r="S231" s="40"/>
      <c r="U231" s="40"/>
      <c r="V231" s="40"/>
      <c r="W231" s="40"/>
      <c r="Y231" s="40"/>
      <c r="Z231" s="40"/>
      <c r="AA231" s="41"/>
      <c r="AB231" s="41"/>
      <c r="AC231" s="41"/>
      <c r="AD231" s="41"/>
      <c r="AE231" s="41"/>
      <c r="AF231" s="40"/>
      <c r="AG231" s="40"/>
      <c r="AH231" s="5"/>
      <c r="AI231" s="5"/>
      <c r="AJ231" s="40"/>
      <c r="AK231" s="40"/>
      <c r="AL231" s="40"/>
      <c r="AM231" s="40"/>
      <c r="AN231" s="40"/>
      <c r="AP231" s="40"/>
      <c r="AR231" s="40"/>
    </row>
    <row r="232" spans="2:44" ht="12.75" customHeight="1" x14ac:dyDescent="0.15">
      <c r="B232" s="40"/>
      <c r="C232" s="40"/>
      <c r="D232" s="40"/>
      <c r="E232" s="185"/>
      <c r="F232" s="40"/>
      <c r="G232" s="40"/>
      <c r="H232" s="53"/>
      <c r="R232" s="40"/>
      <c r="S232" s="40"/>
      <c r="U232" s="40"/>
      <c r="V232" s="40"/>
      <c r="W232" s="40"/>
      <c r="Y232" s="40"/>
      <c r="Z232" s="40"/>
      <c r="AA232" s="41"/>
      <c r="AB232" s="41"/>
      <c r="AC232" s="41"/>
      <c r="AD232" s="41"/>
      <c r="AE232" s="41"/>
      <c r="AF232" s="40"/>
      <c r="AG232" s="40"/>
      <c r="AH232" s="5"/>
      <c r="AI232" s="5"/>
      <c r="AJ232" s="40"/>
      <c r="AK232" s="40"/>
      <c r="AL232" s="40"/>
      <c r="AM232" s="40"/>
      <c r="AN232" s="40"/>
      <c r="AP232" s="40"/>
      <c r="AR232" s="40"/>
    </row>
    <row r="233" spans="2:44" ht="12.75" customHeight="1" x14ac:dyDescent="0.15">
      <c r="B233" s="40"/>
      <c r="C233" s="40"/>
      <c r="D233" s="40"/>
      <c r="E233" s="185"/>
      <c r="F233" s="40"/>
      <c r="G233" s="40"/>
      <c r="H233" s="53"/>
      <c r="R233" s="40"/>
      <c r="S233" s="40"/>
      <c r="U233" s="40"/>
      <c r="V233" s="40"/>
      <c r="W233" s="40"/>
      <c r="Y233" s="40"/>
      <c r="Z233" s="40"/>
      <c r="AA233" s="41"/>
      <c r="AB233" s="41"/>
      <c r="AC233" s="41"/>
      <c r="AD233" s="41"/>
      <c r="AE233" s="41"/>
      <c r="AF233" s="40"/>
      <c r="AG233" s="40"/>
      <c r="AH233" s="5"/>
      <c r="AI233" s="5"/>
      <c r="AJ233" s="40"/>
      <c r="AK233" s="40"/>
      <c r="AL233" s="40"/>
      <c r="AM233" s="40"/>
      <c r="AN233" s="40"/>
      <c r="AP233" s="40"/>
      <c r="AR233" s="40"/>
    </row>
    <row r="234" spans="2:44" ht="12.75" customHeight="1" x14ac:dyDescent="0.15">
      <c r="B234" s="40"/>
      <c r="C234" s="40"/>
      <c r="D234" s="40"/>
      <c r="E234" s="185"/>
      <c r="F234" s="40"/>
      <c r="G234" s="40"/>
      <c r="H234" s="53"/>
      <c r="R234" s="40"/>
      <c r="S234" s="40"/>
      <c r="U234" s="40"/>
      <c r="V234" s="40"/>
      <c r="W234" s="40"/>
      <c r="Y234" s="40"/>
      <c r="Z234" s="40"/>
      <c r="AA234" s="41"/>
      <c r="AB234" s="41"/>
      <c r="AC234" s="41"/>
      <c r="AD234" s="41"/>
      <c r="AE234" s="41"/>
      <c r="AF234" s="40"/>
      <c r="AG234" s="40"/>
      <c r="AH234" s="5"/>
      <c r="AI234" s="5"/>
      <c r="AJ234" s="40"/>
      <c r="AK234" s="40"/>
      <c r="AL234" s="40"/>
      <c r="AM234" s="40"/>
      <c r="AN234" s="40"/>
      <c r="AP234" s="40"/>
      <c r="AR234" s="40"/>
    </row>
    <row r="235" spans="2:44" ht="12.75" customHeight="1" x14ac:dyDescent="0.15">
      <c r="B235" s="40"/>
      <c r="C235" s="40"/>
      <c r="D235" s="40"/>
      <c r="E235" s="185"/>
      <c r="F235" s="40"/>
      <c r="G235" s="40"/>
      <c r="H235" s="53"/>
      <c r="R235" s="40"/>
      <c r="S235" s="40"/>
      <c r="U235" s="40"/>
      <c r="V235" s="40"/>
      <c r="W235" s="40"/>
      <c r="Y235" s="40"/>
      <c r="Z235" s="40"/>
      <c r="AA235" s="41"/>
      <c r="AB235" s="41"/>
      <c r="AC235" s="41"/>
      <c r="AD235" s="41"/>
      <c r="AE235" s="41"/>
      <c r="AF235" s="40"/>
      <c r="AG235" s="40"/>
      <c r="AH235" s="5"/>
      <c r="AI235" s="5"/>
      <c r="AJ235" s="40"/>
      <c r="AK235" s="40"/>
      <c r="AL235" s="40"/>
      <c r="AM235" s="40"/>
      <c r="AN235" s="40"/>
      <c r="AP235" s="40"/>
      <c r="AR235" s="40"/>
    </row>
    <row r="236" spans="2:44" ht="12.75" customHeight="1" x14ac:dyDescent="0.15">
      <c r="B236" s="40"/>
      <c r="C236" s="40"/>
      <c r="D236" s="40"/>
      <c r="E236" s="185"/>
      <c r="F236" s="40"/>
      <c r="G236" s="40"/>
      <c r="H236" s="53"/>
      <c r="R236" s="40"/>
      <c r="S236" s="40"/>
      <c r="U236" s="40"/>
      <c r="V236" s="40"/>
      <c r="W236" s="40"/>
      <c r="Y236" s="40"/>
      <c r="Z236" s="40"/>
      <c r="AA236" s="41"/>
      <c r="AB236" s="41"/>
      <c r="AC236" s="41"/>
      <c r="AD236" s="41"/>
      <c r="AE236" s="41"/>
      <c r="AF236" s="40"/>
      <c r="AG236" s="40"/>
      <c r="AH236" s="5"/>
      <c r="AI236" s="5"/>
      <c r="AJ236" s="40"/>
      <c r="AK236" s="40"/>
      <c r="AL236" s="40"/>
      <c r="AM236" s="40"/>
      <c r="AN236" s="40"/>
      <c r="AP236" s="40"/>
      <c r="AR236" s="40"/>
    </row>
    <row r="237" spans="2:44" ht="12.75" customHeight="1" x14ac:dyDescent="0.15">
      <c r="B237" s="40"/>
      <c r="C237" s="40"/>
      <c r="D237" s="40"/>
      <c r="E237" s="185"/>
      <c r="F237" s="40"/>
      <c r="G237" s="40"/>
      <c r="H237" s="53"/>
      <c r="R237" s="40"/>
      <c r="S237" s="40"/>
      <c r="U237" s="40"/>
      <c r="V237" s="40"/>
      <c r="W237" s="40"/>
      <c r="Y237" s="40"/>
      <c r="Z237" s="40"/>
      <c r="AA237" s="41"/>
      <c r="AB237" s="41"/>
      <c r="AC237" s="41"/>
      <c r="AD237" s="41"/>
      <c r="AE237" s="41"/>
      <c r="AF237" s="40"/>
      <c r="AG237" s="40"/>
      <c r="AH237" s="5"/>
      <c r="AI237" s="5"/>
      <c r="AJ237" s="40"/>
      <c r="AK237" s="40"/>
      <c r="AL237" s="40"/>
      <c r="AM237" s="40"/>
      <c r="AN237" s="40"/>
      <c r="AP237" s="40"/>
      <c r="AR237" s="40"/>
    </row>
    <row r="238" spans="2:44" ht="12.75" customHeight="1" x14ac:dyDescent="0.15">
      <c r="B238" s="40"/>
      <c r="C238" s="40"/>
      <c r="D238" s="40"/>
      <c r="E238" s="185"/>
      <c r="F238" s="40"/>
      <c r="G238" s="40"/>
      <c r="H238" s="53"/>
      <c r="R238" s="40"/>
      <c r="S238" s="40"/>
      <c r="U238" s="40"/>
      <c r="V238" s="40"/>
      <c r="W238" s="40"/>
      <c r="Y238" s="40"/>
      <c r="Z238" s="40"/>
      <c r="AA238" s="41"/>
      <c r="AB238" s="41"/>
      <c r="AC238" s="41"/>
      <c r="AD238" s="41"/>
      <c r="AE238" s="41"/>
      <c r="AF238" s="40"/>
      <c r="AG238" s="40"/>
      <c r="AH238" s="5"/>
      <c r="AI238" s="5"/>
      <c r="AJ238" s="40"/>
      <c r="AK238" s="40"/>
      <c r="AL238" s="40"/>
      <c r="AM238" s="40"/>
      <c r="AN238" s="40"/>
      <c r="AP238" s="40"/>
      <c r="AR238" s="40"/>
    </row>
    <row r="239" spans="2:44" ht="12.75" customHeight="1" x14ac:dyDescent="0.15">
      <c r="B239" s="40"/>
      <c r="C239" s="40"/>
      <c r="D239" s="40"/>
      <c r="E239" s="185"/>
      <c r="F239" s="40"/>
      <c r="G239" s="40"/>
      <c r="H239" s="53"/>
      <c r="R239" s="40"/>
      <c r="S239" s="40"/>
      <c r="U239" s="40"/>
      <c r="V239" s="40"/>
      <c r="W239" s="40"/>
      <c r="Y239" s="40"/>
      <c r="Z239" s="40"/>
      <c r="AA239" s="41"/>
      <c r="AB239" s="41"/>
      <c r="AC239" s="41"/>
      <c r="AD239" s="41"/>
      <c r="AE239" s="41"/>
      <c r="AF239" s="40"/>
      <c r="AG239" s="40"/>
      <c r="AH239" s="5"/>
      <c r="AI239" s="5"/>
      <c r="AJ239" s="40"/>
      <c r="AK239" s="40"/>
      <c r="AL239" s="40"/>
      <c r="AM239" s="40"/>
      <c r="AN239" s="40"/>
      <c r="AP239" s="40"/>
      <c r="AR239" s="40"/>
    </row>
    <row r="240" spans="2:44" ht="12.75" customHeight="1" x14ac:dyDescent="0.15">
      <c r="B240" s="40"/>
      <c r="C240" s="40"/>
      <c r="D240" s="40"/>
      <c r="E240" s="185"/>
      <c r="F240" s="40"/>
      <c r="G240" s="40"/>
      <c r="H240" s="53"/>
      <c r="R240" s="40"/>
      <c r="S240" s="40"/>
      <c r="U240" s="40"/>
      <c r="V240" s="40"/>
      <c r="W240" s="40"/>
      <c r="Y240" s="40"/>
      <c r="Z240" s="40"/>
      <c r="AA240" s="41"/>
      <c r="AB240" s="41"/>
      <c r="AC240" s="41"/>
      <c r="AD240" s="41"/>
      <c r="AE240" s="41"/>
      <c r="AF240" s="40"/>
      <c r="AG240" s="40"/>
      <c r="AH240" s="5"/>
      <c r="AI240" s="5"/>
      <c r="AJ240" s="40"/>
      <c r="AK240" s="40"/>
      <c r="AL240" s="40"/>
      <c r="AM240" s="40"/>
      <c r="AN240" s="40"/>
      <c r="AP240" s="40"/>
      <c r="AR240" s="40"/>
    </row>
    <row r="241" spans="2:44" ht="12.75" customHeight="1" x14ac:dyDescent="0.15">
      <c r="B241" s="40"/>
      <c r="C241" s="40"/>
      <c r="D241" s="40"/>
      <c r="E241" s="185"/>
      <c r="F241" s="40"/>
      <c r="G241" s="40"/>
      <c r="H241" s="53"/>
      <c r="R241" s="40"/>
      <c r="S241" s="40"/>
      <c r="U241" s="40"/>
      <c r="V241" s="40"/>
      <c r="W241" s="40"/>
      <c r="Y241" s="40"/>
      <c r="Z241" s="40"/>
      <c r="AA241" s="41"/>
      <c r="AB241" s="41"/>
      <c r="AC241" s="41"/>
      <c r="AD241" s="41"/>
      <c r="AE241" s="41"/>
      <c r="AF241" s="40"/>
      <c r="AG241" s="40"/>
      <c r="AH241" s="5"/>
      <c r="AI241" s="5"/>
      <c r="AJ241" s="40"/>
      <c r="AK241" s="40"/>
      <c r="AL241" s="40"/>
      <c r="AM241" s="40"/>
      <c r="AN241" s="40"/>
      <c r="AP241" s="40"/>
      <c r="AR241" s="40"/>
    </row>
    <row r="242" spans="2:44" ht="12.75" customHeight="1" x14ac:dyDescent="0.15">
      <c r="B242" s="40"/>
      <c r="C242" s="40"/>
      <c r="D242" s="40"/>
      <c r="E242" s="185"/>
      <c r="F242" s="40"/>
      <c r="G242" s="40"/>
      <c r="H242" s="53"/>
      <c r="R242" s="40"/>
      <c r="S242" s="40"/>
      <c r="U242" s="40"/>
      <c r="V242" s="40"/>
      <c r="W242" s="40"/>
      <c r="Y242" s="40"/>
      <c r="Z242" s="40"/>
      <c r="AA242" s="41"/>
      <c r="AB242" s="41"/>
      <c r="AC242" s="41"/>
      <c r="AD242" s="41"/>
      <c r="AE242" s="41"/>
      <c r="AF242" s="40"/>
      <c r="AG242" s="40"/>
      <c r="AH242" s="5"/>
      <c r="AI242" s="5"/>
      <c r="AJ242" s="40"/>
      <c r="AK242" s="40"/>
      <c r="AL242" s="40"/>
      <c r="AM242" s="40"/>
      <c r="AN242" s="40"/>
      <c r="AP242" s="40"/>
      <c r="AR242" s="40"/>
    </row>
    <row r="243" spans="2:44" ht="12.75" customHeight="1" x14ac:dyDescent="0.15">
      <c r="B243" s="40"/>
      <c r="C243" s="40"/>
      <c r="D243" s="40"/>
      <c r="E243" s="185"/>
      <c r="F243" s="40"/>
      <c r="G243" s="40"/>
      <c r="H243" s="53"/>
      <c r="R243" s="40"/>
      <c r="S243" s="40"/>
      <c r="U243" s="40"/>
      <c r="V243" s="40"/>
      <c r="W243" s="40"/>
      <c r="Y243" s="40"/>
      <c r="Z243" s="40"/>
      <c r="AA243" s="41"/>
      <c r="AB243" s="41"/>
      <c r="AC243" s="41"/>
      <c r="AD243" s="41"/>
      <c r="AE243" s="41"/>
      <c r="AF243" s="40"/>
      <c r="AG243" s="40"/>
      <c r="AH243" s="5"/>
      <c r="AI243" s="5"/>
      <c r="AJ243" s="40"/>
      <c r="AK243" s="40"/>
      <c r="AL243" s="40"/>
      <c r="AM243" s="40"/>
      <c r="AN243" s="40"/>
      <c r="AP243" s="40"/>
      <c r="AR243" s="40"/>
    </row>
    <row r="244" spans="2:44" ht="12.75" customHeight="1" x14ac:dyDescent="0.15">
      <c r="B244" s="40"/>
      <c r="C244" s="40"/>
      <c r="D244" s="40"/>
      <c r="E244" s="185"/>
      <c r="F244" s="40"/>
      <c r="G244" s="40"/>
      <c r="H244" s="53"/>
      <c r="R244" s="40"/>
      <c r="S244" s="40"/>
      <c r="U244" s="40"/>
      <c r="V244" s="40"/>
      <c r="W244" s="40"/>
      <c r="Y244" s="40"/>
      <c r="Z244" s="40"/>
      <c r="AA244" s="41"/>
      <c r="AB244" s="41"/>
      <c r="AC244" s="41"/>
      <c r="AD244" s="41"/>
      <c r="AE244" s="41"/>
      <c r="AF244" s="40"/>
      <c r="AG244" s="40"/>
      <c r="AH244" s="5"/>
      <c r="AI244" s="5"/>
      <c r="AJ244" s="40"/>
      <c r="AK244" s="40"/>
      <c r="AL244" s="40"/>
      <c r="AM244" s="40"/>
      <c r="AN244" s="40"/>
      <c r="AP244" s="40"/>
      <c r="AR244" s="40"/>
    </row>
    <row r="245" spans="2:44" ht="12.75" customHeight="1" x14ac:dyDescent="0.15">
      <c r="B245" s="40"/>
      <c r="C245" s="40"/>
      <c r="D245" s="40"/>
      <c r="E245" s="185"/>
      <c r="F245" s="40"/>
      <c r="G245" s="40"/>
      <c r="H245" s="53"/>
      <c r="R245" s="40"/>
      <c r="S245" s="40"/>
      <c r="U245" s="40"/>
      <c r="V245" s="40"/>
      <c r="W245" s="40"/>
      <c r="Y245" s="40"/>
      <c r="Z245" s="40"/>
      <c r="AA245" s="41"/>
      <c r="AB245" s="41"/>
      <c r="AC245" s="41"/>
      <c r="AD245" s="41"/>
      <c r="AE245" s="41"/>
      <c r="AF245" s="40"/>
      <c r="AG245" s="40"/>
      <c r="AH245" s="5"/>
      <c r="AI245" s="5"/>
      <c r="AJ245" s="40"/>
      <c r="AK245" s="40"/>
      <c r="AL245" s="40"/>
      <c r="AM245" s="40"/>
      <c r="AN245" s="40"/>
      <c r="AP245" s="40"/>
      <c r="AR245" s="40"/>
    </row>
    <row r="246" spans="2:44" ht="12.75" customHeight="1" x14ac:dyDescent="0.15">
      <c r="B246" s="40"/>
      <c r="C246" s="40"/>
      <c r="D246" s="40"/>
      <c r="E246" s="185"/>
      <c r="F246" s="40"/>
      <c r="G246" s="40"/>
      <c r="H246" s="53"/>
      <c r="R246" s="40"/>
      <c r="S246" s="40"/>
      <c r="U246" s="40"/>
      <c r="V246" s="40"/>
      <c r="W246" s="40"/>
      <c r="Y246" s="40"/>
      <c r="Z246" s="40"/>
      <c r="AA246" s="41"/>
      <c r="AB246" s="41"/>
      <c r="AC246" s="41"/>
      <c r="AD246" s="41"/>
      <c r="AE246" s="41"/>
      <c r="AF246" s="40"/>
      <c r="AG246" s="40"/>
      <c r="AH246" s="5"/>
      <c r="AI246" s="5"/>
      <c r="AJ246" s="40"/>
      <c r="AK246" s="40"/>
      <c r="AL246" s="40"/>
      <c r="AM246" s="40"/>
      <c r="AN246" s="40"/>
      <c r="AP246" s="40"/>
      <c r="AR246" s="40"/>
    </row>
    <row r="247" spans="2:44" ht="12.75" customHeight="1" x14ac:dyDescent="0.15">
      <c r="B247" s="40"/>
      <c r="C247" s="40"/>
      <c r="D247" s="40"/>
      <c r="E247" s="185"/>
      <c r="F247" s="40"/>
      <c r="G247" s="40"/>
      <c r="H247" s="53"/>
      <c r="R247" s="40"/>
      <c r="S247" s="40"/>
      <c r="U247" s="40"/>
      <c r="V247" s="40"/>
      <c r="W247" s="40"/>
      <c r="Y247" s="40"/>
      <c r="Z247" s="40"/>
      <c r="AA247" s="41"/>
      <c r="AB247" s="41"/>
      <c r="AC247" s="41"/>
      <c r="AD247" s="41"/>
      <c r="AE247" s="41"/>
      <c r="AF247" s="40"/>
      <c r="AG247" s="40"/>
      <c r="AH247" s="5"/>
      <c r="AI247" s="5"/>
      <c r="AJ247" s="40"/>
      <c r="AK247" s="40"/>
      <c r="AL247" s="40"/>
      <c r="AM247" s="40"/>
      <c r="AN247" s="40"/>
      <c r="AP247" s="40"/>
      <c r="AR247" s="40"/>
    </row>
    <row r="248" spans="2:44" ht="12.75" customHeight="1" x14ac:dyDescent="0.15">
      <c r="B248" s="40"/>
      <c r="C248" s="40"/>
      <c r="D248" s="40"/>
      <c r="E248" s="185"/>
      <c r="F248" s="40"/>
      <c r="G248" s="40"/>
      <c r="H248" s="53"/>
      <c r="R248" s="40"/>
      <c r="S248" s="40"/>
      <c r="U248" s="40"/>
      <c r="V248" s="40"/>
      <c r="W248" s="40"/>
      <c r="Y248" s="40"/>
      <c r="Z248" s="40"/>
      <c r="AA248" s="41"/>
      <c r="AB248" s="41"/>
      <c r="AC248" s="41"/>
      <c r="AD248" s="41"/>
      <c r="AE248" s="41"/>
      <c r="AF248" s="40"/>
      <c r="AG248" s="40"/>
      <c r="AH248" s="5"/>
      <c r="AI248" s="5"/>
      <c r="AJ248" s="40"/>
      <c r="AK248" s="40"/>
      <c r="AL248" s="40"/>
      <c r="AM248" s="40"/>
      <c r="AN248" s="40"/>
      <c r="AP248" s="40"/>
      <c r="AR248" s="40"/>
    </row>
    <row r="249" spans="2:44" ht="12.75" customHeight="1" x14ac:dyDescent="0.15">
      <c r="B249" s="40"/>
      <c r="C249" s="40"/>
      <c r="D249" s="40"/>
      <c r="E249" s="185"/>
      <c r="F249" s="40"/>
      <c r="G249" s="40"/>
      <c r="H249" s="53"/>
      <c r="R249" s="40"/>
      <c r="S249" s="40"/>
      <c r="U249" s="40"/>
      <c r="V249" s="40"/>
      <c r="W249" s="40"/>
      <c r="Y249" s="40"/>
      <c r="Z249" s="40"/>
      <c r="AA249" s="41"/>
      <c r="AB249" s="41"/>
      <c r="AC249" s="41"/>
      <c r="AD249" s="41"/>
      <c r="AE249" s="41"/>
      <c r="AF249" s="40"/>
      <c r="AG249" s="40"/>
      <c r="AH249" s="5"/>
      <c r="AI249" s="5"/>
      <c r="AJ249" s="40"/>
      <c r="AK249" s="40"/>
      <c r="AL249" s="40"/>
      <c r="AM249" s="40"/>
      <c r="AN249" s="40"/>
      <c r="AP249" s="40"/>
      <c r="AR249" s="40"/>
    </row>
    <row r="250" spans="2:44" ht="12.75" customHeight="1" x14ac:dyDescent="0.15">
      <c r="B250" s="40"/>
      <c r="C250" s="40"/>
      <c r="D250" s="40"/>
      <c r="E250" s="185"/>
      <c r="F250" s="40"/>
      <c r="G250" s="40"/>
      <c r="H250" s="53"/>
      <c r="R250" s="40"/>
      <c r="S250" s="40"/>
      <c r="U250" s="40"/>
      <c r="V250" s="40"/>
      <c r="W250" s="40"/>
      <c r="Y250" s="40"/>
      <c r="Z250" s="40"/>
      <c r="AA250" s="41"/>
      <c r="AB250" s="41"/>
      <c r="AC250" s="41"/>
      <c r="AD250" s="41"/>
      <c r="AE250" s="41"/>
      <c r="AF250" s="40"/>
      <c r="AG250" s="40"/>
      <c r="AH250" s="5"/>
      <c r="AI250" s="5"/>
      <c r="AJ250" s="40"/>
      <c r="AK250" s="40"/>
      <c r="AL250" s="40"/>
      <c r="AM250" s="40"/>
      <c r="AN250" s="40"/>
      <c r="AP250" s="40"/>
      <c r="AR250" s="40"/>
    </row>
    <row r="251" spans="2:44" ht="12.75" customHeight="1" x14ac:dyDescent="0.15">
      <c r="B251" s="40"/>
      <c r="C251" s="40"/>
      <c r="D251" s="40"/>
      <c r="E251" s="185"/>
      <c r="F251" s="40"/>
      <c r="G251" s="40"/>
      <c r="H251" s="53"/>
      <c r="R251" s="40"/>
      <c r="S251" s="40"/>
      <c r="U251" s="40"/>
      <c r="V251" s="40"/>
      <c r="W251" s="40"/>
      <c r="Y251" s="40"/>
      <c r="Z251" s="40"/>
      <c r="AA251" s="41"/>
      <c r="AB251" s="41"/>
      <c r="AC251" s="41"/>
      <c r="AD251" s="41"/>
      <c r="AE251" s="41"/>
      <c r="AF251" s="40"/>
      <c r="AG251" s="40"/>
      <c r="AH251" s="5"/>
      <c r="AI251" s="5"/>
      <c r="AJ251" s="40"/>
      <c r="AK251" s="40"/>
      <c r="AL251" s="40"/>
      <c r="AM251" s="40"/>
      <c r="AN251" s="40"/>
      <c r="AP251" s="40"/>
      <c r="AR251" s="40"/>
    </row>
    <row r="252" spans="2:44" ht="12.75" customHeight="1" x14ac:dyDescent="0.15">
      <c r="B252" s="40"/>
      <c r="C252" s="40"/>
      <c r="D252" s="40"/>
      <c r="E252" s="185"/>
      <c r="F252" s="40"/>
      <c r="G252" s="40"/>
      <c r="H252" s="53"/>
      <c r="R252" s="40"/>
      <c r="S252" s="40"/>
      <c r="U252" s="40"/>
      <c r="V252" s="40"/>
      <c r="W252" s="40"/>
      <c r="Y252" s="40"/>
      <c r="Z252" s="40"/>
      <c r="AA252" s="41"/>
      <c r="AB252" s="41"/>
      <c r="AC252" s="41"/>
      <c r="AD252" s="41"/>
      <c r="AE252" s="41"/>
      <c r="AF252" s="40"/>
      <c r="AG252" s="40"/>
      <c r="AH252" s="5"/>
      <c r="AI252" s="5"/>
      <c r="AJ252" s="40"/>
      <c r="AK252" s="40"/>
      <c r="AL252" s="40"/>
      <c r="AM252" s="40"/>
      <c r="AN252" s="40"/>
      <c r="AP252" s="40"/>
      <c r="AR252" s="40"/>
    </row>
    <row r="253" spans="2:44" ht="12.75" customHeight="1" x14ac:dyDescent="0.15">
      <c r="B253" s="40"/>
      <c r="C253" s="40"/>
      <c r="D253" s="40"/>
      <c r="E253" s="185"/>
      <c r="F253" s="40"/>
      <c r="G253" s="40"/>
      <c r="H253" s="53"/>
      <c r="R253" s="40"/>
      <c r="S253" s="40"/>
      <c r="U253" s="40"/>
      <c r="V253" s="40"/>
      <c r="W253" s="40"/>
      <c r="Y253" s="40"/>
      <c r="Z253" s="40"/>
      <c r="AA253" s="41"/>
      <c r="AB253" s="41"/>
      <c r="AC253" s="41"/>
      <c r="AD253" s="41"/>
      <c r="AE253" s="41"/>
      <c r="AF253" s="40"/>
      <c r="AG253" s="40"/>
      <c r="AH253" s="5"/>
      <c r="AI253" s="5"/>
      <c r="AJ253" s="40"/>
      <c r="AK253" s="40"/>
      <c r="AL253" s="40"/>
      <c r="AM253" s="40"/>
      <c r="AN253" s="40"/>
      <c r="AP253" s="40"/>
      <c r="AR253" s="40"/>
    </row>
    <row r="254" spans="2:44" ht="12.75" customHeight="1" x14ac:dyDescent="0.15">
      <c r="B254" s="40"/>
      <c r="C254" s="40"/>
      <c r="D254" s="40"/>
      <c r="E254" s="185"/>
      <c r="F254" s="40"/>
      <c r="G254" s="40"/>
      <c r="H254" s="53"/>
      <c r="R254" s="40"/>
      <c r="S254" s="40"/>
      <c r="U254" s="40"/>
      <c r="V254" s="40"/>
      <c r="W254" s="40"/>
      <c r="Y254" s="40"/>
      <c r="Z254" s="40"/>
      <c r="AA254" s="41"/>
      <c r="AB254" s="41"/>
      <c r="AC254" s="41"/>
      <c r="AD254" s="41"/>
      <c r="AE254" s="41"/>
      <c r="AF254" s="40"/>
      <c r="AG254" s="40"/>
      <c r="AH254" s="5"/>
      <c r="AI254" s="5"/>
      <c r="AJ254" s="40"/>
      <c r="AK254" s="40"/>
      <c r="AL254" s="40"/>
      <c r="AM254" s="40"/>
      <c r="AN254" s="40"/>
      <c r="AP254" s="40"/>
      <c r="AR254" s="40"/>
    </row>
    <row r="255" spans="2:44" ht="12.75" customHeight="1" x14ac:dyDescent="0.15">
      <c r="B255" s="40"/>
      <c r="C255" s="40"/>
      <c r="D255" s="40"/>
      <c r="E255" s="185"/>
      <c r="F255" s="40"/>
      <c r="G255" s="40"/>
      <c r="H255" s="53"/>
      <c r="R255" s="40"/>
      <c r="S255" s="40"/>
      <c r="U255" s="40"/>
      <c r="V255" s="40"/>
      <c r="W255" s="40"/>
      <c r="Y255" s="40"/>
      <c r="Z255" s="40"/>
      <c r="AA255" s="41"/>
      <c r="AB255" s="41"/>
      <c r="AC255" s="41"/>
      <c r="AD255" s="41"/>
      <c r="AE255" s="41"/>
      <c r="AF255" s="40"/>
      <c r="AG255" s="40"/>
      <c r="AH255" s="5"/>
      <c r="AI255" s="5"/>
      <c r="AJ255" s="40"/>
      <c r="AK255" s="40"/>
      <c r="AL255" s="40"/>
      <c r="AM255" s="40"/>
      <c r="AN255" s="40"/>
      <c r="AP255" s="40"/>
      <c r="AR255" s="40"/>
    </row>
    <row r="256" spans="2:44" ht="12.75" customHeight="1" x14ac:dyDescent="0.15">
      <c r="B256" s="40"/>
      <c r="C256" s="40"/>
      <c r="D256" s="40"/>
      <c r="E256" s="185"/>
      <c r="F256" s="40"/>
      <c r="G256" s="40"/>
      <c r="H256" s="53"/>
      <c r="R256" s="40"/>
      <c r="S256" s="40"/>
      <c r="U256" s="40"/>
      <c r="V256" s="40"/>
      <c r="W256" s="40"/>
      <c r="Y256" s="40"/>
      <c r="Z256" s="40"/>
      <c r="AA256" s="41"/>
      <c r="AB256" s="41"/>
      <c r="AC256" s="41"/>
      <c r="AD256" s="41"/>
      <c r="AE256" s="41"/>
      <c r="AF256" s="40"/>
      <c r="AG256" s="40"/>
      <c r="AH256" s="5"/>
      <c r="AI256" s="5"/>
      <c r="AJ256" s="40"/>
      <c r="AK256" s="40"/>
      <c r="AL256" s="40"/>
      <c r="AM256" s="40"/>
      <c r="AN256" s="40"/>
      <c r="AP256" s="40"/>
      <c r="AR256" s="40"/>
    </row>
    <row r="257" spans="2:44" ht="12.75" customHeight="1" x14ac:dyDescent="0.15">
      <c r="B257" s="40"/>
      <c r="C257" s="40"/>
      <c r="D257" s="40"/>
      <c r="E257" s="185"/>
      <c r="F257" s="40"/>
      <c r="G257" s="40"/>
      <c r="H257" s="53"/>
      <c r="R257" s="40"/>
      <c r="S257" s="40"/>
      <c r="U257" s="40"/>
      <c r="V257" s="40"/>
      <c r="W257" s="40"/>
      <c r="Y257" s="40"/>
      <c r="Z257" s="40"/>
      <c r="AA257" s="41"/>
      <c r="AB257" s="41"/>
      <c r="AC257" s="41"/>
      <c r="AD257" s="41"/>
      <c r="AE257" s="41"/>
      <c r="AF257" s="40"/>
      <c r="AG257" s="40"/>
      <c r="AH257" s="5"/>
      <c r="AI257" s="5"/>
      <c r="AJ257" s="40"/>
      <c r="AK257" s="40"/>
      <c r="AL257" s="40"/>
      <c r="AM257" s="40"/>
      <c r="AN257" s="40"/>
      <c r="AP257" s="40"/>
      <c r="AR257" s="40"/>
    </row>
    <row r="258" spans="2:44" ht="12.75" customHeight="1" x14ac:dyDescent="0.15">
      <c r="B258" s="40"/>
      <c r="C258" s="40"/>
      <c r="D258" s="40"/>
      <c r="E258" s="185"/>
      <c r="F258" s="40"/>
      <c r="G258" s="40"/>
      <c r="H258" s="53"/>
      <c r="R258" s="40"/>
      <c r="S258" s="40"/>
      <c r="U258" s="40"/>
      <c r="V258" s="40"/>
      <c r="W258" s="40"/>
      <c r="Y258" s="40"/>
      <c r="Z258" s="40"/>
      <c r="AA258" s="41"/>
      <c r="AB258" s="41"/>
      <c r="AC258" s="41"/>
      <c r="AD258" s="41"/>
      <c r="AE258" s="41"/>
      <c r="AF258" s="40"/>
      <c r="AG258" s="40"/>
      <c r="AH258" s="5"/>
      <c r="AI258" s="5"/>
      <c r="AJ258" s="40"/>
      <c r="AK258" s="40"/>
      <c r="AL258" s="40"/>
      <c r="AM258" s="40"/>
      <c r="AN258" s="40"/>
      <c r="AP258" s="40"/>
      <c r="AR258" s="40"/>
    </row>
    <row r="259" spans="2:44" ht="12.75" customHeight="1" x14ac:dyDescent="0.15">
      <c r="B259" s="40"/>
      <c r="C259" s="40"/>
      <c r="D259" s="40"/>
      <c r="E259" s="185"/>
      <c r="F259" s="40"/>
      <c r="G259" s="40"/>
      <c r="H259" s="53"/>
      <c r="R259" s="40"/>
      <c r="S259" s="40"/>
      <c r="U259" s="40"/>
      <c r="V259" s="40"/>
      <c r="W259" s="40"/>
      <c r="Y259" s="40"/>
      <c r="Z259" s="40"/>
      <c r="AA259" s="41"/>
      <c r="AB259" s="41"/>
      <c r="AC259" s="41"/>
      <c r="AD259" s="41"/>
      <c r="AE259" s="41"/>
      <c r="AF259" s="40"/>
      <c r="AG259" s="40"/>
      <c r="AH259" s="5"/>
      <c r="AI259" s="5"/>
      <c r="AJ259" s="40"/>
      <c r="AK259" s="40"/>
      <c r="AL259" s="40"/>
      <c r="AM259" s="40"/>
      <c r="AN259" s="40"/>
      <c r="AP259" s="40"/>
      <c r="AR259" s="40"/>
    </row>
    <row r="260" spans="2:44" ht="12.75" customHeight="1" x14ac:dyDescent="0.15">
      <c r="B260" s="40"/>
      <c r="C260" s="40"/>
      <c r="D260" s="40"/>
      <c r="E260" s="185"/>
      <c r="F260" s="40"/>
      <c r="G260" s="40"/>
      <c r="H260" s="53"/>
      <c r="R260" s="40"/>
      <c r="S260" s="40"/>
      <c r="U260" s="40"/>
      <c r="V260" s="40"/>
      <c r="W260" s="40"/>
      <c r="Y260" s="40"/>
      <c r="Z260" s="40"/>
      <c r="AA260" s="41"/>
      <c r="AB260" s="41"/>
      <c r="AC260" s="41"/>
      <c r="AD260" s="41"/>
      <c r="AE260" s="41"/>
      <c r="AF260" s="40"/>
      <c r="AG260" s="40"/>
      <c r="AH260" s="5"/>
      <c r="AI260" s="5"/>
      <c r="AJ260" s="40"/>
      <c r="AK260" s="40"/>
      <c r="AL260" s="40"/>
      <c r="AM260" s="40"/>
      <c r="AN260" s="40"/>
      <c r="AP260" s="40"/>
      <c r="AR260" s="40"/>
    </row>
    <row r="261" spans="2:44" ht="12.75" customHeight="1" x14ac:dyDescent="0.15">
      <c r="B261" s="40"/>
      <c r="C261" s="40"/>
      <c r="D261" s="40"/>
      <c r="E261" s="185"/>
      <c r="F261" s="40"/>
      <c r="G261" s="40"/>
      <c r="H261" s="53"/>
      <c r="R261" s="40"/>
      <c r="S261" s="40"/>
      <c r="U261" s="40"/>
      <c r="V261" s="40"/>
      <c r="W261" s="40"/>
      <c r="Y261" s="40"/>
      <c r="Z261" s="40"/>
      <c r="AA261" s="41"/>
      <c r="AB261" s="41"/>
      <c r="AC261" s="41"/>
      <c r="AD261" s="41"/>
      <c r="AE261" s="41"/>
      <c r="AF261" s="40"/>
      <c r="AG261" s="40"/>
      <c r="AH261" s="5"/>
      <c r="AI261" s="5"/>
      <c r="AJ261" s="40"/>
      <c r="AK261" s="40"/>
      <c r="AL261" s="40"/>
      <c r="AM261" s="40"/>
      <c r="AN261" s="40"/>
      <c r="AP261" s="40"/>
      <c r="AR261" s="40"/>
    </row>
    <row r="262" spans="2:44" ht="12.75" customHeight="1" x14ac:dyDescent="0.15">
      <c r="B262" s="40"/>
      <c r="C262" s="40"/>
      <c r="D262" s="40"/>
      <c r="E262" s="185"/>
      <c r="F262" s="40"/>
      <c r="G262" s="40"/>
      <c r="H262" s="53"/>
      <c r="R262" s="40"/>
      <c r="S262" s="40"/>
      <c r="U262" s="40"/>
      <c r="V262" s="40"/>
      <c r="W262" s="40"/>
      <c r="Y262" s="40"/>
      <c r="Z262" s="40"/>
      <c r="AA262" s="41"/>
      <c r="AB262" s="41"/>
      <c r="AC262" s="41"/>
      <c r="AD262" s="41"/>
      <c r="AE262" s="41"/>
      <c r="AF262" s="40"/>
      <c r="AG262" s="40"/>
      <c r="AH262" s="5"/>
      <c r="AI262" s="5"/>
      <c r="AJ262" s="40"/>
      <c r="AK262" s="40"/>
      <c r="AL262" s="40"/>
      <c r="AM262" s="40"/>
      <c r="AN262" s="40"/>
      <c r="AP262" s="40"/>
      <c r="AR262" s="40"/>
    </row>
    <row r="263" spans="2:44" ht="12.75" customHeight="1" x14ac:dyDescent="0.15">
      <c r="B263" s="40"/>
      <c r="C263" s="40"/>
      <c r="D263" s="40"/>
      <c r="E263" s="185"/>
      <c r="F263" s="40"/>
      <c r="G263" s="40"/>
      <c r="H263" s="53"/>
      <c r="R263" s="40"/>
      <c r="S263" s="40"/>
      <c r="U263" s="40"/>
      <c r="V263" s="40"/>
      <c r="W263" s="40"/>
      <c r="Y263" s="40"/>
      <c r="Z263" s="40"/>
      <c r="AA263" s="41"/>
      <c r="AB263" s="41"/>
      <c r="AC263" s="41"/>
      <c r="AD263" s="41"/>
      <c r="AE263" s="41"/>
      <c r="AF263" s="40"/>
      <c r="AG263" s="40"/>
      <c r="AH263" s="5"/>
      <c r="AI263" s="5"/>
      <c r="AJ263" s="40"/>
      <c r="AK263" s="40"/>
      <c r="AL263" s="40"/>
      <c r="AM263" s="40"/>
      <c r="AN263" s="40"/>
      <c r="AP263" s="40"/>
      <c r="AR263" s="40"/>
    </row>
    <row r="264" spans="2:44" ht="12.75" customHeight="1" x14ac:dyDescent="0.15">
      <c r="B264" s="40"/>
      <c r="C264" s="40"/>
      <c r="D264" s="40"/>
      <c r="E264" s="185"/>
      <c r="F264" s="40"/>
      <c r="G264" s="40"/>
      <c r="H264" s="53"/>
      <c r="R264" s="40"/>
      <c r="S264" s="40"/>
      <c r="U264" s="40"/>
      <c r="V264" s="40"/>
      <c r="W264" s="40"/>
      <c r="Y264" s="40"/>
      <c r="Z264" s="40"/>
      <c r="AA264" s="41"/>
      <c r="AB264" s="41"/>
      <c r="AC264" s="41"/>
      <c r="AD264" s="41"/>
      <c r="AE264" s="41"/>
      <c r="AF264" s="40"/>
      <c r="AG264" s="40"/>
      <c r="AH264" s="5"/>
      <c r="AI264" s="5"/>
      <c r="AJ264" s="40"/>
      <c r="AK264" s="40"/>
      <c r="AL264" s="40"/>
      <c r="AM264" s="40"/>
      <c r="AN264" s="40"/>
      <c r="AP264" s="40"/>
      <c r="AR264" s="40"/>
    </row>
    <row r="265" spans="2:44" ht="12.75" customHeight="1" x14ac:dyDescent="0.15">
      <c r="B265" s="40"/>
      <c r="C265" s="40"/>
      <c r="D265" s="40"/>
      <c r="E265" s="185"/>
      <c r="F265" s="40"/>
      <c r="G265" s="40"/>
      <c r="H265" s="53"/>
      <c r="R265" s="40"/>
      <c r="S265" s="40"/>
      <c r="U265" s="40"/>
      <c r="V265" s="40"/>
      <c r="W265" s="40"/>
      <c r="Y265" s="40"/>
      <c r="Z265" s="40"/>
      <c r="AA265" s="41"/>
      <c r="AB265" s="41"/>
      <c r="AC265" s="41"/>
      <c r="AD265" s="41"/>
      <c r="AE265" s="41"/>
      <c r="AF265" s="40"/>
      <c r="AG265" s="40"/>
      <c r="AH265" s="5"/>
      <c r="AI265" s="5"/>
      <c r="AJ265" s="40"/>
      <c r="AK265" s="40"/>
      <c r="AL265" s="40"/>
      <c r="AM265" s="40"/>
      <c r="AN265" s="40"/>
      <c r="AP265" s="40"/>
      <c r="AR265" s="40"/>
    </row>
    <row r="266" spans="2:44" ht="12.75" customHeight="1" x14ac:dyDescent="0.15">
      <c r="B266" s="40"/>
      <c r="C266" s="40"/>
      <c r="D266" s="40"/>
      <c r="E266" s="185"/>
      <c r="F266" s="40"/>
      <c r="G266" s="40"/>
      <c r="H266" s="53"/>
      <c r="R266" s="40"/>
      <c r="S266" s="40"/>
      <c r="U266" s="40"/>
      <c r="V266" s="40"/>
      <c r="W266" s="40"/>
      <c r="Y266" s="40"/>
      <c r="Z266" s="40"/>
      <c r="AA266" s="41"/>
      <c r="AB266" s="41"/>
      <c r="AC266" s="41"/>
      <c r="AD266" s="41"/>
      <c r="AE266" s="41"/>
      <c r="AF266" s="40"/>
      <c r="AG266" s="40"/>
      <c r="AH266" s="5"/>
      <c r="AI266" s="5"/>
      <c r="AJ266" s="40"/>
      <c r="AK266" s="40"/>
      <c r="AL266" s="40"/>
      <c r="AM266" s="40"/>
      <c r="AN266" s="40"/>
      <c r="AP266" s="40"/>
      <c r="AR266" s="40"/>
    </row>
    <row r="267" spans="2:44" ht="12.75" customHeight="1" x14ac:dyDescent="0.15">
      <c r="B267" s="40"/>
      <c r="C267" s="40"/>
      <c r="D267" s="40"/>
      <c r="E267" s="185"/>
      <c r="F267" s="40"/>
      <c r="G267" s="40"/>
      <c r="H267" s="53"/>
      <c r="R267" s="40"/>
      <c r="S267" s="40"/>
      <c r="U267" s="40"/>
      <c r="V267" s="40"/>
      <c r="W267" s="40"/>
      <c r="Y267" s="40"/>
      <c r="Z267" s="40"/>
      <c r="AA267" s="41"/>
      <c r="AB267" s="41"/>
      <c r="AC267" s="41"/>
      <c r="AD267" s="41"/>
      <c r="AE267" s="41"/>
      <c r="AF267" s="40"/>
      <c r="AG267" s="40"/>
      <c r="AH267" s="5"/>
      <c r="AI267" s="5"/>
      <c r="AJ267" s="40"/>
      <c r="AK267" s="40"/>
      <c r="AL267" s="40"/>
      <c r="AM267" s="40"/>
      <c r="AN267" s="40"/>
      <c r="AP267" s="40"/>
      <c r="AR267" s="40"/>
    </row>
    <row r="268" spans="2:44" ht="12.75" customHeight="1" x14ac:dyDescent="0.15">
      <c r="B268" s="40"/>
      <c r="C268" s="40"/>
      <c r="D268" s="40"/>
      <c r="E268" s="185"/>
      <c r="F268" s="40"/>
      <c r="G268" s="40"/>
      <c r="H268" s="53"/>
      <c r="R268" s="40"/>
      <c r="S268" s="40"/>
      <c r="U268" s="40"/>
      <c r="V268" s="40"/>
      <c r="W268" s="40"/>
      <c r="Y268" s="40"/>
      <c r="Z268" s="40"/>
      <c r="AA268" s="41"/>
      <c r="AB268" s="41"/>
      <c r="AC268" s="41"/>
      <c r="AD268" s="41"/>
      <c r="AE268" s="41"/>
      <c r="AF268" s="40"/>
      <c r="AG268" s="40"/>
      <c r="AH268" s="5"/>
      <c r="AI268" s="5"/>
      <c r="AJ268" s="40"/>
      <c r="AK268" s="40"/>
      <c r="AL268" s="40"/>
      <c r="AM268" s="40"/>
      <c r="AN268" s="40"/>
      <c r="AP268" s="40"/>
      <c r="AR268" s="40"/>
    </row>
    <row r="269" spans="2:44" ht="12.75" customHeight="1" x14ac:dyDescent="0.15">
      <c r="B269" s="40"/>
      <c r="C269" s="40"/>
      <c r="D269" s="40"/>
      <c r="E269" s="185"/>
      <c r="F269" s="40"/>
      <c r="G269" s="40"/>
      <c r="H269" s="53"/>
      <c r="R269" s="40"/>
      <c r="S269" s="40"/>
      <c r="U269" s="40"/>
      <c r="V269" s="40"/>
      <c r="W269" s="40"/>
      <c r="Y269" s="40"/>
      <c r="Z269" s="40"/>
      <c r="AA269" s="41"/>
      <c r="AB269" s="41"/>
      <c r="AC269" s="41"/>
      <c r="AD269" s="41"/>
      <c r="AE269" s="41"/>
      <c r="AF269" s="40"/>
      <c r="AG269" s="40"/>
      <c r="AH269" s="5"/>
      <c r="AI269" s="5"/>
      <c r="AJ269" s="40"/>
      <c r="AK269" s="40"/>
      <c r="AL269" s="40"/>
      <c r="AM269" s="40"/>
      <c r="AN269" s="40"/>
      <c r="AP269" s="40"/>
      <c r="AR269" s="40"/>
    </row>
    <row r="270" spans="2:44" ht="12.75" customHeight="1" x14ac:dyDescent="0.15">
      <c r="B270" s="40"/>
      <c r="C270" s="40"/>
      <c r="D270" s="40"/>
      <c r="E270" s="185"/>
      <c r="F270" s="40"/>
      <c r="G270" s="40"/>
      <c r="H270" s="53"/>
      <c r="R270" s="40"/>
      <c r="S270" s="40"/>
      <c r="U270" s="40"/>
      <c r="V270" s="40"/>
      <c r="W270" s="40"/>
      <c r="Y270" s="40"/>
      <c r="Z270" s="40"/>
      <c r="AA270" s="41"/>
      <c r="AB270" s="41"/>
      <c r="AC270" s="41"/>
      <c r="AD270" s="41"/>
      <c r="AE270" s="41"/>
      <c r="AF270" s="40"/>
      <c r="AG270" s="40"/>
      <c r="AH270" s="5"/>
      <c r="AI270" s="5"/>
      <c r="AJ270" s="40"/>
      <c r="AK270" s="40"/>
      <c r="AL270" s="40"/>
      <c r="AM270" s="40"/>
      <c r="AN270" s="40"/>
      <c r="AP270" s="40"/>
      <c r="AR270" s="40"/>
    </row>
    <row r="271" spans="2:44" ht="12.75" customHeight="1" x14ac:dyDescent="0.15">
      <c r="B271" s="40"/>
      <c r="C271" s="40"/>
      <c r="D271" s="40"/>
      <c r="E271" s="185"/>
      <c r="F271" s="40"/>
      <c r="G271" s="40"/>
      <c r="H271" s="53"/>
      <c r="R271" s="40"/>
      <c r="S271" s="40"/>
      <c r="U271" s="40"/>
      <c r="V271" s="40"/>
      <c r="W271" s="40"/>
      <c r="Y271" s="40"/>
      <c r="Z271" s="40"/>
      <c r="AA271" s="41"/>
      <c r="AB271" s="41"/>
      <c r="AC271" s="41"/>
      <c r="AD271" s="41"/>
      <c r="AE271" s="41"/>
      <c r="AF271" s="40"/>
      <c r="AG271" s="40"/>
      <c r="AH271" s="5"/>
      <c r="AI271" s="5"/>
      <c r="AJ271" s="40"/>
      <c r="AK271" s="40"/>
      <c r="AL271" s="40"/>
      <c r="AM271" s="40"/>
      <c r="AN271" s="40"/>
      <c r="AP271" s="40"/>
      <c r="AR271" s="40"/>
    </row>
    <row r="272" spans="2:44" ht="12.75" customHeight="1" x14ac:dyDescent="0.15">
      <c r="B272" s="40"/>
      <c r="C272" s="40"/>
      <c r="D272" s="40"/>
      <c r="E272" s="185"/>
      <c r="F272" s="40"/>
      <c r="G272" s="40"/>
      <c r="H272" s="53"/>
      <c r="R272" s="40"/>
      <c r="S272" s="40"/>
      <c r="U272" s="40"/>
      <c r="V272" s="40"/>
      <c r="W272" s="40"/>
      <c r="Y272" s="40"/>
      <c r="Z272" s="40"/>
      <c r="AA272" s="41"/>
      <c r="AB272" s="41"/>
      <c r="AC272" s="41"/>
      <c r="AD272" s="41"/>
      <c r="AE272" s="41"/>
      <c r="AF272" s="40"/>
      <c r="AG272" s="40"/>
      <c r="AH272" s="5"/>
      <c r="AI272" s="5"/>
      <c r="AJ272" s="40"/>
      <c r="AK272" s="40"/>
      <c r="AL272" s="40"/>
      <c r="AM272" s="40"/>
      <c r="AN272" s="40"/>
      <c r="AP272" s="40"/>
      <c r="AR272" s="40"/>
    </row>
    <row r="273" spans="2:44" ht="12.75" customHeight="1" x14ac:dyDescent="0.15">
      <c r="B273" s="40"/>
      <c r="C273" s="40"/>
      <c r="D273" s="40"/>
      <c r="E273" s="185"/>
      <c r="F273" s="40"/>
      <c r="G273" s="40"/>
      <c r="H273" s="53"/>
      <c r="R273" s="40"/>
      <c r="S273" s="40"/>
      <c r="U273" s="40"/>
      <c r="V273" s="40"/>
      <c r="W273" s="40"/>
      <c r="Y273" s="40"/>
      <c r="Z273" s="40"/>
      <c r="AA273" s="41"/>
      <c r="AB273" s="41"/>
      <c r="AC273" s="41"/>
      <c r="AD273" s="41"/>
      <c r="AE273" s="41"/>
      <c r="AF273" s="40"/>
      <c r="AG273" s="40"/>
      <c r="AH273" s="5"/>
      <c r="AI273" s="5"/>
      <c r="AJ273" s="40"/>
      <c r="AK273" s="40"/>
      <c r="AL273" s="40"/>
      <c r="AM273" s="40"/>
      <c r="AN273" s="40"/>
      <c r="AP273" s="40"/>
      <c r="AR273" s="40"/>
    </row>
    <row r="274" spans="2:44" ht="12.75" customHeight="1" x14ac:dyDescent="0.15">
      <c r="B274" s="40"/>
      <c r="C274" s="40"/>
      <c r="D274" s="40"/>
      <c r="E274" s="185"/>
      <c r="F274" s="40"/>
      <c r="G274" s="40"/>
      <c r="H274" s="53"/>
      <c r="R274" s="40"/>
      <c r="S274" s="40"/>
      <c r="U274" s="40"/>
      <c r="V274" s="40"/>
      <c r="W274" s="40"/>
      <c r="Y274" s="40"/>
      <c r="Z274" s="40"/>
      <c r="AA274" s="41"/>
      <c r="AB274" s="41"/>
      <c r="AC274" s="41"/>
      <c r="AD274" s="41"/>
      <c r="AE274" s="41"/>
      <c r="AF274" s="40"/>
      <c r="AG274" s="40"/>
      <c r="AH274" s="5"/>
      <c r="AI274" s="5"/>
      <c r="AJ274" s="40"/>
      <c r="AK274" s="40"/>
      <c r="AL274" s="40"/>
      <c r="AM274" s="40"/>
      <c r="AN274" s="40"/>
      <c r="AP274" s="40"/>
      <c r="AR274" s="40"/>
    </row>
    <row r="275" spans="2:44" ht="12.75" customHeight="1" x14ac:dyDescent="0.15">
      <c r="B275" s="40"/>
      <c r="C275" s="40"/>
      <c r="D275" s="40"/>
      <c r="E275" s="185"/>
      <c r="F275" s="40"/>
      <c r="G275" s="40"/>
      <c r="H275" s="53"/>
      <c r="R275" s="40"/>
      <c r="S275" s="40"/>
      <c r="U275" s="40"/>
      <c r="V275" s="40"/>
      <c r="W275" s="40"/>
      <c r="Y275" s="40"/>
      <c r="Z275" s="40"/>
      <c r="AA275" s="41"/>
      <c r="AB275" s="41"/>
      <c r="AC275" s="41"/>
      <c r="AD275" s="41"/>
      <c r="AE275" s="41"/>
      <c r="AF275" s="40"/>
      <c r="AG275" s="40"/>
      <c r="AH275" s="5"/>
      <c r="AI275" s="5"/>
      <c r="AJ275" s="40"/>
      <c r="AK275" s="40"/>
      <c r="AL275" s="40"/>
      <c r="AM275" s="40"/>
      <c r="AN275" s="40"/>
      <c r="AP275" s="40"/>
      <c r="AR275" s="40"/>
    </row>
    <row r="276" spans="2:44" ht="12.75" customHeight="1" x14ac:dyDescent="0.15">
      <c r="B276" s="40"/>
      <c r="C276" s="40"/>
      <c r="D276" s="40"/>
      <c r="E276" s="185"/>
      <c r="F276" s="40"/>
      <c r="G276" s="40"/>
      <c r="H276" s="53"/>
      <c r="R276" s="40"/>
      <c r="S276" s="40"/>
      <c r="U276" s="40"/>
      <c r="V276" s="40"/>
      <c r="W276" s="40"/>
      <c r="Y276" s="40"/>
      <c r="Z276" s="40"/>
      <c r="AA276" s="41"/>
      <c r="AB276" s="41"/>
      <c r="AC276" s="41"/>
      <c r="AD276" s="41"/>
      <c r="AE276" s="41"/>
      <c r="AF276" s="40"/>
      <c r="AG276" s="40"/>
      <c r="AH276" s="5"/>
      <c r="AI276" s="5"/>
      <c r="AJ276" s="40"/>
      <c r="AK276" s="40"/>
      <c r="AL276" s="40"/>
      <c r="AM276" s="40"/>
      <c r="AN276" s="40"/>
      <c r="AP276" s="40"/>
      <c r="AR276" s="40"/>
    </row>
    <row r="277" spans="2:44" ht="12.75" customHeight="1" x14ac:dyDescent="0.15">
      <c r="B277" s="40"/>
      <c r="C277" s="40"/>
      <c r="D277" s="40"/>
      <c r="E277" s="185"/>
      <c r="F277" s="40"/>
      <c r="G277" s="40"/>
      <c r="H277" s="53"/>
      <c r="R277" s="40"/>
      <c r="S277" s="40"/>
      <c r="U277" s="40"/>
      <c r="V277" s="40"/>
      <c r="W277" s="40"/>
      <c r="Y277" s="40"/>
      <c r="Z277" s="40"/>
      <c r="AA277" s="41"/>
      <c r="AB277" s="41"/>
      <c r="AC277" s="41"/>
      <c r="AD277" s="41"/>
      <c r="AE277" s="41"/>
      <c r="AF277" s="40"/>
      <c r="AG277" s="40"/>
      <c r="AH277" s="5"/>
      <c r="AI277" s="5"/>
      <c r="AJ277" s="40"/>
      <c r="AK277" s="40"/>
      <c r="AL277" s="40"/>
      <c r="AM277" s="40"/>
      <c r="AN277" s="40"/>
      <c r="AP277" s="40"/>
      <c r="AR277" s="40"/>
    </row>
    <row r="278" spans="2:44" ht="12.75" customHeight="1" x14ac:dyDescent="0.15">
      <c r="B278" s="40"/>
      <c r="C278" s="40"/>
      <c r="D278" s="40"/>
      <c r="E278" s="185"/>
      <c r="F278" s="40"/>
      <c r="G278" s="40"/>
      <c r="H278" s="53"/>
      <c r="R278" s="40"/>
      <c r="S278" s="40"/>
      <c r="U278" s="40"/>
      <c r="V278" s="40"/>
      <c r="W278" s="40"/>
      <c r="Y278" s="40"/>
      <c r="Z278" s="40"/>
      <c r="AA278" s="41"/>
      <c r="AB278" s="41"/>
      <c r="AC278" s="41"/>
      <c r="AD278" s="41"/>
      <c r="AE278" s="41"/>
      <c r="AF278" s="40"/>
      <c r="AG278" s="40"/>
      <c r="AH278" s="5"/>
      <c r="AI278" s="5"/>
      <c r="AJ278" s="40"/>
      <c r="AK278" s="40"/>
      <c r="AL278" s="40"/>
      <c r="AM278" s="40"/>
      <c r="AN278" s="40"/>
      <c r="AP278" s="40"/>
      <c r="AR278" s="40"/>
    </row>
    <row r="279" spans="2:44" ht="12.75" customHeight="1" x14ac:dyDescent="0.15">
      <c r="B279" s="40"/>
      <c r="C279" s="40"/>
      <c r="D279" s="40"/>
      <c r="E279" s="185"/>
      <c r="F279" s="40"/>
      <c r="G279" s="40"/>
      <c r="H279" s="53"/>
      <c r="R279" s="40"/>
      <c r="S279" s="40"/>
      <c r="U279" s="40"/>
      <c r="V279" s="40"/>
      <c r="W279" s="40"/>
      <c r="Y279" s="40"/>
      <c r="Z279" s="40"/>
      <c r="AA279" s="41"/>
      <c r="AB279" s="41"/>
      <c r="AC279" s="41"/>
      <c r="AD279" s="41"/>
      <c r="AE279" s="41"/>
      <c r="AF279" s="40"/>
      <c r="AG279" s="40"/>
      <c r="AH279" s="5"/>
      <c r="AI279" s="5"/>
      <c r="AJ279" s="40"/>
      <c r="AK279" s="40"/>
      <c r="AL279" s="40"/>
      <c r="AM279" s="40"/>
      <c r="AN279" s="40"/>
      <c r="AP279" s="40"/>
      <c r="AR279" s="40"/>
    </row>
    <row r="280" spans="2:44" ht="12.75" customHeight="1" x14ac:dyDescent="0.15">
      <c r="B280" s="40"/>
      <c r="C280" s="40"/>
      <c r="D280" s="40"/>
      <c r="E280" s="185"/>
      <c r="F280" s="40"/>
      <c r="G280" s="40"/>
      <c r="H280" s="53"/>
      <c r="R280" s="40"/>
      <c r="S280" s="40"/>
      <c r="U280" s="40"/>
      <c r="V280" s="40"/>
      <c r="W280" s="40"/>
      <c r="Y280" s="40"/>
      <c r="Z280" s="40"/>
      <c r="AA280" s="41"/>
      <c r="AB280" s="41"/>
      <c r="AC280" s="41"/>
      <c r="AD280" s="41"/>
      <c r="AE280" s="41"/>
      <c r="AF280" s="40"/>
      <c r="AG280" s="40"/>
      <c r="AH280" s="5"/>
      <c r="AI280" s="5"/>
      <c r="AJ280" s="40"/>
      <c r="AK280" s="40"/>
      <c r="AL280" s="40"/>
      <c r="AM280" s="40"/>
      <c r="AN280" s="40"/>
      <c r="AP280" s="40"/>
      <c r="AR280" s="40"/>
    </row>
    <row r="281" spans="2:44" ht="12.75" customHeight="1" x14ac:dyDescent="0.15">
      <c r="B281" s="40"/>
      <c r="C281" s="40"/>
      <c r="D281" s="40"/>
      <c r="E281" s="185"/>
      <c r="F281" s="40"/>
      <c r="G281" s="40"/>
      <c r="H281" s="53"/>
      <c r="R281" s="40"/>
      <c r="S281" s="40"/>
      <c r="U281" s="40"/>
      <c r="V281" s="40"/>
      <c r="W281" s="40"/>
      <c r="Y281" s="40"/>
      <c r="Z281" s="40"/>
      <c r="AA281" s="41"/>
      <c r="AB281" s="41"/>
      <c r="AC281" s="41"/>
      <c r="AD281" s="41"/>
      <c r="AE281" s="41"/>
      <c r="AF281" s="40"/>
      <c r="AG281" s="40"/>
      <c r="AH281" s="5"/>
      <c r="AI281" s="5"/>
      <c r="AJ281" s="40"/>
      <c r="AK281" s="40"/>
      <c r="AL281" s="40"/>
      <c r="AM281" s="40"/>
      <c r="AN281" s="40"/>
      <c r="AP281" s="40"/>
      <c r="AR281" s="40"/>
    </row>
    <row r="282" spans="2:44" ht="12.75" customHeight="1" x14ac:dyDescent="0.15">
      <c r="B282" s="40"/>
      <c r="C282" s="40"/>
      <c r="D282" s="40"/>
      <c r="E282" s="185"/>
      <c r="F282" s="40"/>
      <c r="G282" s="40"/>
      <c r="H282" s="53"/>
      <c r="R282" s="40"/>
      <c r="S282" s="40"/>
      <c r="U282" s="40"/>
      <c r="V282" s="40"/>
      <c r="W282" s="40"/>
      <c r="Y282" s="40"/>
      <c r="Z282" s="40"/>
      <c r="AA282" s="41"/>
      <c r="AB282" s="41"/>
      <c r="AC282" s="41"/>
      <c r="AD282" s="41"/>
      <c r="AE282" s="41"/>
      <c r="AF282" s="40"/>
      <c r="AG282" s="40"/>
      <c r="AH282" s="5"/>
      <c r="AI282" s="5"/>
      <c r="AJ282" s="40"/>
      <c r="AK282" s="40"/>
      <c r="AL282" s="40"/>
      <c r="AM282" s="40"/>
      <c r="AN282" s="40"/>
      <c r="AP282" s="40"/>
      <c r="AR282" s="40"/>
    </row>
    <row r="283" spans="2:44" ht="12.75" customHeight="1" x14ac:dyDescent="0.15">
      <c r="B283" s="40"/>
      <c r="C283" s="40"/>
      <c r="D283" s="40"/>
      <c r="E283" s="185"/>
      <c r="F283" s="40"/>
      <c r="G283" s="40"/>
      <c r="H283" s="53"/>
      <c r="R283" s="40"/>
      <c r="S283" s="40"/>
      <c r="U283" s="40"/>
      <c r="V283" s="40"/>
      <c r="W283" s="40"/>
      <c r="Y283" s="40"/>
      <c r="Z283" s="40"/>
      <c r="AA283" s="41"/>
      <c r="AB283" s="41"/>
      <c r="AC283" s="41"/>
      <c r="AD283" s="41"/>
      <c r="AE283" s="41"/>
      <c r="AF283" s="40"/>
      <c r="AG283" s="40"/>
      <c r="AH283" s="5"/>
      <c r="AI283" s="5"/>
      <c r="AJ283" s="40"/>
      <c r="AK283" s="40"/>
      <c r="AL283" s="40"/>
      <c r="AM283" s="40"/>
      <c r="AN283" s="40"/>
      <c r="AP283" s="40"/>
      <c r="AR283" s="40"/>
    </row>
    <row r="284" spans="2:44" ht="12.75" customHeight="1" x14ac:dyDescent="0.15">
      <c r="B284" s="40"/>
      <c r="C284" s="40"/>
      <c r="D284" s="40"/>
      <c r="E284" s="185"/>
      <c r="F284" s="40"/>
      <c r="G284" s="40"/>
      <c r="H284" s="53"/>
      <c r="R284" s="40"/>
      <c r="S284" s="40"/>
      <c r="U284" s="40"/>
      <c r="V284" s="40"/>
      <c r="W284" s="40"/>
      <c r="Y284" s="40"/>
      <c r="Z284" s="40"/>
      <c r="AA284" s="41"/>
      <c r="AB284" s="41"/>
      <c r="AC284" s="41"/>
      <c r="AD284" s="41"/>
      <c r="AE284" s="41"/>
      <c r="AF284" s="40"/>
      <c r="AG284" s="40"/>
      <c r="AH284" s="5"/>
      <c r="AI284" s="5"/>
      <c r="AJ284" s="40"/>
      <c r="AK284" s="40"/>
      <c r="AL284" s="40"/>
      <c r="AM284" s="40"/>
      <c r="AN284" s="40"/>
      <c r="AP284" s="40"/>
      <c r="AR284" s="40"/>
    </row>
    <row r="285" spans="2:44" ht="12.75" customHeight="1" x14ac:dyDescent="0.15">
      <c r="B285" s="40"/>
      <c r="C285" s="40"/>
      <c r="D285" s="40"/>
      <c r="E285" s="185"/>
      <c r="F285" s="40"/>
      <c r="G285" s="40"/>
      <c r="H285" s="53"/>
      <c r="R285" s="40"/>
      <c r="S285" s="40"/>
      <c r="U285" s="40"/>
      <c r="V285" s="40"/>
      <c r="W285" s="40"/>
      <c r="Y285" s="40"/>
      <c r="Z285" s="40"/>
      <c r="AA285" s="41"/>
      <c r="AB285" s="41"/>
      <c r="AC285" s="41"/>
      <c r="AD285" s="41"/>
      <c r="AE285" s="41"/>
      <c r="AF285" s="40"/>
      <c r="AG285" s="40"/>
      <c r="AH285" s="5"/>
      <c r="AI285" s="5"/>
      <c r="AJ285" s="40"/>
      <c r="AK285" s="40"/>
      <c r="AL285" s="40"/>
      <c r="AM285" s="40"/>
      <c r="AN285" s="40"/>
      <c r="AP285" s="40"/>
      <c r="AR285" s="40"/>
    </row>
    <row r="286" spans="2:44" ht="12.75" customHeight="1" x14ac:dyDescent="0.15">
      <c r="B286" s="40"/>
      <c r="C286" s="40"/>
      <c r="D286" s="40"/>
      <c r="E286" s="185"/>
      <c r="F286" s="40"/>
      <c r="G286" s="40"/>
      <c r="H286" s="53"/>
      <c r="R286" s="40"/>
      <c r="S286" s="40"/>
      <c r="U286" s="40"/>
      <c r="V286" s="40"/>
      <c r="W286" s="40"/>
      <c r="Y286" s="40"/>
      <c r="Z286" s="40"/>
      <c r="AA286" s="41"/>
      <c r="AB286" s="41"/>
      <c r="AC286" s="41"/>
      <c r="AD286" s="41"/>
      <c r="AE286" s="41"/>
      <c r="AF286" s="40"/>
      <c r="AG286" s="40"/>
      <c r="AH286" s="5"/>
      <c r="AI286" s="5"/>
      <c r="AJ286" s="40"/>
      <c r="AK286" s="40"/>
      <c r="AL286" s="40"/>
      <c r="AM286" s="40"/>
      <c r="AN286" s="40"/>
      <c r="AP286" s="40"/>
      <c r="AR286" s="40"/>
    </row>
    <row r="287" spans="2:44" ht="12.75" customHeight="1" x14ac:dyDescent="0.15">
      <c r="B287" s="40"/>
      <c r="C287" s="40"/>
      <c r="D287" s="40"/>
      <c r="E287" s="185"/>
      <c r="F287" s="40"/>
      <c r="G287" s="40"/>
      <c r="H287" s="53"/>
      <c r="R287" s="40"/>
      <c r="S287" s="40"/>
      <c r="U287" s="40"/>
      <c r="V287" s="40"/>
      <c r="W287" s="40"/>
      <c r="Y287" s="40"/>
      <c r="Z287" s="40"/>
      <c r="AA287" s="41"/>
      <c r="AB287" s="41"/>
      <c r="AC287" s="41"/>
      <c r="AD287" s="41"/>
      <c r="AE287" s="41"/>
      <c r="AF287" s="40"/>
      <c r="AG287" s="40"/>
      <c r="AH287" s="5"/>
      <c r="AI287" s="5"/>
      <c r="AJ287" s="40"/>
      <c r="AK287" s="40"/>
      <c r="AL287" s="40"/>
      <c r="AM287" s="40"/>
      <c r="AN287" s="40"/>
      <c r="AP287" s="40"/>
      <c r="AR287" s="40"/>
    </row>
    <row r="288" spans="2:44" ht="12.75" customHeight="1" x14ac:dyDescent="0.15">
      <c r="B288" s="40"/>
      <c r="C288" s="40"/>
      <c r="D288" s="40"/>
      <c r="E288" s="185"/>
      <c r="F288" s="40"/>
      <c r="G288" s="40"/>
      <c r="H288" s="53"/>
      <c r="R288" s="40"/>
      <c r="S288" s="40"/>
      <c r="U288" s="40"/>
      <c r="V288" s="40"/>
      <c r="W288" s="40"/>
      <c r="Y288" s="40"/>
      <c r="Z288" s="40"/>
      <c r="AA288" s="41"/>
      <c r="AB288" s="41"/>
      <c r="AC288" s="41"/>
      <c r="AD288" s="41"/>
      <c r="AE288" s="41"/>
      <c r="AF288" s="40"/>
      <c r="AG288" s="40"/>
      <c r="AH288" s="5"/>
      <c r="AI288" s="5"/>
      <c r="AJ288" s="40"/>
      <c r="AK288" s="40"/>
      <c r="AL288" s="40"/>
      <c r="AM288" s="40"/>
      <c r="AN288" s="40"/>
      <c r="AP288" s="40"/>
      <c r="AR288" s="40"/>
    </row>
    <row r="289" spans="2:44" ht="12.75" customHeight="1" x14ac:dyDescent="0.15">
      <c r="B289" s="40"/>
      <c r="C289" s="40"/>
      <c r="D289" s="40"/>
      <c r="E289" s="185"/>
      <c r="F289" s="40"/>
      <c r="G289" s="40"/>
      <c r="H289" s="53"/>
      <c r="R289" s="40"/>
      <c r="S289" s="40"/>
      <c r="U289" s="40"/>
      <c r="V289" s="40"/>
      <c r="W289" s="40"/>
      <c r="Y289" s="40"/>
      <c r="Z289" s="40"/>
      <c r="AA289" s="41"/>
      <c r="AB289" s="41"/>
      <c r="AC289" s="41"/>
      <c r="AD289" s="41"/>
      <c r="AE289" s="41"/>
      <c r="AF289" s="40"/>
      <c r="AG289" s="40"/>
      <c r="AH289" s="5"/>
      <c r="AI289" s="5"/>
      <c r="AJ289" s="40"/>
      <c r="AK289" s="40"/>
      <c r="AL289" s="40"/>
      <c r="AM289" s="40"/>
      <c r="AN289" s="40"/>
      <c r="AP289" s="40"/>
      <c r="AR289" s="40"/>
    </row>
    <row r="290" spans="2:44" ht="12.75" customHeight="1" x14ac:dyDescent="0.15">
      <c r="B290" s="40"/>
      <c r="C290" s="40"/>
      <c r="D290" s="40"/>
      <c r="E290" s="185"/>
      <c r="F290" s="40"/>
      <c r="G290" s="40"/>
      <c r="H290" s="53"/>
      <c r="R290" s="40"/>
      <c r="S290" s="40"/>
      <c r="U290" s="40"/>
      <c r="V290" s="40"/>
      <c r="W290" s="40"/>
      <c r="Y290" s="40"/>
      <c r="Z290" s="40"/>
      <c r="AA290" s="41"/>
      <c r="AB290" s="41"/>
      <c r="AC290" s="41"/>
      <c r="AD290" s="41"/>
      <c r="AE290" s="41"/>
      <c r="AF290" s="40"/>
      <c r="AG290" s="40"/>
      <c r="AH290" s="5"/>
      <c r="AI290" s="5"/>
      <c r="AJ290" s="40"/>
      <c r="AK290" s="40"/>
      <c r="AL290" s="40"/>
      <c r="AM290" s="40"/>
      <c r="AN290" s="40"/>
      <c r="AP290" s="40"/>
      <c r="AR290" s="40"/>
    </row>
    <row r="291" spans="2:44" ht="12.75" customHeight="1" x14ac:dyDescent="0.15">
      <c r="B291" s="40"/>
      <c r="C291" s="40"/>
      <c r="D291" s="40"/>
      <c r="E291" s="185"/>
      <c r="F291" s="40"/>
      <c r="G291" s="40"/>
      <c r="H291" s="53"/>
      <c r="R291" s="40"/>
      <c r="S291" s="40"/>
      <c r="U291" s="40"/>
      <c r="V291" s="40"/>
      <c r="W291" s="40"/>
      <c r="Y291" s="40"/>
      <c r="Z291" s="40"/>
      <c r="AA291" s="41"/>
      <c r="AB291" s="41"/>
      <c r="AC291" s="41"/>
      <c r="AD291" s="41"/>
      <c r="AE291" s="41"/>
      <c r="AF291" s="40"/>
      <c r="AG291" s="40"/>
      <c r="AH291" s="5"/>
      <c r="AI291" s="5"/>
      <c r="AJ291" s="40"/>
      <c r="AK291" s="40"/>
      <c r="AL291" s="40"/>
      <c r="AM291" s="40"/>
      <c r="AN291" s="40"/>
      <c r="AP291" s="40"/>
      <c r="AR291" s="40"/>
    </row>
    <row r="292" spans="2:44" ht="12.75" customHeight="1" x14ac:dyDescent="0.15">
      <c r="B292" s="40"/>
      <c r="C292" s="40"/>
      <c r="D292" s="40"/>
      <c r="E292" s="185"/>
      <c r="F292" s="40"/>
      <c r="G292" s="40"/>
      <c r="H292" s="53"/>
      <c r="R292" s="40"/>
      <c r="S292" s="40"/>
      <c r="U292" s="40"/>
      <c r="V292" s="40"/>
      <c r="W292" s="40"/>
      <c r="Y292" s="40"/>
      <c r="Z292" s="40"/>
      <c r="AA292" s="41"/>
      <c r="AB292" s="41"/>
      <c r="AC292" s="41"/>
      <c r="AD292" s="41"/>
      <c r="AE292" s="41"/>
      <c r="AF292" s="40"/>
      <c r="AG292" s="40"/>
      <c r="AH292" s="5"/>
      <c r="AI292" s="5"/>
      <c r="AJ292" s="40"/>
      <c r="AK292" s="40"/>
      <c r="AL292" s="40"/>
      <c r="AM292" s="40"/>
      <c r="AN292" s="40"/>
      <c r="AP292" s="40"/>
      <c r="AR292" s="40"/>
    </row>
    <row r="293" spans="2:44" ht="12.75" customHeight="1" x14ac:dyDescent="0.15">
      <c r="B293" s="40"/>
      <c r="C293" s="40"/>
      <c r="D293" s="40"/>
      <c r="E293" s="185"/>
      <c r="F293" s="40"/>
      <c r="G293" s="40"/>
      <c r="H293" s="53"/>
      <c r="R293" s="40"/>
      <c r="S293" s="40"/>
      <c r="U293" s="40"/>
      <c r="V293" s="40"/>
      <c r="W293" s="40"/>
      <c r="Y293" s="40"/>
      <c r="Z293" s="40"/>
      <c r="AA293" s="41"/>
      <c r="AB293" s="41"/>
      <c r="AC293" s="41"/>
      <c r="AD293" s="41"/>
      <c r="AE293" s="41"/>
      <c r="AF293" s="40"/>
      <c r="AG293" s="40"/>
      <c r="AH293" s="5"/>
      <c r="AI293" s="5"/>
      <c r="AJ293" s="40"/>
      <c r="AK293" s="40"/>
      <c r="AL293" s="40"/>
      <c r="AM293" s="40"/>
      <c r="AN293" s="40"/>
      <c r="AP293" s="40"/>
      <c r="AR293" s="40"/>
    </row>
    <row r="294" spans="2:44" ht="12.75" customHeight="1" x14ac:dyDescent="0.15">
      <c r="B294" s="40"/>
      <c r="C294" s="40"/>
      <c r="D294" s="40"/>
      <c r="E294" s="185"/>
      <c r="F294" s="40"/>
      <c r="G294" s="40"/>
      <c r="H294" s="53"/>
      <c r="R294" s="40"/>
      <c r="S294" s="40"/>
      <c r="U294" s="40"/>
      <c r="V294" s="40"/>
      <c r="W294" s="40"/>
      <c r="Y294" s="40"/>
      <c r="Z294" s="40"/>
      <c r="AA294" s="41"/>
      <c r="AB294" s="41"/>
      <c r="AC294" s="41"/>
      <c r="AD294" s="41"/>
      <c r="AE294" s="41"/>
      <c r="AF294" s="40"/>
      <c r="AG294" s="40"/>
      <c r="AH294" s="5"/>
      <c r="AI294" s="5"/>
      <c r="AJ294" s="40"/>
      <c r="AK294" s="40"/>
      <c r="AL294" s="40"/>
      <c r="AM294" s="40"/>
      <c r="AN294" s="40"/>
      <c r="AP294" s="40"/>
      <c r="AR294" s="40"/>
    </row>
    <row r="295" spans="2:44" ht="12.75" customHeight="1" x14ac:dyDescent="0.15">
      <c r="B295" s="40"/>
      <c r="C295" s="40"/>
      <c r="D295" s="40"/>
      <c r="E295" s="185"/>
      <c r="F295" s="40"/>
      <c r="G295" s="40"/>
      <c r="H295" s="53"/>
      <c r="R295" s="40"/>
      <c r="S295" s="40"/>
      <c r="U295" s="40"/>
      <c r="V295" s="40"/>
      <c r="W295" s="40"/>
      <c r="Y295" s="40"/>
      <c r="Z295" s="40"/>
      <c r="AA295" s="41"/>
      <c r="AB295" s="41"/>
      <c r="AC295" s="41"/>
      <c r="AD295" s="41"/>
      <c r="AE295" s="41"/>
      <c r="AF295" s="40"/>
      <c r="AG295" s="40"/>
      <c r="AH295" s="5"/>
      <c r="AI295" s="5"/>
      <c r="AJ295" s="40"/>
      <c r="AK295" s="40"/>
      <c r="AL295" s="40"/>
      <c r="AM295" s="40"/>
      <c r="AN295" s="40"/>
      <c r="AP295" s="40"/>
      <c r="AR295" s="40"/>
    </row>
    <row r="296" spans="2:44" ht="12.75" customHeight="1" x14ac:dyDescent="0.15">
      <c r="B296" s="40"/>
      <c r="C296" s="40"/>
      <c r="D296" s="40"/>
      <c r="E296" s="185"/>
      <c r="F296" s="40"/>
      <c r="G296" s="40"/>
      <c r="H296" s="53"/>
      <c r="R296" s="40"/>
      <c r="S296" s="40"/>
      <c r="U296" s="40"/>
      <c r="V296" s="40"/>
      <c r="W296" s="40"/>
      <c r="Y296" s="40"/>
      <c r="Z296" s="40"/>
      <c r="AA296" s="41"/>
      <c r="AB296" s="41"/>
      <c r="AC296" s="41"/>
      <c r="AD296" s="41"/>
      <c r="AE296" s="41"/>
      <c r="AF296" s="40"/>
      <c r="AG296" s="40"/>
      <c r="AH296" s="5"/>
      <c r="AI296" s="5"/>
      <c r="AJ296" s="40"/>
      <c r="AK296" s="40"/>
      <c r="AL296" s="40"/>
      <c r="AM296" s="40"/>
      <c r="AN296" s="40"/>
      <c r="AP296" s="40"/>
      <c r="AR296" s="40"/>
    </row>
    <row r="297" spans="2:44" ht="12.75" customHeight="1" x14ac:dyDescent="0.15">
      <c r="B297" s="40"/>
      <c r="C297" s="40"/>
      <c r="D297" s="40"/>
      <c r="E297" s="185"/>
      <c r="F297" s="40"/>
      <c r="G297" s="40"/>
      <c r="H297" s="53"/>
      <c r="R297" s="40"/>
      <c r="S297" s="40"/>
      <c r="U297" s="40"/>
      <c r="V297" s="40"/>
      <c r="W297" s="40"/>
      <c r="Y297" s="40"/>
      <c r="Z297" s="40"/>
      <c r="AA297" s="41"/>
      <c r="AB297" s="41"/>
      <c r="AC297" s="41"/>
      <c r="AD297" s="41"/>
      <c r="AE297" s="41"/>
      <c r="AF297" s="40"/>
      <c r="AG297" s="40"/>
      <c r="AH297" s="5"/>
      <c r="AI297" s="5"/>
      <c r="AJ297" s="40"/>
      <c r="AK297" s="40"/>
      <c r="AL297" s="40"/>
      <c r="AM297" s="40"/>
      <c r="AN297" s="40"/>
      <c r="AP297" s="40"/>
      <c r="AR297" s="40"/>
    </row>
    <row r="298" spans="2:44" ht="12.75" customHeight="1" x14ac:dyDescent="0.15">
      <c r="B298" s="40"/>
      <c r="C298" s="40"/>
      <c r="D298" s="40"/>
      <c r="E298" s="185"/>
      <c r="F298" s="40"/>
      <c r="G298" s="40"/>
      <c r="H298" s="53"/>
      <c r="R298" s="40"/>
      <c r="S298" s="40"/>
      <c r="U298" s="40"/>
      <c r="V298" s="40"/>
      <c r="W298" s="40"/>
      <c r="Y298" s="40"/>
      <c r="Z298" s="40"/>
      <c r="AA298" s="41"/>
      <c r="AB298" s="41"/>
      <c r="AC298" s="41"/>
      <c r="AD298" s="41"/>
      <c r="AE298" s="41"/>
      <c r="AF298" s="40"/>
      <c r="AG298" s="40"/>
      <c r="AH298" s="5"/>
      <c r="AI298" s="5"/>
      <c r="AJ298" s="40"/>
      <c r="AK298" s="40"/>
      <c r="AL298" s="40"/>
      <c r="AM298" s="40"/>
      <c r="AN298" s="40"/>
      <c r="AP298" s="40"/>
      <c r="AR298" s="40"/>
    </row>
    <row r="299" spans="2:44" ht="12.75" customHeight="1" x14ac:dyDescent="0.15">
      <c r="B299" s="40"/>
      <c r="C299" s="40"/>
      <c r="D299" s="40"/>
      <c r="E299" s="185"/>
      <c r="F299" s="40"/>
      <c r="G299" s="40"/>
      <c r="H299" s="53"/>
      <c r="R299" s="40"/>
      <c r="S299" s="40"/>
      <c r="U299" s="40"/>
      <c r="V299" s="40"/>
      <c r="W299" s="40"/>
      <c r="Y299" s="40"/>
      <c r="Z299" s="40"/>
      <c r="AA299" s="41"/>
      <c r="AB299" s="41"/>
      <c r="AC299" s="41"/>
      <c r="AD299" s="41"/>
      <c r="AE299" s="41"/>
      <c r="AF299" s="40"/>
      <c r="AG299" s="40"/>
      <c r="AH299" s="5"/>
      <c r="AI299" s="5"/>
      <c r="AJ299" s="40"/>
      <c r="AK299" s="40"/>
      <c r="AL299" s="40"/>
      <c r="AM299" s="40"/>
      <c r="AN299" s="40"/>
      <c r="AP299" s="40"/>
      <c r="AR299" s="40"/>
    </row>
    <row r="300" spans="2:44" ht="12.75" customHeight="1" x14ac:dyDescent="0.15">
      <c r="B300" s="40"/>
      <c r="C300" s="40"/>
      <c r="D300" s="40"/>
      <c r="E300" s="185"/>
      <c r="F300" s="40"/>
      <c r="G300" s="40"/>
      <c r="H300" s="53"/>
      <c r="R300" s="40"/>
      <c r="S300" s="40"/>
      <c r="U300" s="40"/>
      <c r="V300" s="40"/>
      <c r="W300" s="40"/>
      <c r="Y300" s="40"/>
      <c r="Z300" s="40"/>
      <c r="AA300" s="41"/>
      <c r="AB300" s="41"/>
      <c r="AC300" s="41"/>
      <c r="AD300" s="41"/>
      <c r="AE300" s="41"/>
      <c r="AF300" s="40"/>
      <c r="AG300" s="40"/>
      <c r="AH300" s="5"/>
      <c r="AI300" s="5"/>
      <c r="AJ300" s="40"/>
      <c r="AK300" s="40"/>
      <c r="AL300" s="40"/>
      <c r="AM300" s="40"/>
      <c r="AN300" s="40"/>
      <c r="AP300" s="40"/>
      <c r="AR300" s="40"/>
    </row>
    <row r="301" spans="2:44" ht="12.75" customHeight="1" x14ac:dyDescent="0.15">
      <c r="B301" s="40"/>
      <c r="C301" s="40"/>
      <c r="D301" s="40"/>
      <c r="E301" s="185"/>
      <c r="F301" s="40"/>
      <c r="G301" s="40"/>
      <c r="H301" s="53"/>
      <c r="R301" s="40"/>
      <c r="S301" s="40"/>
      <c r="U301" s="40"/>
      <c r="V301" s="40"/>
      <c r="W301" s="40"/>
      <c r="Y301" s="40"/>
      <c r="Z301" s="40"/>
      <c r="AA301" s="41"/>
      <c r="AB301" s="41"/>
      <c r="AC301" s="41"/>
      <c r="AD301" s="41"/>
      <c r="AE301" s="41"/>
      <c r="AF301" s="40"/>
      <c r="AG301" s="40"/>
      <c r="AH301" s="5"/>
      <c r="AI301" s="5"/>
      <c r="AJ301" s="40"/>
      <c r="AK301" s="40"/>
      <c r="AL301" s="40"/>
      <c r="AM301" s="40"/>
      <c r="AN301" s="40"/>
      <c r="AP301" s="40"/>
      <c r="AR301" s="40"/>
    </row>
    <row r="302" spans="2:44" ht="12.75" customHeight="1" x14ac:dyDescent="0.15">
      <c r="B302" s="40"/>
      <c r="C302" s="40"/>
      <c r="D302" s="40"/>
      <c r="E302" s="185"/>
      <c r="F302" s="40"/>
      <c r="G302" s="40"/>
      <c r="H302" s="53"/>
      <c r="R302" s="40"/>
      <c r="S302" s="40"/>
      <c r="U302" s="40"/>
      <c r="V302" s="40"/>
      <c r="W302" s="40"/>
      <c r="Y302" s="40"/>
      <c r="Z302" s="40"/>
      <c r="AA302" s="41"/>
      <c r="AB302" s="41"/>
      <c r="AC302" s="41"/>
      <c r="AD302" s="41"/>
      <c r="AE302" s="41"/>
      <c r="AF302" s="40"/>
      <c r="AG302" s="40"/>
      <c r="AH302" s="5"/>
      <c r="AI302" s="5"/>
      <c r="AJ302" s="40"/>
      <c r="AK302" s="40"/>
      <c r="AL302" s="40"/>
      <c r="AM302" s="40"/>
      <c r="AN302" s="40"/>
      <c r="AP302" s="40"/>
      <c r="AR302" s="40"/>
    </row>
    <row r="303" spans="2:44" ht="12.75" customHeight="1" x14ac:dyDescent="0.15">
      <c r="B303" s="40"/>
      <c r="C303" s="40"/>
      <c r="D303" s="40"/>
      <c r="E303" s="185"/>
      <c r="F303" s="40"/>
      <c r="G303" s="40"/>
      <c r="H303" s="53"/>
      <c r="R303" s="40"/>
      <c r="S303" s="40"/>
      <c r="U303" s="40"/>
      <c r="V303" s="40"/>
      <c r="W303" s="40"/>
      <c r="Y303" s="40"/>
      <c r="Z303" s="40"/>
      <c r="AA303" s="41"/>
      <c r="AB303" s="41"/>
      <c r="AC303" s="41"/>
      <c r="AD303" s="41"/>
      <c r="AE303" s="41"/>
      <c r="AF303" s="40"/>
      <c r="AG303" s="40"/>
      <c r="AH303" s="5"/>
      <c r="AI303" s="5"/>
      <c r="AJ303" s="40"/>
      <c r="AK303" s="40"/>
      <c r="AL303" s="40"/>
      <c r="AM303" s="40"/>
      <c r="AN303" s="40"/>
      <c r="AP303" s="40"/>
      <c r="AR303" s="40"/>
    </row>
    <row r="304" spans="2:44" ht="12.75" customHeight="1" x14ac:dyDescent="0.15">
      <c r="B304" s="40"/>
      <c r="C304" s="40"/>
      <c r="D304" s="40"/>
      <c r="E304" s="185"/>
      <c r="F304" s="40"/>
      <c r="G304" s="40"/>
      <c r="H304" s="53"/>
      <c r="R304" s="40"/>
      <c r="S304" s="40"/>
      <c r="U304" s="40"/>
      <c r="V304" s="40"/>
      <c r="W304" s="40"/>
      <c r="Y304" s="40"/>
      <c r="Z304" s="40"/>
      <c r="AA304" s="41"/>
      <c r="AB304" s="41"/>
      <c r="AC304" s="41"/>
      <c r="AD304" s="41"/>
      <c r="AE304" s="41"/>
      <c r="AF304" s="40"/>
      <c r="AG304" s="40"/>
      <c r="AH304" s="5"/>
      <c r="AI304" s="5"/>
      <c r="AJ304" s="40"/>
      <c r="AK304" s="40"/>
      <c r="AL304" s="40"/>
      <c r="AM304" s="40"/>
      <c r="AN304" s="40"/>
      <c r="AP304" s="40"/>
      <c r="AR304" s="40"/>
    </row>
    <row r="305" spans="2:44" ht="12.75" customHeight="1" x14ac:dyDescent="0.15">
      <c r="B305" s="40"/>
      <c r="C305" s="40"/>
      <c r="D305" s="40"/>
      <c r="E305" s="185"/>
      <c r="F305" s="40"/>
      <c r="G305" s="40"/>
      <c r="H305" s="53"/>
      <c r="R305" s="40"/>
      <c r="S305" s="40"/>
      <c r="U305" s="40"/>
      <c r="V305" s="40"/>
      <c r="W305" s="40"/>
      <c r="Y305" s="40"/>
      <c r="Z305" s="40"/>
      <c r="AA305" s="41"/>
      <c r="AB305" s="41"/>
      <c r="AC305" s="41"/>
      <c r="AD305" s="41"/>
      <c r="AE305" s="41"/>
      <c r="AF305" s="40"/>
      <c r="AG305" s="40"/>
      <c r="AH305" s="5"/>
      <c r="AI305" s="5"/>
      <c r="AJ305" s="40"/>
      <c r="AK305" s="40"/>
      <c r="AL305" s="40"/>
      <c r="AM305" s="40"/>
      <c r="AN305" s="40"/>
      <c r="AP305" s="40"/>
      <c r="AR305" s="40"/>
    </row>
    <row r="306" spans="2:44" ht="12.75" customHeight="1" x14ac:dyDescent="0.15">
      <c r="B306" s="40"/>
      <c r="C306" s="40"/>
      <c r="D306" s="40"/>
      <c r="E306" s="185"/>
      <c r="F306" s="40"/>
      <c r="G306" s="40"/>
      <c r="H306" s="53"/>
      <c r="R306" s="40"/>
      <c r="S306" s="40"/>
      <c r="U306" s="40"/>
      <c r="V306" s="40"/>
      <c r="W306" s="40"/>
      <c r="Y306" s="40"/>
      <c r="Z306" s="40"/>
      <c r="AA306" s="41"/>
      <c r="AB306" s="41"/>
      <c r="AC306" s="41"/>
      <c r="AD306" s="41"/>
      <c r="AE306" s="41"/>
      <c r="AF306" s="40"/>
      <c r="AG306" s="40"/>
      <c r="AH306" s="5"/>
      <c r="AI306" s="5"/>
      <c r="AJ306" s="40"/>
      <c r="AK306" s="40"/>
      <c r="AL306" s="40"/>
      <c r="AM306" s="40"/>
      <c r="AN306" s="40"/>
      <c r="AP306" s="40"/>
      <c r="AR306" s="40"/>
    </row>
    <row r="307" spans="2:44" ht="12.75" customHeight="1" x14ac:dyDescent="0.15">
      <c r="B307" s="40"/>
      <c r="C307" s="40"/>
      <c r="D307" s="40"/>
      <c r="E307" s="185"/>
      <c r="F307" s="40"/>
      <c r="G307" s="40"/>
      <c r="H307" s="53"/>
      <c r="R307" s="40"/>
      <c r="S307" s="40"/>
      <c r="U307" s="40"/>
      <c r="V307" s="40"/>
      <c r="W307" s="40"/>
      <c r="Y307" s="40"/>
      <c r="Z307" s="40"/>
      <c r="AA307" s="41"/>
      <c r="AB307" s="41"/>
      <c r="AC307" s="41"/>
      <c r="AD307" s="41"/>
      <c r="AE307" s="41"/>
      <c r="AF307" s="40"/>
      <c r="AG307" s="40"/>
      <c r="AH307" s="5"/>
      <c r="AI307" s="5"/>
      <c r="AJ307" s="40"/>
      <c r="AK307" s="40"/>
      <c r="AL307" s="40"/>
      <c r="AM307" s="40"/>
      <c r="AN307" s="40"/>
      <c r="AP307" s="40"/>
      <c r="AR307" s="40"/>
    </row>
    <row r="308" spans="2:44" ht="12.75" customHeight="1" x14ac:dyDescent="0.15">
      <c r="B308" s="40"/>
      <c r="C308" s="40"/>
      <c r="D308" s="40"/>
      <c r="E308" s="185"/>
      <c r="F308" s="40"/>
      <c r="G308" s="40"/>
      <c r="H308" s="53"/>
      <c r="R308" s="40"/>
      <c r="S308" s="40"/>
      <c r="U308" s="40"/>
      <c r="V308" s="40"/>
      <c r="W308" s="40"/>
      <c r="Y308" s="40"/>
      <c r="Z308" s="40"/>
      <c r="AA308" s="41"/>
      <c r="AB308" s="41"/>
      <c r="AC308" s="41"/>
      <c r="AD308" s="41"/>
      <c r="AE308" s="41"/>
      <c r="AF308" s="40"/>
      <c r="AG308" s="40"/>
      <c r="AH308" s="5"/>
      <c r="AI308" s="5"/>
      <c r="AJ308" s="40"/>
      <c r="AK308" s="40"/>
      <c r="AL308" s="40"/>
      <c r="AM308" s="40"/>
      <c r="AN308" s="40"/>
      <c r="AP308" s="40"/>
      <c r="AR308" s="40"/>
    </row>
    <row r="309" spans="2:44" ht="12.75" customHeight="1" x14ac:dyDescent="0.15">
      <c r="B309" s="40"/>
      <c r="C309" s="40"/>
      <c r="D309" s="40"/>
      <c r="E309" s="185"/>
      <c r="F309" s="40"/>
      <c r="G309" s="40"/>
      <c r="H309" s="53"/>
      <c r="R309" s="40"/>
      <c r="S309" s="40"/>
      <c r="U309" s="40"/>
      <c r="V309" s="40"/>
      <c r="W309" s="40"/>
      <c r="Y309" s="40"/>
      <c r="Z309" s="40"/>
      <c r="AA309" s="41"/>
      <c r="AB309" s="41"/>
      <c r="AC309" s="41"/>
      <c r="AD309" s="41"/>
      <c r="AE309" s="41"/>
      <c r="AF309" s="40"/>
      <c r="AG309" s="40"/>
      <c r="AH309" s="5"/>
      <c r="AI309" s="5"/>
      <c r="AJ309" s="40"/>
      <c r="AK309" s="40"/>
      <c r="AL309" s="40"/>
      <c r="AM309" s="40"/>
      <c r="AN309" s="40"/>
      <c r="AP309" s="40"/>
      <c r="AR309" s="40"/>
    </row>
    <row r="310" spans="2:44" ht="12.75" customHeight="1" x14ac:dyDescent="0.15">
      <c r="B310" s="40"/>
      <c r="C310" s="40"/>
      <c r="D310" s="40"/>
      <c r="E310" s="185"/>
      <c r="F310" s="40"/>
      <c r="G310" s="40"/>
      <c r="H310" s="53"/>
      <c r="R310" s="40"/>
      <c r="S310" s="40"/>
      <c r="U310" s="40"/>
      <c r="V310" s="40"/>
      <c r="W310" s="40"/>
      <c r="Y310" s="40"/>
      <c r="Z310" s="40"/>
      <c r="AA310" s="41"/>
      <c r="AB310" s="41"/>
      <c r="AC310" s="41"/>
      <c r="AD310" s="41"/>
      <c r="AE310" s="41"/>
      <c r="AF310" s="40"/>
      <c r="AG310" s="40"/>
      <c r="AH310" s="5"/>
      <c r="AI310" s="5"/>
      <c r="AJ310" s="40"/>
      <c r="AK310" s="40"/>
      <c r="AL310" s="40"/>
      <c r="AM310" s="40"/>
      <c r="AN310" s="40"/>
      <c r="AP310" s="40"/>
      <c r="AR310" s="40"/>
    </row>
    <row r="311" spans="2:44" ht="12.75" customHeight="1" x14ac:dyDescent="0.15">
      <c r="B311" s="40"/>
      <c r="C311" s="40"/>
      <c r="D311" s="40"/>
      <c r="E311" s="185"/>
      <c r="F311" s="40"/>
      <c r="G311" s="40"/>
      <c r="H311" s="53"/>
      <c r="R311" s="40"/>
      <c r="S311" s="40"/>
      <c r="U311" s="40"/>
      <c r="V311" s="40"/>
      <c r="W311" s="40"/>
      <c r="Y311" s="40"/>
      <c r="Z311" s="40"/>
      <c r="AA311" s="41"/>
      <c r="AB311" s="41"/>
      <c r="AC311" s="41"/>
      <c r="AD311" s="41"/>
      <c r="AE311" s="41"/>
      <c r="AF311" s="40"/>
      <c r="AG311" s="40"/>
      <c r="AH311" s="5"/>
      <c r="AI311" s="5"/>
      <c r="AJ311" s="40"/>
      <c r="AK311" s="40"/>
      <c r="AL311" s="40"/>
      <c r="AM311" s="40"/>
      <c r="AN311" s="40"/>
      <c r="AP311" s="40"/>
      <c r="AR311" s="40"/>
    </row>
    <row r="312" spans="2:44" ht="12.75" customHeight="1" x14ac:dyDescent="0.15">
      <c r="B312" s="40"/>
      <c r="C312" s="40"/>
      <c r="D312" s="40"/>
      <c r="E312" s="185"/>
      <c r="F312" s="40"/>
      <c r="G312" s="40"/>
      <c r="H312" s="53"/>
      <c r="R312" s="40"/>
      <c r="S312" s="40"/>
      <c r="U312" s="40"/>
      <c r="V312" s="40"/>
      <c r="W312" s="40"/>
      <c r="Y312" s="40"/>
      <c r="Z312" s="40"/>
      <c r="AA312" s="41"/>
      <c r="AB312" s="41"/>
      <c r="AC312" s="41"/>
      <c r="AD312" s="41"/>
      <c r="AE312" s="41"/>
      <c r="AF312" s="40"/>
      <c r="AG312" s="40"/>
      <c r="AH312" s="5"/>
      <c r="AI312" s="5"/>
      <c r="AJ312" s="40"/>
      <c r="AK312" s="40"/>
      <c r="AL312" s="40"/>
      <c r="AM312" s="40"/>
      <c r="AN312" s="40"/>
      <c r="AP312" s="40"/>
      <c r="AR312" s="40"/>
    </row>
    <row r="313" spans="2:44" ht="12.75" customHeight="1" x14ac:dyDescent="0.15">
      <c r="B313" s="40"/>
      <c r="C313" s="40"/>
      <c r="D313" s="40"/>
      <c r="E313" s="185"/>
      <c r="F313" s="40"/>
      <c r="G313" s="40"/>
      <c r="H313" s="53"/>
      <c r="R313" s="40"/>
      <c r="S313" s="40"/>
      <c r="U313" s="40"/>
      <c r="V313" s="40"/>
      <c r="W313" s="40"/>
      <c r="Y313" s="40"/>
      <c r="Z313" s="40"/>
      <c r="AA313" s="41"/>
      <c r="AB313" s="41"/>
      <c r="AC313" s="41"/>
      <c r="AD313" s="41"/>
      <c r="AE313" s="41"/>
      <c r="AF313" s="40"/>
      <c r="AG313" s="40"/>
      <c r="AH313" s="5"/>
      <c r="AI313" s="5"/>
      <c r="AJ313" s="40"/>
      <c r="AK313" s="40"/>
      <c r="AL313" s="40"/>
      <c r="AM313" s="40"/>
      <c r="AN313" s="40"/>
      <c r="AP313" s="40"/>
      <c r="AR313" s="40"/>
    </row>
    <row r="314" spans="2:44" ht="12.75" customHeight="1" x14ac:dyDescent="0.15">
      <c r="B314" s="40"/>
      <c r="C314" s="40"/>
      <c r="D314" s="40"/>
      <c r="E314" s="185"/>
      <c r="F314" s="40"/>
      <c r="G314" s="40"/>
      <c r="H314" s="53"/>
      <c r="R314" s="40"/>
      <c r="S314" s="40"/>
      <c r="U314" s="40"/>
      <c r="V314" s="40"/>
      <c r="W314" s="40"/>
      <c r="Y314" s="40"/>
      <c r="Z314" s="40"/>
      <c r="AA314" s="41"/>
      <c r="AB314" s="41"/>
      <c r="AC314" s="41"/>
      <c r="AD314" s="41"/>
      <c r="AE314" s="41"/>
      <c r="AF314" s="40"/>
      <c r="AG314" s="40"/>
      <c r="AH314" s="5"/>
      <c r="AI314" s="5"/>
      <c r="AJ314" s="40"/>
      <c r="AK314" s="40"/>
      <c r="AL314" s="40"/>
      <c r="AM314" s="40"/>
      <c r="AN314" s="40"/>
      <c r="AP314" s="40"/>
      <c r="AR314" s="40"/>
    </row>
    <row r="315" spans="2:44" ht="12.75" customHeight="1" x14ac:dyDescent="0.15">
      <c r="B315" s="40"/>
      <c r="C315" s="40"/>
      <c r="D315" s="40"/>
      <c r="E315" s="185"/>
      <c r="F315" s="40"/>
      <c r="G315" s="40"/>
      <c r="H315" s="53"/>
      <c r="R315" s="40"/>
      <c r="S315" s="40"/>
      <c r="U315" s="40"/>
      <c r="V315" s="40"/>
      <c r="W315" s="40"/>
      <c r="Y315" s="40"/>
      <c r="Z315" s="40"/>
      <c r="AA315" s="41"/>
      <c r="AB315" s="41"/>
      <c r="AC315" s="41"/>
      <c r="AD315" s="41"/>
      <c r="AE315" s="41"/>
      <c r="AF315" s="40"/>
      <c r="AG315" s="40"/>
      <c r="AH315" s="5"/>
      <c r="AI315" s="5"/>
      <c r="AJ315" s="40"/>
      <c r="AK315" s="40"/>
      <c r="AL315" s="40"/>
      <c r="AM315" s="40"/>
      <c r="AN315" s="40"/>
      <c r="AP315" s="40"/>
      <c r="AR315" s="40"/>
    </row>
    <row r="316" spans="2:44" ht="12.75" customHeight="1" x14ac:dyDescent="0.15">
      <c r="B316" s="40"/>
      <c r="C316" s="40"/>
      <c r="D316" s="40"/>
      <c r="E316" s="185"/>
      <c r="F316" s="40"/>
      <c r="G316" s="40"/>
      <c r="H316" s="53"/>
      <c r="R316" s="40"/>
      <c r="S316" s="40"/>
      <c r="U316" s="40"/>
      <c r="V316" s="40"/>
      <c r="W316" s="40"/>
      <c r="Y316" s="40"/>
      <c r="Z316" s="40"/>
      <c r="AA316" s="41"/>
      <c r="AB316" s="41"/>
      <c r="AC316" s="41"/>
      <c r="AD316" s="41"/>
      <c r="AE316" s="41"/>
      <c r="AF316" s="40"/>
      <c r="AG316" s="40"/>
      <c r="AH316" s="5"/>
      <c r="AI316" s="5"/>
      <c r="AJ316" s="40"/>
      <c r="AK316" s="40"/>
      <c r="AL316" s="40"/>
      <c r="AM316" s="40"/>
      <c r="AN316" s="40"/>
      <c r="AP316" s="40"/>
      <c r="AR316" s="40"/>
    </row>
    <row r="317" spans="2:44" ht="12.75" customHeight="1" x14ac:dyDescent="0.15">
      <c r="B317" s="40"/>
      <c r="C317" s="40"/>
      <c r="D317" s="40"/>
      <c r="E317" s="185"/>
      <c r="F317" s="40"/>
      <c r="G317" s="40"/>
      <c r="H317" s="53"/>
      <c r="R317" s="40"/>
      <c r="S317" s="40"/>
      <c r="U317" s="40"/>
      <c r="V317" s="40"/>
      <c r="W317" s="40"/>
      <c r="Y317" s="40"/>
      <c r="Z317" s="40"/>
      <c r="AA317" s="41"/>
      <c r="AB317" s="41"/>
      <c r="AC317" s="41"/>
      <c r="AD317" s="41"/>
      <c r="AE317" s="41"/>
      <c r="AF317" s="40"/>
      <c r="AG317" s="40"/>
      <c r="AH317" s="5"/>
      <c r="AI317" s="5"/>
      <c r="AJ317" s="40"/>
      <c r="AK317" s="40"/>
      <c r="AL317" s="40"/>
      <c r="AM317" s="40"/>
      <c r="AN317" s="40"/>
      <c r="AP317" s="40"/>
      <c r="AR317" s="40"/>
    </row>
    <row r="318" spans="2:44" ht="12.75" customHeight="1" x14ac:dyDescent="0.15">
      <c r="B318" s="40"/>
      <c r="C318" s="40"/>
      <c r="D318" s="40"/>
      <c r="E318" s="185"/>
      <c r="F318" s="40"/>
      <c r="G318" s="40"/>
      <c r="H318" s="53"/>
      <c r="R318" s="40"/>
      <c r="S318" s="40"/>
      <c r="U318" s="40"/>
      <c r="V318" s="40"/>
      <c r="W318" s="40"/>
      <c r="Y318" s="40"/>
      <c r="Z318" s="40"/>
      <c r="AA318" s="41"/>
      <c r="AB318" s="41"/>
      <c r="AC318" s="41"/>
      <c r="AD318" s="41"/>
      <c r="AE318" s="41"/>
      <c r="AF318" s="40"/>
      <c r="AG318" s="40"/>
      <c r="AH318" s="5"/>
      <c r="AI318" s="5"/>
      <c r="AJ318" s="40"/>
      <c r="AK318" s="40"/>
      <c r="AL318" s="40"/>
      <c r="AM318" s="40"/>
      <c r="AN318" s="40"/>
      <c r="AP318" s="40"/>
      <c r="AR318" s="40"/>
    </row>
    <row r="319" spans="2:44" ht="12.75" customHeight="1" x14ac:dyDescent="0.15">
      <c r="B319" s="40"/>
      <c r="C319" s="40"/>
      <c r="D319" s="40"/>
      <c r="E319" s="185"/>
      <c r="F319" s="40"/>
      <c r="G319" s="40"/>
      <c r="H319" s="53"/>
      <c r="R319" s="40"/>
      <c r="S319" s="40"/>
      <c r="U319" s="40"/>
      <c r="V319" s="40"/>
      <c r="W319" s="40"/>
      <c r="Y319" s="40"/>
      <c r="Z319" s="40"/>
      <c r="AA319" s="41"/>
      <c r="AB319" s="41"/>
      <c r="AC319" s="41"/>
      <c r="AD319" s="41"/>
      <c r="AE319" s="41"/>
      <c r="AF319" s="40"/>
      <c r="AG319" s="40"/>
      <c r="AH319" s="5"/>
      <c r="AI319" s="5"/>
      <c r="AJ319" s="40"/>
      <c r="AK319" s="40"/>
      <c r="AL319" s="40"/>
      <c r="AM319" s="40"/>
      <c r="AN319" s="40"/>
      <c r="AP319" s="40"/>
      <c r="AR319" s="40"/>
    </row>
    <row r="320" spans="2:44" ht="12.75" customHeight="1" x14ac:dyDescent="0.15">
      <c r="B320" s="40"/>
      <c r="C320" s="40"/>
      <c r="D320" s="40"/>
      <c r="E320" s="185"/>
      <c r="F320" s="40"/>
      <c r="G320" s="40"/>
      <c r="H320" s="53"/>
      <c r="R320" s="40"/>
      <c r="S320" s="40"/>
      <c r="U320" s="40"/>
      <c r="V320" s="40"/>
      <c r="W320" s="40"/>
      <c r="Y320" s="40"/>
      <c r="Z320" s="40"/>
      <c r="AA320" s="41"/>
      <c r="AB320" s="41"/>
      <c r="AC320" s="41"/>
      <c r="AD320" s="41"/>
      <c r="AE320" s="41"/>
      <c r="AF320" s="40"/>
      <c r="AG320" s="40"/>
      <c r="AH320" s="5"/>
      <c r="AI320" s="5"/>
      <c r="AJ320" s="40"/>
      <c r="AK320" s="40"/>
      <c r="AL320" s="40"/>
      <c r="AM320" s="40"/>
      <c r="AN320" s="40"/>
      <c r="AP320" s="40"/>
      <c r="AR320" s="40"/>
    </row>
    <row r="321" spans="2:44" ht="12.75" customHeight="1" x14ac:dyDescent="0.15">
      <c r="B321" s="40"/>
      <c r="C321" s="40"/>
      <c r="D321" s="40"/>
      <c r="E321" s="185"/>
      <c r="F321" s="40"/>
      <c r="G321" s="40"/>
      <c r="H321" s="53"/>
      <c r="R321" s="40"/>
      <c r="S321" s="40"/>
      <c r="U321" s="40"/>
      <c r="V321" s="40"/>
      <c r="W321" s="40"/>
      <c r="Y321" s="40"/>
      <c r="Z321" s="40"/>
      <c r="AA321" s="41"/>
      <c r="AB321" s="41"/>
      <c r="AC321" s="41"/>
      <c r="AD321" s="41"/>
      <c r="AE321" s="41"/>
      <c r="AF321" s="40"/>
      <c r="AG321" s="40"/>
      <c r="AH321" s="5"/>
      <c r="AI321" s="5"/>
      <c r="AJ321" s="40"/>
      <c r="AK321" s="40"/>
      <c r="AL321" s="40"/>
      <c r="AM321" s="40"/>
      <c r="AN321" s="40"/>
      <c r="AP321" s="40"/>
      <c r="AR321" s="40"/>
    </row>
    <row r="322" spans="2:44" ht="12.75" customHeight="1" x14ac:dyDescent="0.15">
      <c r="B322" s="40"/>
      <c r="C322" s="40"/>
      <c r="D322" s="40"/>
      <c r="E322" s="185"/>
      <c r="F322" s="40"/>
      <c r="G322" s="40"/>
      <c r="H322" s="53"/>
      <c r="R322" s="40"/>
      <c r="S322" s="40"/>
      <c r="U322" s="40"/>
      <c r="V322" s="40"/>
      <c r="W322" s="40"/>
      <c r="Y322" s="40"/>
      <c r="Z322" s="40"/>
      <c r="AA322" s="41"/>
      <c r="AB322" s="41"/>
      <c r="AC322" s="41"/>
      <c r="AD322" s="41"/>
      <c r="AE322" s="41"/>
      <c r="AF322" s="40"/>
      <c r="AG322" s="40"/>
      <c r="AH322" s="5"/>
      <c r="AI322" s="5"/>
      <c r="AJ322" s="40"/>
      <c r="AK322" s="40"/>
      <c r="AL322" s="40"/>
      <c r="AM322" s="40"/>
      <c r="AN322" s="40"/>
      <c r="AP322" s="40"/>
      <c r="AR322" s="40"/>
    </row>
    <row r="323" spans="2:44" ht="12.75" customHeight="1" x14ac:dyDescent="0.15">
      <c r="B323" s="40"/>
      <c r="C323" s="40"/>
      <c r="D323" s="40"/>
      <c r="E323" s="185"/>
      <c r="F323" s="40"/>
      <c r="G323" s="40"/>
      <c r="H323" s="53"/>
      <c r="R323" s="40"/>
      <c r="S323" s="40"/>
      <c r="U323" s="40"/>
      <c r="V323" s="40"/>
      <c r="W323" s="40"/>
      <c r="Y323" s="40"/>
      <c r="Z323" s="40"/>
      <c r="AA323" s="41"/>
      <c r="AB323" s="41"/>
      <c r="AC323" s="41"/>
      <c r="AD323" s="41"/>
      <c r="AE323" s="41"/>
      <c r="AF323" s="40"/>
      <c r="AG323" s="40"/>
      <c r="AH323" s="5"/>
      <c r="AI323" s="5"/>
      <c r="AJ323" s="40"/>
      <c r="AK323" s="40"/>
      <c r="AL323" s="40"/>
      <c r="AM323" s="40"/>
      <c r="AN323" s="40"/>
      <c r="AP323" s="40"/>
      <c r="AR323" s="40"/>
    </row>
    <row r="324" spans="2:44" ht="12.75" customHeight="1" x14ac:dyDescent="0.15">
      <c r="B324" s="40"/>
      <c r="C324" s="40"/>
      <c r="D324" s="40"/>
      <c r="E324" s="185"/>
      <c r="F324" s="40"/>
      <c r="G324" s="40"/>
      <c r="H324" s="53"/>
      <c r="R324" s="40"/>
      <c r="S324" s="40"/>
      <c r="U324" s="40"/>
      <c r="V324" s="40"/>
      <c r="W324" s="40"/>
      <c r="Y324" s="40"/>
      <c r="Z324" s="40"/>
      <c r="AA324" s="41"/>
      <c r="AB324" s="41"/>
      <c r="AC324" s="41"/>
      <c r="AD324" s="41"/>
      <c r="AE324" s="41"/>
      <c r="AF324" s="40"/>
      <c r="AG324" s="40"/>
      <c r="AH324" s="5"/>
      <c r="AI324" s="5"/>
      <c r="AJ324" s="40"/>
      <c r="AK324" s="40"/>
      <c r="AL324" s="40"/>
      <c r="AM324" s="40"/>
      <c r="AN324" s="40"/>
      <c r="AP324" s="40"/>
      <c r="AR324" s="40"/>
    </row>
    <row r="325" spans="2:44" ht="12.75" customHeight="1" x14ac:dyDescent="0.15">
      <c r="B325" s="40"/>
      <c r="C325" s="40"/>
      <c r="D325" s="40"/>
      <c r="E325" s="185"/>
      <c r="F325" s="40"/>
      <c r="G325" s="40"/>
      <c r="H325" s="53"/>
      <c r="R325" s="40"/>
      <c r="S325" s="40"/>
      <c r="U325" s="40"/>
      <c r="V325" s="40"/>
      <c r="W325" s="40"/>
      <c r="Y325" s="40"/>
      <c r="Z325" s="40"/>
      <c r="AA325" s="41"/>
      <c r="AB325" s="41"/>
      <c r="AC325" s="41"/>
      <c r="AD325" s="41"/>
      <c r="AE325" s="41"/>
      <c r="AF325" s="40"/>
      <c r="AG325" s="40"/>
      <c r="AH325" s="5"/>
      <c r="AI325" s="5"/>
      <c r="AJ325" s="40"/>
      <c r="AK325" s="40"/>
      <c r="AL325" s="40"/>
      <c r="AM325" s="40"/>
      <c r="AN325" s="40"/>
      <c r="AP325" s="40"/>
      <c r="AR325" s="40"/>
    </row>
    <row r="326" spans="2:44" ht="12.75" customHeight="1" x14ac:dyDescent="0.15">
      <c r="B326" s="40"/>
      <c r="C326" s="40"/>
      <c r="D326" s="40"/>
      <c r="E326" s="185"/>
      <c r="F326" s="40"/>
      <c r="G326" s="40"/>
      <c r="H326" s="53"/>
      <c r="R326" s="40"/>
      <c r="S326" s="40"/>
      <c r="U326" s="40"/>
      <c r="V326" s="40"/>
      <c r="W326" s="40"/>
      <c r="Y326" s="40"/>
      <c r="Z326" s="40"/>
      <c r="AA326" s="41"/>
      <c r="AB326" s="41"/>
      <c r="AC326" s="41"/>
      <c r="AD326" s="41"/>
      <c r="AE326" s="41"/>
      <c r="AF326" s="40"/>
      <c r="AG326" s="40"/>
      <c r="AH326" s="5"/>
      <c r="AI326" s="5"/>
      <c r="AJ326" s="40"/>
      <c r="AK326" s="40"/>
      <c r="AL326" s="40"/>
      <c r="AM326" s="40"/>
      <c r="AN326" s="40"/>
      <c r="AP326" s="40"/>
      <c r="AR326" s="40"/>
    </row>
    <row r="327" spans="2:44" ht="12.75" customHeight="1" x14ac:dyDescent="0.15">
      <c r="B327" s="40"/>
      <c r="C327" s="40"/>
      <c r="D327" s="40"/>
      <c r="E327" s="185"/>
      <c r="F327" s="40"/>
      <c r="G327" s="40"/>
      <c r="H327" s="53"/>
      <c r="R327" s="40"/>
      <c r="S327" s="40"/>
      <c r="U327" s="40"/>
      <c r="V327" s="40"/>
      <c r="W327" s="40"/>
      <c r="Y327" s="40"/>
      <c r="Z327" s="40"/>
      <c r="AA327" s="41"/>
      <c r="AB327" s="41"/>
      <c r="AC327" s="41"/>
      <c r="AD327" s="41"/>
      <c r="AE327" s="41"/>
      <c r="AF327" s="40"/>
      <c r="AG327" s="40"/>
      <c r="AH327" s="5"/>
      <c r="AI327" s="5"/>
      <c r="AJ327" s="40"/>
      <c r="AK327" s="40"/>
      <c r="AL327" s="40"/>
      <c r="AM327" s="40"/>
      <c r="AN327" s="40"/>
      <c r="AP327" s="40"/>
      <c r="AR327" s="40"/>
    </row>
    <row r="328" spans="2:44" ht="12.75" customHeight="1" x14ac:dyDescent="0.15">
      <c r="B328" s="40"/>
      <c r="C328" s="40"/>
      <c r="D328" s="40"/>
      <c r="E328" s="185"/>
      <c r="F328" s="40"/>
      <c r="G328" s="40"/>
      <c r="H328" s="53"/>
      <c r="R328" s="40"/>
      <c r="S328" s="40"/>
      <c r="U328" s="40"/>
      <c r="V328" s="40"/>
      <c r="W328" s="40"/>
      <c r="Y328" s="40"/>
      <c r="Z328" s="40"/>
      <c r="AA328" s="41"/>
      <c r="AB328" s="41"/>
      <c r="AC328" s="41"/>
      <c r="AD328" s="41"/>
      <c r="AE328" s="41"/>
      <c r="AF328" s="40"/>
      <c r="AG328" s="40"/>
      <c r="AH328" s="5"/>
      <c r="AI328" s="5"/>
      <c r="AJ328" s="40"/>
      <c r="AK328" s="40"/>
      <c r="AL328" s="40"/>
      <c r="AM328" s="40"/>
      <c r="AN328" s="40"/>
      <c r="AP328" s="40"/>
      <c r="AR328" s="40"/>
    </row>
    <row r="329" spans="2:44" ht="12.75" customHeight="1" x14ac:dyDescent="0.15">
      <c r="B329" s="40"/>
      <c r="C329" s="40"/>
      <c r="D329" s="40"/>
      <c r="E329" s="185"/>
      <c r="F329" s="40"/>
      <c r="G329" s="40"/>
      <c r="H329" s="53"/>
      <c r="R329" s="40"/>
      <c r="S329" s="40"/>
      <c r="U329" s="40"/>
      <c r="V329" s="40"/>
      <c r="W329" s="40"/>
      <c r="Y329" s="40"/>
      <c r="Z329" s="40"/>
      <c r="AA329" s="41"/>
      <c r="AB329" s="41"/>
      <c r="AC329" s="41"/>
      <c r="AD329" s="41"/>
      <c r="AE329" s="41"/>
      <c r="AF329" s="40"/>
      <c r="AG329" s="40"/>
      <c r="AH329" s="5"/>
      <c r="AI329" s="5"/>
      <c r="AJ329" s="40"/>
      <c r="AK329" s="40"/>
      <c r="AL329" s="40"/>
      <c r="AM329" s="40"/>
      <c r="AN329" s="40"/>
      <c r="AP329" s="40"/>
      <c r="AR329" s="40"/>
    </row>
    <row r="330" spans="2:44" ht="12.75" customHeight="1" x14ac:dyDescent="0.15">
      <c r="B330" s="40"/>
      <c r="C330" s="40"/>
      <c r="D330" s="40"/>
      <c r="E330" s="185"/>
      <c r="F330" s="40"/>
      <c r="G330" s="40"/>
      <c r="H330" s="53"/>
      <c r="R330" s="40"/>
      <c r="S330" s="40"/>
      <c r="U330" s="40"/>
      <c r="V330" s="40"/>
      <c r="W330" s="40"/>
      <c r="Y330" s="40"/>
      <c r="Z330" s="40"/>
      <c r="AA330" s="41"/>
      <c r="AB330" s="41"/>
      <c r="AC330" s="41"/>
      <c r="AD330" s="41"/>
      <c r="AE330" s="41"/>
      <c r="AF330" s="40"/>
      <c r="AG330" s="40"/>
      <c r="AH330" s="5"/>
      <c r="AI330" s="5"/>
      <c r="AJ330" s="40"/>
      <c r="AK330" s="40"/>
      <c r="AL330" s="40"/>
      <c r="AM330" s="40"/>
      <c r="AN330" s="40"/>
      <c r="AP330" s="40"/>
      <c r="AR330" s="40"/>
    </row>
    <row r="331" spans="2:44" ht="12.75" customHeight="1" x14ac:dyDescent="0.15">
      <c r="B331" s="40"/>
      <c r="C331" s="40"/>
      <c r="D331" s="40"/>
      <c r="E331" s="185"/>
      <c r="F331" s="40"/>
      <c r="G331" s="40"/>
      <c r="H331" s="53"/>
      <c r="R331" s="40"/>
      <c r="S331" s="40"/>
      <c r="U331" s="40"/>
      <c r="V331" s="40"/>
      <c r="W331" s="40"/>
      <c r="Y331" s="40"/>
      <c r="Z331" s="40"/>
      <c r="AA331" s="41"/>
      <c r="AB331" s="41"/>
      <c r="AC331" s="41"/>
      <c r="AD331" s="41"/>
      <c r="AE331" s="41"/>
      <c r="AF331" s="40"/>
      <c r="AG331" s="40"/>
      <c r="AH331" s="5"/>
      <c r="AI331" s="5"/>
      <c r="AJ331" s="40"/>
      <c r="AK331" s="40"/>
      <c r="AL331" s="40"/>
      <c r="AM331" s="40"/>
      <c r="AN331" s="40"/>
      <c r="AP331" s="40"/>
      <c r="AR331" s="40"/>
    </row>
    <row r="332" spans="2:44" ht="12.75" customHeight="1" x14ac:dyDescent="0.15">
      <c r="B332" s="40"/>
      <c r="C332" s="40"/>
      <c r="D332" s="40"/>
      <c r="E332" s="185"/>
      <c r="F332" s="40"/>
      <c r="G332" s="40"/>
      <c r="H332" s="53"/>
      <c r="R332" s="40"/>
      <c r="S332" s="40"/>
      <c r="U332" s="40"/>
      <c r="V332" s="40"/>
      <c r="W332" s="40"/>
      <c r="Y332" s="40"/>
      <c r="Z332" s="40"/>
      <c r="AA332" s="41"/>
      <c r="AB332" s="41"/>
      <c r="AC332" s="41"/>
      <c r="AD332" s="41"/>
      <c r="AE332" s="41"/>
      <c r="AF332" s="40"/>
      <c r="AG332" s="40"/>
      <c r="AH332" s="5"/>
      <c r="AI332" s="5"/>
      <c r="AJ332" s="40"/>
      <c r="AK332" s="40"/>
      <c r="AL332" s="40"/>
      <c r="AM332" s="40"/>
      <c r="AN332" s="40"/>
      <c r="AP332" s="40"/>
      <c r="AR332" s="40"/>
    </row>
    <row r="333" spans="2:44" ht="12.75" customHeight="1" x14ac:dyDescent="0.15">
      <c r="B333" s="40"/>
      <c r="C333" s="40"/>
      <c r="D333" s="40"/>
      <c r="E333" s="185"/>
      <c r="F333" s="40"/>
      <c r="G333" s="40"/>
      <c r="H333" s="53"/>
      <c r="R333" s="40"/>
      <c r="S333" s="40"/>
      <c r="U333" s="40"/>
      <c r="V333" s="40"/>
      <c r="W333" s="40"/>
      <c r="Y333" s="40"/>
      <c r="Z333" s="40"/>
      <c r="AA333" s="41"/>
      <c r="AB333" s="41"/>
      <c r="AC333" s="41"/>
      <c r="AD333" s="41"/>
      <c r="AE333" s="41"/>
      <c r="AF333" s="40"/>
      <c r="AG333" s="40"/>
      <c r="AH333" s="5"/>
      <c r="AI333" s="5"/>
      <c r="AJ333" s="40"/>
      <c r="AK333" s="40"/>
      <c r="AL333" s="40"/>
      <c r="AM333" s="40"/>
      <c r="AN333" s="40"/>
      <c r="AP333" s="40"/>
      <c r="AR333" s="40"/>
    </row>
    <row r="334" spans="2:44" ht="12.75" customHeight="1" x14ac:dyDescent="0.15">
      <c r="B334" s="40"/>
      <c r="C334" s="40"/>
      <c r="D334" s="40"/>
      <c r="E334" s="185"/>
      <c r="F334" s="40"/>
      <c r="G334" s="40"/>
      <c r="H334" s="53"/>
      <c r="R334" s="40"/>
      <c r="S334" s="40"/>
      <c r="U334" s="40"/>
      <c r="V334" s="40"/>
      <c r="W334" s="40"/>
      <c r="Y334" s="40"/>
      <c r="Z334" s="40"/>
      <c r="AA334" s="41"/>
      <c r="AB334" s="41"/>
      <c r="AC334" s="41"/>
      <c r="AD334" s="41"/>
      <c r="AE334" s="41"/>
      <c r="AF334" s="40"/>
      <c r="AG334" s="40"/>
      <c r="AH334" s="5"/>
      <c r="AI334" s="5"/>
      <c r="AJ334" s="40"/>
      <c r="AK334" s="40"/>
      <c r="AL334" s="40"/>
      <c r="AM334" s="40"/>
      <c r="AN334" s="40"/>
      <c r="AP334" s="40"/>
      <c r="AR334" s="40"/>
    </row>
    <row r="335" spans="2:44" ht="12.75" customHeight="1" x14ac:dyDescent="0.15">
      <c r="B335" s="40"/>
      <c r="C335" s="40"/>
      <c r="D335" s="40"/>
      <c r="E335" s="185"/>
      <c r="F335" s="40"/>
      <c r="G335" s="40"/>
      <c r="H335" s="53"/>
      <c r="R335" s="40"/>
      <c r="S335" s="40"/>
      <c r="U335" s="40"/>
      <c r="V335" s="40"/>
      <c r="W335" s="40"/>
      <c r="Y335" s="40"/>
      <c r="Z335" s="40"/>
      <c r="AA335" s="41"/>
      <c r="AB335" s="41"/>
      <c r="AC335" s="41"/>
      <c r="AD335" s="41"/>
      <c r="AE335" s="41"/>
      <c r="AF335" s="40"/>
      <c r="AG335" s="40"/>
      <c r="AH335" s="5"/>
      <c r="AI335" s="5"/>
      <c r="AJ335" s="40"/>
      <c r="AK335" s="40"/>
      <c r="AL335" s="40"/>
      <c r="AM335" s="40"/>
      <c r="AN335" s="40"/>
      <c r="AP335" s="40"/>
      <c r="AR335" s="40"/>
    </row>
    <row r="336" spans="2:44" ht="12.75" customHeight="1" x14ac:dyDescent="0.15">
      <c r="B336" s="40"/>
      <c r="C336" s="40"/>
      <c r="D336" s="40"/>
      <c r="E336" s="185"/>
      <c r="F336" s="40"/>
      <c r="G336" s="40"/>
      <c r="H336" s="53"/>
      <c r="R336" s="40"/>
      <c r="S336" s="40"/>
      <c r="U336" s="40"/>
      <c r="V336" s="40"/>
      <c r="W336" s="40"/>
      <c r="Y336" s="40"/>
      <c r="Z336" s="40"/>
      <c r="AA336" s="41"/>
      <c r="AB336" s="41"/>
      <c r="AC336" s="41"/>
      <c r="AD336" s="41"/>
      <c r="AE336" s="41"/>
      <c r="AF336" s="40"/>
      <c r="AG336" s="40"/>
      <c r="AH336" s="5"/>
      <c r="AI336" s="5"/>
      <c r="AJ336" s="40"/>
      <c r="AK336" s="40"/>
      <c r="AL336" s="40"/>
      <c r="AM336" s="40"/>
      <c r="AN336" s="40"/>
      <c r="AP336" s="40"/>
      <c r="AR336" s="40"/>
    </row>
    <row r="337" spans="2:44" ht="12.75" customHeight="1" x14ac:dyDescent="0.15">
      <c r="B337" s="40"/>
      <c r="C337" s="40"/>
      <c r="D337" s="40"/>
      <c r="E337" s="185"/>
      <c r="F337" s="40"/>
      <c r="G337" s="40"/>
      <c r="H337" s="53"/>
      <c r="R337" s="40"/>
      <c r="S337" s="40"/>
      <c r="U337" s="40"/>
      <c r="V337" s="40"/>
      <c r="W337" s="40"/>
      <c r="Y337" s="40"/>
      <c r="Z337" s="40"/>
      <c r="AA337" s="41"/>
      <c r="AB337" s="41"/>
      <c r="AC337" s="41"/>
      <c r="AD337" s="41"/>
      <c r="AE337" s="41"/>
      <c r="AF337" s="40"/>
      <c r="AG337" s="40"/>
      <c r="AH337" s="5"/>
      <c r="AI337" s="5"/>
      <c r="AJ337" s="40"/>
      <c r="AK337" s="40"/>
      <c r="AL337" s="40"/>
      <c r="AM337" s="40"/>
      <c r="AN337" s="40"/>
      <c r="AP337" s="40"/>
      <c r="AR337" s="40"/>
    </row>
    <row r="338" spans="2:44" ht="12.75" customHeight="1" x14ac:dyDescent="0.15">
      <c r="B338" s="40"/>
      <c r="C338" s="40"/>
      <c r="D338" s="40"/>
      <c r="E338" s="185"/>
      <c r="F338" s="40"/>
      <c r="G338" s="40"/>
      <c r="H338" s="53"/>
      <c r="R338" s="40"/>
      <c r="S338" s="40"/>
      <c r="U338" s="40"/>
      <c r="V338" s="40"/>
      <c r="W338" s="40"/>
      <c r="Y338" s="40"/>
      <c r="Z338" s="40"/>
      <c r="AA338" s="41"/>
      <c r="AB338" s="41"/>
      <c r="AC338" s="41"/>
      <c r="AD338" s="41"/>
      <c r="AE338" s="41"/>
      <c r="AF338" s="40"/>
      <c r="AG338" s="40"/>
      <c r="AH338" s="5"/>
      <c r="AI338" s="5"/>
      <c r="AJ338" s="40"/>
      <c r="AK338" s="40"/>
      <c r="AL338" s="40"/>
      <c r="AM338" s="40"/>
      <c r="AN338" s="40"/>
      <c r="AP338" s="40"/>
      <c r="AR338" s="40"/>
    </row>
    <row r="339" spans="2:44" ht="12.75" customHeight="1" x14ac:dyDescent="0.15">
      <c r="B339" s="40"/>
      <c r="C339" s="40"/>
      <c r="D339" s="40"/>
      <c r="E339" s="185"/>
      <c r="F339" s="40"/>
      <c r="G339" s="40"/>
      <c r="H339" s="53"/>
      <c r="R339" s="40"/>
      <c r="S339" s="40"/>
      <c r="U339" s="40"/>
      <c r="V339" s="40"/>
      <c r="W339" s="40"/>
      <c r="Y339" s="40"/>
      <c r="Z339" s="40"/>
      <c r="AA339" s="41"/>
      <c r="AB339" s="41"/>
      <c r="AC339" s="41"/>
      <c r="AD339" s="41"/>
      <c r="AE339" s="41"/>
      <c r="AF339" s="40"/>
      <c r="AG339" s="40"/>
      <c r="AH339" s="5"/>
      <c r="AI339" s="5"/>
      <c r="AJ339" s="40"/>
      <c r="AK339" s="40"/>
      <c r="AL339" s="40"/>
      <c r="AM339" s="40"/>
      <c r="AN339" s="40"/>
      <c r="AP339" s="40"/>
      <c r="AR339" s="40"/>
    </row>
    <row r="340" spans="2:44" ht="12.75" customHeight="1" x14ac:dyDescent="0.15">
      <c r="B340" s="40"/>
      <c r="C340" s="40"/>
      <c r="D340" s="40"/>
      <c r="E340" s="185"/>
      <c r="F340" s="40"/>
      <c r="G340" s="40"/>
      <c r="H340" s="53"/>
      <c r="R340" s="40"/>
      <c r="S340" s="40"/>
      <c r="U340" s="40"/>
      <c r="V340" s="40"/>
      <c r="W340" s="40"/>
      <c r="Y340" s="40"/>
      <c r="Z340" s="40"/>
      <c r="AA340" s="41"/>
      <c r="AB340" s="41"/>
      <c r="AC340" s="41"/>
      <c r="AD340" s="41"/>
      <c r="AE340" s="41"/>
      <c r="AF340" s="40"/>
      <c r="AG340" s="40"/>
      <c r="AH340" s="5"/>
      <c r="AI340" s="5"/>
      <c r="AJ340" s="40"/>
      <c r="AK340" s="40"/>
      <c r="AL340" s="40"/>
      <c r="AM340" s="40"/>
      <c r="AN340" s="40"/>
      <c r="AP340" s="40"/>
      <c r="AR340" s="40"/>
    </row>
    <row r="341" spans="2:44" ht="12.75" customHeight="1" x14ac:dyDescent="0.15">
      <c r="B341" s="40"/>
      <c r="C341" s="40"/>
      <c r="D341" s="40"/>
      <c r="E341" s="185"/>
      <c r="F341" s="40"/>
      <c r="G341" s="40"/>
      <c r="H341" s="53"/>
      <c r="R341" s="40"/>
      <c r="S341" s="40"/>
      <c r="U341" s="40"/>
      <c r="V341" s="40"/>
      <c r="W341" s="40"/>
      <c r="Y341" s="40"/>
      <c r="Z341" s="40"/>
      <c r="AA341" s="41"/>
      <c r="AB341" s="41"/>
      <c r="AC341" s="41"/>
      <c r="AD341" s="41"/>
      <c r="AE341" s="41"/>
      <c r="AF341" s="40"/>
      <c r="AG341" s="40"/>
      <c r="AH341" s="5"/>
      <c r="AI341" s="5"/>
      <c r="AJ341" s="40"/>
      <c r="AK341" s="40"/>
      <c r="AL341" s="40"/>
      <c r="AM341" s="40"/>
      <c r="AN341" s="40"/>
      <c r="AP341" s="40"/>
      <c r="AR341" s="40"/>
    </row>
    <row r="342" spans="2:44" ht="12.75" customHeight="1" x14ac:dyDescent="0.15">
      <c r="B342" s="40"/>
      <c r="C342" s="40"/>
      <c r="D342" s="40"/>
      <c r="E342" s="185"/>
      <c r="F342" s="40"/>
      <c r="G342" s="40"/>
      <c r="H342" s="53"/>
      <c r="R342" s="40"/>
      <c r="S342" s="40"/>
      <c r="U342" s="40"/>
      <c r="V342" s="40"/>
      <c r="W342" s="40"/>
      <c r="Y342" s="40"/>
      <c r="Z342" s="40"/>
      <c r="AA342" s="41"/>
      <c r="AB342" s="41"/>
      <c r="AC342" s="41"/>
      <c r="AD342" s="41"/>
      <c r="AE342" s="41"/>
      <c r="AF342" s="40"/>
      <c r="AG342" s="40"/>
      <c r="AH342" s="5"/>
      <c r="AI342" s="5"/>
      <c r="AJ342" s="40"/>
      <c r="AK342" s="40"/>
      <c r="AL342" s="40"/>
      <c r="AM342" s="40"/>
      <c r="AN342" s="40"/>
      <c r="AP342" s="40"/>
      <c r="AR342" s="40"/>
    </row>
    <row r="343" spans="2:44" ht="12.75" customHeight="1" x14ac:dyDescent="0.15">
      <c r="B343" s="40"/>
      <c r="C343" s="40"/>
      <c r="D343" s="40"/>
      <c r="E343" s="185"/>
      <c r="F343" s="40"/>
      <c r="G343" s="40"/>
      <c r="H343" s="53"/>
      <c r="R343" s="40"/>
      <c r="S343" s="40"/>
      <c r="U343" s="40"/>
      <c r="V343" s="40"/>
      <c r="W343" s="40"/>
      <c r="Y343" s="40"/>
      <c r="Z343" s="40"/>
      <c r="AA343" s="41"/>
      <c r="AB343" s="41"/>
      <c r="AC343" s="41"/>
      <c r="AD343" s="41"/>
      <c r="AE343" s="41"/>
      <c r="AF343" s="40"/>
      <c r="AG343" s="40"/>
      <c r="AH343" s="5"/>
      <c r="AI343" s="5"/>
      <c r="AJ343" s="40"/>
      <c r="AK343" s="40"/>
      <c r="AL343" s="40"/>
      <c r="AM343" s="40"/>
      <c r="AN343" s="40"/>
      <c r="AP343" s="40"/>
      <c r="AR343" s="40"/>
    </row>
    <row r="344" spans="2:44" ht="12.75" customHeight="1" x14ac:dyDescent="0.15">
      <c r="B344" s="40"/>
      <c r="C344" s="40"/>
      <c r="D344" s="40"/>
      <c r="E344" s="185"/>
      <c r="F344" s="40"/>
      <c r="G344" s="40"/>
      <c r="H344" s="53"/>
      <c r="R344" s="40"/>
      <c r="S344" s="40"/>
      <c r="U344" s="40"/>
      <c r="V344" s="40"/>
      <c r="W344" s="40"/>
      <c r="Y344" s="40"/>
      <c r="Z344" s="40"/>
      <c r="AA344" s="41"/>
      <c r="AB344" s="41"/>
      <c r="AC344" s="41"/>
      <c r="AD344" s="41"/>
      <c r="AE344" s="41"/>
      <c r="AF344" s="40"/>
      <c r="AG344" s="40"/>
      <c r="AH344" s="5"/>
      <c r="AI344" s="5"/>
      <c r="AJ344" s="40"/>
      <c r="AK344" s="40"/>
      <c r="AL344" s="40"/>
      <c r="AM344" s="40"/>
      <c r="AN344" s="40"/>
      <c r="AP344" s="40"/>
      <c r="AR344" s="40"/>
    </row>
    <row r="345" spans="2:44" ht="12.75" customHeight="1" x14ac:dyDescent="0.15">
      <c r="B345" s="40"/>
      <c r="C345" s="40"/>
      <c r="D345" s="40"/>
      <c r="E345" s="185"/>
      <c r="F345" s="40"/>
      <c r="G345" s="40"/>
      <c r="H345" s="53"/>
      <c r="R345" s="40"/>
      <c r="S345" s="40"/>
      <c r="U345" s="40"/>
      <c r="V345" s="40"/>
      <c r="W345" s="40"/>
      <c r="Y345" s="40"/>
      <c r="Z345" s="40"/>
      <c r="AA345" s="41"/>
      <c r="AB345" s="41"/>
      <c r="AC345" s="41"/>
      <c r="AD345" s="41"/>
      <c r="AE345" s="41"/>
      <c r="AF345" s="40"/>
      <c r="AG345" s="40"/>
      <c r="AH345" s="5"/>
      <c r="AI345" s="5"/>
      <c r="AJ345" s="40"/>
      <c r="AK345" s="40"/>
      <c r="AL345" s="40"/>
      <c r="AM345" s="40"/>
      <c r="AN345" s="40"/>
      <c r="AP345" s="40"/>
      <c r="AR345" s="40"/>
    </row>
    <row r="346" spans="2:44" ht="12.75" customHeight="1" x14ac:dyDescent="0.15">
      <c r="B346" s="40"/>
      <c r="C346" s="40"/>
      <c r="D346" s="40"/>
      <c r="E346" s="185"/>
      <c r="F346" s="40"/>
      <c r="G346" s="40"/>
      <c r="H346" s="53"/>
      <c r="R346" s="40"/>
      <c r="S346" s="40"/>
      <c r="U346" s="40"/>
      <c r="V346" s="40"/>
      <c r="W346" s="40"/>
      <c r="Y346" s="40"/>
      <c r="Z346" s="40"/>
      <c r="AA346" s="41"/>
      <c r="AB346" s="41"/>
      <c r="AC346" s="41"/>
      <c r="AD346" s="41"/>
      <c r="AE346" s="41"/>
      <c r="AF346" s="40"/>
      <c r="AG346" s="40"/>
      <c r="AH346" s="5"/>
      <c r="AI346" s="5"/>
      <c r="AJ346" s="40"/>
      <c r="AK346" s="40"/>
      <c r="AL346" s="40"/>
      <c r="AM346" s="40"/>
      <c r="AN346" s="40"/>
      <c r="AP346" s="40"/>
      <c r="AR346" s="40"/>
    </row>
    <row r="347" spans="2:44" ht="12.75" customHeight="1" x14ac:dyDescent="0.15">
      <c r="B347" s="40"/>
      <c r="C347" s="40"/>
      <c r="D347" s="40"/>
      <c r="E347" s="185"/>
      <c r="F347" s="40"/>
      <c r="G347" s="40"/>
      <c r="H347" s="53"/>
      <c r="R347" s="40"/>
      <c r="S347" s="40"/>
      <c r="U347" s="40"/>
      <c r="V347" s="40"/>
      <c r="W347" s="40"/>
      <c r="Y347" s="40"/>
      <c r="Z347" s="40"/>
      <c r="AA347" s="41"/>
      <c r="AB347" s="41"/>
      <c r="AC347" s="41"/>
      <c r="AD347" s="41"/>
      <c r="AE347" s="41"/>
      <c r="AF347" s="40"/>
      <c r="AG347" s="40"/>
      <c r="AH347" s="5"/>
      <c r="AI347" s="5"/>
      <c r="AJ347" s="40"/>
      <c r="AK347" s="40"/>
      <c r="AL347" s="40"/>
      <c r="AM347" s="40"/>
      <c r="AN347" s="40"/>
      <c r="AP347" s="40"/>
      <c r="AR347" s="40"/>
    </row>
    <row r="348" spans="2:44" ht="12.75" customHeight="1" x14ac:dyDescent="0.15">
      <c r="B348" s="40"/>
      <c r="C348" s="40"/>
      <c r="D348" s="40"/>
      <c r="E348" s="185"/>
      <c r="F348" s="40"/>
      <c r="G348" s="40"/>
      <c r="H348" s="53"/>
      <c r="R348" s="40"/>
      <c r="S348" s="40"/>
      <c r="U348" s="40"/>
      <c r="V348" s="40"/>
      <c r="W348" s="40"/>
      <c r="Y348" s="40"/>
      <c r="Z348" s="40"/>
      <c r="AA348" s="41"/>
      <c r="AB348" s="41"/>
      <c r="AC348" s="41"/>
      <c r="AD348" s="41"/>
      <c r="AE348" s="41"/>
      <c r="AF348" s="40"/>
      <c r="AG348" s="40"/>
      <c r="AH348" s="5"/>
      <c r="AI348" s="5"/>
      <c r="AJ348" s="40"/>
      <c r="AK348" s="40"/>
      <c r="AL348" s="40"/>
      <c r="AM348" s="40"/>
      <c r="AN348" s="40"/>
      <c r="AP348" s="40"/>
      <c r="AR348" s="40"/>
    </row>
    <row r="349" spans="2:44" ht="12.75" customHeight="1" x14ac:dyDescent="0.15">
      <c r="B349" s="40"/>
      <c r="C349" s="40"/>
      <c r="D349" s="40"/>
      <c r="E349" s="185"/>
      <c r="F349" s="40"/>
      <c r="G349" s="40"/>
      <c r="H349" s="53"/>
      <c r="R349" s="40"/>
      <c r="S349" s="40"/>
      <c r="U349" s="40"/>
      <c r="V349" s="40"/>
      <c r="W349" s="40"/>
      <c r="Y349" s="40"/>
      <c r="Z349" s="40"/>
      <c r="AA349" s="41"/>
      <c r="AB349" s="41"/>
      <c r="AC349" s="41"/>
      <c r="AD349" s="41"/>
      <c r="AE349" s="41"/>
      <c r="AF349" s="40"/>
      <c r="AG349" s="40"/>
      <c r="AH349" s="5"/>
      <c r="AI349" s="5"/>
      <c r="AJ349" s="40"/>
      <c r="AK349" s="40"/>
      <c r="AL349" s="40"/>
      <c r="AM349" s="40"/>
      <c r="AN349" s="40"/>
      <c r="AP349" s="40"/>
      <c r="AR349" s="40"/>
    </row>
    <row r="350" spans="2:44" ht="12.75" customHeight="1" x14ac:dyDescent="0.15">
      <c r="B350" s="40"/>
      <c r="C350" s="40"/>
      <c r="D350" s="40"/>
      <c r="E350" s="185"/>
      <c r="F350" s="40"/>
      <c r="G350" s="40"/>
      <c r="H350" s="53"/>
      <c r="R350" s="40"/>
      <c r="S350" s="40"/>
      <c r="U350" s="40"/>
      <c r="V350" s="40"/>
      <c r="W350" s="40"/>
      <c r="Y350" s="40"/>
      <c r="Z350" s="40"/>
      <c r="AA350" s="41"/>
      <c r="AB350" s="41"/>
      <c r="AC350" s="41"/>
      <c r="AD350" s="41"/>
      <c r="AE350" s="41"/>
      <c r="AF350" s="40"/>
      <c r="AG350" s="40"/>
      <c r="AH350" s="5"/>
      <c r="AI350" s="5"/>
      <c r="AJ350" s="40"/>
      <c r="AK350" s="40"/>
      <c r="AL350" s="40"/>
      <c r="AM350" s="40"/>
      <c r="AN350" s="40"/>
      <c r="AP350" s="40"/>
      <c r="AR350" s="40"/>
    </row>
    <row r="351" spans="2:44" ht="12.75" customHeight="1" x14ac:dyDescent="0.15">
      <c r="B351" s="40"/>
      <c r="C351" s="40"/>
      <c r="D351" s="40"/>
      <c r="E351" s="185"/>
      <c r="F351" s="40"/>
      <c r="G351" s="40"/>
      <c r="H351" s="53"/>
      <c r="R351" s="40"/>
      <c r="S351" s="40"/>
      <c r="U351" s="40"/>
      <c r="V351" s="40"/>
      <c r="W351" s="40"/>
      <c r="Y351" s="40"/>
      <c r="Z351" s="40"/>
      <c r="AA351" s="41"/>
      <c r="AB351" s="41"/>
      <c r="AC351" s="41"/>
      <c r="AD351" s="41"/>
      <c r="AE351" s="41"/>
      <c r="AF351" s="40"/>
      <c r="AG351" s="40"/>
      <c r="AH351" s="5"/>
      <c r="AI351" s="5"/>
      <c r="AJ351" s="40"/>
      <c r="AK351" s="40"/>
      <c r="AL351" s="40"/>
      <c r="AM351" s="40"/>
      <c r="AN351" s="40"/>
      <c r="AP351" s="40"/>
      <c r="AR351" s="40"/>
    </row>
    <row r="352" spans="2:44" ht="12.75" customHeight="1" x14ac:dyDescent="0.15">
      <c r="B352" s="40"/>
      <c r="C352" s="40"/>
      <c r="D352" s="40"/>
      <c r="E352" s="185"/>
      <c r="F352" s="40"/>
      <c r="G352" s="40"/>
      <c r="H352" s="53"/>
      <c r="R352" s="40"/>
      <c r="S352" s="40"/>
      <c r="U352" s="40"/>
      <c r="V352" s="40"/>
      <c r="W352" s="40"/>
      <c r="Y352" s="40"/>
      <c r="Z352" s="40"/>
      <c r="AA352" s="41"/>
      <c r="AB352" s="41"/>
      <c r="AC352" s="41"/>
      <c r="AD352" s="41"/>
      <c r="AE352" s="41"/>
      <c r="AF352" s="40"/>
      <c r="AG352" s="40"/>
      <c r="AH352" s="5"/>
      <c r="AI352" s="5"/>
      <c r="AJ352" s="40"/>
      <c r="AK352" s="40"/>
      <c r="AL352" s="40"/>
      <c r="AM352" s="40"/>
      <c r="AN352" s="40"/>
      <c r="AP352" s="40"/>
      <c r="AR352" s="40"/>
    </row>
    <row r="353" spans="2:44" ht="12.75" customHeight="1" x14ac:dyDescent="0.15">
      <c r="B353" s="40"/>
      <c r="C353" s="40"/>
      <c r="D353" s="40"/>
      <c r="E353" s="185"/>
      <c r="F353" s="40"/>
      <c r="G353" s="40"/>
      <c r="H353" s="53"/>
      <c r="R353" s="40"/>
      <c r="S353" s="40"/>
      <c r="U353" s="40"/>
      <c r="V353" s="40"/>
      <c r="W353" s="40"/>
      <c r="Y353" s="40"/>
      <c r="Z353" s="40"/>
      <c r="AA353" s="41"/>
      <c r="AB353" s="41"/>
      <c r="AC353" s="41"/>
      <c r="AD353" s="41"/>
      <c r="AE353" s="41"/>
      <c r="AF353" s="40"/>
      <c r="AG353" s="40"/>
      <c r="AH353" s="5"/>
      <c r="AI353" s="5"/>
      <c r="AJ353" s="40"/>
      <c r="AK353" s="40"/>
      <c r="AL353" s="40"/>
      <c r="AM353" s="40"/>
      <c r="AN353" s="40"/>
      <c r="AP353" s="40"/>
      <c r="AR353" s="40"/>
    </row>
    <row r="354" spans="2:44" ht="12.75" customHeight="1" x14ac:dyDescent="0.15">
      <c r="B354" s="40"/>
      <c r="C354" s="40"/>
      <c r="D354" s="40"/>
      <c r="E354" s="185"/>
      <c r="F354" s="40"/>
      <c r="G354" s="40"/>
      <c r="H354" s="53"/>
      <c r="R354" s="40"/>
      <c r="S354" s="40"/>
      <c r="U354" s="40"/>
      <c r="V354" s="40"/>
      <c r="W354" s="40"/>
      <c r="Y354" s="40"/>
      <c r="Z354" s="40"/>
      <c r="AA354" s="41"/>
      <c r="AB354" s="41"/>
      <c r="AC354" s="41"/>
      <c r="AD354" s="41"/>
      <c r="AE354" s="41"/>
      <c r="AF354" s="40"/>
      <c r="AG354" s="40"/>
      <c r="AH354" s="5"/>
      <c r="AI354" s="5"/>
      <c r="AJ354" s="40"/>
      <c r="AK354" s="40"/>
      <c r="AL354" s="40"/>
      <c r="AM354" s="40"/>
      <c r="AN354" s="40"/>
      <c r="AP354" s="40"/>
      <c r="AR354" s="40"/>
    </row>
    <row r="355" spans="2:44" ht="12.75" customHeight="1" x14ac:dyDescent="0.15">
      <c r="B355" s="40"/>
      <c r="C355" s="40"/>
      <c r="D355" s="40"/>
      <c r="E355" s="185"/>
      <c r="F355" s="40"/>
      <c r="G355" s="40"/>
      <c r="H355" s="53"/>
      <c r="R355" s="40"/>
      <c r="S355" s="40"/>
      <c r="U355" s="40"/>
      <c r="V355" s="40"/>
      <c r="W355" s="40"/>
      <c r="Y355" s="40"/>
      <c r="Z355" s="40"/>
      <c r="AA355" s="41"/>
      <c r="AB355" s="41"/>
      <c r="AC355" s="41"/>
      <c r="AD355" s="41"/>
      <c r="AE355" s="41"/>
      <c r="AF355" s="40"/>
      <c r="AG355" s="40"/>
      <c r="AH355" s="5"/>
      <c r="AI355" s="5"/>
      <c r="AJ355" s="40"/>
      <c r="AK355" s="40"/>
      <c r="AL355" s="40"/>
      <c r="AM355" s="40"/>
      <c r="AN355" s="40"/>
      <c r="AP355" s="40"/>
      <c r="AR355" s="40"/>
    </row>
    <row r="356" spans="2:44" ht="12.75" customHeight="1" x14ac:dyDescent="0.15">
      <c r="B356" s="40"/>
      <c r="C356" s="40"/>
      <c r="D356" s="40"/>
      <c r="E356" s="185"/>
      <c r="F356" s="40"/>
      <c r="G356" s="40"/>
      <c r="H356" s="53"/>
      <c r="R356" s="40"/>
      <c r="S356" s="40"/>
      <c r="U356" s="40"/>
      <c r="V356" s="40"/>
      <c r="W356" s="40"/>
      <c r="Y356" s="40"/>
      <c r="Z356" s="40"/>
      <c r="AA356" s="41"/>
      <c r="AB356" s="41"/>
      <c r="AC356" s="41"/>
      <c r="AD356" s="41"/>
      <c r="AE356" s="41"/>
      <c r="AF356" s="40"/>
      <c r="AG356" s="40"/>
      <c r="AH356" s="5"/>
      <c r="AI356" s="5"/>
      <c r="AJ356" s="40"/>
      <c r="AK356" s="40"/>
      <c r="AL356" s="40"/>
      <c r="AM356" s="40"/>
      <c r="AN356" s="40"/>
      <c r="AP356" s="40"/>
      <c r="AR356" s="40"/>
    </row>
    <row r="357" spans="2:44" ht="12.75" customHeight="1" x14ac:dyDescent="0.15">
      <c r="B357" s="40"/>
      <c r="C357" s="40"/>
      <c r="D357" s="40"/>
      <c r="E357" s="185"/>
      <c r="F357" s="40"/>
      <c r="G357" s="40"/>
      <c r="H357" s="53"/>
      <c r="R357" s="40"/>
      <c r="S357" s="40"/>
      <c r="U357" s="40"/>
      <c r="V357" s="40"/>
      <c r="W357" s="40"/>
      <c r="Y357" s="40"/>
      <c r="Z357" s="40"/>
      <c r="AA357" s="41"/>
      <c r="AB357" s="41"/>
      <c r="AC357" s="41"/>
      <c r="AD357" s="41"/>
      <c r="AE357" s="41"/>
      <c r="AF357" s="40"/>
      <c r="AG357" s="40"/>
      <c r="AH357" s="5"/>
      <c r="AI357" s="5"/>
      <c r="AJ357" s="40"/>
      <c r="AK357" s="40"/>
      <c r="AL357" s="40"/>
      <c r="AM357" s="40"/>
      <c r="AN357" s="40"/>
      <c r="AP357" s="40"/>
      <c r="AR357" s="40"/>
    </row>
    <row r="358" spans="2:44" ht="12.75" customHeight="1" x14ac:dyDescent="0.15">
      <c r="B358" s="40"/>
      <c r="C358" s="40"/>
      <c r="D358" s="40"/>
      <c r="E358" s="185"/>
      <c r="F358" s="40"/>
      <c r="G358" s="40"/>
      <c r="H358" s="53"/>
      <c r="R358" s="40"/>
      <c r="S358" s="40"/>
      <c r="U358" s="40"/>
      <c r="V358" s="40"/>
      <c r="W358" s="40"/>
      <c r="Y358" s="40"/>
      <c r="Z358" s="40"/>
      <c r="AA358" s="41"/>
      <c r="AB358" s="41"/>
      <c r="AC358" s="41"/>
      <c r="AD358" s="41"/>
      <c r="AE358" s="41"/>
      <c r="AF358" s="40"/>
      <c r="AG358" s="40"/>
      <c r="AH358" s="5"/>
      <c r="AI358" s="5"/>
      <c r="AJ358" s="40"/>
      <c r="AK358" s="40"/>
      <c r="AL358" s="40"/>
      <c r="AM358" s="40"/>
      <c r="AN358" s="40"/>
      <c r="AP358" s="40"/>
      <c r="AR358" s="40"/>
    </row>
    <row r="359" spans="2:44" ht="12.75" customHeight="1" x14ac:dyDescent="0.15">
      <c r="B359" s="40"/>
      <c r="C359" s="40"/>
      <c r="D359" s="40"/>
      <c r="E359" s="185"/>
      <c r="F359" s="40"/>
      <c r="G359" s="40"/>
      <c r="H359" s="53"/>
      <c r="R359" s="40"/>
      <c r="S359" s="40"/>
      <c r="U359" s="40"/>
      <c r="V359" s="40"/>
      <c r="W359" s="40"/>
      <c r="Y359" s="40"/>
      <c r="Z359" s="40"/>
      <c r="AA359" s="41"/>
      <c r="AB359" s="41"/>
      <c r="AC359" s="41"/>
      <c r="AD359" s="41"/>
      <c r="AE359" s="41"/>
      <c r="AF359" s="40"/>
      <c r="AG359" s="40"/>
      <c r="AH359" s="5"/>
      <c r="AI359" s="5"/>
      <c r="AJ359" s="40"/>
      <c r="AK359" s="40"/>
      <c r="AL359" s="40"/>
      <c r="AM359" s="40"/>
      <c r="AN359" s="40"/>
      <c r="AP359" s="40"/>
      <c r="AR359" s="40"/>
    </row>
    <row r="360" spans="2:44" ht="12.75" customHeight="1" x14ac:dyDescent="0.15">
      <c r="B360" s="40"/>
      <c r="C360" s="40"/>
      <c r="D360" s="40"/>
      <c r="E360" s="185"/>
      <c r="F360" s="40"/>
      <c r="G360" s="40"/>
      <c r="H360" s="53"/>
      <c r="R360" s="40"/>
      <c r="S360" s="40"/>
      <c r="U360" s="40"/>
      <c r="V360" s="40"/>
      <c r="W360" s="40"/>
      <c r="Y360" s="40"/>
      <c r="Z360" s="40"/>
      <c r="AA360" s="41"/>
      <c r="AB360" s="41"/>
      <c r="AC360" s="41"/>
      <c r="AD360" s="41"/>
      <c r="AE360" s="41"/>
      <c r="AF360" s="40"/>
      <c r="AG360" s="40"/>
      <c r="AH360" s="5"/>
      <c r="AI360" s="5"/>
      <c r="AJ360" s="40"/>
      <c r="AK360" s="40"/>
      <c r="AL360" s="40"/>
      <c r="AM360" s="40"/>
      <c r="AN360" s="40"/>
      <c r="AP360" s="40"/>
      <c r="AR360" s="40"/>
    </row>
    <row r="361" spans="2:44" ht="12.75" customHeight="1" x14ac:dyDescent="0.15">
      <c r="B361" s="40"/>
      <c r="C361" s="40"/>
      <c r="D361" s="40"/>
      <c r="E361" s="185"/>
      <c r="F361" s="40"/>
      <c r="G361" s="40"/>
      <c r="H361" s="53"/>
      <c r="R361" s="40"/>
      <c r="S361" s="40"/>
      <c r="U361" s="40"/>
      <c r="V361" s="40"/>
      <c r="W361" s="40"/>
      <c r="Y361" s="40"/>
      <c r="Z361" s="40"/>
      <c r="AA361" s="41"/>
      <c r="AB361" s="41"/>
      <c r="AC361" s="41"/>
      <c r="AD361" s="41"/>
      <c r="AE361" s="41"/>
      <c r="AF361" s="40"/>
      <c r="AG361" s="40"/>
      <c r="AH361" s="5"/>
      <c r="AI361" s="5"/>
      <c r="AJ361" s="40"/>
      <c r="AK361" s="40"/>
      <c r="AL361" s="40"/>
      <c r="AM361" s="40"/>
      <c r="AN361" s="40"/>
      <c r="AP361" s="40"/>
      <c r="AR361" s="40"/>
    </row>
    <row r="362" spans="2:44" ht="12.75" customHeight="1" x14ac:dyDescent="0.15">
      <c r="B362" s="40"/>
      <c r="C362" s="40"/>
      <c r="D362" s="40"/>
      <c r="E362" s="185"/>
      <c r="F362" s="40"/>
      <c r="G362" s="40"/>
      <c r="H362" s="53"/>
      <c r="R362" s="40"/>
      <c r="S362" s="40"/>
      <c r="U362" s="40"/>
      <c r="V362" s="40"/>
      <c r="W362" s="40"/>
      <c r="Y362" s="40"/>
      <c r="Z362" s="40"/>
      <c r="AA362" s="41"/>
      <c r="AB362" s="41"/>
      <c r="AC362" s="41"/>
      <c r="AD362" s="41"/>
      <c r="AE362" s="41"/>
      <c r="AF362" s="40"/>
      <c r="AG362" s="40"/>
      <c r="AH362" s="5"/>
      <c r="AI362" s="5"/>
      <c r="AJ362" s="40"/>
      <c r="AK362" s="40"/>
      <c r="AL362" s="40"/>
      <c r="AM362" s="40"/>
      <c r="AN362" s="40"/>
      <c r="AP362" s="40"/>
      <c r="AR362" s="40"/>
    </row>
    <row r="363" spans="2:44" ht="12.75" customHeight="1" x14ac:dyDescent="0.15">
      <c r="B363" s="40"/>
      <c r="C363" s="40"/>
      <c r="D363" s="40"/>
      <c r="E363" s="185"/>
      <c r="F363" s="40"/>
      <c r="G363" s="40"/>
      <c r="H363" s="53"/>
      <c r="R363" s="40"/>
      <c r="S363" s="40"/>
      <c r="U363" s="40"/>
      <c r="V363" s="40"/>
      <c r="W363" s="40"/>
      <c r="Y363" s="40"/>
      <c r="Z363" s="40"/>
      <c r="AA363" s="41"/>
      <c r="AB363" s="41"/>
      <c r="AC363" s="41"/>
      <c r="AD363" s="41"/>
      <c r="AE363" s="41"/>
      <c r="AF363" s="40"/>
      <c r="AG363" s="40"/>
      <c r="AH363" s="5"/>
      <c r="AI363" s="5"/>
      <c r="AJ363" s="40"/>
      <c r="AK363" s="40"/>
      <c r="AL363" s="40"/>
      <c r="AM363" s="40"/>
      <c r="AN363" s="40"/>
      <c r="AP363" s="40"/>
      <c r="AR363" s="40"/>
    </row>
    <row r="364" spans="2:44" ht="12.75" customHeight="1" x14ac:dyDescent="0.15">
      <c r="B364" s="40"/>
      <c r="C364" s="40"/>
      <c r="D364" s="40"/>
      <c r="E364" s="185"/>
      <c r="F364" s="40"/>
      <c r="G364" s="40"/>
      <c r="H364" s="53"/>
      <c r="R364" s="40"/>
      <c r="S364" s="40"/>
      <c r="U364" s="40"/>
      <c r="V364" s="40"/>
      <c r="W364" s="40"/>
      <c r="Y364" s="40"/>
      <c r="Z364" s="40"/>
      <c r="AA364" s="41"/>
      <c r="AB364" s="41"/>
      <c r="AC364" s="41"/>
      <c r="AD364" s="41"/>
      <c r="AE364" s="41"/>
      <c r="AF364" s="40"/>
      <c r="AG364" s="40"/>
      <c r="AH364" s="5"/>
      <c r="AI364" s="5"/>
      <c r="AJ364" s="40"/>
      <c r="AK364" s="40"/>
      <c r="AL364" s="40"/>
      <c r="AM364" s="40"/>
      <c r="AN364" s="40"/>
      <c r="AP364" s="40"/>
      <c r="AR364" s="40"/>
    </row>
    <row r="365" spans="2:44" ht="12.75" customHeight="1" x14ac:dyDescent="0.15">
      <c r="B365" s="40"/>
      <c r="C365" s="40"/>
      <c r="D365" s="40"/>
      <c r="E365" s="185"/>
      <c r="F365" s="40"/>
      <c r="G365" s="40"/>
      <c r="H365" s="53"/>
      <c r="R365" s="40"/>
      <c r="S365" s="40"/>
      <c r="U365" s="40"/>
      <c r="V365" s="40"/>
      <c r="W365" s="40"/>
      <c r="Y365" s="40"/>
      <c r="Z365" s="40"/>
      <c r="AA365" s="41"/>
      <c r="AB365" s="41"/>
      <c r="AC365" s="41"/>
      <c r="AD365" s="41"/>
      <c r="AE365" s="41"/>
      <c r="AF365" s="40"/>
      <c r="AG365" s="40"/>
      <c r="AH365" s="5"/>
      <c r="AI365" s="5"/>
      <c r="AJ365" s="40"/>
      <c r="AK365" s="40"/>
      <c r="AL365" s="40"/>
      <c r="AM365" s="40"/>
      <c r="AN365" s="40"/>
      <c r="AP365" s="40"/>
      <c r="AR365" s="40"/>
    </row>
    <row r="366" spans="2:44" ht="12.75" customHeight="1" x14ac:dyDescent="0.15">
      <c r="B366" s="40"/>
      <c r="C366" s="40"/>
      <c r="D366" s="40"/>
      <c r="E366" s="185"/>
      <c r="F366" s="40"/>
      <c r="G366" s="40"/>
      <c r="H366" s="53"/>
      <c r="R366" s="40"/>
      <c r="S366" s="40"/>
      <c r="U366" s="40"/>
      <c r="V366" s="40"/>
      <c r="W366" s="40"/>
      <c r="Y366" s="40"/>
      <c r="Z366" s="40"/>
      <c r="AA366" s="41"/>
      <c r="AB366" s="41"/>
      <c r="AC366" s="41"/>
      <c r="AD366" s="41"/>
      <c r="AE366" s="41"/>
      <c r="AF366" s="40"/>
      <c r="AG366" s="40"/>
      <c r="AH366" s="5"/>
      <c r="AI366" s="5"/>
      <c r="AJ366" s="40"/>
      <c r="AK366" s="40"/>
      <c r="AL366" s="40"/>
      <c r="AM366" s="40"/>
      <c r="AN366" s="40"/>
      <c r="AP366" s="40"/>
      <c r="AR366" s="40"/>
    </row>
    <row r="367" spans="2:44" ht="12.75" customHeight="1" x14ac:dyDescent="0.15">
      <c r="B367" s="40"/>
      <c r="C367" s="40"/>
      <c r="D367" s="40"/>
      <c r="E367" s="185"/>
      <c r="F367" s="40"/>
      <c r="G367" s="40"/>
      <c r="H367" s="53"/>
      <c r="R367" s="40"/>
      <c r="S367" s="40"/>
      <c r="U367" s="40"/>
      <c r="V367" s="40"/>
      <c r="W367" s="40"/>
      <c r="Y367" s="40"/>
      <c r="Z367" s="40"/>
      <c r="AA367" s="41"/>
      <c r="AB367" s="41"/>
      <c r="AC367" s="41"/>
      <c r="AD367" s="41"/>
      <c r="AE367" s="41"/>
      <c r="AF367" s="40"/>
      <c r="AG367" s="40"/>
      <c r="AH367" s="5"/>
      <c r="AI367" s="5"/>
      <c r="AJ367" s="40"/>
      <c r="AK367" s="40"/>
      <c r="AL367" s="40"/>
      <c r="AM367" s="40"/>
      <c r="AN367" s="40"/>
      <c r="AP367" s="40"/>
      <c r="AR367" s="40"/>
    </row>
    <row r="368" spans="2:44" ht="12.75" customHeight="1" x14ac:dyDescent="0.15">
      <c r="B368" s="40"/>
      <c r="C368" s="40"/>
      <c r="D368" s="40"/>
      <c r="E368" s="185"/>
      <c r="F368" s="40"/>
      <c r="G368" s="40"/>
      <c r="H368" s="53"/>
      <c r="R368" s="40"/>
      <c r="S368" s="40"/>
      <c r="U368" s="40"/>
      <c r="V368" s="40"/>
      <c r="W368" s="40"/>
      <c r="Y368" s="40"/>
      <c r="Z368" s="40"/>
      <c r="AA368" s="41"/>
      <c r="AB368" s="41"/>
      <c r="AC368" s="41"/>
      <c r="AD368" s="41"/>
      <c r="AE368" s="41"/>
      <c r="AF368" s="40"/>
      <c r="AG368" s="40"/>
      <c r="AH368" s="5"/>
      <c r="AI368" s="5"/>
      <c r="AJ368" s="40"/>
      <c r="AK368" s="40"/>
      <c r="AL368" s="40"/>
      <c r="AM368" s="40"/>
      <c r="AN368" s="40"/>
      <c r="AP368" s="40"/>
      <c r="AR368" s="40"/>
    </row>
    <row r="369" spans="2:44" ht="12.75" customHeight="1" x14ac:dyDescent="0.15">
      <c r="B369" s="40"/>
      <c r="C369" s="40"/>
      <c r="D369" s="40"/>
      <c r="E369" s="185"/>
      <c r="F369" s="40"/>
      <c r="G369" s="40"/>
      <c r="H369" s="53"/>
      <c r="R369" s="40"/>
      <c r="S369" s="40"/>
      <c r="U369" s="40"/>
      <c r="V369" s="40"/>
      <c r="W369" s="40"/>
      <c r="Y369" s="40"/>
      <c r="Z369" s="40"/>
      <c r="AA369" s="41"/>
      <c r="AB369" s="41"/>
      <c r="AC369" s="41"/>
      <c r="AD369" s="41"/>
      <c r="AE369" s="41"/>
      <c r="AF369" s="40"/>
      <c r="AG369" s="40"/>
      <c r="AH369" s="5"/>
      <c r="AI369" s="5"/>
      <c r="AJ369" s="40"/>
      <c r="AK369" s="40"/>
      <c r="AL369" s="40"/>
      <c r="AM369" s="40"/>
      <c r="AN369" s="40"/>
      <c r="AP369" s="40"/>
      <c r="AR369" s="40"/>
    </row>
    <row r="370" spans="2:44" ht="12.75" customHeight="1" x14ac:dyDescent="0.15">
      <c r="B370" s="40"/>
      <c r="C370" s="40"/>
      <c r="D370" s="40"/>
      <c r="E370" s="185"/>
      <c r="F370" s="40"/>
      <c r="G370" s="40"/>
      <c r="H370" s="53"/>
      <c r="R370" s="40"/>
      <c r="S370" s="40"/>
      <c r="U370" s="40"/>
      <c r="V370" s="40"/>
      <c r="W370" s="40"/>
      <c r="Y370" s="40"/>
      <c r="Z370" s="40"/>
      <c r="AA370" s="41"/>
      <c r="AB370" s="41"/>
      <c r="AC370" s="41"/>
      <c r="AD370" s="41"/>
      <c r="AE370" s="41"/>
      <c r="AF370" s="40"/>
      <c r="AG370" s="40"/>
      <c r="AH370" s="5"/>
      <c r="AI370" s="5"/>
      <c r="AJ370" s="40"/>
      <c r="AK370" s="40"/>
      <c r="AL370" s="40"/>
      <c r="AM370" s="40"/>
      <c r="AN370" s="40"/>
      <c r="AP370" s="40"/>
      <c r="AR370" s="40"/>
    </row>
    <row r="371" spans="2:44" ht="12.75" customHeight="1" x14ac:dyDescent="0.15">
      <c r="B371" s="40"/>
      <c r="C371" s="40"/>
      <c r="D371" s="40"/>
      <c r="E371" s="185"/>
      <c r="F371" s="40"/>
      <c r="G371" s="40"/>
      <c r="H371" s="53"/>
      <c r="R371" s="40"/>
      <c r="S371" s="40"/>
      <c r="U371" s="40"/>
      <c r="V371" s="40"/>
      <c r="W371" s="40"/>
      <c r="Y371" s="40"/>
      <c r="Z371" s="40"/>
      <c r="AA371" s="41"/>
      <c r="AB371" s="41"/>
      <c r="AC371" s="41"/>
      <c r="AD371" s="41"/>
      <c r="AE371" s="41"/>
      <c r="AF371" s="40"/>
      <c r="AG371" s="40"/>
      <c r="AH371" s="5"/>
      <c r="AI371" s="5"/>
      <c r="AJ371" s="40"/>
      <c r="AK371" s="40"/>
      <c r="AL371" s="40"/>
      <c r="AM371" s="40"/>
      <c r="AN371" s="40"/>
      <c r="AP371" s="40"/>
      <c r="AR371" s="40"/>
    </row>
    <row r="372" spans="2:44" ht="12.75" customHeight="1" x14ac:dyDescent="0.15">
      <c r="B372" s="40"/>
      <c r="C372" s="40"/>
      <c r="D372" s="40"/>
      <c r="E372" s="185"/>
      <c r="F372" s="40"/>
      <c r="G372" s="40"/>
      <c r="H372" s="53"/>
      <c r="R372" s="40"/>
      <c r="S372" s="40"/>
      <c r="U372" s="40"/>
      <c r="V372" s="40"/>
      <c r="W372" s="40"/>
      <c r="Y372" s="40"/>
      <c r="Z372" s="40"/>
      <c r="AA372" s="41"/>
      <c r="AB372" s="41"/>
      <c r="AC372" s="41"/>
      <c r="AD372" s="41"/>
      <c r="AE372" s="41"/>
      <c r="AF372" s="40"/>
      <c r="AG372" s="40"/>
      <c r="AH372" s="5"/>
      <c r="AI372" s="5"/>
      <c r="AJ372" s="40"/>
      <c r="AK372" s="40"/>
      <c r="AL372" s="40"/>
      <c r="AM372" s="40"/>
      <c r="AN372" s="40"/>
      <c r="AP372" s="40"/>
      <c r="AR372" s="40"/>
    </row>
    <row r="373" spans="2:44" ht="12.75" customHeight="1" x14ac:dyDescent="0.15">
      <c r="B373" s="40"/>
      <c r="C373" s="40"/>
      <c r="D373" s="40"/>
      <c r="E373" s="185"/>
      <c r="F373" s="40"/>
      <c r="G373" s="40"/>
      <c r="H373" s="53"/>
      <c r="R373" s="40"/>
      <c r="S373" s="40"/>
      <c r="U373" s="40"/>
      <c r="V373" s="40"/>
      <c r="W373" s="40"/>
      <c r="Y373" s="40"/>
      <c r="Z373" s="40"/>
      <c r="AA373" s="41"/>
      <c r="AB373" s="41"/>
      <c r="AC373" s="41"/>
      <c r="AD373" s="41"/>
      <c r="AE373" s="41"/>
      <c r="AF373" s="40"/>
      <c r="AG373" s="40"/>
      <c r="AH373" s="5"/>
      <c r="AI373" s="5"/>
      <c r="AJ373" s="40"/>
      <c r="AK373" s="40"/>
      <c r="AL373" s="40"/>
      <c r="AM373" s="40"/>
      <c r="AN373" s="40"/>
      <c r="AP373" s="40"/>
      <c r="AR373" s="40"/>
    </row>
    <row r="374" spans="2:44" ht="12.75" customHeight="1" x14ac:dyDescent="0.15">
      <c r="B374" s="40"/>
      <c r="C374" s="40"/>
      <c r="D374" s="40"/>
      <c r="E374" s="185"/>
      <c r="F374" s="40"/>
      <c r="G374" s="40"/>
      <c r="H374" s="53"/>
      <c r="R374" s="40"/>
      <c r="S374" s="40"/>
      <c r="U374" s="40"/>
      <c r="V374" s="40"/>
      <c r="W374" s="40"/>
      <c r="Y374" s="40"/>
      <c r="Z374" s="40"/>
      <c r="AA374" s="41"/>
      <c r="AB374" s="41"/>
      <c r="AC374" s="41"/>
      <c r="AD374" s="41"/>
      <c r="AE374" s="41"/>
      <c r="AF374" s="40"/>
      <c r="AG374" s="40"/>
      <c r="AH374" s="5"/>
      <c r="AI374" s="5"/>
      <c r="AJ374" s="40"/>
      <c r="AK374" s="40"/>
      <c r="AL374" s="40"/>
      <c r="AM374" s="40"/>
      <c r="AN374" s="40"/>
      <c r="AP374" s="40"/>
      <c r="AR374" s="40"/>
    </row>
    <row r="375" spans="2:44" ht="12.75" customHeight="1" x14ac:dyDescent="0.15">
      <c r="B375" s="40"/>
      <c r="C375" s="40"/>
      <c r="D375" s="40"/>
      <c r="E375" s="185"/>
      <c r="F375" s="40"/>
      <c r="G375" s="40"/>
      <c r="H375" s="53"/>
      <c r="R375" s="40"/>
      <c r="S375" s="40"/>
      <c r="U375" s="40"/>
      <c r="V375" s="40"/>
      <c r="W375" s="40"/>
      <c r="Y375" s="40"/>
      <c r="Z375" s="40"/>
      <c r="AA375" s="41"/>
      <c r="AB375" s="41"/>
      <c r="AC375" s="41"/>
      <c r="AD375" s="41"/>
      <c r="AE375" s="41"/>
      <c r="AF375" s="40"/>
      <c r="AG375" s="40"/>
      <c r="AH375" s="5"/>
      <c r="AI375" s="5"/>
      <c r="AJ375" s="40"/>
      <c r="AK375" s="40"/>
      <c r="AL375" s="40"/>
      <c r="AM375" s="40"/>
      <c r="AN375" s="40"/>
      <c r="AP375" s="40"/>
      <c r="AR375" s="40"/>
    </row>
    <row r="376" spans="2:44" ht="12.75" customHeight="1" x14ac:dyDescent="0.15">
      <c r="B376" s="40"/>
      <c r="C376" s="40"/>
      <c r="D376" s="40"/>
      <c r="E376" s="185"/>
      <c r="F376" s="40"/>
      <c r="G376" s="40"/>
      <c r="H376" s="53"/>
      <c r="R376" s="40"/>
      <c r="S376" s="40"/>
      <c r="U376" s="40"/>
      <c r="V376" s="40"/>
      <c r="W376" s="40"/>
      <c r="Y376" s="40"/>
      <c r="Z376" s="40"/>
      <c r="AA376" s="41"/>
      <c r="AB376" s="41"/>
      <c r="AC376" s="41"/>
      <c r="AD376" s="41"/>
      <c r="AE376" s="41"/>
      <c r="AF376" s="40"/>
      <c r="AG376" s="40"/>
      <c r="AH376" s="5"/>
      <c r="AI376" s="5"/>
      <c r="AJ376" s="40"/>
      <c r="AK376" s="40"/>
      <c r="AL376" s="40"/>
      <c r="AM376" s="40"/>
      <c r="AN376" s="40"/>
      <c r="AP376" s="40"/>
      <c r="AR376" s="40"/>
    </row>
    <row r="377" spans="2:44" ht="12.75" customHeight="1" x14ac:dyDescent="0.15">
      <c r="B377" s="40"/>
      <c r="C377" s="40"/>
      <c r="D377" s="40"/>
      <c r="E377" s="185"/>
      <c r="F377" s="40"/>
      <c r="G377" s="40"/>
      <c r="H377" s="53"/>
      <c r="R377" s="40"/>
      <c r="S377" s="40"/>
      <c r="U377" s="40"/>
      <c r="V377" s="40"/>
      <c r="W377" s="40"/>
      <c r="Y377" s="40"/>
      <c r="Z377" s="40"/>
      <c r="AA377" s="41"/>
      <c r="AB377" s="41"/>
      <c r="AC377" s="41"/>
      <c r="AD377" s="41"/>
      <c r="AE377" s="41"/>
      <c r="AF377" s="40"/>
      <c r="AG377" s="40"/>
      <c r="AH377" s="5"/>
      <c r="AI377" s="5"/>
      <c r="AJ377" s="40"/>
      <c r="AK377" s="40"/>
      <c r="AL377" s="40"/>
      <c r="AM377" s="40"/>
      <c r="AN377" s="40"/>
      <c r="AP377" s="40"/>
      <c r="AR377" s="40"/>
    </row>
    <row r="378" spans="2:44" ht="12.75" customHeight="1" x14ac:dyDescent="0.15">
      <c r="B378" s="40"/>
      <c r="C378" s="40"/>
      <c r="D378" s="40"/>
      <c r="E378" s="185"/>
      <c r="F378" s="40"/>
      <c r="G378" s="40"/>
      <c r="H378" s="53"/>
      <c r="R378" s="40"/>
      <c r="S378" s="40"/>
      <c r="U378" s="40"/>
      <c r="V378" s="40"/>
      <c r="W378" s="40"/>
      <c r="Y378" s="40"/>
      <c r="Z378" s="40"/>
      <c r="AA378" s="41"/>
      <c r="AB378" s="41"/>
      <c r="AC378" s="41"/>
      <c r="AD378" s="41"/>
      <c r="AE378" s="41"/>
      <c r="AF378" s="40"/>
      <c r="AG378" s="40"/>
      <c r="AH378" s="5"/>
      <c r="AI378" s="5"/>
      <c r="AJ378" s="40"/>
      <c r="AK378" s="40"/>
      <c r="AL378" s="40"/>
      <c r="AM378" s="40"/>
      <c r="AN378" s="40"/>
      <c r="AP378" s="40"/>
      <c r="AR378" s="40"/>
    </row>
    <row r="379" spans="2:44" ht="12.75" customHeight="1" x14ac:dyDescent="0.15">
      <c r="B379" s="40"/>
      <c r="C379" s="40"/>
      <c r="D379" s="40"/>
      <c r="E379" s="185"/>
      <c r="F379" s="40"/>
      <c r="G379" s="40"/>
      <c r="H379" s="53"/>
      <c r="R379" s="40"/>
      <c r="S379" s="40"/>
      <c r="U379" s="40"/>
      <c r="V379" s="40"/>
      <c r="W379" s="40"/>
      <c r="Y379" s="40"/>
      <c r="Z379" s="40"/>
      <c r="AA379" s="41"/>
      <c r="AB379" s="41"/>
      <c r="AC379" s="41"/>
      <c r="AD379" s="41"/>
      <c r="AE379" s="41"/>
      <c r="AF379" s="40"/>
      <c r="AG379" s="40"/>
      <c r="AH379" s="5"/>
      <c r="AI379" s="5"/>
      <c r="AJ379" s="40"/>
      <c r="AK379" s="40"/>
      <c r="AL379" s="40"/>
      <c r="AM379" s="40"/>
      <c r="AN379" s="40"/>
      <c r="AP379" s="40"/>
      <c r="AR379" s="40"/>
    </row>
    <row r="380" spans="2:44" ht="12.75" customHeight="1" x14ac:dyDescent="0.15">
      <c r="B380" s="40"/>
      <c r="C380" s="40"/>
      <c r="D380" s="40"/>
      <c r="E380" s="185"/>
      <c r="F380" s="40"/>
      <c r="G380" s="40"/>
      <c r="H380" s="53"/>
      <c r="R380" s="40"/>
      <c r="S380" s="40"/>
      <c r="U380" s="40"/>
      <c r="V380" s="40"/>
      <c r="W380" s="40"/>
      <c r="Y380" s="40"/>
      <c r="Z380" s="40"/>
      <c r="AA380" s="41"/>
      <c r="AB380" s="41"/>
      <c r="AC380" s="41"/>
      <c r="AD380" s="41"/>
      <c r="AE380" s="41"/>
      <c r="AF380" s="40"/>
      <c r="AG380" s="40"/>
      <c r="AH380" s="5"/>
      <c r="AI380" s="5"/>
      <c r="AJ380" s="40"/>
      <c r="AK380" s="40"/>
      <c r="AL380" s="40"/>
      <c r="AM380" s="40"/>
      <c r="AN380" s="40"/>
      <c r="AP380" s="40"/>
      <c r="AR380" s="40"/>
    </row>
    <row r="381" spans="2:44" ht="12.75" customHeight="1" x14ac:dyDescent="0.15">
      <c r="B381" s="40"/>
      <c r="C381" s="40"/>
      <c r="D381" s="40"/>
      <c r="E381" s="185"/>
      <c r="F381" s="40"/>
      <c r="G381" s="40"/>
      <c r="H381" s="53"/>
      <c r="R381" s="40"/>
      <c r="S381" s="40"/>
      <c r="U381" s="40"/>
      <c r="V381" s="40"/>
      <c r="W381" s="40"/>
      <c r="Y381" s="40"/>
      <c r="Z381" s="40"/>
      <c r="AA381" s="41"/>
      <c r="AB381" s="41"/>
      <c r="AC381" s="41"/>
      <c r="AD381" s="41"/>
      <c r="AE381" s="41"/>
      <c r="AF381" s="40"/>
      <c r="AG381" s="40"/>
      <c r="AH381" s="5"/>
      <c r="AI381" s="5"/>
      <c r="AJ381" s="40"/>
      <c r="AK381" s="40"/>
      <c r="AL381" s="40"/>
      <c r="AM381" s="40"/>
      <c r="AN381" s="40"/>
      <c r="AP381" s="40"/>
      <c r="AR381" s="40"/>
    </row>
    <row r="382" spans="2:44" ht="12.75" customHeight="1" x14ac:dyDescent="0.15">
      <c r="B382" s="40"/>
      <c r="C382" s="40"/>
      <c r="D382" s="40"/>
      <c r="E382" s="185"/>
      <c r="F382" s="40"/>
      <c r="G382" s="40"/>
      <c r="H382" s="53"/>
      <c r="R382" s="40"/>
      <c r="S382" s="40"/>
      <c r="U382" s="40"/>
      <c r="V382" s="40"/>
      <c r="W382" s="40"/>
      <c r="Y382" s="40"/>
      <c r="Z382" s="40"/>
      <c r="AA382" s="41"/>
      <c r="AB382" s="41"/>
      <c r="AC382" s="41"/>
      <c r="AD382" s="41"/>
      <c r="AE382" s="41"/>
      <c r="AF382" s="40"/>
      <c r="AG382" s="40"/>
      <c r="AH382" s="5"/>
      <c r="AI382" s="5"/>
      <c r="AJ382" s="40"/>
      <c r="AK382" s="40"/>
      <c r="AL382" s="40"/>
      <c r="AM382" s="40"/>
      <c r="AN382" s="40"/>
      <c r="AP382" s="40"/>
      <c r="AR382" s="40"/>
    </row>
    <row r="383" spans="2:44" ht="12.75" customHeight="1" x14ac:dyDescent="0.15">
      <c r="B383" s="40"/>
      <c r="C383" s="40"/>
      <c r="D383" s="40"/>
      <c r="E383" s="185"/>
      <c r="F383" s="40"/>
      <c r="G383" s="40"/>
      <c r="H383" s="53"/>
      <c r="R383" s="40"/>
      <c r="S383" s="40"/>
      <c r="U383" s="40"/>
      <c r="V383" s="40"/>
      <c r="W383" s="40"/>
      <c r="Y383" s="40"/>
      <c r="Z383" s="40"/>
      <c r="AA383" s="41"/>
      <c r="AB383" s="41"/>
      <c r="AC383" s="41"/>
      <c r="AD383" s="41"/>
      <c r="AE383" s="41"/>
      <c r="AF383" s="40"/>
      <c r="AG383" s="40"/>
      <c r="AH383" s="5"/>
      <c r="AI383" s="5"/>
      <c r="AJ383" s="40"/>
      <c r="AK383" s="40"/>
      <c r="AL383" s="40"/>
      <c r="AM383" s="40"/>
      <c r="AN383" s="40"/>
      <c r="AP383" s="40"/>
      <c r="AR383" s="40"/>
    </row>
    <row r="384" spans="2:44" ht="12.75" customHeight="1" x14ac:dyDescent="0.15">
      <c r="B384" s="40"/>
      <c r="C384" s="40"/>
      <c r="D384" s="40"/>
      <c r="E384" s="185"/>
      <c r="F384" s="40"/>
      <c r="G384" s="40"/>
      <c r="H384" s="53"/>
      <c r="R384" s="40"/>
      <c r="S384" s="40"/>
      <c r="U384" s="40"/>
      <c r="V384" s="40"/>
      <c r="W384" s="40"/>
      <c r="Y384" s="40"/>
      <c r="Z384" s="40"/>
      <c r="AA384" s="41"/>
      <c r="AB384" s="41"/>
      <c r="AC384" s="41"/>
      <c r="AD384" s="41"/>
      <c r="AE384" s="41"/>
      <c r="AF384" s="40"/>
      <c r="AG384" s="40"/>
      <c r="AH384" s="5"/>
      <c r="AI384" s="5"/>
      <c r="AJ384" s="40"/>
      <c r="AK384" s="40"/>
      <c r="AL384" s="40"/>
      <c r="AM384" s="40"/>
      <c r="AN384" s="40"/>
      <c r="AP384" s="40"/>
      <c r="AR384" s="40"/>
    </row>
    <row r="385" spans="2:44" ht="12.75" customHeight="1" x14ac:dyDescent="0.15">
      <c r="B385" s="40"/>
      <c r="C385" s="40"/>
      <c r="D385" s="40"/>
      <c r="E385" s="185"/>
      <c r="F385" s="40"/>
      <c r="G385" s="40"/>
      <c r="H385" s="53"/>
      <c r="R385" s="40"/>
      <c r="S385" s="40"/>
      <c r="U385" s="40"/>
      <c r="V385" s="40"/>
      <c r="W385" s="40"/>
      <c r="Y385" s="40"/>
      <c r="Z385" s="40"/>
      <c r="AA385" s="41"/>
      <c r="AB385" s="41"/>
      <c r="AC385" s="41"/>
      <c r="AD385" s="41"/>
      <c r="AE385" s="41"/>
      <c r="AF385" s="40"/>
      <c r="AG385" s="40"/>
      <c r="AH385" s="5"/>
      <c r="AI385" s="5"/>
      <c r="AJ385" s="40"/>
      <c r="AK385" s="40"/>
      <c r="AL385" s="40"/>
      <c r="AM385" s="40"/>
      <c r="AN385" s="40"/>
      <c r="AP385" s="40"/>
      <c r="AR385" s="40"/>
    </row>
    <row r="386" spans="2:44" ht="12.75" customHeight="1" x14ac:dyDescent="0.15">
      <c r="B386" s="40"/>
      <c r="C386" s="40"/>
      <c r="D386" s="40"/>
      <c r="E386" s="185"/>
      <c r="F386" s="40"/>
      <c r="G386" s="40"/>
      <c r="H386" s="53"/>
      <c r="R386" s="40"/>
      <c r="S386" s="40"/>
      <c r="U386" s="40"/>
      <c r="V386" s="40"/>
      <c r="W386" s="40"/>
      <c r="Y386" s="40"/>
      <c r="Z386" s="40"/>
      <c r="AA386" s="41"/>
      <c r="AB386" s="41"/>
      <c r="AC386" s="41"/>
      <c r="AD386" s="41"/>
      <c r="AE386" s="41"/>
      <c r="AF386" s="40"/>
      <c r="AG386" s="40"/>
      <c r="AH386" s="5"/>
      <c r="AI386" s="5"/>
      <c r="AJ386" s="40"/>
      <c r="AK386" s="40"/>
      <c r="AL386" s="40"/>
      <c r="AM386" s="40"/>
      <c r="AN386" s="40"/>
      <c r="AP386" s="40"/>
      <c r="AR386" s="40"/>
    </row>
    <row r="387" spans="2:44" ht="12.75" customHeight="1" x14ac:dyDescent="0.15">
      <c r="B387" s="40"/>
      <c r="C387" s="40"/>
      <c r="D387" s="40"/>
      <c r="E387" s="185"/>
      <c r="F387" s="40"/>
      <c r="G387" s="40"/>
      <c r="H387" s="53"/>
      <c r="R387" s="40"/>
      <c r="S387" s="40"/>
      <c r="U387" s="40"/>
      <c r="V387" s="40"/>
      <c r="W387" s="40"/>
      <c r="Y387" s="40"/>
      <c r="Z387" s="40"/>
      <c r="AA387" s="41"/>
      <c r="AB387" s="41"/>
      <c r="AC387" s="41"/>
      <c r="AD387" s="41"/>
      <c r="AE387" s="41"/>
      <c r="AF387" s="40"/>
      <c r="AG387" s="40"/>
      <c r="AH387" s="5"/>
      <c r="AI387" s="5"/>
      <c r="AJ387" s="40"/>
      <c r="AK387" s="40"/>
      <c r="AL387" s="40"/>
      <c r="AM387" s="40"/>
      <c r="AN387" s="40"/>
      <c r="AP387" s="40"/>
      <c r="AR387" s="40"/>
    </row>
    <row r="388" spans="2:44" ht="12.75" customHeight="1" x14ac:dyDescent="0.15">
      <c r="B388" s="40"/>
      <c r="C388" s="40"/>
      <c r="D388" s="40"/>
      <c r="E388" s="185"/>
      <c r="F388" s="40"/>
      <c r="G388" s="40"/>
      <c r="H388" s="53"/>
      <c r="R388" s="40"/>
      <c r="S388" s="40"/>
      <c r="U388" s="40"/>
      <c r="V388" s="40"/>
      <c r="W388" s="40"/>
      <c r="Y388" s="40"/>
      <c r="Z388" s="40"/>
      <c r="AA388" s="41"/>
      <c r="AB388" s="41"/>
      <c r="AC388" s="41"/>
      <c r="AD388" s="41"/>
      <c r="AE388" s="41"/>
      <c r="AF388" s="40"/>
      <c r="AG388" s="40"/>
      <c r="AH388" s="5"/>
      <c r="AI388" s="5"/>
      <c r="AJ388" s="40"/>
      <c r="AK388" s="40"/>
      <c r="AL388" s="40"/>
      <c r="AM388" s="40"/>
      <c r="AN388" s="40"/>
      <c r="AP388" s="40"/>
      <c r="AR388" s="40"/>
    </row>
    <row r="389" spans="2:44" ht="12.75" customHeight="1" x14ac:dyDescent="0.15">
      <c r="B389" s="40"/>
      <c r="C389" s="40"/>
      <c r="D389" s="40"/>
      <c r="E389" s="185"/>
      <c r="F389" s="40"/>
      <c r="G389" s="40"/>
      <c r="H389" s="53"/>
      <c r="R389" s="40"/>
      <c r="S389" s="40"/>
      <c r="U389" s="40"/>
      <c r="V389" s="40"/>
      <c r="W389" s="40"/>
      <c r="Y389" s="40"/>
      <c r="Z389" s="40"/>
      <c r="AA389" s="41"/>
      <c r="AB389" s="41"/>
      <c r="AC389" s="41"/>
      <c r="AD389" s="41"/>
      <c r="AE389" s="41"/>
      <c r="AF389" s="40"/>
      <c r="AG389" s="40"/>
      <c r="AH389" s="5"/>
      <c r="AI389" s="5"/>
      <c r="AJ389" s="40"/>
      <c r="AK389" s="40"/>
      <c r="AL389" s="40"/>
      <c r="AM389" s="40"/>
      <c r="AN389" s="40"/>
      <c r="AP389" s="40"/>
      <c r="AR389" s="40"/>
    </row>
    <row r="390" spans="2:44" ht="12.75" customHeight="1" x14ac:dyDescent="0.15">
      <c r="B390" s="40"/>
      <c r="C390" s="40"/>
      <c r="D390" s="40"/>
      <c r="E390" s="185"/>
      <c r="F390" s="40"/>
      <c r="G390" s="40"/>
      <c r="H390" s="53"/>
      <c r="R390" s="40"/>
      <c r="S390" s="40"/>
      <c r="U390" s="40"/>
      <c r="V390" s="40"/>
      <c r="W390" s="40"/>
      <c r="Y390" s="40"/>
      <c r="Z390" s="40"/>
      <c r="AA390" s="41"/>
      <c r="AB390" s="41"/>
      <c r="AC390" s="41"/>
      <c r="AD390" s="41"/>
      <c r="AE390" s="41"/>
      <c r="AF390" s="40"/>
      <c r="AG390" s="40"/>
      <c r="AH390" s="5"/>
      <c r="AI390" s="5"/>
      <c r="AJ390" s="40"/>
      <c r="AK390" s="40"/>
      <c r="AL390" s="40"/>
      <c r="AM390" s="40"/>
      <c r="AN390" s="40"/>
      <c r="AP390" s="40"/>
      <c r="AR390" s="40"/>
    </row>
    <row r="391" spans="2:44" ht="12.75" customHeight="1" x14ac:dyDescent="0.15">
      <c r="B391" s="40"/>
      <c r="C391" s="40"/>
      <c r="D391" s="40"/>
      <c r="E391" s="185"/>
      <c r="F391" s="40"/>
      <c r="G391" s="40"/>
      <c r="H391" s="53"/>
      <c r="R391" s="40"/>
      <c r="S391" s="40"/>
      <c r="U391" s="40"/>
      <c r="V391" s="40"/>
      <c r="W391" s="40"/>
      <c r="Y391" s="40"/>
      <c r="Z391" s="40"/>
      <c r="AA391" s="41"/>
      <c r="AB391" s="41"/>
      <c r="AC391" s="41"/>
      <c r="AD391" s="41"/>
      <c r="AE391" s="41"/>
      <c r="AF391" s="40"/>
      <c r="AG391" s="40"/>
      <c r="AH391" s="5"/>
      <c r="AI391" s="5"/>
      <c r="AJ391" s="40"/>
      <c r="AK391" s="40"/>
      <c r="AL391" s="40"/>
      <c r="AM391" s="40"/>
      <c r="AN391" s="40"/>
      <c r="AP391" s="40"/>
      <c r="AR391" s="40"/>
    </row>
    <row r="392" spans="2:44" ht="12.75" customHeight="1" x14ac:dyDescent="0.15">
      <c r="B392" s="40"/>
      <c r="C392" s="40"/>
      <c r="D392" s="40"/>
      <c r="E392" s="185"/>
      <c r="F392" s="40"/>
      <c r="G392" s="40"/>
      <c r="H392" s="53"/>
      <c r="R392" s="40"/>
      <c r="S392" s="40"/>
      <c r="U392" s="40"/>
      <c r="V392" s="40"/>
      <c r="W392" s="40"/>
      <c r="Y392" s="40"/>
      <c r="Z392" s="40"/>
      <c r="AA392" s="41"/>
      <c r="AB392" s="41"/>
      <c r="AC392" s="41"/>
      <c r="AD392" s="41"/>
      <c r="AE392" s="41"/>
      <c r="AF392" s="40"/>
      <c r="AG392" s="40"/>
      <c r="AH392" s="5"/>
      <c r="AI392" s="5"/>
      <c r="AJ392" s="40"/>
      <c r="AK392" s="40"/>
      <c r="AL392" s="40"/>
      <c r="AM392" s="40"/>
      <c r="AN392" s="40"/>
      <c r="AP392" s="40"/>
      <c r="AR392" s="40"/>
    </row>
    <row r="393" spans="2:44" ht="12.75" customHeight="1" x14ac:dyDescent="0.15">
      <c r="B393" s="40"/>
      <c r="C393" s="40"/>
      <c r="D393" s="40"/>
      <c r="E393" s="185"/>
      <c r="F393" s="40"/>
      <c r="G393" s="40"/>
      <c r="H393" s="53"/>
      <c r="R393" s="40"/>
      <c r="S393" s="40"/>
      <c r="U393" s="40"/>
      <c r="V393" s="40"/>
      <c r="W393" s="40"/>
      <c r="Y393" s="40"/>
      <c r="Z393" s="40"/>
      <c r="AA393" s="41"/>
      <c r="AB393" s="41"/>
      <c r="AC393" s="41"/>
      <c r="AD393" s="41"/>
      <c r="AE393" s="41"/>
      <c r="AF393" s="40"/>
      <c r="AG393" s="40"/>
      <c r="AH393" s="5"/>
      <c r="AI393" s="5"/>
      <c r="AJ393" s="40"/>
      <c r="AK393" s="40"/>
      <c r="AL393" s="40"/>
      <c r="AM393" s="40"/>
      <c r="AN393" s="40"/>
      <c r="AP393" s="40"/>
      <c r="AR393" s="40"/>
    </row>
    <row r="394" spans="2:44" ht="12.75" customHeight="1" x14ac:dyDescent="0.15">
      <c r="B394" s="40"/>
      <c r="C394" s="40"/>
      <c r="D394" s="40"/>
      <c r="E394" s="185"/>
      <c r="F394" s="40"/>
      <c r="G394" s="40"/>
      <c r="H394" s="53"/>
      <c r="R394" s="40"/>
      <c r="S394" s="40"/>
      <c r="U394" s="40"/>
      <c r="V394" s="40"/>
      <c r="W394" s="40"/>
      <c r="Y394" s="40"/>
      <c r="Z394" s="40"/>
      <c r="AA394" s="41"/>
      <c r="AB394" s="41"/>
      <c r="AC394" s="41"/>
      <c r="AD394" s="41"/>
      <c r="AE394" s="41"/>
      <c r="AF394" s="40"/>
      <c r="AG394" s="40"/>
      <c r="AH394" s="5"/>
      <c r="AI394" s="5"/>
      <c r="AJ394" s="40"/>
      <c r="AK394" s="40"/>
      <c r="AL394" s="40"/>
      <c r="AM394" s="40"/>
      <c r="AN394" s="40"/>
      <c r="AP394" s="40"/>
      <c r="AR394" s="40"/>
    </row>
    <row r="395" spans="2:44" ht="12.75" customHeight="1" x14ac:dyDescent="0.15">
      <c r="B395" s="40"/>
      <c r="C395" s="40"/>
      <c r="D395" s="40"/>
      <c r="E395" s="185"/>
      <c r="F395" s="40"/>
      <c r="G395" s="40"/>
      <c r="H395" s="53"/>
      <c r="R395" s="40"/>
      <c r="S395" s="40"/>
      <c r="U395" s="40"/>
      <c r="V395" s="40"/>
      <c r="W395" s="40"/>
      <c r="Y395" s="40"/>
      <c r="Z395" s="40"/>
      <c r="AA395" s="41"/>
      <c r="AB395" s="41"/>
      <c r="AC395" s="41"/>
      <c r="AD395" s="41"/>
      <c r="AE395" s="41"/>
      <c r="AF395" s="40"/>
      <c r="AG395" s="40"/>
      <c r="AH395" s="5"/>
      <c r="AI395" s="5"/>
      <c r="AJ395" s="40"/>
      <c r="AK395" s="40"/>
      <c r="AL395" s="40"/>
      <c r="AM395" s="40"/>
      <c r="AN395" s="40"/>
      <c r="AP395" s="40"/>
      <c r="AR395" s="40"/>
    </row>
    <row r="396" spans="2:44" ht="12.75" customHeight="1" x14ac:dyDescent="0.15">
      <c r="B396" s="40"/>
      <c r="C396" s="40"/>
      <c r="D396" s="40"/>
      <c r="E396" s="185"/>
      <c r="F396" s="40"/>
      <c r="G396" s="40"/>
      <c r="H396" s="53"/>
      <c r="R396" s="40"/>
      <c r="S396" s="40"/>
      <c r="U396" s="40"/>
      <c r="V396" s="40"/>
      <c r="W396" s="40"/>
      <c r="Y396" s="40"/>
      <c r="Z396" s="40"/>
      <c r="AA396" s="41"/>
      <c r="AB396" s="41"/>
      <c r="AC396" s="41"/>
      <c r="AD396" s="41"/>
      <c r="AE396" s="41"/>
      <c r="AF396" s="40"/>
      <c r="AG396" s="40"/>
      <c r="AH396" s="5"/>
      <c r="AI396" s="5"/>
      <c r="AJ396" s="40"/>
      <c r="AK396" s="40"/>
      <c r="AL396" s="40"/>
      <c r="AM396" s="40"/>
      <c r="AN396" s="40"/>
      <c r="AP396" s="40"/>
      <c r="AR396" s="40"/>
    </row>
    <row r="397" spans="2:44" ht="12.75" customHeight="1" x14ac:dyDescent="0.15">
      <c r="B397" s="40"/>
      <c r="C397" s="40"/>
      <c r="D397" s="40"/>
      <c r="E397" s="185"/>
      <c r="F397" s="40"/>
      <c r="G397" s="40"/>
      <c r="H397" s="53"/>
      <c r="R397" s="40"/>
      <c r="S397" s="40"/>
      <c r="U397" s="40"/>
      <c r="V397" s="40"/>
      <c r="W397" s="40"/>
      <c r="Y397" s="40"/>
      <c r="Z397" s="40"/>
      <c r="AA397" s="41"/>
      <c r="AB397" s="41"/>
      <c r="AC397" s="41"/>
      <c r="AD397" s="41"/>
      <c r="AE397" s="41"/>
      <c r="AF397" s="40"/>
      <c r="AG397" s="40"/>
      <c r="AH397" s="5"/>
      <c r="AI397" s="5"/>
      <c r="AJ397" s="40"/>
      <c r="AK397" s="40"/>
      <c r="AL397" s="40"/>
      <c r="AM397" s="40"/>
      <c r="AN397" s="40"/>
      <c r="AP397" s="40"/>
      <c r="AR397" s="40"/>
    </row>
    <row r="398" spans="2:44" ht="12.75" customHeight="1" x14ac:dyDescent="0.15">
      <c r="B398" s="40"/>
      <c r="C398" s="40"/>
      <c r="D398" s="40"/>
      <c r="E398" s="185"/>
      <c r="F398" s="40"/>
      <c r="G398" s="40"/>
      <c r="H398" s="53"/>
      <c r="R398" s="40"/>
      <c r="S398" s="40"/>
      <c r="U398" s="40"/>
      <c r="V398" s="40"/>
      <c r="W398" s="40"/>
      <c r="Y398" s="40"/>
      <c r="Z398" s="40"/>
      <c r="AA398" s="41"/>
      <c r="AB398" s="41"/>
      <c r="AC398" s="41"/>
      <c r="AD398" s="41"/>
      <c r="AE398" s="41"/>
      <c r="AF398" s="40"/>
      <c r="AG398" s="40"/>
      <c r="AH398" s="5"/>
      <c r="AI398" s="5"/>
      <c r="AJ398" s="40"/>
      <c r="AK398" s="40"/>
      <c r="AL398" s="40"/>
      <c r="AM398" s="40"/>
      <c r="AN398" s="40"/>
      <c r="AP398" s="40"/>
      <c r="AR398" s="40"/>
    </row>
    <row r="399" spans="2:44" ht="12.75" customHeight="1" x14ac:dyDescent="0.15">
      <c r="B399" s="40"/>
      <c r="C399" s="40"/>
      <c r="D399" s="40"/>
      <c r="E399" s="185"/>
      <c r="F399" s="40"/>
      <c r="G399" s="40"/>
      <c r="H399" s="53"/>
      <c r="R399" s="40"/>
      <c r="S399" s="40"/>
      <c r="U399" s="40"/>
      <c r="V399" s="40"/>
      <c r="W399" s="40"/>
      <c r="Y399" s="40"/>
      <c r="Z399" s="40"/>
      <c r="AA399" s="41"/>
      <c r="AB399" s="41"/>
      <c r="AC399" s="41"/>
      <c r="AD399" s="41"/>
      <c r="AE399" s="41"/>
      <c r="AF399" s="40"/>
      <c r="AG399" s="40"/>
      <c r="AH399" s="5"/>
      <c r="AI399" s="5"/>
      <c r="AJ399" s="40"/>
      <c r="AK399" s="40"/>
      <c r="AL399" s="40"/>
      <c r="AM399" s="40"/>
      <c r="AN399" s="40"/>
      <c r="AP399" s="40"/>
      <c r="AR399" s="40"/>
    </row>
    <row r="400" spans="2:44" ht="12.75" customHeight="1" x14ac:dyDescent="0.15">
      <c r="B400" s="40"/>
      <c r="C400" s="40"/>
      <c r="D400" s="40"/>
      <c r="E400" s="185"/>
      <c r="F400" s="40"/>
      <c r="G400" s="40"/>
      <c r="H400" s="53"/>
      <c r="R400" s="40"/>
      <c r="S400" s="40"/>
      <c r="U400" s="40"/>
      <c r="V400" s="40"/>
      <c r="W400" s="40"/>
      <c r="Y400" s="40"/>
      <c r="Z400" s="40"/>
      <c r="AA400" s="41"/>
      <c r="AB400" s="41"/>
      <c r="AC400" s="41"/>
      <c r="AD400" s="41"/>
      <c r="AE400" s="41"/>
      <c r="AF400" s="40"/>
      <c r="AG400" s="40"/>
      <c r="AH400" s="5"/>
      <c r="AI400" s="5"/>
      <c r="AJ400" s="40"/>
      <c r="AK400" s="40"/>
      <c r="AL400" s="40"/>
      <c r="AM400" s="40"/>
      <c r="AN400" s="40"/>
      <c r="AP400" s="40"/>
      <c r="AR400" s="40"/>
    </row>
    <row r="401" spans="2:44" ht="12.75" customHeight="1" x14ac:dyDescent="0.15">
      <c r="B401" s="40"/>
      <c r="C401" s="40"/>
      <c r="D401" s="40"/>
      <c r="E401" s="185"/>
      <c r="F401" s="40"/>
      <c r="G401" s="40"/>
      <c r="H401" s="53"/>
      <c r="R401" s="40"/>
      <c r="S401" s="40"/>
      <c r="U401" s="40"/>
      <c r="V401" s="40"/>
      <c r="W401" s="40"/>
      <c r="Y401" s="40"/>
      <c r="Z401" s="40"/>
      <c r="AA401" s="41"/>
      <c r="AB401" s="41"/>
      <c r="AC401" s="41"/>
      <c r="AD401" s="41"/>
      <c r="AE401" s="41"/>
      <c r="AF401" s="40"/>
      <c r="AG401" s="40"/>
      <c r="AH401" s="5"/>
      <c r="AI401" s="5"/>
      <c r="AJ401" s="40"/>
      <c r="AK401" s="40"/>
      <c r="AL401" s="40"/>
      <c r="AM401" s="40"/>
      <c r="AN401" s="40"/>
      <c r="AP401" s="40"/>
      <c r="AR401" s="40"/>
    </row>
    <row r="402" spans="2:44" ht="12.75" customHeight="1" x14ac:dyDescent="0.15">
      <c r="B402" s="40"/>
      <c r="C402" s="40"/>
      <c r="D402" s="40"/>
      <c r="E402" s="185"/>
      <c r="F402" s="40"/>
      <c r="G402" s="40"/>
      <c r="H402" s="53"/>
      <c r="R402" s="40"/>
      <c r="S402" s="40"/>
      <c r="U402" s="40"/>
      <c r="V402" s="40"/>
      <c r="W402" s="40"/>
      <c r="Y402" s="40"/>
      <c r="Z402" s="40"/>
      <c r="AA402" s="41"/>
      <c r="AB402" s="41"/>
      <c r="AC402" s="41"/>
      <c r="AD402" s="41"/>
      <c r="AE402" s="41"/>
      <c r="AF402" s="40"/>
      <c r="AG402" s="40"/>
      <c r="AH402" s="5"/>
      <c r="AI402" s="5"/>
      <c r="AJ402" s="40"/>
      <c r="AK402" s="40"/>
      <c r="AL402" s="40"/>
      <c r="AM402" s="40"/>
      <c r="AN402" s="40"/>
      <c r="AP402" s="40"/>
      <c r="AR402" s="40"/>
    </row>
    <row r="403" spans="2:44" ht="12.75" customHeight="1" x14ac:dyDescent="0.15">
      <c r="B403" s="40"/>
      <c r="C403" s="40"/>
      <c r="D403" s="40"/>
      <c r="E403" s="185"/>
      <c r="F403" s="40"/>
      <c r="G403" s="40"/>
      <c r="H403" s="53"/>
      <c r="R403" s="40"/>
      <c r="S403" s="40"/>
      <c r="U403" s="40"/>
      <c r="V403" s="40"/>
      <c r="W403" s="40"/>
      <c r="Y403" s="40"/>
      <c r="Z403" s="40"/>
      <c r="AA403" s="41"/>
      <c r="AB403" s="41"/>
      <c r="AC403" s="41"/>
      <c r="AD403" s="41"/>
      <c r="AE403" s="41"/>
      <c r="AF403" s="40"/>
      <c r="AG403" s="40"/>
      <c r="AH403" s="5"/>
      <c r="AI403" s="5"/>
      <c r="AJ403" s="40"/>
      <c r="AK403" s="40"/>
      <c r="AL403" s="40"/>
      <c r="AM403" s="40"/>
      <c r="AN403" s="40"/>
      <c r="AP403" s="40"/>
      <c r="AR403" s="40"/>
    </row>
    <row r="404" spans="2:44" ht="12.75" customHeight="1" x14ac:dyDescent="0.15">
      <c r="B404" s="40"/>
      <c r="C404" s="40"/>
      <c r="D404" s="40"/>
      <c r="E404" s="185"/>
      <c r="F404" s="40"/>
      <c r="G404" s="40"/>
      <c r="H404" s="53"/>
      <c r="R404" s="40"/>
      <c r="S404" s="40"/>
      <c r="U404" s="40"/>
      <c r="V404" s="40"/>
      <c r="W404" s="40"/>
      <c r="Y404" s="40"/>
      <c r="Z404" s="40"/>
      <c r="AA404" s="41"/>
      <c r="AB404" s="41"/>
      <c r="AC404" s="41"/>
      <c r="AD404" s="41"/>
      <c r="AE404" s="41"/>
      <c r="AF404" s="40"/>
      <c r="AG404" s="40"/>
      <c r="AH404" s="5"/>
      <c r="AI404" s="5"/>
      <c r="AJ404" s="40"/>
      <c r="AK404" s="40"/>
      <c r="AL404" s="40"/>
      <c r="AM404" s="40"/>
      <c r="AN404" s="40"/>
      <c r="AP404" s="40"/>
      <c r="AR404" s="40"/>
    </row>
    <row r="405" spans="2:44" ht="12.75" customHeight="1" x14ac:dyDescent="0.15">
      <c r="B405" s="40"/>
      <c r="C405" s="40"/>
      <c r="D405" s="40"/>
      <c r="E405" s="185"/>
      <c r="F405" s="40"/>
      <c r="G405" s="40"/>
      <c r="H405" s="53"/>
      <c r="R405" s="40"/>
      <c r="S405" s="40"/>
      <c r="U405" s="40"/>
      <c r="V405" s="40"/>
      <c r="W405" s="40"/>
      <c r="Y405" s="40"/>
      <c r="Z405" s="40"/>
      <c r="AA405" s="41"/>
      <c r="AB405" s="41"/>
      <c r="AC405" s="41"/>
      <c r="AD405" s="41"/>
      <c r="AE405" s="41"/>
      <c r="AF405" s="40"/>
      <c r="AG405" s="40"/>
      <c r="AH405" s="5"/>
      <c r="AI405" s="5"/>
      <c r="AJ405" s="40"/>
      <c r="AK405" s="40"/>
      <c r="AL405" s="40"/>
      <c r="AM405" s="40"/>
      <c r="AN405" s="40"/>
      <c r="AP405" s="40"/>
      <c r="AR405" s="40"/>
    </row>
    <row r="406" spans="2:44" ht="12.75" customHeight="1" x14ac:dyDescent="0.15">
      <c r="B406" s="40"/>
      <c r="C406" s="40"/>
      <c r="D406" s="40"/>
      <c r="E406" s="185"/>
      <c r="F406" s="40"/>
      <c r="G406" s="40"/>
      <c r="H406" s="53"/>
      <c r="R406" s="40"/>
      <c r="S406" s="40"/>
      <c r="U406" s="40"/>
      <c r="V406" s="40"/>
      <c r="W406" s="40"/>
      <c r="Y406" s="40"/>
      <c r="Z406" s="40"/>
      <c r="AA406" s="41"/>
      <c r="AB406" s="41"/>
      <c r="AC406" s="41"/>
      <c r="AD406" s="41"/>
      <c r="AE406" s="41"/>
      <c r="AF406" s="40"/>
      <c r="AG406" s="40"/>
      <c r="AH406" s="5"/>
      <c r="AI406" s="5"/>
      <c r="AJ406" s="40"/>
      <c r="AK406" s="40"/>
      <c r="AL406" s="40"/>
      <c r="AM406" s="40"/>
      <c r="AN406" s="40"/>
      <c r="AP406" s="40"/>
      <c r="AR406" s="40"/>
    </row>
    <row r="407" spans="2:44" ht="12.75" customHeight="1" x14ac:dyDescent="0.15">
      <c r="B407" s="40"/>
      <c r="C407" s="40"/>
      <c r="D407" s="40"/>
      <c r="E407" s="185"/>
      <c r="F407" s="40"/>
      <c r="G407" s="40"/>
      <c r="H407" s="53"/>
      <c r="R407" s="40"/>
      <c r="S407" s="40"/>
      <c r="U407" s="40"/>
      <c r="V407" s="40"/>
      <c r="W407" s="40"/>
      <c r="Y407" s="40"/>
      <c r="Z407" s="40"/>
      <c r="AA407" s="41"/>
      <c r="AB407" s="41"/>
      <c r="AC407" s="41"/>
      <c r="AD407" s="41"/>
      <c r="AE407" s="41"/>
      <c r="AF407" s="40"/>
      <c r="AG407" s="40"/>
      <c r="AH407" s="5"/>
      <c r="AI407" s="5"/>
      <c r="AJ407" s="40"/>
      <c r="AK407" s="40"/>
      <c r="AL407" s="40"/>
      <c r="AM407" s="40"/>
      <c r="AN407" s="40"/>
      <c r="AP407" s="40"/>
      <c r="AR407" s="40"/>
    </row>
    <row r="408" spans="2:44" ht="12.75" customHeight="1" x14ac:dyDescent="0.15">
      <c r="B408" s="40"/>
      <c r="C408" s="40"/>
      <c r="D408" s="40"/>
      <c r="E408" s="185"/>
      <c r="F408" s="40"/>
      <c r="G408" s="40"/>
      <c r="H408" s="53"/>
      <c r="R408" s="40"/>
      <c r="S408" s="40"/>
      <c r="U408" s="40"/>
      <c r="V408" s="40"/>
      <c r="W408" s="40"/>
      <c r="Y408" s="40"/>
      <c r="Z408" s="40"/>
      <c r="AA408" s="41"/>
      <c r="AB408" s="41"/>
      <c r="AC408" s="41"/>
      <c r="AD408" s="41"/>
      <c r="AE408" s="41"/>
      <c r="AF408" s="40"/>
      <c r="AG408" s="40"/>
      <c r="AH408" s="5"/>
      <c r="AI408" s="5"/>
      <c r="AJ408" s="40"/>
      <c r="AK408" s="40"/>
      <c r="AL408" s="40"/>
      <c r="AM408" s="40"/>
      <c r="AN408" s="40"/>
      <c r="AP408" s="40"/>
      <c r="AR408" s="40"/>
    </row>
    <row r="409" spans="2:44" ht="12.75" customHeight="1" x14ac:dyDescent="0.15">
      <c r="B409" s="40"/>
      <c r="C409" s="40"/>
      <c r="D409" s="40"/>
      <c r="E409" s="185"/>
      <c r="F409" s="40"/>
      <c r="G409" s="40"/>
      <c r="H409" s="53"/>
      <c r="R409" s="40"/>
      <c r="S409" s="40"/>
      <c r="U409" s="40"/>
      <c r="V409" s="40"/>
      <c r="W409" s="40"/>
      <c r="Y409" s="40"/>
      <c r="Z409" s="40"/>
      <c r="AA409" s="41"/>
      <c r="AB409" s="41"/>
      <c r="AC409" s="41"/>
      <c r="AD409" s="41"/>
      <c r="AE409" s="41"/>
      <c r="AF409" s="40"/>
      <c r="AG409" s="40"/>
      <c r="AH409" s="5"/>
      <c r="AI409" s="5"/>
      <c r="AJ409" s="40"/>
      <c r="AK409" s="40"/>
      <c r="AL409" s="40"/>
      <c r="AM409" s="40"/>
      <c r="AN409" s="40"/>
      <c r="AP409" s="40"/>
      <c r="AR409" s="40"/>
    </row>
    <row r="410" spans="2:44" ht="12.75" customHeight="1" x14ac:dyDescent="0.15">
      <c r="B410" s="40"/>
      <c r="C410" s="40"/>
      <c r="D410" s="40"/>
      <c r="E410" s="185"/>
      <c r="F410" s="40"/>
      <c r="G410" s="40"/>
      <c r="H410" s="53"/>
      <c r="R410" s="40"/>
      <c r="S410" s="40"/>
      <c r="U410" s="40"/>
      <c r="V410" s="40"/>
      <c r="W410" s="40"/>
      <c r="Y410" s="40"/>
      <c r="Z410" s="40"/>
      <c r="AA410" s="41"/>
      <c r="AB410" s="41"/>
      <c r="AC410" s="41"/>
      <c r="AD410" s="41"/>
      <c r="AE410" s="41"/>
      <c r="AF410" s="40"/>
      <c r="AG410" s="40"/>
      <c r="AH410" s="5"/>
      <c r="AI410" s="5"/>
      <c r="AJ410" s="40"/>
      <c r="AK410" s="40"/>
      <c r="AL410" s="40"/>
      <c r="AM410" s="40"/>
      <c r="AN410" s="40"/>
      <c r="AP410" s="40"/>
      <c r="AR410" s="40"/>
    </row>
    <row r="411" spans="2:44" ht="12.75" customHeight="1" x14ac:dyDescent="0.15">
      <c r="B411" s="40"/>
      <c r="C411" s="40"/>
      <c r="D411" s="40"/>
      <c r="E411" s="185"/>
      <c r="F411" s="40"/>
      <c r="G411" s="40"/>
      <c r="H411" s="53"/>
      <c r="R411" s="40"/>
      <c r="S411" s="40"/>
      <c r="U411" s="40"/>
      <c r="V411" s="40"/>
      <c r="W411" s="40"/>
      <c r="Y411" s="40"/>
      <c r="Z411" s="40"/>
      <c r="AA411" s="41"/>
      <c r="AB411" s="41"/>
      <c r="AC411" s="41"/>
      <c r="AD411" s="41"/>
      <c r="AE411" s="41"/>
      <c r="AF411" s="40"/>
      <c r="AG411" s="40"/>
      <c r="AH411" s="5"/>
      <c r="AI411" s="5"/>
      <c r="AJ411" s="40"/>
      <c r="AK411" s="40"/>
      <c r="AL411" s="40"/>
      <c r="AM411" s="40"/>
      <c r="AN411" s="40"/>
      <c r="AP411" s="40"/>
      <c r="AR411" s="40"/>
    </row>
    <row r="412" spans="2:44" ht="12.75" customHeight="1" x14ac:dyDescent="0.15">
      <c r="B412" s="40"/>
      <c r="C412" s="40"/>
      <c r="D412" s="40"/>
      <c r="E412" s="185"/>
      <c r="F412" s="40"/>
      <c r="G412" s="40"/>
      <c r="H412" s="53"/>
      <c r="R412" s="40"/>
      <c r="S412" s="40"/>
      <c r="U412" s="40"/>
      <c r="V412" s="40"/>
      <c r="W412" s="40"/>
      <c r="Y412" s="40"/>
      <c r="Z412" s="40"/>
      <c r="AA412" s="41"/>
      <c r="AB412" s="41"/>
      <c r="AC412" s="41"/>
      <c r="AD412" s="41"/>
      <c r="AE412" s="41"/>
      <c r="AF412" s="40"/>
      <c r="AG412" s="40"/>
      <c r="AH412" s="5"/>
      <c r="AI412" s="5"/>
      <c r="AJ412" s="40"/>
      <c r="AK412" s="40"/>
      <c r="AL412" s="40"/>
      <c r="AM412" s="40"/>
      <c r="AN412" s="40"/>
      <c r="AP412" s="40"/>
      <c r="AR412" s="40"/>
    </row>
    <row r="413" spans="2:44" ht="12.75" customHeight="1" x14ac:dyDescent="0.15">
      <c r="B413" s="40"/>
      <c r="C413" s="40"/>
      <c r="D413" s="40"/>
      <c r="E413" s="185"/>
      <c r="F413" s="40"/>
      <c r="G413" s="40"/>
      <c r="H413" s="53"/>
      <c r="R413" s="40"/>
      <c r="S413" s="40"/>
      <c r="U413" s="40"/>
      <c r="V413" s="40"/>
      <c r="W413" s="40"/>
      <c r="Y413" s="40"/>
      <c r="Z413" s="40"/>
      <c r="AA413" s="41"/>
      <c r="AB413" s="41"/>
      <c r="AC413" s="41"/>
      <c r="AD413" s="41"/>
      <c r="AE413" s="41"/>
      <c r="AF413" s="40"/>
      <c r="AG413" s="40"/>
      <c r="AH413" s="5"/>
      <c r="AI413" s="5"/>
      <c r="AJ413" s="40"/>
      <c r="AK413" s="40"/>
      <c r="AL413" s="40"/>
      <c r="AM413" s="40"/>
      <c r="AN413" s="40"/>
      <c r="AP413" s="40"/>
      <c r="AR413" s="40"/>
    </row>
    <row r="414" spans="2:44" ht="12.75" customHeight="1" x14ac:dyDescent="0.15">
      <c r="B414" s="40"/>
      <c r="C414" s="40"/>
      <c r="D414" s="40"/>
      <c r="E414" s="185"/>
      <c r="F414" s="40"/>
      <c r="G414" s="40"/>
      <c r="H414" s="53"/>
      <c r="R414" s="40"/>
      <c r="S414" s="40"/>
      <c r="U414" s="40"/>
      <c r="V414" s="40"/>
      <c r="W414" s="40"/>
      <c r="Y414" s="40"/>
      <c r="Z414" s="40"/>
      <c r="AA414" s="41"/>
      <c r="AB414" s="41"/>
      <c r="AC414" s="41"/>
      <c r="AD414" s="41"/>
      <c r="AE414" s="41"/>
      <c r="AF414" s="40"/>
      <c r="AG414" s="40"/>
      <c r="AH414" s="5"/>
      <c r="AI414" s="5"/>
      <c r="AJ414" s="40"/>
      <c r="AK414" s="40"/>
      <c r="AL414" s="40"/>
      <c r="AM414" s="40"/>
      <c r="AN414" s="40"/>
      <c r="AP414" s="40"/>
      <c r="AR414" s="40"/>
    </row>
    <row r="415" spans="2:44" ht="12.75" customHeight="1" x14ac:dyDescent="0.15">
      <c r="B415" s="40"/>
      <c r="C415" s="40"/>
      <c r="D415" s="40"/>
      <c r="E415" s="185"/>
      <c r="F415" s="40"/>
      <c r="G415" s="40"/>
      <c r="H415" s="53"/>
      <c r="R415" s="40"/>
      <c r="S415" s="40"/>
      <c r="U415" s="40"/>
      <c r="V415" s="40"/>
      <c r="W415" s="40"/>
      <c r="Y415" s="40"/>
      <c r="Z415" s="40"/>
      <c r="AA415" s="41"/>
      <c r="AB415" s="41"/>
      <c r="AC415" s="41"/>
      <c r="AD415" s="41"/>
      <c r="AE415" s="41"/>
      <c r="AF415" s="40"/>
      <c r="AG415" s="40"/>
      <c r="AH415" s="5"/>
      <c r="AI415" s="5"/>
      <c r="AJ415" s="40"/>
      <c r="AK415" s="40"/>
      <c r="AL415" s="40"/>
      <c r="AM415" s="40"/>
      <c r="AN415" s="40"/>
      <c r="AP415" s="40"/>
      <c r="AR415" s="40"/>
    </row>
    <row r="416" spans="2:44" ht="12.75" customHeight="1" x14ac:dyDescent="0.15">
      <c r="B416" s="40"/>
      <c r="C416" s="40"/>
      <c r="D416" s="40"/>
      <c r="E416" s="185"/>
      <c r="F416" s="40"/>
      <c r="G416" s="40"/>
      <c r="H416" s="53"/>
      <c r="R416" s="40"/>
      <c r="S416" s="40"/>
      <c r="U416" s="40"/>
      <c r="V416" s="40"/>
      <c r="W416" s="40"/>
      <c r="Y416" s="40"/>
      <c r="Z416" s="40"/>
      <c r="AA416" s="41"/>
      <c r="AB416" s="41"/>
      <c r="AC416" s="41"/>
      <c r="AD416" s="41"/>
      <c r="AE416" s="41"/>
      <c r="AF416" s="40"/>
      <c r="AG416" s="40"/>
      <c r="AH416" s="5"/>
      <c r="AI416" s="5"/>
      <c r="AJ416" s="40"/>
      <c r="AK416" s="40"/>
      <c r="AL416" s="40"/>
      <c r="AM416" s="40"/>
      <c r="AN416" s="40"/>
      <c r="AP416" s="40"/>
      <c r="AR416" s="40"/>
    </row>
    <row r="417" spans="2:44" ht="12.75" customHeight="1" x14ac:dyDescent="0.15">
      <c r="B417" s="40"/>
      <c r="C417" s="40"/>
      <c r="D417" s="40"/>
      <c r="E417" s="185"/>
      <c r="F417" s="40"/>
      <c r="G417" s="40"/>
      <c r="H417" s="53"/>
      <c r="R417" s="40"/>
      <c r="S417" s="40"/>
      <c r="U417" s="40"/>
      <c r="V417" s="40"/>
      <c r="W417" s="40"/>
      <c r="Y417" s="40"/>
      <c r="Z417" s="40"/>
      <c r="AA417" s="41"/>
      <c r="AB417" s="41"/>
      <c r="AC417" s="41"/>
      <c r="AD417" s="41"/>
      <c r="AE417" s="41"/>
      <c r="AF417" s="40"/>
      <c r="AG417" s="40"/>
      <c r="AH417" s="5"/>
      <c r="AI417" s="5"/>
      <c r="AJ417" s="40"/>
      <c r="AK417" s="40"/>
      <c r="AL417" s="40"/>
      <c r="AM417" s="40"/>
      <c r="AN417" s="40"/>
      <c r="AP417" s="40"/>
      <c r="AR417" s="40"/>
    </row>
    <row r="418" spans="2:44" ht="12.75" customHeight="1" x14ac:dyDescent="0.15">
      <c r="B418" s="40"/>
      <c r="C418" s="40"/>
      <c r="D418" s="40"/>
      <c r="E418" s="185"/>
      <c r="F418" s="40"/>
      <c r="G418" s="40"/>
      <c r="H418" s="53"/>
      <c r="R418" s="40"/>
      <c r="S418" s="40"/>
      <c r="U418" s="40"/>
      <c r="V418" s="40"/>
      <c r="W418" s="40"/>
      <c r="Y418" s="40"/>
      <c r="Z418" s="40"/>
      <c r="AA418" s="41"/>
      <c r="AB418" s="41"/>
      <c r="AC418" s="41"/>
      <c r="AD418" s="41"/>
      <c r="AE418" s="41"/>
      <c r="AF418" s="40"/>
      <c r="AG418" s="40"/>
      <c r="AH418" s="5"/>
      <c r="AI418" s="5"/>
      <c r="AJ418" s="40"/>
      <c r="AK418" s="40"/>
      <c r="AL418" s="40"/>
      <c r="AM418" s="40"/>
      <c r="AN418" s="40"/>
      <c r="AP418" s="40"/>
      <c r="AR418" s="40"/>
    </row>
    <row r="419" spans="2:44" ht="12.75" customHeight="1" x14ac:dyDescent="0.15">
      <c r="B419" s="40"/>
      <c r="C419" s="40"/>
      <c r="D419" s="40"/>
      <c r="E419" s="185"/>
      <c r="F419" s="40"/>
      <c r="G419" s="40"/>
      <c r="H419" s="53"/>
      <c r="R419" s="40"/>
      <c r="S419" s="40"/>
      <c r="U419" s="40"/>
      <c r="V419" s="40"/>
      <c r="W419" s="40"/>
      <c r="Y419" s="40"/>
      <c r="Z419" s="40"/>
      <c r="AA419" s="41"/>
      <c r="AB419" s="41"/>
      <c r="AC419" s="41"/>
      <c r="AD419" s="41"/>
      <c r="AE419" s="41"/>
      <c r="AF419" s="40"/>
      <c r="AG419" s="40"/>
      <c r="AH419" s="5"/>
      <c r="AI419" s="5"/>
      <c r="AJ419" s="40"/>
      <c r="AK419" s="40"/>
      <c r="AL419" s="40"/>
      <c r="AM419" s="40"/>
      <c r="AN419" s="40"/>
      <c r="AP419" s="40"/>
      <c r="AR419" s="40"/>
    </row>
    <row r="420" spans="2:44" ht="12.75" customHeight="1" x14ac:dyDescent="0.15">
      <c r="B420" s="40"/>
      <c r="C420" s="40"/>
      <c r="D420" s="40"/>
      <c r="E420" s="185"/>
      <c r="F420" s="40"/>
      <c r="G420" s="40"/>
      <c r="H420" s="53"/>
      <c r="R420" s="40"/>
      <c r="S420" s="40"/>
      <c r="U420" s="40"/>
      <c r="V420" s="40"/>
      <c r="W420" s="40"/>
      <c r="Y420" s="40"/>
      <c r="Z420" s="40"/>
      <c r="AA420" s="41"/>
      <c r="AB420" s="41"/>
      <c r="AC420" s="41"/>
      <c r="AD420" s="41"/>
      <c r="AE420" s="41"/>
      <c r="AF420" s="40"/>
      <c r="AG420" s="40"/>
      <c r="AH420" s="5"/>
      <c r="AI420" s="5"/>
      <c r="AJ420" s="40"/>
      <c r="AK420" s="40"/>
      <c r="AL420" s="40"/>
      <c r="AM420" s="40"/>
      <c r="AN420" s="40"/>
      <c r="AP420" s="40"/>
      <c r="AR420" s="40"/>
    </row>
    <row r="421" spans="2:44" ht="12.75" customHeight="1" x14ac:dyDescent="0.15">
      <c r="B421" s="40"/>
      <c r="C421" s="40"/>
      <c r="D421" s="40"/>
      <c r="E421" s="185"/>
      <c r="F421" s="40"/>
      <c r="G421" s="40"/>
      <c r="H421" s="53"/>
      <c r="R421" s="40"/>
      <c r="S421" s="40"/>
      <c r="U421" s="40"/>
      <c r="V421" s="40"/>
      <c r="W421" s="40"/>
      <c r="Y421" s="40"/>
      <c r="Z421" s="40"/>
      <c r="AA421" s="41"/>
      <c r="AB421" s="41"/>
      <c r="AC421" s="41"/>
      <c r="AD421" s="41"/>
      <c r="AE421" s="41"/>
      <c r="AF421" s="40"/>
      <c r="AG421" s="40"/>
      <c r="AH421" s="5"/>
      <c r="AI421" s="5"/>
      <c r="AJ421" s="40"/>
      <c r="AK421" s="40"/>
      <c r="AL421" s="40"/>
      <c r="AM421" s="40"/>
      <c r="AN421" s="40"/>
      <c r="AP421" s="40"/>
      <c r="AR421" s="40"/>
    </row>
    <row r="422" spans="2:44" ht="12.75" customHeight="1" x14ac:dyDescent="0.15">
      <c r="B422" s="40"/>
      <c r="C422" s="40"/>
      <c r="D422" s="40"/>
      <c r="E422" s="185"/>
      <c r="F422" s="40"/>
      <c r="G422" s="40"/>
      <c r="H422" s="53"/>
      <c r="R422" s="40"/>
      <c r="S422" s="40"/>
      <c r="U422" s="40"/>
      <c r="V422" s="40"/>
      <c r="W422" s="40"/>
      <c r="Y422" s="40"/>
      <c r="Z422" s="40"/>
      <c r="AA422" s="41"/>
      <c r="AB422" s="41"/>
      <c r="AC422" s="41"/>
      <c r="AD422" s="41"/>
      <c r="AE422" s="41"/>
      <c r="AF422" s="40"/>
      <c r="AG422" s="40"/>
      <c r="AH422" s="5"/>
      <c r="AI422" s="5"/>
      <c r="AJ422" s="40"/>
      <c r="AK422" s="40"/>
      <c r="AL422" s="40"/>
      <c r="AM422" s="40"/>
      <c r="AN422" s="40"/>
      <c r="AP422" s="40"/>
      <c r="AR422" s="40"/>
    </row>
    <row r="423" spans="2:44" ht="12.75" customHeight="1" x14ac:dyDescent="0.15">
      <c r="B423" s="40"/>
      <c r="C423" s="40"/>
      <c r="D423" s="40"/>
      <c r="E423" s="185"/>
      <c r="F423" s="40"/>
      <c r="G423" s="40"/>
      <c r="H423" s="53"/>
      <c r="R423" s="40"/>
      <c r="S423" s="40"/>
      <c r="U423" s="40"/>
      <c r="V423" s="40"/>
      <c r="W423" s="40"/>
      <c r="Y423" s="40"/>
      <c r="Z423" s="40"/>
      <c r="AA423" s="41"/>
      <c r="AB423" s="41"/>
      <c r="AC423" s="41"/>
      <c r="AD423" s="41"/>
      <c r="AE423" s="41"/>
      <c r="AF423" s="40"/>
      <c r="AG423" s="40"/>
      <c r="AH423" s="5"/>
      <c r="AI423" s="5"/>
      <c r="AJ423" s="40"/>
      <c r="AK423" s="40"/>
      <c r="AL423" s="40"/>
      <c r="AM423" s="40"/>
      <c r="AN423" s="40"/>
      <c r="AP423" s="40"/>
      <c r="AR423" s="40"/>
    </row>
    <row r="424" spans="2:44" ht="12.75" customHeight="1" x14ac:dyDescent="0.15">
      <c r="B424" s="40"/>
      <c r="C424" s="40"/>
      <c r="D424" s="40"/>
      <c r="E424" s="185"/>
      <c r="F424" s="40"/>
      <c r="G424" s="40"/>
      <c r="H424" s="53"/>
      <c r="R424" s="40"/>
      <c r="S424" s="40"/>
      <c r="U424" s="40"/>
      <c r="V424" s="40"/>
      <c r="W424" s="40"/>
      <c r="Y424" s="40"/>
      <c r="Z424" s="40"/>
      <c r="AA424" s="41"/>
      <c r="AB424" s="41"/>
      <c r="AC424" s="41"/>
      <c r="AD424" s="41"/>
      <c r="AE424" s="41"/>
      <c r="AF424" s="40"/>
      <c r="AG424" s="40"/>
      <c r="AH424" s="5"/>
      <c r="AI424" s="5"/>
      <c r="AJ424" s="40"/>
      <c r="AK424" s="40"/>
      <c r="AL424" s="40"/>
      <c r="AM424" s="40"/>
      <c r="AN424" s="40"/>
      <c r="AP424" s="40"/>
      <c r="AR424" s="40"/>
    </row>
    <row r="425" spans="2:44" ht="12.75" customHeight="1" x14ac:dyDescent="0.15">
      <c r="B425" s="40"/>
      <c r="C425" s="40"/>
      <c r="D425" s="40"/>
      <c r="E425" s="185"/>
      <c r="F425" s="40"/>
      <c r="G425" s="40"/>
      <c r="H425" s="53"/>
      <c r="R425" s="40"/>
      <c r="S425" s="40"/>
      <c r="U425" s="40"/>
      <c r="V425" s="40"/>
      <c r="W425" s="40"/>
      <c r="Y425" s="40"/>
      <c r="Z425" s="40"/>
      <c r="AA425" s="41"/>
      <c r="AB425" s="41"/>
      <c r="AC425" s="41"/>
      <c r="AD425" s="41"/>
      <c r="AE425" s="41"/>
      <c r="AF425" s="40"/>
      <c r="AG425" s="40"/>
      <c r="AH425" s="5"/>
      <c r="AI425" s="5"/>
      <c r="AJ425" s="40"/>
      <c r="AK425" s="40"/>
      <c r="AL425" s="40"/>
      <c r="AM425" s="40"/>
      <c r="AN425" s="40"/>
      <c r="AP425" s="40"/>
      <c r="AR425" s="40"/>
    </row>
    <row r="426" spans="2:44" ht="12.75" customHeight="1" x14ac:dyDescent="0.15">
      <c r="B426" s="40"/>
      <c r="C426" s="40"/>
      <c r="D426" s="40"/>
      <c r="E426" s="185"/>
      <c r="F426" s="40"/>
      <c r="G426" s="40"/>
      <c r="H426" s="53"/>
      <c r="R426" s="40"/>
      <c r="S426" s="40"/>
      <c r="U426" s="40"/>
      <c r="V426" s="40"/>
      <c r="W426" s="40"/>
      <c r="Y426" s="40"/>
      <c r="Z426" s="40"/>
      <c r="AA426" s="41"/>
      <c r="AB426" s="41"/>
      <c r="AC426" s="41"/>
      <c r="AD426" s="41"/>
      <c r="AE426" s="41"/>
      <c r="AF426" s="40"/>
      <c r="AG426" s="40"/>
      <c r="AH426" s="5"/>
      <c r="AI426" s="5"/>
      <c r="AJ426" s="40"/>
      <c r="AK426" s="40"/>
      <c r="AL426" s="40"/>
      <c r="AM426" s="40"/>
      <c r="AN426" s="40"/>
      <c r="AP426" s="40"/>
      <c r="AR426" s="40"/>
    </row>
    <row r="427" spans="2:44" ht="12.75" customHeight="1" x14ac:dyDescent="0.15">
      <c r="B427" s="40"/>
      <c r="C427" s="40"/>
      <c r="D427" s="40"/>
      <c r="E427" s="185"/>
      <c r="F427" s="40"/>
      <c r="G427" s="40"/>
      <c r="H427" s="53"/>
      <c r="R427" s="40"/>
      <c r="S427" s="40"/>
      <c r="U427" s="40"/>
      <c r="V427" s="40"/>
      <c r="W427" s="40"/>
      <c r="Y427" s="40"/>
      <c r="Z427" s="40"/>
      <c r="AA427" s="41"/>
      <c r="AB427" s="41"/>
      <c r="AC427" s="41"/>
      <c r="AD427" s="41"/>
      <c r="AE427" s="41"/>
      <c r="AF427" s="40"/>
      <c r="AG427" s="40"/>
      <c r="AH427" s="5"/>
      <c r="AI427" s="5"/>
      <c r="AJ427" s="40"/>
      <c r="AK427" s="40"/>
      <c r="AL427" s="40"/>
      <c r="AM427" s="40"/>
      <c r="AN427" s="40"/>
      <c r="AP427" s="40"/>
      <c r="AR427" s="40"/>
    </row>
    <row r="428" spans="2:44" ht="12.75" customHeight="1" x14ac:dyDescent="0.15">
      <c r="B428" s="40"/>
      <c r="C428" s="40"/>
      <c r="D428" s="40"/>
      <c r="E428" s="185"/>
      <c r="F428" s="40"/>
      <c r="G428" s="40"/>
      <c r="H428" s="53"/>
      <c r="R428" s="40"/>
      <c r="S428" s="40"/>
      <c r="U428" s="40"/>
      <c r="V428" s="40"/>
      <c r="W428" s="40"/>
      <c r="Y428" s="40"/>
      <c r="Z428" s="40"/>
      <c r="AA428" s="41"/>
      <c r="AB428" s="41"/>
      <c r="AC428" s="41"/>
      <c r="AD428" s="41"/>
      <c r="AE428" s="41"/>
      <c r="AF428" s="40"/>
      <c r="AG428" s="40"/>
      <c r="AH428" s="5"/>
      <c r="AI428" s="5"/>
      <c r="AJ428" s="40"/>
      <c r="AK428" s="40"/>
      <c r="AL428" s="40"/>
      <c r="AM428" s="40"/>
      <c r="AN428" s="40"/>
      <c r="AP428" s="40"/>
      <c r="AR428" s="40"/>
    </row>
    <row r="429" spans="2:44" ht="12.75" customHeight="1" x14ac:dyDescent="0.15">
      <c r="B429" s="40"/>
      <c r="C429" s="40"/>
      <c r="D429" s="40"/>
      <c r="E429" s="185"/>
      <c r="F429" s="40"/>
      <c r="G429" s="40"/>
      <c r="H429" s="53"/>
      <c r="R429" s="40"/>
      <c r="S429" s="40"/>
      <c r="U429" s="40"/>
      <c r="V429" s="40"/>
      <c r="W429" s="40"/>
      <c r="Y429" s="40"/>
      <c r="Z429" s="40"/>
      <c r="AA429" s="41"/>
      <c r="AB429" s="41"/>
      <c r="AC429" s="41"/>
      <c r="AD429" s="41"/>
      <c r="AE429" s="41"/>
      <c r="AF429" s="40"/>
      <c r="AG429" s="40"/>
      <c r="AH429" s="5"/>
      <c r="AI429" s="5"/>
      <c r="AJ429" s="40"/>
      <c r="AK429" s="40"/>
      <c r="AL429" s="40"/>
      <c r="AM429" s="40"/>
      <c r="AN429" s="40"/>
      <c r="AP429" s="40"/>
      <c r="AR429" s="40"/>
    </row>
    <row r="430" spans="2:44" ht="12.75" customHeight="1" x14ac:dyDescent="0.15">
      <c r="B430" s="40"/>
      <c r="C430" s="40"/>
      <c r="D430" s="40"/>
      <c r="E430" s="185"/>
      <c r="F430" s="40"/>
      <c r="G430" s="40"/>
      <c r="H430" s="53"/>
      <c r="R430" s="40"/>
      <c r="S430" s="40"/>
      <c r="U430" s="40"/>
      <c r="V430" s="40"/>
      <c r="W430" s="40"/>
      <c r="Y430" s="40"/>
      <c r="Z430" s="40"/>
      <c r="AA430" s="41"/>
      <c r="AB430" s="41"/>
      <c r="AC430" s="41"/>
      <c r="AD430" s="41"/>
      <c r="AE430" s="41"/>
      <c r="AF430" s="40"/>
      <c r="AG430" s="40"/>
      <c r="AH430" s="5"/>
      <c r="AI430" s="5"/>
      <c r="AJ430" s="40"/>
      <c r="AK430" s="40"/>
      <c r="AL430" s="40"/>
      <c r="AM430" s="40"/>
      <c r="AN430" s="40"/>
      <c r="AP430" s="40"/>
      <c r="AR430" s="40"/>
    </row>
    <row r="431" spans="2:44" ht="12.75" customHeight="1" x14ac:dyDescent="0.15">
      <c r="B431" s="40"/>
      <c r="C431" s="40"/>
      <c r="D431" s="40"/>
      <c r="E431" s="185"/>
      <c r="F431" s="40"/>
      <c r="G431" s="40"/>
      <c r="H431" s="53"/>
      <c r="R431" s="40"/>
      <c r="S431" s="40"/>
      <c r="U431" s="40"/>
      <c r="V431" s="40"/>
      <c r="W431" s="40"/>
      <c r="Y431" s="40"/>
      <c r="Z431" s="40"/>
      <c r="AA431" s="41"/>
      <c r="AB431" s="41"/>
      <c r="AC431" s="41"/>
      <c r="AD431" s="41"/>
      <c r="AE431" s="41"/>
      <c r="AF431" s="40"/>
      <c r="AG431" s="40"/>
      <c r="AH431" s="5"/>
      <c r="AI431" s="5"/>
      <c r="AJ431" s="40"/>
      <c r="AK431" s="40"/>
      <c r="AL431" s="40"/>
      <c r="AM431" s="40"/>
      <c r="AN431" s="40"/>
      <c r="AP431" s="40"/>
      <c r="AR431" s="40"/>
    </row>
    <row r="432" spans="2:44" ht="12.75" customHeight="1" x14ac:dyDescent="0.15">
      <c r="B432" s="40"/>
      <c r="C432" s="40"/>
      <c r="D432" s="40"/>
      <c r="E432" s="185"/>
      <c r="F432" s="40"/>
      <c r="G432" s="40"/>
      <c r="H432" s="53"/>
      <c r="R432" s="40"/>
      <c r="S432" s="40"/>
      <c r="U432" s="40"/>
      <c r="V432" s="40"/>
      <c r="W432" s="40"/>
      <c r="Y432" s="40"/>
      <c r="Z432" s="40"/>
      <c r="AA432" s="41"/>
      <c r="AB432" s="41"/>
      <c r="AC432" s="41"/>
      <c r="AD432" s="41"/>
      <c r="AE432" s="41"/>
      <c r="AF432" s="40"/>
      <c r="AG432" s="40"/>
      <c r="AH432" s="5"/>
      <c r="AI432" s="5"/>
      <c r="AJ432" s="40"/>
      <c r="AK432" s="40"/>
      <c r="AL432" s="40"/>
      <c r="AM432" s="40"/>
      <c r="AN432" s="40"/>
      <c r="AP432" s="40"/>
      <c r="AR432" s="40"/>
    </row>
    <row r="433" spans="2:44" ht="12.75" customHeight="1" x14ac:dyDescent="0.15">
      <c r="B433" s="40"/>
      <c r="C433" s="40"/>
      <c r="D433" s="40"/>
      <c r="E433" s="185"/>
      <c r="F433" s="40"/>
      <c r="G433" s="40"/>
      <c r="H433" s="53"/>
      <c r="R433" s="40"/>
      <c r="S433" s="40"/>
      <c r="U433" s="40"/>
      <c r="V433" s="40"/>
      <c r="W433" s="40"/>
      <c r="Y433" s="40"/>
      <c r="Z433" s="40"/>
      <c r="AA433" s="41"/>
      <c r="AB433" s="41"/>
      <c r="AC433" s="41"/>
      <c r="AD433" s="41"/>
      <c r="AE433" s="41"/>
      <c r="AF433" s="40"/>
      <c r="AG433" s="40"/>
      <c r="AH433" s="5"/>
      <c r="AI433" s="5"/>
      <c r="AJ433" s="40"/>
      <c r="AK433" s="40"/>
      <c r="AL433" s="40"/>
      <c r="AM433" s="40"/>
      <c r="AN433" s="40"/>
      <c r="AP433" s="40"/>
      <c r="AR433" s="40"/>
    </row>
    <row r="434" spans="2:44" ht="12.75" customHeight="1" x14ac:dyDescent="0.15">
      <c r="B434" s="40"/>
      <c r="C434" s="40"/>
      <c r="D434" s="40"/>
      <c r="E434" s="185"/>
      <c r="F434" s="40"/>
      <c r="G434" s="40"/>
      <c r="H434" s="53"/>
      <c r="R434" s="40"/>
      <c r="S434" s="40"/>
      <c r="U434" s="40"/>
      <c r="V434" s="40"/>
      <c r="W434" s="40"/>
      <c r="Y434" s="40"/>
      <c r="Z434" s="40"/>
      <c r="AA434" s="41"/>
      <c r="AB434" s="41"/>
      <c r="AC434" s="41"/>
      <c r="AD434" s="41"/>
      <c r="AE434" s="41"/>
      <c r="AF434" s="40"/>
      <c r="AG434" s="40"/>
      <c r="AH434" s="5"/>
      <c r="AI434" s="5"/>
      <c r="AJ434" s="40"/>
      <c r="AK434" s="40"/>
      <c r="AL434" s="40"/>
      <c r="AM434" s="40"/>
      <c r="AN434" s="40"/>
      <c r="AP434" s="40"/>
      <c r="AR434" s="40"/>
    </row>
    <row r="435" spans="2:44" ht="12.75" customHeight="1" x14ac:dyDescent="0.15">
      <c r="B435" s="40"/>
      <c r="C435" s="40"/>
      <c r="D435" s="40"/>
      <c r="E435" s="185"/>
      <c r="F435" s="40"/>
      <c r="G435" s="40"/>
      <c r="H435" s="53"/>
      <c r="R435" s="40"/>
      <c r="S435" s="40"/>
      <c r="U435" s="40"/>
      <c r="V435" s="40"/>
      <c r="W435" s="40"/>
      <c r="Y435" s="40"/>
      <c r="Z435" s="40"/>
      <c r="AA435" s="41"/>
      <c r="AB435" s="41"/>
      <c r="AC435" s="41"/>
      <c r="AD435" s="41"/>
      <c r="AE435" s="41"/>
      <c r="AF435" s="40"/>
      <c r="AG435" s="40"/>
      <c r="AH435" s="5"/>
      <c r="AI435" s="5"/>
      <c r="AJ435" s="40"/>
      <c r="AK435" s="40"/>
      <c r="AL435" s="40"/>
      <c r="AM435" s="40"/>
      <c r="AN435" s="40"/>
      <c r="AP435" s="40"/>
      <c r="AR435" s="40"/>
    </row>
    <row r="436" spans="2:44" ht="12.75" customHeight="1" x14ac:dyDescent="0.15">
      <c r="B436" s="40"/>
      <c r="C436" s="40"/>
      <c r="D436" s="40"/>
      <c r="E436" s="185"/>
      <c r="F436" s="40"/>
      <c r="G436" s="40"/>
      <c r="H436" s="53"/>
      <c r="R436" s="40"/>
      <c r="S436" s="40"/>
      <c r="U436" s="40"/>
      <c r="V436" s="40"/>
      <c r="W436" s="40"/>
      <c r="Y436" s="40"/>
      <c r="Z436" s="40"/>
      <c r="AA436" s="41"/>
      <c r="AB436" s="41"/>
      <c r="AC436" s="41"/>
      <c r="AD436" s="41"/>
      <c r="AE436" s="41"/>
      <c r="AF436" s="40"/>
      <c r="AG436" s="40"/>
      <c r="AH436" s="5"/>
      <c r="AI436" s="5"/>
      <c r="AJ436" s="40"/>
      <c r="AK436" s="40"/>
      <c r="AL436" s="40"/>
      <c r="AM436" s="40"/>
      <c r="AN436" s="40"/>
      <c r="AP436" s="40"/>
      <c r="AR436" s="40"/>
    </row>
    <row r="437" spans="2:44" ht="12.75" customHeight="1" x14ac:dyDescent="0.15">
      <c r="B437" s="40"/>
      <c r="C437" s="40"/>
      <c r="D437" s="40"/>
      <c r="E437" s="185"/>
      <c r="F437" s="40"/>
      <c r="G437" s="40"/>
      <c r="H437" s="53"/>
      <c r="R437" s="40"/>
      <c r="S437" s="40"/>
      <c r="U437" s="40"/>
      <c r="V437" s="40"/>
      <c r="W437" s="40"/>
      <c r="Y437" s="40"/>
      <c r="Z437" s="40"/>
      <c r="AA437" s="41"/>
      <c r="AB437" s="41"/>
      <c r="AC437" s="41"/>
      <c r="AD437" s="41"/>
      <c r="AE437" s="41"/>
      <c r="AF437" s="40"/>
      <c r="AG437" s="40"/>
      <c r="AH437" s="5"/>
      <c r="AI437" s="5"/>
      <c r="AJ437" s="40"/>
      <c r="AK437" s="40"/>
      <c r="AL437" s="40"/>
      <c r="AM437" s="40"/>
      <c r="AN437" s="40"/>
      <c r="AP437" s="40"/>
      <c r="AR437" s="40"/>
    </row>
    <row r="438" spans="2:44" ht="12.75" customHeight="1" x14ac:dyDescent="0.15">
      <c r="B438" s="40"/>
      <c r="C438" s="40"/>
      <c r="D438" s="40"/>
      <c r="E438" s="185"/>
      <c r="F438" s="40"/>
      <c r="G438" s="40"/>
      <c r="H438" s="53"/>
      <c r="R438" s="40"/>
      <c r="S438" s="40"/>
      <c r="U438" s="40"/>
      <c r="V438" s="40"/>
      <c r="W438" s="40"/>
      <c r="Y438" s="40"/>
      <c r="Z438" s="40"/>
      <c r="AA438" s="41"/>
      <c r="AB438" s="41"/>
      <c r="AC438" s="41"/>
      <c r="AD438" s="41"/>
      <c r="AE438" s="41"/>
      <c r="AF438" s="40"/>
      <c r="AG438" s="40"/>
      <c r="AH438" s="5"/>
      <c r="AI438" s="5"/>
      <c r="AJ438" s="40"/>
      <c r="AK438" s="40"/>
      <c r="AL438" s="40"/>
      <c r="AM438" s="40"/>
      <c r="AN438" s="40"/>
      <c r="AP438" s="40"/>
      <c r="AR438" s="40"/>
    </row>
    <row r="439" spans="2:44" ht="12.75" customHeight="1" x14ac:dyDescent="0.15">
      <c r="B439" s="40"/>
      <c r="C439" s="40"/>
      <c r="D439" s="40"/>
      <c r="E439" s="185"/>
      <c r="F439" s="40"/>
      <c r="G439" s="40"/>
      <c r="H439" s="53"/>
      <c r="R439" s="40"/>
      <c r="S439" s="40"/>
      <c r="U439" s="40"/>
      <c r="V439" s="40"/>
      <c r="W439" s="40"/>
      <c r="Y439" s="40"/>
      <c r="Z439" s="40"/>
      <c r="AA439" s="41"/>
      <c r="AB439" s="41"/>
      <c r="AC439" s="41"/>
      <c r="AD439" s="41"/>
      <c r="AE439" s="41"/>
      <c r="AF439" s="40"/>
      <c r="AG439" s="40"/>
      <c r="AH439" s="5"/>
      <c r="AI439" s="5"/>
      <c r="AJ439" s="40"/>
      <c r="AK439" s="40"/>
      <c r="AL439" s="40"/>
      <c r="AM439" s="40"/>
      <c r="AN439" s="40"/>
      <c r="AP439" s="40"/>
      <c r="AR439" s="40"/>
    </row>
    <row r="440" spans="2:44" ht="12.75" customHeight="1" x14ac:dyDescent="0.15">
      <c r="B440" s="40"/>
      <c r="C440" s="40"/>
      <c r="D440" s="40"/>
      <c r="E440" s="185"/>
      <c r="F440" s="40"/>
      <c r="G440" s="40"/>
      <c r="H440" s="53"/>
      <c r="R440" s="40"/>
      <c r="S440" s="40"/>
      <c r="U440" s="40"/>
      <c r="V440" s="40"/>
      <c r="W440" s="40"/>
      <c r="Y440" s="40"/>
      <c r="Z440" s="40"/>
      <c r="AA440" s="41"/>
      <c r="AB440" s="41"/>
      <c r="AC440" s="41"/>
      <c r="AD440" s="41"/>
      <c r="AE440" s="41"/>
      <c r="AF440" s="40"/>
      <c r="AG440" s="40"/>
      <c r="AH440" s="5"/>
      <c r="AI440" s="5"/>
      <c r="AJ440" s="40"/>
      <c r="AK440" s="40"/>
      <c r="AL440" s="40"/>
      <c r="AM440" s="40"/>
      <c r="AN440" s="40"/>
      <c r="AP440" s="40"/>
      <c r="AR440" s="40"/>
    </row>
    <row r="441" spans="2:44" ht="12.75" customHeight="1" x14ac:dyDescent="0.15">
      <c r="B441" s="40"/>
      <c r="C441" s="40"/>
      <c r="D441" s="40"/>
      <c r="E441" s="185"/>
      <c r="F441" s="40"/>
      <c r="G441" s="40"/>
      <c r="H441" s="53"/>
      <c r="R441" s="40"/>
      <c r="S441" s="40"/>
      <c r="U441" s="40"/>
      <c r="V441" s="40"/>
      <c r="W441" s="40"/>
      <c r="Y441" s="40"/>
      <c r="Z441" s="40"/>
      <c r="AA441" s="41"/>
      <c r="AB441" s="41"/>
      <c r="AC441" s="41"/>
      <c r="AD441" s="41"/>
      <c r="AE441" s="41"/>
      <c r="AF441" s="40"/>
      <c r="AG441" s="40"/>
      <c r="AH441" s="5"/>
      <c r="AI441" s="5"/>
      <c r="AJ441" s="40"/>
      <c r="AK441" s="40"/>
      <c r="AL441" s="40"/>
      <c r="AM441" s="40"/>
      <c r="AN441" s="40"/>
      <c r="AP441" s="40"/>
      <c r="AR441" s="40"/>
    </row>
    <row r="442" spans="2:44" ht="12.75" customHeight="1" x14ac:dyDescent="0.15">
      <c r="B442" s="40"/>
      <c r="C442" s="40"/>
      <c r="D442" s="40"/>
      <c r="E442" s="185"/>
      <c r="F442" s="40"/>
      <c r="G442" s="40"/>
      <c r="H442" s="53"/>
      <c r="R442" s="40"/>
      <c r="S442" s="40"/>
      <c r="U442" s="40"/>
      <c r="V442" s="40"/>
      <c r="W442" s="40"/>
      <c r="Y442" s="40"/>
      <c r="Z442" s="40"/>
      <c r="AA442" s="41"/>
      <c r="AB442" s="41"/>
      <c r="AC442" s="41"/>
      <c r="AD442" s="41"/>
      <c r="AE442" s="41"/>
      <c r="AF442" s="40"/>
      <c r="AG442" s="40"/>
      <c r="AH442" s="5"/>
      <c r="AI442" s="5"/>
      <c r="AJ442" s="40"/>
      <c r="AK442" s="40"/>
      <c r="AL442" s="40"/>
      <c r="AM442" s="40"/>
      <c r="AN442" s="40"/>
      <c r="AP442" s="40"/>
      <c r="AR442" s="40"/>
    </row>
    <row r="443" spans="2:44" ht="12.75" customHeight="1" x14ac:dyDescent="0.15">
      <c r="B443" s="40"/>
      <c r="C443" s="40"/>
      <c r="D443" s="40"/>
      <c r="E443" s="185"/>
      <c r="F443" s="40"/>
      <c r="G443" s="40"/>
      <c r="H443" s="53"/>
      <c r="R443" s="40"/>
      <c r="S443" s="40"/>
      <c r="U443" s="40"/>
      <c r="V443" s="40"/>
      <c r="W443" s="40"/>
      <c r="Y443" s="40"/>
      <c r="Z443" s="40"/>
      <c r="AA443" s="41"/>
      <c r="AB443" s="41"/>
      <c r="AC443" s="41"/>
      <c r="AD443" s="41"/>
      <c r="AE443" s="41"/>
      <c r="AF443" s="40"/>
      <c r="AG443" s="40"/>
      <c r="AH443" s="5"/>
      <c r="AI443" s="5"/>
      <c r="AJ443" s="40"/>
      <c r="AK443" s="40"/>
      <c r="AL443" s="40"/>
      <c r="AM443" s="40"/>
      <c r="AN443" s="40"/>
      <c r="AP443" s="40"/>
      <c r="AR443" s="40"/>
    </row>
    <row r="444" spans="2:44" ht="12.75" customHeight="1" x14ac:dyDescent="0.15">
      <c r="B444" s="40"/>
      <c r="C444" s="40"/>
      <c r="D444" s="40"/>
      <c r="E444" s="185"/>
      <c r="F444" s="40"/>
      <c r="G444" s="40"/>
      <c r="H444" s="53"/>
      <c r="R444" s="40"/>
      <c r="S444" s="40"/>
      <c r="U444" s="40"/>
      <c r="V444" s="40"/>
      <c r="W444" s="40"/>
      <c r="Y444" s="40"/>
      <c r="Z444" s="40"/>
      <c r="AA444" s="41"/>
      <c r="AB444" s="41"/>
      <c r="AC444" s="41"/>
      <c r="AD444" s="41"/>
      <c r="AE444" s="41"/>
      <c r="AF444" s="40"/>
      <c r="AG444" s="40"/>
      <c r="AH444" s="5"/>
      <c r="AI444" s="5"/>
      <c r="AJ444" s="40"/>
      <c r="AK444" s="40"/>
      <c r="AL444" s="40"/>
      <c r="AM444" s="40"/>
      <c r="AN444" s="40"/>
      <c r="AP444" s="40"/>
      <c r="AR444" s="40"/>
    </row>
    <row r="445" spans="2:44" ht="12.75" customHeight="1" x14ac:dyDescent="0.15">
      <c r="B445" s="40"/>
      <c r="C445" s="40"/>
      <c r="D445" s="40"/>
      <c r="E445" s="185"/>
      <c r="F445" s="40"/>
      <c r="G445" s="40"/>
      <c r="H445" s="53"/>
      <c r="R445" s="40"/>
      <c r="S445" s="40"/>
      <c r="U445" s="40"/>
      <c r="V445" s="40"/>
      <c r="W445" s="40"/>
      <c r="Y445" s="40"/>
      <c r="Z445" s="40"/>
      <c r="AA445" s="41"/>
      <c r="AB445" s="41"/>
      <c r="AC445" s="41"/>
      <c r="AD445" s="41"/>
      <c r="AE445" s="41"/>
      <c r="AF445" s="40"/>
      <c r="AG445" s="40"/>
      <c r="AH445" s="5"/>
      <c r="AI445" s="5"/>
      <c r="AJ445" s="40"/>
      <c r="AK445" s="40"/>
      <c r="AL445" s="40"/>
      <c r="AM445" s="40"/>
      <c r="AN445" s="40"/>
      <c r="AP445" s="40"/>
      <c r="AR445" s="40"/>
    </row>
    <row r="446" spans="2:44" ht="12.75" customHeight="1" x14ac:dyDescent="0.15">
      <c r="B446" s="40"/>
      <c r="C446" s="40"/>
      <c r="D446" s="40"/>
      <c r="E446" s="185"/>
      <c r="F446" s="40"/>
      <c r="G446" s="40"/>
      <c r="H446" s="53"/>
      <c r="R446" s="40"/>
      <c r="S446" s="40"/>
      <c r="U446" s="40"/>
      <c r="V446" s="40"/>
      <c r="W446" s="40"/>
      <c r="Y446" s="40"/>
      <c r="Z446" s="40"/>
      <c r="AA446" s="41"/>
      <c r="AB446" s="41"/>
      <c r="AC446" s="41"/>
      <c r="AD446" s="41"/>
      <c r="AE446" s="41"/>
      <c r="AF446" s="40"/>
      <c r="AG446" s="40"/>
      <c r="AH446" s="5"/>
      <c r="AI446" s="5"/>
      <c r="AJ446" s="40"/>
      <c r="AK446" s="40"/>
      <c r="AL446" s="40"/>
      <c r="AM446" s="40"/>
      <c r="AN446" s="40"/>
      <c r="AP446" s="40"/>
      <c r="AR446" s="40"/>
    </row>
    <row r="447" spans="2:44" ht="12.75" customHeight="1" x14ac:dyDescent="0.15">
      <c r="B447" s="40"/>
      <c r="C447" s="40"/>
      <c r="D447" s="40"/>
      <c r="E447" s="185"/>
      <c r="F447" s="40"/>
      <c r="G447" s="40"/>
      <c r="H447" s="53"/>
      <c r="R447" s="40"/>
      <c r="S447" s="40"/>
      <c r="U447" s="40"/>
      <c r="V447" s="40"/>
      <c r="W447" s="40"/>
      <c r="Y447" s="40"/>
      <c r="Z447" s="40"/>
      <c r="AA447" s="41"/>
      <c r="AB447" s="41"/>
      <c r="AC447" s="41"/>
      <c r="AD447" s="41"/>
      <c r="AE447" s="41"/>
      <c r="AF447" s="40"/>
      <c r="AG447" s="40"/>
      <c r="AH447" s="5"/>
      <c r="AI447" s="5"/>
      <c r="AJ447" s="40"/>
      <c r="AK447" s="40"/>
      <c r="AL447" s="40"/>
      <c r="AM447" s="40"/>
      <c r="AN447" s="40"/>
      <c r="AP447" s="40"/>
      <c r="AR447" s="40"/>
    </row>
    <row r="448" spans="2:44" ht="12.75" customHeight="1" x14ac:dyDescent="0.15">
      <c r="B448" s="40"/>
      <c r="C448" s="40"/>
      <c r="D448" s="40"/>
      <c r="E448" s="185"/>
      <c r="F448" s="40"/>
      <c r="G448" s="40"/>
      <c r="H448" s="53"/>
      <c r="R448" s="40"/>
      <c r="S448" s="40"/>
      <c r="U448" s="40"/>
      <c r="V448" s="40"/>
      <c r="W448" s="40"/>
      <c r="Y448" s="40"/>
      <c r="Z448" s="40"/>
      <c r="AA448" s="41"/>
      <c r="AB448" s="41"/>
      <c r="AC448" s="41"/>
      <c r="AD448" s="41"/>
      <c r="AE448" s="41"/>
      <c r="AF448" s="40"/>
      <c r="AG448" s="40"/>
      <c r="AH448" s="5"/>
      <c r="AI448" s="5"/>
      <c r="AJ448" s="40"/>
      <c r="AK448" s="40"/>
      <c r="AL448" s="40"/>
      <c r="AM448" s="40"/>
      <c r="AN448" s="40"/>
      <c r="AP448" s="40"/>
      <c r="AR448" s="40"/>
    </row>
    <row r="449" spans="2:44" ht="12.75" customHeight="1" x14ac:dyDescent="0.15">
      <c r="B449" s="40"/>
      <c r="C449" s="40"/>
      <c r="D449" s="40"/>
      <c r="E449" s="185"/>
      <c r="F449" s="40"/>
      <c r="G449" s="40"/>
      <c r="H449" s="53"/>
      <c r="R449" s="40"/>
      <c r="S449" s="40"/>
      <c r="U449" s="40"/>
      <c r="V449" s="40"/>
      <c r="W449" s="40"/>
      <c r="Y449" s="40"/>
      <c r="Z449" s="40"/>
      <c r="AA449" s="41"/>
      <c r="AB449" s="41"/>
      <c r="AC449" s="41"/>
      <c r="AD449" s="41"/>
      <c r="AE449" s="41"/>
      <c r="AF449" s="40"/>
      <c r="AG449" s="40"/>
      <c r="AH449" s="5"/>
      <c r="AI449" s="5"/>
      <c r="AJ449" s="40"/>
      <c r="AK449" s="40"/>
      <c r="AL449" s="40"/>
      <c r="AM449" s="40"/>
      <c r="AN449" s="40"/>
      <c r="AP449" s="40"/>
      <c r="AR449" s="40"/>
    </row>
    <row r="450" spans="2:44" ht="12.75" customHeight="1" x14ac:dyDescent="0.15">
      <c r="B450" s="40"/>
      <c r="C450" s="40"/>
      <c r="D450" s="40"/>
      <c r="E450" s="185"/>
      <c r="F450" s="40"/>
      <c r="G450" s="40"/>
      <c r="H450" s="53"/>
      <c r="R450" s="40"/>
      <c r="S450" s="40"/>
      <c r="U450" s="40"/>
      <c r="V450" s="40"/>
      <c r="W450" s="40"/>
      <c r="Y450" s="40"/>
      <c r="Z450" s="40"/>
      <c r="AA450" s="41"/>
      <c r="AB450" s="41"/>
      <c r="AC450" s="41"/>
      <c r="AD450" s="41"/>
      <c r="AE450" s="41"/>
      <c r="AF450" s="40"/>
      <c r="AG450" s="40"/>
      <c r="AH450" s="5"/>
      <c r="AI450" s="5"/>
      <c r="AJ450" s="40"/>
      <c r="AK450" s="40"/>
      <c r="AL450" s="40"/>
      <c r="AM450" s="40"/>
      <c r="AN450" s="40"/>
      <c r="AP450" s="40"/>
      <c r="AR450" s="40"/>
    </row>
    <row r="451" spans="2:44" ht="12.75" customHeight="1" x14ac:dyDescent="0.15">
      <c r="B451" s="40"/>
      <c r="C451" s="40"/>
      <c r="D451" s="40"/>
      <c r="E451" s="185"/>
      <c r="F451" s="40"/>
      <c r="G451" s="40"/>
      <c r="H451" s="53"/>
      <c r="R451" s="40"/>
      <c r="S451" s="40"/>
      <c r="U451" s="40"/>
      <c r="V451" s="40"/>
      <c r="W451" s="40"/>
      <c r="Y451" s="40"/>
      <c r="Z451" s="40"/>
      <c r="AA451" s="41"/>
      <c r="AB451" s="41"/>
      <c r="AC451" s="41"/>
      <c r="AD451" s="41"/>
      <c r="AE451" s="41"/>
      <c r="AF451" s="40"/>
      <c r="AG451" s="40"/>
      <c r="AH451" s="5"/>
      <c r="AI451" s="5"/>
      <c r="AJ451" s="40"/>
      <c r="AK451" s="40"/>
      <c r="AL451" s="40"/>
      <c r="AM451" s="40"/>
      <c r="AN451" s="40"/>
      <c r="AP451" s="40"/>
      <c r="AR451" s="40"/>
    </row>
    <row r="452" spans="2:44" ht="12.75" customHeight="1" x14ac:dyDescent="0.15">
      <c r="B452" s="40"/>
      <c r="C452" s="40"/>
      <c r="D452" s="40"/>
      <c r="E452" s="185"/>
      <c r="F452" s="40"/>
      <c r="G452" s="40"/>
      <c r="H452" s="53"/>
      <c r="R452" s="40"/>
      <c r="S452" s="40"/>
      <c r="U452" s="40"/>
      <c r="V452" s="40"/>
      <c r="W452" s="40"/>
      <c r="Y452" s="40"/>
      <c r="Z452" s="40"/>
      <c r="AA452" s="41"/>
      <c r="AB452" s="41"/>
      <c r="AC452" s="41"/>
      <c r="AD452" s="41"/>
      <c r="AE452" s="41"/>
      <c r="AF452" s="40"/>
      <c r="AG452" s="40"/>
      <c r="AH452" s="5"/>
      <c r="AI452" s="5"/>
      <c r="AJ452" s="40"/>
      <c r="AK452" s="40"/>
      <c r="AL452" s="40"/>
      <c r="AM452" s="40"/>
      <c r="AN452" s="40"/>
      <c r="AP452" s="40"/>
      <c r="AR452" s="40"/>
    </row>
    <row r="453" spans="2:44" ht="12.75" customHeight="1" x14ac:dyDescent="0.15">
      <c r="B453" s="40"/>
      <c r="C453" s="40"/>
      <c r="D453" s="40"/>
      <c r="E453" s="185"/>
      <c r="F453" s="40"/>
      <c r="G453" s="40"/>
      <c r="H453" s="53"/>
      <c r="R453" s="40"/>
      <c r="S453" s="40"/>
      <c r="U453" s="40"/>
      <c r="V453" s="40"/>
      <c r="W453" s="40"/>
      <c r="Y453" s="40"/>
      <c r="Z453" s="40"/>
      <c r="AA453" s="41"/>
      <c r="AB453" s="41"/>
      <c r="AC453" s="41"/>
      <c r="AD453" s="41"/>
      <c r="AE453" s="41"/>
      <c r="AF453" s="40"/>
      <c r="AG453" s="40"/>
      <c r="AH453" s="5"/>
      <c r="AI453" s="5"/>
      <c r="AJ453" s="40"/>
      <c r="AK453" s="40"/>
      <c r="AL453" s="40"/>
      <c r="AM453" s="40"/>
      <c r="AN453" s="40"/>
      <c r="AP453" s="40"/>
      <c r="AR453" s="40"/>
    </row>
    <row r="454" spans="2:44" ht="12.75" customHeight="1" x14ac:dyDescent="0.15">
      <c r="B454" s="40"/>
      <c r="C454" s="40"/>
      <c r="D454" s="40"/>
      <c r="E454" s="185"/>
      <c r="F454" s="40"/>
      <c r="G454" s="40"/>
      <c r="H454" s="53"/>
      <c r="R454" s="40"/>
      <c r="S454" s="40"/>
      <c r="U454" s="40"/>
      <c r="V454" s="40"/>
      <c r="W454" s="40"/>
      <c r="Y454" s="40"/>
      <c r="Z454" s="40"/>
      <c r="AA454" s="41"/>
      <c r="AB454" s="41"/>
      <c r="AC454" s="41"/>
      <c r="AD454" s="41"/>
      <c r="AE454" s="41"/>
      <c r="AF454" s="40"/>
      <c r="AG454" s="40"/>
      <c r="AH454" s="5"/>
      <c r="AI454" s="5"/>
      <c r="AJ454" s="40"/>
      <c r="AK454" s="40"/>
      <c r="AL454" s="40"/>
      <c r="AM454" s="40"/>
      <c r="AN454" s="40"/>
      <c r="AP454" s="40"/>
      <c r="AR454" s="40"/>
    </row>
    <row r="455" spans="2:44" ht="12.75" customHeight="1" x14ac:dyDescent="0.15">
      <c r="B455" s="40"/>
      <c r="C455" s="40"/>
      <c r="D455" s="40"/>
      <c r="E455" s="185"/>
      <c r="F455" s="40"/>
      <c r="G455" s="40"/>
      <c r="H455" s="53"/>
      <c r="R455" s="40"/>
      <c r="S455" s="40"/>
      <c r="U455" s="40"/>
      <c r="V455" s="40"/>
      <c r="W455" s="40"/>
      <c r="Y455" s="40"/>
      <c r="Z455" s="40"/>
      <c r="AA455" s="41"/>
      <c r="AB455" s="41"/>
      <c r="AC455" s="41"/>
      <c r="AD455" s="41"/>
      <c r="AE455" s="41"/>
      <c r="AF455" s="40"/>
      <c r="AG455" s="40"/>
      <c r="AH455" s="5"/>
      <c r="AI455" s="5"/>
      <c r="AJ455" s="40"/>
      <c r="AK455" s="40"/>
      <c r="AL455" s="40"/>
      <c r="AM455" s="40"/>
      <c r="AN455" s="40"/>
      <c r="AP455" s="40"/>
      <c r="AR455" s="40"/>
    </row>
    <row r="456" spans="2:44" ht="12.75" customHeight="1" x14ac:dyDescent="0.15">
      <c r="B456" s="40"/>
      <c r="C456" s="40"/>
      <c r="D456" s="40"/>
      <c r="E456" s="185"/>
      <c r="F456" s="40"/>
      <c r="G456" s="40"/>
      <c r="H456" s="53"/>
      <c r="R456" s="40"/>
      <c r="S456" s="40"/>
      <c r="U456" s="40"/>
      <c r="V456" s="40"/>
      <c r="W456" s="40"/>
      <c r="Y456" s="40"/>
      <c r="Z456" s="40"/>
      <c r="AA456" s="41"/>
      <c r="AB456" s="41"/>
      <c r="AC456" s="41"/>
      <c r="AD456" s="41"/>
      <c r="AE456" s="41"/>
      <c r="AF456" s="40"/>
      <c r="AG456" s="40"/>
      <c r="AH456" s="5"/>
      <c r="AI456" s="5"/>
      <c r="AJ456" s="40"/>
      <c r="AK456" s="40"/>
      <c r="AL456" s="40"/>
      <c r="AM456" s="40"/>
      <c r="AN456" s="40"/>
      <c r="AP456" s="40"/>
      <c r="AR456" s="40"/>
    </row>
    <row r="457" spans="2:44" ht="12.75" customHeight="1" x14ac:dyDescent="0.15">
      <c r="B457" s="40"/>
      <c r="C457" s="40"/>
      <c r="D457" s="40"/>
      <c r="E457" s="185"/>
      <c r="F457" s="40"/>
      <c r="G457" s="40"/>
      <c r="H457" s="53"/>
      <c r="R457" s="40"/>
      <c r="S457" s="40"/>
      <c r="U457" s="40"/>
      <c r="V457" s="40"/>
      <c r="W457" s="40"/>
      <c r="Y457" s="40"/>
      <c r="Z457" s="40"/>
      <c r="AA457" s="41"/>
      <c r="AB457" s="41"/>
      <c r="AC457" s="41"/>
      <c r="AD457" s="41"/>
      <c r="AE457" s="41"/>
      <c r="AF457" s="40"/>
      <c r="AG457" s="40"/>
      <c r="AH457" s="5"/>
      <c r="AI457" s="5"/>
      <c r="AJ457" s="40"/>
      <c r="AK457" s="40"/>
      <c r="AL457" s="40"/>
      <c r="AM457" s="40"/>
      <c r="AN457" s="40"/>
      <c r="AP457" s="40"/>
      <c r="AR457" s="40"/>
    </row>
    <row r="458" spans="2:44" ht="12.75" customHeight="1" x14ac:dyDescent="0.15">
      <c r="B458" s="40"/>
      <c r="C458" s="40"/>
      <c r="D458" s="40"/>
      <c r="E458" s="185"/>
      <c r="F458" s="40"/>
      <c r="G458" s="40"/>
      <c r="H458" s="53"/>
      <c r="R458" s="40"/>
      <c r="S458" s="40"/>
      <c r="U458" s="40"/>
      <c r="V458" s="40"/>
      <c r="W458" s="40"/>
      <c r="Y458" s="40"/>
      <c r="Z458" s="40"/>
      <c r="AA458" s="41"/>
      <c r="AB458" s="41"/>
      <c r="AC458" s="41"/>
      <c r="AD458" s="41"/>
      <c r="AE458" s="41"/>
      <c r="AF458" s="40"/>
      <c r="AG458" s="40"/>
      <c r="AH458" s="5"/>
      <c r="AI458" s="5"/>
      <c r="AJ458" s="40"/>
      <c r="AK458" s="40"/>
      <c r="AL458" s="40"/>
      <c r="AM458" s="40"/>
      <c r="AN458" s="40"/>
      <c r="AP458" s="40"/>
      <c r="AR458" s="40"/>
    </row>
    <row r="459" spans="2:44" ht="12.75" customHeight="1" x14ac:dyDescent="0.15">
      <c r="B459" s="40"/>
      <c r="C459" s="40"/>
      <c r="D459" s="40"/>
      <c r="E459" s="185"/>
      <c r="F459" s="40"/>
      <c r="G459" s="40"/>
      <c r="H459" s="53"/>
      <c r="R459" s="40"/>
      <c r="S459" s="40"/>
      <c r="U459" s="40"/>
      <c r="V459" s="40"/>
      <c r="W459" s="40"/>
      <c r="Y459" s="40"/>
      <c r="Z459" s="40"/>
      <c r="AA459" s="41"/>
      <c r="AB459" s="41"/>
      <c r="AC459" s="41"/>
      <c r="AD459" s="41"/>
      <c r="AE459" s="41"/>
      <c r="AF459" s="40"/>
      <c r="AG459" s="40"/>
      <c r="AH459" s="5"/>
      <c r="AI459" s="5"/>
      <c r="AJ459" s="40"/>
      <c r="AK459" s="40"/>
      <c r="AL459" s="40"/>
      <c r="AM459" s="40"/>
      <c r="AN459" s="40"/>
      <c r="AP459" s="40"/>
      <c r="AR459" s="40"/>
    </row>
    <row r="460" spans="2:44" ht="12.75" customHeight="1" x14ac:dyDescent="0.15">
      <c r="B460" s="40"/>
      <c r="C460" s="40"/>
      <c r="D460" s="40"/>
      <c r="E460" s="185"/>
      <c r="F460" s="40"/>
      <c r="G460" s="40"/>
      <c r="H460" s="53"/>
      <c r="R460" s="40"/>
      <c r="S460" s="40"/>
      <c r="U460" s="40"/>
      <c r="V460" s="40"/>
      <c r="W460" s="40"/>
      <c r="Y460" s="40"/>
      <c r="Z460" s="40"/>
      <c r="AA460" s="41"/>
      <c r="AB460" s="41"/>
      <c r="AC460" s="41"/>
      <c r="AD460" s="41"/>
      <c r="AE460" s="41"/>
      <c r="AF460" s="40"/>
      <c r="AG460" s="40"/>
      <c r="AH460" s="5"/>
      <c r="AI460" s="5"/>
      <c r="AJ460" s="40"/>
      <c r="AK460" s="40"/>
      <c r="AL460" s="40"/>
      <c r="AM460" s="40"/>
      <c r="AN460" s="40"/>
      <c r="AP460" s="40"/>
      <c r="AR460" s="40"/>
    </row>
    <row r="461" spans="2:44" ht="12.75" customHeight="1" x14ac:dyDescent="0.15">
      <c r="B461" s="40"/>
      <c r="C461" s="40"/>
      <c r="D461" s="40"/>
      <c r="E461" s="185"/>
      <c r="F461" s="40"/>
      <c r="G461" s="40"/>
      <c r="H461" s="53"/>
      <c r="R461" s="40"/>
      <c r="S461" s="40"/>
      <c r="U461" s="40"/>
      <c r="V461" s="40"/>
      <c r="W461" s="40"/>
      <c r="Y461" s="40"/>
      <c r="Z461" s="40"/>
      <c r="AA461" s="41"/>
      <c r="AB461" s="41"/>
      <c r="AC461" s="41"/>
      <c r="AD461" s="41"/>
      <c r="AE461" s="41"/>
      <c r="AF461" s="40"/>
      <c r="AG461" s="40"/>
      <c r="AH461" s="5"/>
      <c r="AI461" s="5"/>
      <c r="AJ461" s="40"/>
      <c r="AK461" s="40"/>
      <c r="AL461" s="40"/>
      <c r="AM461" s="40"/>
      <c r="AN461" s="40"/>
      <c r="AP461" s="40"/>
      <c r="AR461" s="40"/>
    </row>
    <row r="462" spans="2:44" ht="12.75" customHeight="1" x14ac:dyDescent="0.15">
      <c r="B462" s="40"/>
      <c r="C462" s="40"/>
      <c r="D462" s="40"/>
      <c r="E462" s="185"/>
      <c r="F462" s="40"/>
      <c r="G462" s="40"/>
      <c r="H462" s="53"/>
      <c r="R462" s="40"/>
      <c r="S462" s="40"/>
      <c r="U462" s="40"/>
      <c r="V462" s="40"/>
      <c r="W462" s="40"/>
      <c r="Y462" s="40"/>
      <c r="Z462" s="40"/>
      <c r="AA462" s="41"/>
      <c r="AB462" s="41"/>
      <c r="AC462" s="41"/>
      <c r="AD462" s="41"/>
      <c r="AE462" s="41"/>
      <c r="AF462" s="40"/>
      <c r="AG462" s="40"/>
      <c r="AH462" s="5"/>
      <c r="AI462" s="5"/>
      <c r="AJ462" s="40"/>
      <c r="AK462" s="40"/>
      <c r="AL462" s="40"/>
      <c r="AM462" s="40"/>
      <c r="AN462" s="40"/>
      <c r="AP462" s="40"/>
      <c r="AR462" s="40"/>
    </row>
    <row r="463" spans="2:44" ht="12.75" customHeight="1" x14ac:dyDescent="0.15">
      <c r="B463" s="40"/>
      <c r="C463" s="40"/>
      <c r="D463" s="40"/>
      <c r="E463" s="185"/>
      <c r="F463" s="40"/>
      <c r="G463" s="40"/>
      <c r="H463" s="53"/>
      <c r="R463" s="40"/>
      <c r="S463" s="40"/>
      <c r="U463" s="40"/>
      <c r="V463" s="40"/>
      <c r="W463" s="40"/>
      <c r="Y463" s="40"/>
      <c r="Z463" s="40"/>
      <c r="AA463" s="41"/>
      <c r="AB463" s="41"/>
      <c r="AC463" s="41"/>
      <c r="AD463" s="41"/>
      <c r="AE463" s="41"/>
      <c r="AF463" s="40"/>
      <c r="AG463" s="40"/>
      <c r="AH463" s="5"/>
      <c r="AI463" s="5"/>
      <c r="AJ463" s="40"/>
      <c r="AK463" s="40"/>
      <c r="AL463" s="40"/>
      <c r="AM463" s="40"/>
      <c r="AN463" s="40"/>
      <c r="AP463" s="40"/>
      <c r="AR463" s="40"/>
    </row>
    <row r="464" spans="2:44" ht="12.75" customHeight="1" x14ac:dyDescent="0.15">
      <c r="B464" s="40"/>
      <c r="C464" s="40"/>
      <c r="D464" s="40"/>
      <c r="E464" s="185"/>
      <c r="F464" s="40"/>
      <c r="G464" s="40"/>
      <c r="H464" s="53"/>
      <c r="R464" s="40"/>
      <c r="S464" s="40"/>
      <c r="U464" s="40"/>
      <c r="V464" s="40"/>
      <c r="W464" s="40"/>
      <c r="Y464" s="40"/>
      <c r="Z464" s="40"/>
      <c r="AA464" s="41"/>
      <c r="AB464" s="41"/>
      <c r="AC464" s="41"/>
      <c r="AD464" s="41"/>
      <c r="AE464" s="41"/>
      <c r="AF464" s="40"/>
      <c r="AG464" s="40"/>
      <c r="AH464" s="5"/>
      <c r="AI464" s="5"/>
      <c r="AJ464" s="40"/>
      <c r="AK464" s="40"/>
      <c r="AL464" s="40"/>
      <c r="AM464" s="40"/>
      <c r="AN464" s="40"/>
      <c r="AP464" s="40"/>
      <c r="AR464" s="40"/>
    </row>
    <row r="465" spans="2:44" ht="12.75" customHeight="1" x14ac:dyDescent="0.15">
      <c r="B465" s="40"/>
      <c r="C465" s="40"/>
      <c r="D465" s="40"/>
      <c r="E465" s="185"/>
      <c r="F465" s="40"/>
      <c r="G465" s="40"/>
      <c r="H465" s="53"/>
      <c r="R465" s="40"/>
      <c r="S465" s="40"/>
      <c r="U465" s="40"/>
      <c r="V465" s="40"/>
      <c r="W465" s="40"/>
      <c r="Y465" s="40"/>
      <c r="Z465" s="40"/>
      <c r="AA465" s="41"/>
      <c r="AB465" s="41"/>
      <c r="AC465" s="41"/>
      <c r="AD465" s="41"/>
      <c r="AE465" s="41"/>
      <c r="AF465" s="40"/>
      <c r="AG465" s="40"/>
      <c r="AH465" s="5"/>
      <c r="AI465" s="5"/>
      <c r="AJ465" s="40"/>
      <c r="AK465" s="40"/>
      <c r="AL465" s="40"/>
      <c r="AM465" s="40"/>
      <c r="AN465" s="40"/>
      <c r="AP465" s="40"/>
      <c r="AR465" s="40"/>
    </row>
    <row r="466" spans="2:44" ht="12.75" customHeight="1" x14ac:dyDescent="0.15">
      <c r="B466" s="40"/>
      <c r="C466" s="40"/>
      <c r="D466" s="40"/>
      <c r="E466" s="185"/>
      <c r="F466" s="40"/>
      <c r="G466" s="40"/>
      <c r="H466" s="53"/>
      <c r="R466" s="40"/>
      <c r="S466" s="40"/>
      <c r="U466" s="40"/>
      <c r="V466" s="40"/>
      <c r="W466" s="40"/>
      <c r="Y466" s="40"/>
      <c r="Z466" s="40"/>
      <c r="AA466" s="41"/>
      <c r="AB466" s="41"/>
      <c r="AC466" s="41"/>
      <c r="AD466" s="41"/>
      <c r="AE466" s="41"/>
      <c r="AF466" s="40"/>
      <c r="AG466" s="40"/>
      <c r="AH466" s="5"/>
      <c r="AI466" s="5"/>
      <c r="AJ466" s="40"/>
      <c r="AK466" s="40"/>
      <c r="AL466" s="40"/>
      <c r="AM466" s="40"/>
      <c r="AN466" s="40"/>
      <c r="AP466" s="40"/>
      <c r="AR466" s="40"/>
    </row>
    <row r="467" spans="2:44" ht="12.75" customHeight="1" x14ac:dyDescent="0.15">
      <c r="B467" s="40"/>
      <c r="C467" s="40"/>
      <c r="D467" s="40"/>
      <c r="E467" s="185"/>
      <c r="F467" s="40"/>
      <c r="G467" s="40"/>
      <c r="H467" s="53"/>
      <c r="R467" s="40"/>
      <c r="S467" s="40"/>
      <c r="U467" s="40"/>
      <c r="V467" s="40"/>
      <c r="W467" s="40"/>
      <c r="Y467" s="40"/>
      <c r="Z467" s="40"/>
      <c r="AA467" s="41"/>
      <c r="AB467" s="41"/>
      <c r="AC467" s="41"/>
      <c r="AD467" s="41"/>
      <c r="AE467" s="41"/>
      <c r="AF467" s="40"/>
      <c r="AG467" s="40"/>
      <c r="AH467" s="5"/>
      <c r="AI467" s="5"/>
      <c r="AJ467" s="40"/>
      <c r="AK467" s="40"/>
      <c r="AL467" s="40"/>
      <c r="AM467" s="40"/>
      <c r="AN467" s="40"/>
      <c r="AP467" s="40"/>
      <c r="AR467" s="40"/>
    </row>
    <row r="468" spans="2:44" ht="12.75" customHeight="1" x14ac:dyDescent="0.15">
      <c r="B468" s="40"/>
      <c r="C468" s="40"/>
      <c r="D468" s="40"/>
      <c r="E468" s="185"/>
      <c r="F468" s="40"/>
      <c r="G468" s="40"/>
      <c r="H468" s="53"/>
      <c r="R468" s="40"/>
      <c r="S468" s="40"/>
      <c r="U468" s="40"/>
      <c r="V468" s="40"/>
      <c r="W468" s="40"/>
      <c r="Y468" s="40"/>
      <c r="Z468" s="40"/>
      <c r="AA468" s="41"/>
      <c r="AB468" s="41"/>
      <c r="AC468" s="41"/>
      <c r="AD468" s="41"/>
      <c r="AE468" s="41"/>
      <c r="AF468" s="40"/>
      <c r="AG468" s="40"/>
      <c r="AH468" s="5"/>
      <c r="AI468" s="5"/>
      <c r="AJ468" s="40"/>
      <c r="AK468" s="40"/>
      <c r="AL468" s="40"/>
      <c r="AM468" s="40"/>
      <c r="AN468" s="40"/>
      <c r="AP468" s="40"/>
      <c r="AR468" s="40"/>
    </row>
    <row r="469" spans="2:44" ht="12.75" customHeight="1" x14ac:dyDescent="0.15">
      <c r="B469" s="40"/>
      <c r="C469" s="40"/>
      <c r="D469" s="40"/>
      <c r="E469" s="185"/>
      <c r="F469" s="40"/>
      <c r="G469" s="40"/>
      <c r="H469" s="53"/>
      <c r="R469" s="40"/>
      <c r="S469" s="40"/>
      <c r="U469" s="40"/>
      <c r="V469" s="40"/>
      <c r="W469" s="40"/>
      <c r="Y469" s="40"/>
      <c r="Z469" s="40"/>
      <c r="AA469" s="41"/>
      <c r="AB469" s="41"/>
      <c r="AC469" s="41"/>
      <c r="AD469" s="41"/>
      <c r="AE469" s="41"/>
      <c r="AF469" s="40"/>
      <c r="AG469" s="40"/>
      <c r="AH469" s="5"/>
      <c r="AI469" s="5"/>
      <c r="AJ469" s="40"/>
      <c r="AK469" s="40"/>
      <c r="AL469" s="40"/>
      <c r="AM469" s="40"/>
      <c r="AN469" s="40"/>
      <c r="AP469" s="40"/>
      <c r="AR469" s="40"/>
    </row>
    <row r="470" spans="2:44" ht="12.75" customHeight="1" x14ac:dyDescent="0.15">
      <c r="B470" s="40"/>
      <c r="C470" s="40"/>
      <c r="D470" s="40"/>
      <c r="E470" s="185"/>
      <c r="F470" s="40"/>
      <c r="G470" s="40"/>
      <c r="H470" s="53"/>
      <c r="R470" s="40"/>
      <c r="S470" s="40"/>
      <c r="U470" s="40"/>
      <c r="V470" s="40"/>
      <c r="W470" s="40"/>
      <c r="Y470" s="40"/>
      <c r="Z470" s="40"/>
      <c r="AA470" s="41"/>
      <c r="AB470" s="41"/>
      <c r="AC470" s="41"/>
      <c r="AD470" s="41"/>
      <c r="AE470" s="41"/>
      <c r="AF470" s="40"/>
      <c r="AG470" s="40"/>
      <c r="AH470" s="5"/>
      <c r="AI470" s="5"/>
      <c r="AJ470" s="40"/>
      <c r="AK470" s="40"/>
      <c r="AL470" s="40"/>
      <c r="AM470" s="40"/>
      <c r="AN470" s="40"/>
      <c r="AP470" s="40"/>
      <c r="AR470" s="40"/>
    </row>
    <row r="471" spans="2:44" ht="12.75" customHeight="1" x14ac:dyDescent="0.15">
      <c r="B471" s="40"/>
      <c r="C471" s="40"/>
      <c r="D471" s="40"/>
      <c r="E471" s="185"/>
      <c r="F471" s="40"/>
      <c r="G471" s="40"/>
      <c r="H471" s="53"/>
      <c r="R471" s="40"/>
      <c r="S471" s="40"/>
      <c r="U471" s="40"/>
      <c r="V471" s="40"/>
      <c r="W471" s="40"/>
      <c r="Y471" s="40"/>
      <c r="Z471" s="40"/>
      <c r="AA471" s="41"/>
      <c r="AB471" s="41"/>
      <c r="AC471" s="41"/>
      <c r="AD471" s="41"/>
      <c r="AE471" s="41"/>
      <c r="AF471" s="40"/>
      <c r="AG471" s="40"/>
      <c r="AH471" s="5"/>
      <c r="AI471" s="5"/>
      <c r="AJ471" s="40"/>
      <c r="AK471" s="40"/>
      <c r="AL471" s="40"/>
      <c r="AM471" s="40"/>
      <c r="AN471" s="40"/>
      <c r="AP471" s="40"/>
      <c r="AR471" s="40"/>
    </row>
    <row r="472" spans="2:44" ht="12.75" customHeight="1" x14ac:dyDescent="0.15">
      <c r="B472" s="40"/>
      <c r="C472" s="40"/>
      <c r="D472" s="40"/>
      <c r="E472" s="185"/>
      <c r="F472" s="40"/>
      <c r="G472" s="40"/>
      <c r="H472" s="53"/>
      <c r="R472" s="40"/>
      <c r="S472" s="40"/>
      <c r="U472" s="40"/>
      <c r="V472" s="40"/>
      <c r="W472" s="40"/>
      <c r="Y472" s="40"/>
      <c r="Z472" s="40"/>
      <c r="AA472" s="41"/>
      <c r="AB472" s="41"/>
      <c r="AC472" s="41"/>
      <c r="AD472" s="41"/>
      <c r="AE472" s="41"/>
      <c r="AF472" s="40"/>
      <c r="AG472" s="40"/>
      <c r="AH472" s="5"/>
      <c r="AI472" s="5"/>
      <c r="AJ472" s="40"/>
      <c r="AK472" s="40"/>
      <c r="AL472" s="40"/>
      <c r="AM472" s="40"/>
      <c r="AN472" s="40"/>
      <c r="AP472" s="40"/>
      <c r="AR472" s="40"/>
    </row>
    <row r="473" spans="2:44" ht="12.75" customHeight="1" x14ac:dyDescent="0.15">
      <c r="B473" s="40"/>
      <c r="C473" s="40"/>
      <c r="D473" s="40"/>
      <c r="E473" s="185"/>
      <c r="F473" s="40"/>
      <c r="G473" s="40"/>
      <c r="H473" s="53"/>
      <c r="R473" s="40"/>
      <c r="S473" s="40"/>
      <c r="U473" s="40"/>
      <c r="V473" s="40"/>
      <c r="W473" s="40"/>
      <c r="Y473" s="40"/>
      <c r="Z473" s="40"/>
      <c r="AA473" s="41"/>
      <c r="AB473" s="41"/>
      <c r="AC473" s="41"/>
      <c r="AD473" s="41"/>
      <c r="AE473" s="41"/>
      <c r="AF473" s="40"/>
      <c r="AG473" s="40"/>
      <c r="AH473" s="5"/>
      <c r="AI473" s="5"/>
      <c r="AJ473" s="40"/>
      <c r="AK473" s="40"/>
      <c r="AL473" s="40"/>
      <c r="AM473" s="40"/>
      <c r="AN473" s="40"/>
      <c r="AP473" s="40"/>
      <c r="AR473" s="40"/>
    </row>
    <row r="474" spans="2:44" ht="12.75" customHeight="1" x14ac:dyDescent="0.15">
      <c r="B474" s="40"/>
      <c r="C474" s="40"/>
      <c r="D474" s="40"/>
      <c r="E474" s="185"/>
      <c r="F474" s="40"/>
      <c r="G474" s="40"/>
      <c r="H474" s="53"/>
      <c r="R474" s="40"/>
      <c r="S474" s="40"/>
      <c r="U474" s="40"/>
      <c r="V474" s="40"/>
      <c r="W474" s="40"/>
      <c r="Y474" s="40"/>
      <c r="Z474" s="40"/>
      <c r="AA474" s="41"/>
      <c r="AB474" s="41"/>
      <c r="AC474" s="41"/>
      <c r="AD474" s="41"/>
      <c r="AE474" s="41"/>
      <c r="AF474" s="40"/>
      <c r="AG474" s="40"/>
      <c r="AH474" s="5"/>
      <c r="AI474" s="5"/>
      <c r="AJ474" s="40"/>
      <c r="AK474" s="40"/>
      <c r="AL474" s="40"/>
      <c r="AM474" s="40"/>
      <c r="AN474" s="40"/>
      <c r="AP474" s="40"/>
      <c r="AR474" s="40"/>
    </row>
    <row r="475" spans="2:44" ht="12.75" customHeight="1" x14ac:dyDescent="0.15">
      <c r="B475" s="40"/>
      <c r="C475" s="40"/>
      <c r="D475" s="40"/>
      <c r="E475" s="185"/>
      <c r="F475" s="40"/>
      <c r="G475" s="40"/>
      <c r="H475" s="53"/>
      <c r="R475" s="40"/>
      <c r="S475" s="40"/>
      <c r="U475" s="40"/>
      <c r="V475" s="40"/>
      <c r="W475" s="40"/>
      <c r="Y475" s="40"/>
      <c r="Z475" s="40"/>
      <c r="AA475" s="41"/>
      <c r="AB475" s="41"/>
      <c r="AC475" s="41"/>
      <c r="AD475" s="41"/>
      <c r="AE475" s="41"/>
      <c r="AF475" s="40"/>
      <c r="AG475" s="40"/>
      <c r="AH475" s="5"/>
      <c r="AI475" s="5"/>
      <c r="AJ475" s="40"/>
      <c r="AK475" s="40"/>
      <c r="AL475" s="40"/>
      <c r="AM475" s="40"/>
      <c r="AN475" s="40"/>
      <c r="AP475" s="40"/>
      <c r="AR475" s="40"/>
    </row>
    <row r="476" spans="2:44" ht="12.75" customHeight="1" x14ac:dyDescent="0.15">
      <c r="B476" s="40"/>
      <c r="C476" s="40"/>
      <c r="D476" s="40"/>
      <c r="E476" s="185"/>
      <c r="F476" s="40"/>
      <c r="G476" s="40"/>
      <c r="H476" s="53"/>
      <c r="R476" s="40"/>
      <c r="S476" s="40"/>
      <c r="U476" s="40"/>
      <c r="V476" s="40"/>
      <c r="W476" s="40"/>
      <c r="Y476" s="40"/>
      <c r="Z476" s="40"/>
      <c r="AA476" s="41"/>
      <c r="AB476" s="41"/>
      <c r="AC476" s="41"/>
      <c r="AD476" s="41"/>
      <c r="AE476" s="41"/>
      <c r="AF476" s="40"/>
      <c r="AG476" s="40"/>
      <c r="AH476" s="5"/>
      <c r="AI476" s="5"/>
      <c r="AJ476" s="40"/>
      <c r="AK476" s="40"/>
      <c r="AL476" s="40"/>
      <c r="AM476" s="40"/>
      <c r="AN476" s="40"/>
      <c r="AP476" s="40"/>
      <c r="AR476" s="40"/>
    </row>
    <row r="477" spans="2:44" ht="12.75" customHeight="1" x14ac:dyDescent="0.15">
      <c r="B477" s="40"/>
      <c r="C477" s="40"/>
      <c r="D477" s="40"/>
      <c r="E477" s="185"/>
      <c r="F477" s="40"/>
      <c r="G477" s="40"/>
      <c r="H477" s="53"/>
      <c r="R477" s="40"/>
      <c r="S477" s="40"/>
      <c r="U477" s="40"/>
      <c r="V477" s="40"/>
      <c r="W477" s="40"/>
      <c r="Y477" s="40"/>
      <c r="Z477" s="40"/>
      <c r="AA477" s="41"/>
      <c r="AB477" s="41"/>
      <c r="AC477" s="41"/>
      <c r="AD477" s="41"/>
      <c r="AE477" s="41"/>
      <c r="AF477" s="40"/>
      <c r="AG477" s="40"/>
      <c r="AH477" s="5"/>
      <c r="AI477" s="5"/>
      <c r="AJ477" s="40"/>
      <c r="AK477" s="40"/>
      <c r="AL477" s="40"/>
      <c r="AM477" s="40"/>
      <c r="AN477" s="40"/>
      <c r="AP477" s="40"/>
      <c r="AR477" s="40"/>
    </row>
    <row r="478" spans="2:44" ht="12.75" customHeight="1" x14ac:dyDescent="0.15">
      <c r="B478" s="40"/>
      <c r="C478" s="40"/>
      <c r="D478" s="40"/>
      <c r="E478" s="185"/>
      <c r="F478" s="40"/>
      <c r="G478" s="40"/>
      <c r="H478" s="53"/>
      <c r="R478" s="40"/>
      <c r="S478" s="40"/>
      <c r="U478" s="40"/>
      <c r="V478" s="40"/>
      <c r="W478" s="40"/>
      <c r="Y478" s="40"/>
      <c r="Z478" s="40"/>
      <c r="AA478" s="41"/>
      <c r="AB478" s="41"/>
      <c r="AC478" s="41"/>
      <c r="AD478" s="41"/>
      <c r="AE478" s="41"/>
      <c r="AF478" s="40"/>
      <c r="AG478" s="40"/>
      <c r="AH478" s="5"/>
      <c r="AI478" s="5"/>
      <c r="AJ478" s="40"/>
      <c r="AK478" s="40"/>
      <c r="AL478" s="40"/>
      <c r="AM478" s="40"/>
      <c r="AN478" s="40"/>
      <c r="AP478" s="40"/>
      <c r="AR478" s="40"/>
    </row>
    <row r="479" spans="2:44" ht="12.75" customHeight="1" x14ac:dyDescent="0.15">
      <c r="B479" s="40"/>
      <c r="C479" s="40"/>
      <c r="D479" s="40"/>
      <c r="E479" s="185"/>
      <c r="F479" s="40"/>
      <c r="G479" s="40"/>
      <c r="H479" s="53"/>
      <c r="R479" s="40"/>
      <c r="S479" s="40"/>
      <c r="U479" s="40"/>
      <c r="V479" s="40"/>
      <c r="W479" s="40"/>
      <c r="Y479" s="40"/>
      <c r="Z479" s="40"/>
      <c r="AA479" s="41"/>
      <c r="AB479" s="41"/>
      <c r="AC479" s="41"/>
      <c r="AD479" s="41"/>
      <c r="AE479" s="41"/>
      <c r="AF479" s="40"/>
      <c r="AG479" s="40"/>
      <c r="AH479" s="5"/>
      <c r="AI479" s="5"/>
      <c r="AJ479" s="40"/>
      <c r="AK479" s="40"/>
      <c r="AL479" s="40"/>
      <c r="AM479" s="40"/>
      <c r="AN479" s="40"/>
      <c r="AP479" s="40"/>
      <c r="AR479" s="40"/>
    </row>
    <row r="480" spans="2:44" ht="12.75" customHeight="1" x14ac:dyDescent="0.15">
      <c r="B480" s="40"/>
      <c r="C480" s="40"/>
      <c r="D480" s="40"/>
      <c r="E480" s="185"/>
      <c r="F480" s="40"/>
      <c r="G480" s="40"/>
      <c r="H480" s="53"/>
      <c r="R480" s="40"/>
      <c r="S480" s="40"/>
      <c r="U480" s="40"/>
      <c r="V480" s="40"/>
      <c r="W480" s="40"/>
      <c r="Y480" s="40"/>
      <c r="Z480" s="40"/>
      <c r="AA480" s="41"/>
      <c r="AB480" s="41"/>
      <c r="AC480" s="41"/>
      <c r="AD480" s="41"/>
      <c r="AE480" s="41"/>
      <c r="AF480" s="40"/>
      <c r="AG480" s="40"/>
      <c r="AH480" s="5"/>
      <c r="AI480" s="5"/>
      <c r="AJ480" s="40"/>
      <c r="AK480" s="40"/>
      <c r="AL480" s="40"/>
      <c r="AM480" s="40"/>
      <c r="AN480" s="40"/>
      <c r="AP480" s="40"/>
      <c r="AR480" s="40"/>
    </row>
    <row r="481" spans="2:44" ht="12.75" customHeight="1" x14ac:dyDescent="0.15">
      <c r="B481" s="40"/>
      <c r="C481" s="40"/>
      <c r="D481" s="40"/>
      <c r="E481" s="185"/>
      <c r="F481" s="40"/>
      <c r="G481" s="40"/>
      <c r="H481" s="53"/>
      <c r="R481" s="40"/>
      <c r="S481" s="40"/>
      <c r="U481" s="40"/>
      <c r="V481" s="40"/>
      <c r="W481" s="40"/>
      <c r="Y481" s="40"/>
      <c r="Z481" s="40"/>
      <c r="AA481" s="41"/>
      <c r="AB481" s="41"/>
      <c r="AC481" s="41"/>
      <c r="AD481" s="41"/>
      <c r="AE481" s="41"/>
      <c r="AF481" s="40"/>
      <c r="AG481" s="40"/>
      <c r="AH481" s="5"/>
      <c r="AI481" s="5"/>
      <c r="AJ481" s="40"/>
      <c r="AK481" s="40"/>
      <c r="AL481" s="40"/>
      <c r="AM481" s="40"/>
      <c r="AN481" s="40"/>
      <c r="AP481" s="40"/>
      <c r="AR481" s="40"/>
    </row>
    <row r="482" spans="2:44" ht="12.75" customHeight="1" x14ac:dyDescent="0.15">
      <c r="B482" s="40"/>
      <c r="C482" s="40"/>
      <c r="D482" s="40"/>
      <c r="E482" s="185"/>
      <c r="F482" s="40"/>
      <c r="G482" s="40"/>
      <c r="H482" s="53"/>
      <c r="R482" s="40"/>
      <c r="S482" s="40"/>
      <c r="U482" s="40"/>
      <c r="V482" s="40"/>
      <c r="W482" s="40"/>
      <c r="Y482" s="40"/>
      <c r="Z482" s="40"/>
      <c r="AA482" s="41"/>
      <c r="AB482" s="41"/>
      <c r="AC482" s="41"/>
      <c r="AD482" s="41"/>
      <c r="AE482" s="41"/>
      <c r="AF482" s="40"/>
      <c r="AG482" s="40"/>
      <c r="AH482" s="5"/>
      <c r="AI482" s="5"/>
      <c r="AJ482" s="40"/>
      <c r="AK482" s="40"/>
      <c r="AL482" s="40"/>
      <c r="AM482" s="40"/>
      <c r="AN482" s="40"/>
      <c r="AP482" s="40"/>
      <c r="AR482" s="40"/>
    </row>
    <row r="483" spans="2:44" ht="12.75" customHeight="1" x14ac:dyDescent="0.15">
      <c r="B483" s="40"/>
      <c r="C483" s="40"/>
      <c r="D483" s="40"/>
      <c r="E483" s="185"/>
      <c r="F483" s="40"/>
      <c r="G483" s="40"/>
      <c r="H483" s="53"/>
      <c r="R483" s="40"/>
      <c r="S483" s="40"/>
      <c r="U483" s="40"/>
      <c r="V483" s="40"/>
      <c r="W483" s="40"/>
      <c r="Y483" s="40"/>
      <c r="Z483" s="40"/>
      <c r="AA483" s="41"/>
      <c r="AB483" s="41"/>
      <c r="AC483" s="41"/>
      <c r="AD483" s="41"/>
      <c r="AE483" s="41"/>
      <c r="AF483" s="40"/>
      <c r="AG483" s="40"/>
      <c r="AH483" s="5"/>
      <c r="AI483" s="5"/>
      <c r="AJ483" s="40"/>
      <c r="AK483" s="40"/>
      <c r="AL483" s="40"/>
      <c r="AM483" s="40"/>
      <c r="AN483" s="40"/>
      <c r="AP483" s="40"/>
      <c r="AR483" s="40"/>
    </row>
    <row r="484" spans="2:44" ht="12.75" customHeight="1" x14ac:dyDescent="0.15">
      <c r="B484" s="40"/>
      <c r="C484" s="40"/>
      <c r="D484" s="40"/>
      <c r="E484" s="185"/>
      <c r="F484" s="40"/>
      <c r="G484" s="40"/>
      <c r="H484" s="53"/>
      <c r="R484" s="40"/>
      <c r="S484" s="40"/>
      <c r="U484" s="40"/>
      <c r="V484" s="40"/>
      <c r="W484" s="40"/>
      <c r="Y484" s="40"/>
      <c r="Z484" s="40"/>
      <c r="AA484" s="41"/>
      <c r="AB484" s="41"/>
      <c r="AC484" s="41"/>
      <c r="AD484" s="41"/>
      <c r="AE484" s="41"/>
      <c r="AF484" s="40"/>
      <c r="AG484" s="40"/>
      <c r="AH484" s="5"/>
      <c r="AI484" s="5"/>
      <c r="AJ484" s="40"/>
      <c r="AK484" s="40"/>
      <c r="AL484" s="40"/>
      <c r="AM484" s="40"/>
      <c r="AN484" s="40"/>
      <c r="AP484" s="40"/>
      <c r="AR484" s="40"/>
    </row>
    <row r="485" spans="2:44" ht="12.75" customHeight="1" x14ac:dyDescent="0.15">
      <c r="B485" s="40"/>
      <c r="C485" s="40"/>
      <c r="D485" s="40"/>
      <c r="E485" s="185"/>
      <c r="F485" s="40"/>
      <c r="G485" s="40"/>
      <c r="H485" s="53"/>
      <c r="R485" s="40"/>
      <c r="S485" s="40"/>
      <c r="U485" s="40"/>
      <c r="V485" s="40"/>
      <c r="W485" s="40"/>
      <c r="Y485" s="40"/>
      <c r="Z485" s="40"/>
      <c r="AA485" s="41"/>
      <c r="AB485" s="41"/>
      <c r="AC485" s="41"/>
      <c r="AD485" s="41"/>
      <c r="AE485" s="41"/>
      <c r="AF485" s="40"/>
      <c r="AG485" s="40"/>
      <c r="AH485" s="5"/>
      <c r="AI485" s="5"/>
      <c r="AJ485" s="40"/>
      <c r="AK485" s="40"/>
      <c r="AL485" s="40"/>
      <c r="AM485" s="40"/>
      <c r="AN485" s="40"/>
      <c r="AP485" s="40"/>
      <c r="AR485" s="40"/>
    </row>
    <row r="486" spans="2:44" ht="12.75" customHeight="1" x14ac:dyDescent="0.15">
      <c r="B486" s="40"/>
      <c r="C486" s="40"/>
      <c r="D486" s="40"/>
      <c r="E486" s="185"/>
      <c r="F486" s="40"/>
      <c r="G486" s="40"/>
      <c r="H486" s="53"/>
      <c r="R486" s="40"/>
      <c r="S486" s="40"/>
      <c r="U486" s="40"/>
      <c r="V486" s="40"/>
      <c r="W486" s="40"/>
      <c r="Y486" s="40"/>
      <c r="Z486" s="40"/>
      <c r="AA486" s="41"/>
      <c r="AB486" s="41"/>
      <c r="AC486" s="41"/>
      <c r="AD486" s="41"/>
      <c r="AE486" s="41"/>
      <c r="AF486" s="40"/>
      <c r="AG486" s="40"/>
      <c r="AH486" s="5"/>
      <c r="AI486" s="5"/>
      <c r="AJ486" s="40"/>
      <c r="AK486" s="40"/>
      <c r="AL486" s="40"/>
      <c r="AM486" s="40"/>
      <c r="AN486" s="40"/>
      <c r="AP486" s="40"/>
      <c r="AR486" s="40"/>
    </row>
    <row r="487" spans="2:44" ht="12.75" customHeight="1" x14ac:dyDescent="0.15">
      <c r="B487" s="40"/>
      <c r="C487" s="40"/>
      <c r="D487" s="40"/>
      <c r="E487" s="185"/>
      <c r="F487" s="40"/>
      <c r="G487" s="40"/>
      <c r="H487" s="53"/>
      <c r="R487" s="40"/>
      <c r="S487" s="40"/>
      <c r="U487" s="40"/>
      <c r="V487" s="40"/>
      <c r="W487" s="40"/>
      <c r="Y487" s="40"/>
      <c r="Z487" s="40"/>
      <c r="AA487" s="41"/>
      <c r="AB487" s="41"/>
      <c r="AC487" s="41"/>
      <c r="AD487" s="41"/>
      <c r="AE487" s="41"/>
      <c r="AF487" s="40"/>
      <c r="AG487" s="40"/>
      <c r="AH487" s="5"/>
      <c r="AI487" s="5"/>
      <c r="AJ487" s="40"/>
      <c r="AK487" s="40"/>
      <c r="AL487" s="40"/>
      <c r="AM487" s="40"/>
      <c r="AN487" s="40"/>
      <c r="AP487" s="40"/>
      <c r="AR487" s="40"/>
    </row>
    <row r="488" spans="2:44" ht="12.75" customHeight="1" x14ac:dyDescent="0.15">
      <c r="B488" s="40"/>
      <c r="C488" s="40"/>
      <c r="D488" s="40"/>
      <c r="E488" s="185"/>
      <c r="F488" s="40"/>
      <c r="G488" s="40"/>
      <c r="H488" s="53"/>
      <c r="R488" s="40"/>
      <c r="S488" s="40"/>
      <c r="U488" s="40"/>
      <c r="V488" s="40"/>
      <c r="W488" s="40"/>
      <c r="Y488" s="40"/>
      <c r="Z488" s="40"/>
      <c r="AA488" s="41"/>
      <c r="AB488" s="41"/>
      <c r="AC488" s="41"/>
      <c r="AD488" s="41"/>
      <c r="AE488" s="41"/>
      <c r="AF488" s="40"/>
      <c r="AG488" s="40"/>
      <c r="AH488" s="5"/>
      <c r="AI488" s="5"/>
      <c r="AJ488" s="40"/>
      <c r="AK488" s="40"/>
      <c r="AL488" s="40"/>
      <c r="AM488" s="40"/>
      <c r="AN488" s="40"/>
      <c r="AP488" s="40"/>
      <c r="AR488" s="40"/>
    </row>
    <row r="489" spans="2:44" ht="12.75" customHeight="1" x14ac:dyDescent="0.15">
      <c r="B489" s="40"/>
      <c r="C489" s="40"/>
      <c r="D489" s="40"/>
      <c r="E489" s="185"/>
      <c r="F489" s="40"/>
      <c r="G489" s="40"/>
      <c r="H489" s="53"/>
      <c r="R489" s="40"/>
      <c r="S489" s="40"/>
      <c r="U489" s="40"/>
      <c r="V489" s="40"/>
      <c r="W489" s="40"/>
      <c r="Y489" s="40"/>
      <c r="Z489" s="40"/>
      <c r="AA489" s="41"/>
      <c r="AB489" s="41"/>
      <c r="AC489" s="41"/>
      <c r="AD489" s="41"/>
      <c r="AE489" s="41"/>
      <c r="AF489" s="40"/>
      <c r="AG489" s="40"/>
      <c r="AH489" s="5"/>
      <c r="AI489" s="5"/>
      <c r="AJ489" s="40"/>
      <c r="AK489" s="40"/>
      <c r="AL489" s="40"/>
      <c r="AM489" s="40"/>
      <c r="AN489" s="40"/>
      <c r="AP489" s="40"/>
      <c r="AR489" s="40"/>
    </row>
    <row r="490" spans="2:44" ht="12.75" customHeight="1" x14ac:dyDescent="0.15">
      <c r="B490" s="40"/>
      <c r="C490" s="40"/>
      <c r="D490" s="40"/>
      <c r="E490" s="185"/>
      <c r="F490" s="40"/>
      <c r="G490" s="40"/>
      <c r="H490" s="53"/>
      <c r="R490" s="40"/>
      <c r="S490" s="40"/>
      <c r="U490" s="40"/>
      <c r="V490" s="40"/>
      <c r="W490" s="40"/>
      <c r="Y490" s="40"/>
      <c r="Z490" s="40"/>
      <c r="AA490" s="41"/>
      <c r="AB490" s="41"/>
      <c r="AC490" s="41"/>
      <c r="AD490" s="41"/>
      <c r="AE490" s="41"/>
      <c r="AF490" s="40"/>
      <c r="AG490" s="40"/>
      <c r="AH490" s="5"/>
      <c r="AI490" s="5"/>
      <c r="AJ490" s="40"/>
      <c r="AK490" s="40"/>
      <c r="AL490" s="40"/>
      <c r="AM490" s="40"/>
      <c r="AN490" s="40"/>
      <c r="AP490" s="40"/>
      <c r="AR490" s="40"/>
    </row>
    <row r="491" spans="2:44" ht="12.75" customHeight="1" x14ac:dyDescent="0.15">
      <c r="B491" s="40"/>
      <c r="C491" s="40"/>
      <c r="D491" s="40"/>
      <c r="E491" s="185"/>
      <c r="F491" s="40"/>
      <c r="G491" s="40"/>
      <c r="H491" s="53"/>
      <c r="R491" s="40"/>
      <c r="S491" s="40"/>
      <c r="U491" s="40"/>
      <c r="V491" s="40"/>
      <c r="W491" s="40"/>
      <c r="Y491" s="40"/>
      <c r="Z491" s="40"/>
      <c r="AA491" s="41"/>
      <c r="AB491" s="41"/>
      <c r="AC491" s="41"/>
      <c r="AD491" s="41"/>
      <c r="AE491" s="41"/>
      <c r="AF491" s="40"/>
      <c r="AG491" s="40"/>
      <c r="AH491" s="5"/>
      <c r="AI491" s="5"/>
      <c r="AJ491" s="40"/>
      <c r="AK491" s="40"/>
      <c r="AL491" s="40"/>
      <c r="AM491" s="40"/>
      <c r="AN491" s="40"/>
      <c r="AP491" s="40"/>
      <c r="AR491" s="40"/>
    </row>
    <row r="492" spans="2:44" ht="12.75" customHeight="1" x14ac:dyDescent="0.15">
      <c r="B492" s="40"/>
      <c r="C492" s="40"/>
      <c r="D492" s="40"/>
      <c r="E492" s="185"/>
      <c r="F492" s="40"/>
      <c r="G492" s="40"/>
      <c r="H492" s="53"/>
      <c r="R492" s="40"/>
      <c r="S492" s="40"/>
      <c r="U492" s="40"/>
      <c r="V492" s="40"/>
      <c r="W492" s="40"/>
      <c r="Y492" s="40"/>
      <c r="Z492" s="40"/>
      <c r="AA492" s="41"/>
      <c r="AB492" s="41"/>
      <c r="AC492" s="41"/>
      <c r="AD492" s="41"/>
      <c r="AE492" s="41"/>
      <c r="AF492" s="40"/>
      <c r="AG492" s="40"/>
      <c r="AH492" s="5"/>
      <c r="AI492" s="5"/>
      <c r="AJ492" s="40"/>
      <c r="AK492" s="40"/>
      <c r="AL492" s="40"/>
      <c r="AM492" s="40"/>
      <c r="AN492" s="40"/>
      <c r="AP492" s="40"/>
      <c r="AR492" s="40"/>
    </row>
    <row r="493" spans="2:44" ht="12.75" customHeight="1" x14ac:dyDescent="0.15">
      <c r="B493" s="40"/>
      <c r="C493" s="40"/>
      <c r="D493" s="40"/>
      <c r="E493" s="185"/>
      <c r="F493" s="40"/>
      <c r="G493" s="40"/>
      <c r="H493" s="53"/>
      <c r="R493" s="40"/>
      <c r="S493" s="40"/>
      <c r="U493" s="40"/>
      <c r="V493" s="40"/>
      <c r="W493" s="40"/>
      <c r="Y493" s="40"/>
      <c r="Z493" s="40"/>
      <c r="AA493" s="41"/>
      <c r="AB493" s="41"/>
      <c r="AC493" s="41"/>
      <c r="AD493" s="41"/>
      <c r="AE493" s="41"/>
      <c r="AF493" s="40"/>
      <c r="AG493" s="40"/>
      <c r="AH493" s="5"/>
      <c r="AI493" s="5"/>
      <c r="AJ493" s="40"/>
      <c r="AK493" s="40"/>
      <c r="AL493" s="40"/>
      <c r="AM493" s="40"/>
      <c r="AN493" s="40"/>
      <c r="AP493" s="40"/>
      <c r="AR493" s="40"/>
    </row>
    <row r="494" spans="2:44" ht="12.75" customHeight="1" x14ac:dyDescent="0.15">
      <c r="B494" s="40"/>
      <c r="C494" s="40"/>
      <c r="D494" s="40"/>
      <c r="E494" s="185"/>
      <c r="F494" s="40"/>
      <c r="G494" s="40"/>
      <c r="H494" s="53"/>
      <c r="R494" s="40"/>
      <c r="S494" s="40"/>
      <c r="U494" s="40"/>
      <c r="V494" s="40"/>
      <c r="W494" s="40"/>
      <c r="Y494" s="40"/>
      <c r="Z494" s="40"/>
      <c r="AA494" s="41"/>
      <c r="AB494" s="41"/>
      <c r="AC494" s="41"/>
      <c r="AD494" s="41"/>
      <c r="AE494" s="41"/>
      <c r="AF494" s="40"/>
      <c r="AG494" s="40"/>
      <c r="AH494" s="5"/>
      <c r="AI494" s="5"/>
      <c r="AJ494" s="40"/>
      <c r="AK494" s="40"/>
      <c r="AL494" s="40"/>
      <c r="AM494" s="40"/>
      <c r="AN494" s="40"/>
      <c r="AP494" s="40"/>
      <c r="AR494" s="40"/>
    </row>
    <row r="495" spans="2:44" ht="12.75" customHeight="1" x14ac:dyDescent="0.15">
      <c r="B495" s="40"/>
      <c r="C495" s="40"/>
      <c r="D495" s="40"/>
      <c r="E495" s="185"/>
      <c r="F495" s="40"/>
      <c r="G495" s="40"/>
      <c r="H495" s="53"/>
      <c r="R495" s="40"/>
      <c r="S495" s="40"/>
      <c r="U495" s="40"/>
      <c r="V495" s="40"/>
      <c r="W495" s="40"/>
      <c r="Y495" s="40"/>
      <c r="Z495" s="40"/>
      <c r="AA495" s="41"/>
      <c r="AB495" s="41"/>
      <c r="AC495" s="41"/>
      <c r="AD495" s="41"/>
      <c r="AE495" s="41"/>
      <c r="AF495" s="40"/>
      <c r="AG495" s="40"/>
      <c r="AH495" s="5"/>
      <c r="AI495" s="5"/>
      <c r="AJ495" s="40"/>
      <c r="AK495" s="40"/>
      <c r="AL495" s="40"/>
      <c r="AM495" s="40"/>
      <c r="AN495" s="40"/>
      <c r="AP495" s="40"/>
      <c r="AR495" s="40"/>
    </row>
    <row r="496" spans="2:44" ht="12.75" customHeight="1" x14ac:dyDescent="0.15">
      <c r="B496" s="40"/>
      <c r="C496" s="40"/>
      <c r="D496" s="40"/>
      <c r="E496" s="185"/>
      <c r="F496" s="40"/>
      <c r="G496" s="40"/>
      <c r="H496" s="53"/>
      <c r="R496" s="40"/>
      <c r="S496" s="40"/>
      <c r="U496" s="40"/>
      <c r="V496" s="40"/>
      <c r="W496" s="40"/>
      <c r="Y496" s="40"/>
      <c r="Z496" s="40"/>
      <c r="AA496" s="41"/>
      <c r="AB496" s="41"/>
      <c r="AC496" s="41"/>
      <c r="AD496" s="41"/>
      <c r="AE496" s="41"/>
      <c r="AF496" s="40"/>
      <c r="AG496" s="40"/>
      <c r="AH496" s="5"/>
      <c r="AI496" s="5"/>
      <c r="AJ496" s="40"/>
      <c r="AK496" s="40"/>
      <c r="AL496" s="40"/>
      <c r="AM496" s="40"/>
      <c r="AN496" s="40"/>
      <c r="AP496" s="40"/>
      <c r="AR496" s="40"/>
    </row>
    <row r="497" spans="2:44" ht="12.75" customHeight="1" x14ac:dyDescent="0.15">
      <c r="B497" s="40"/>
      <c r="C497" s="40"/>
      <c r="D497" s="40"/>
      <c r="E497" s="185"/>
      <c r="F497" s="40"/>
      <c r="G497" s="40"/>
      <c r="H497" s="53"/>
      <c r="R497" s="40"/>
      <c r="S497" s="40"/>
      <c r="U497" s="40"/>
      <c r="V497" s="40"/>
      <c r="W497" s="40"/>
      <c r="Y497" s="40"/>
      <c r="Z497" s="40"/>
      <c r="AA497" s="41"/>
      <c r="AB497" s="41"/>
      <c r="AC497" s="41"/>
      <c r="AD497" s="41"/>
      <c r="AE497" s="41"/>
      <c r="AF497" s="40"/>
      <c r="AG497" s="40"/>
      <c r="AH497" s="5"/>
      <c r="AI497" s="5"/>
      <c r="AJ497" s="40"/>
      <c r="AK497" s="40"/>
      <c r="AL497" s="40"/>
      <c r="AM497" s="40"/>
      <c r="AN497" s="40"/>
      <c r="AP497" s="40"/>
      <c r="AR497" s="40"/>
    </row>
    <row r="498" spans="2:44" ht="12.75" customHeight="1" x14ac:dyDescent="0.15">
      <c r="B498" s="40"/>
      <c r="C498" s="40"/>
      <c r="D498" s="40"/>
      <c r="E498" s="185"/>
      <c r="F498" s="40"/>
      <c r="G498" s="40"/>
      <c r="H498" s="53"/>
      <c r="R498" s="40"/>
      <c r="S498" s="40"/>
      <c r="U498" s="40"/>
      <c r="V498" s="40"/>
      <c r="W498" s="40"/>
      <c r="Y498" s="40"/>
      <c r="Z498" s="40"/>
      <c r="AA498" s="41"/>
      <c r="AB498" s="41"/>
      <c r="AC498" s="41"/>
      <c r="AD498" s="41"/>
      <c r="AE498" s="41"/>
      <c r="AF498" s="40"/>
      <c r="AG498" s="40"/>
      <c r="AH498" s="5"/>
      <c r="AI498" s="5"/>
      <c r="AJ498" s="40"/>
      <c r="AK498" s="40"/>
      <c r="AL498" s="40"/>
      <c r="AM498" s="40"/>
      <c r="AN498" s="40"/>
      <c r="AP498" s="40"/>
      <c r="AR498" s="40"/>
    </row>
    <row r="499" spans="2:44" ht="12.75" customHeight="1" x14ac:dyDescent="0.15">
      <c r="B499" s="40"/>
      <c r="C499" s="40"/>
      <c r="D499" s="40"/>
      <c r="E499" s="185"/>
      <c r="F499" s="40"/>
      <c r="G499" s="40"/>
      <c r="H499" s="53"/>
      <c r="R499" s="40"/>
      <c r="S499" s="40"/>
      <c r="U499" s="40"/>
      <c r="V499" s="40"/>
      <c r="W499" s="40"/>
      <c r="Y499" s="40"/>
      <c r="Z499" s="40"/>
      <c r="AA499" s="41"/>
      <c r="AB499" s="41"/>
      <c r="AC499" s="41"/>
      <c r="AD499" s="41"/>
      <c r="AE499" s="41"/>
      <c r="AF499" s="40"/>
      <c r="AG499" s="40"/>
      <c r="AH499" s="5"/>
      <c r="AI499" s="5"/>
      <c r="AJ499" s="40"/>
      <c r="AK499" s="40"/>
      <c r="AL499" s="40"/>
      <c r="AM499" s="40"/>
      <c r="AN499" s="40"/>
      <c r="AP499" s="40"/>
      <c r="AR499" s="40"/>
    </row>
    <row r="500" spans="2:44" ht="12.75" customHeight="1" x14ac:dyDescent="0.15">
      <c r="B500" s="40"/>
      <c r="C500" s="40"/>
      <c r="D500" s="40"/>
      <c r="E500" s="185"/>
      <c r="F500" s="40"/>
      <c r="G500" s="40"/>
      <c r="H500" s="53"/>
      <c r="R500" s="40"/>
      <c r="S500" s="40"/>
      <c r="U500" s="40"/>
      <c r="V500" s="40"/>
      <c r="W500" s="40"/>
      <c r="Y500" s="40"/>
      <c r="Z500" s="40"/>
      <c r="AA500" s="41"/>
      <c r="AB500" s="41"/>
      <c r="AC500" s="41"/>
      <c r="AD500" s="41"/>
      <c r="AE500" s="41"/>
      <c r="AF500" s="40"/>
      <c r="AG500" s="40"/>
      <c r="AH500" s="5"/>
      <c r="AI500" s="5"/>
      <c r="AJ500" s="40"/>
      <c r="AK500" s="40"/>
      <c r="AL500" s="40"/>
      <c r="AM500" s="40"/>
      <c r="AN500" s="40"/>
      <c r="AP500" s="40"/>
      <c r="AR500" s="40"/>
    </row>
    <row r="501" spans="2:44" ht="12.75" customHeight="1" x14ac:dyDescent="0.15">
      <c r="B501" s="40"/>
      <c r="C501" s="40"/>
      <c r="D501" s="40"/>
      <c r="E501" s="185"/>
      <c r="F501" s="40"/>
      <c r="G501" s="40"/>
      <c r="H501" s="53"/>
      <c r="R501" s="40"/>
      <c r="S501" s="40"/>
      <c r="U501" s="40"/>
      <c r="V501" s="40"/>
      <c r="W501" s="40"/>
      <c r="Y501" s="40"/>
      <c r="Z501" s="40"/>
      <c r="AA501" s="41"/>
      <c r="AB501" s="41"/>
      <c r="AC501" s="41"/>
      <c r="AD501" s="41"/>
      <c r="AE501" s="41"/>
      <c r="AF501" s="40"/>
      <c r="AG501" s="40"/>
      <c r="AH501" s="5"/>
      <c r="AI501" s="5"/>
      <c r="AJ501" s="40"/>
      <c r="AK501" s="40"/>
      <c r="AL501" s="40"/>
      <c r="AM501" s="40"/>
      <c r="AN501" s="40"/>
      <c r="AP501" s="40"/>
      <c r="AR501" s="40"/>
    </row>
    <row r="502" spans="2:44" ht="12.75" customHeight="1" x14ac:dyDescent="0.15">
      <c r="B502" s="40"/>
      <c r="C502" s="40"/>
      <c r="D502" s="40"/>
      <c r="E502" s="185"/>
      <c r="F502" s="40"/>
      <c r="G502" s="40"/>
      <c r="H502" s="53"/>
      <c r="R502" s="40"/>
      <c r="S502" s="40"/>
      <c r="U502" s="40"/>
      <c r="V502" s="40"/>
      <c r="W502" s="40"/>
      <c r="Y502" s="40"/>
      <c r="Z502" s="40"/>
      <c r="AA502" s="41"/>
      <c r="AB502" s="41"/>
      <c r="AC502" s="41"/>
      <c r="AD502" s="41"/>
      <c r="AE502" s="41"/>
      <c r="AF502" s="40"/>
      <c r="AG502" s="40"/>
      <c r="AH502" s="5"/>
      <c r="AI502" s="5"/>
      <c r="AJ502" s="40"/>
      <c r="AK502" s="40"/>
      <c r="AL502" s="40"/>
      <c r="AM502" s="40"/>
      <c r="AN502" s="40"/>
      <c r="AP502" s="40"/>
      <c r="AR502" s="40"/>
    </row>
    <row r="503" spans="2:44" ht="12.75" customHeight="1" x14ac:dyDescent="0.15">
      <c r="B503" s="40"/>
      <c r="C503" s="40"/>
      <c r="D503" s="40"/>
      <c r="E503" s="185"/>
      <c r="F503" s="40"/>
      <c r="G503" s="40"/>
      <c r="H503" s="53"/>
      <c r="R503" s="40"/>
      <c r="S503" s="40"/>
      <c r="U503" s="40"/>
      <c r="V503" s="40"/>
      <c r="W503" s="40"/>
      <c r="Y503" s="40"/>
      <c r="Z503" s="40"/>
      <c r="AA503" s="41"/>
      <c r="AB503" s="41"/>
      <c r="AC503" s="41"/>
      <c r="AD503" s="41"/>
      <c r="AE503" s="41"/>
      <c r="AF503" s="40"/>
      <c r="AG503" s="40"/>
      <c r="AH503" s="5"/>
      <c r="AI503" s="5"/>
      <c r="AJ503" s="40"/>
      <c r="AK503" s="40"/>
      <c r="AL503" s="40"/>
      <c r="AM503" s="40"/>
      <c r="AN503" s="40"/>
      <c r="AP503" s="40"/>
      <c r="AR503" s="40"/>
    </row>
    <row r="504" spans="2:44" ht="12.75" customHeight="1" x14ac:dyDescent="0.15">
      <c r="B504" s="40"/>
      <c r="C504" s="40"/>
      <c r="D504" s="40"/>
      <c r="E504" s="185"/>
      <c r="F504" s="40"/>
      <c r="G504" s="40"/>
      <c r="H504" s="53"/>
      <c r="R504" s="40"/>
      <c r="S504" s="40"/>
      <c r="U504" s="40"/>
      <c r="V504" s="40"/>
      <c r="W504" s="40"/>
      <c r="Y504" s="40"/>
      <c r="Z504" s="40"/>
      <c r="AA504" s="41"/>
      <c r="AB504" s="41"/>
      <c r="AC504" s="41"/>
      <c r="AD504" s="41"/>
      <c r="AE504" s="41"/>
      <c r="AF504" s="40"/>
      <c r="AG504" s="40"/>
      <c r="AH504" s="5"/>
      <c r="AI504" s="5"/>
      <c r="AJ504" s="40"/>
      <c r="AK504" s="40"/>
      <c r="AL504" s="40"/>
      <c r="AM504" s="40"/>
      <c r="AN504" s="40"/>
      <c r="AP504" s="40"/>
      <c r="AR504" s="40"/>
    </row>
    <row r="505" spans="2:44" ht="12.75" customHeight="1" x14ac:dyDescent="0.15">
      <c r="B505" s="40"/>
      <c r="C505" s="40"/>
      <c r="D505" s="40"/>
      <c r="E505" s="185"/>
      <c r="F505" s="40"/>
      <c r="G505" s="40"/>
      <c r="H505" s="53"/>
      <c r="R505" s="40"/>
      <c r="S505" s="40"/>
      <c r="U505" s="40"/>
      <c r="V505" s="40"/>
      <c r="W505" s="40"/>
      <c r="Y505" s="40"/>
      <c r="Z505" s="40"/>
      <c r="AA505" s="41"/>
      <c r="AB505" s="41"/>
      <c r="AC505" s="41"/>
      <c r="AD505" s="41"/>
      <c r="AE505" s="41"/>
      <c r="AF505" s="40"/>
      <c r="AG505" s="40"/>
      <c r="AH505" s="5"/>
      <c r="AI505" s="5"/>
      <c r="AJ505" s="40"/>
      <c r="AK505" s="40"/>
      <c r="AL505" s="40"/>
      <c r="AM505" s="40"/>
      <c r="AN505" s="40"/>
      <c r="AP505" s="40"/>
      <c r="AR505" s="40"/>
    </row>
    <row r="506" spans="2:44" ht="12.75" customHeight="1" x14ac:dyDescent="0.15">
      <c r="B506" s="40"/>
      <c r="C506" s="40"/>
      <c r="D506" s="40"/>
      <c r="E506" s="185"/>
      <c r="F506" s="40"/>
      <c r="G506" s="40"/>
      <c r="H506" s="53"/>
      <c r="R506" s="40"/>
      <c r="S506" s="40"/>
      <c r="U506" s="40"/>
      <c r="V506" s="40"/>
      <c r="W506" s="40"/>
      <c r="Y506" s="40"/>
      <c r="Z506" s="40"/>
      <c r="AA506" s="41"/>
      <c r="AB506" s="41"/>
      <c r="AC506" s="41"/>
      <c r="AD506" s="41"/>
      <c r="AE506" s="41"/>
      <c r="AF506" s="40"/>
      <c r="AG506" s="40"/>
      <c r="AH506" s="5"/>
      <c r="AI506" s="5"/>
      <c r="AJ506" s="40"/>
      <c r="AK506" s="40"/>
      <c r="AL506" s="40"/>
      <c r="AM506" s="40"/>
      <c r="AN506" s="40"/>
      <c r="AP506" s="40"/>
      <c r="AR506" s="40"/>
    </row>
    <row r="507" spans="2:44" ht="12.75" customHeight="1" x14ac:dyDescent="0.15">
      <c r="B507" s="40"/>
      <c r="C507" s="40"/>
      <c r="D507" s="40"/>
      <c r="E507" s="185"/>
      <c r="F507" s="40"/>
      <c r="G507" s="40"/>
      <c r="H507" s="53"/>
      <c r="R507" s="40"/>
      <c r="S507" s="40"/>
      <c r="U507" s="40"/>
      <c r="V507" s="40"/>
      <c r="W507" s="40"/>
      <c r="Y507" s="40"/>
      <c r="Z507" s="40"/>
      <c r="AA507" s="41"/>
      <c r="AB507" s="41"/>
      <c r="AC507" s="41"/>
      <c r="AD507" s="41"/>
      <c r="AE507" s="41"/>
      <c r="AF507" s="40"/>
      <c r="AG507" s="40"/>
      <c r="AH507" s="5"/>
      <c r="AI507" s="5"/>
      <c r="AJ507" s="40"/>
      <c r="AK507" s="40"/>
      <c r="AL507" s="40"/>
      <c r="AM507" s="40"/>
      <c r="AN507" s="40"/>
      <c r="AP507" s="40"/>
      <c r="AR507" s="40"/>
    </row>
    <row r="508" spans="2:44" ht="12.75" customHeight="1" x14ac:dyDescent="0.15">
      <c r="B508" s="40"/>
      <c r="C508" s="40"/>
      <c r="D508" s="40"/>
      <c r="E508" s="185"/>
      <c r="F508" s="40"/>
      <c r="G508" s="40"/>
      <c r="H508" s="53"/>
      <c r="R508" s="40"/>
      <c r="S508" s="40"/>
      <c r="U508" s="40"/>
      <c r="V508" s="40"/>
      <c r="W508" s="40"/>
      <c r="Y508" s="40"/>
      <c r="Z508" s="40"/>
      <c r="AA508" s="41"/>
      <c r="AB508" s="41"/>
      <c r="AC508" s="41"/>
      <c r="AD508" s="41"/>
      <c r="AE508" s="41"/>
      <c r="AF508" s="40"/>
      <c r="AG508" s="40"/>
      <c r="AH508" s="5"/>
      <c r="AI508" s="5"/>
      <c r="AJ508" s="40"/>
      <c r="AK508" s="40"/>
      <c r="AL508" s="40"/>
      <c r="AM508" s="40"/>
      <c r="AN508" s="40"/>
      <c r="AP508" s="40"/>
      <c r="AR508" s="40"/>
    </row>
    <row r="509" spans="2:44" ht="12.75" customHeight="1" x14ac:dyDescent="0.15">
      <c r="B509" s="40"/>
      <c r="C509" s="40"/>
      <c r="D509" s="40"/>
      <c r="E509" s="185"/>
      <c r="F509" s="40"/>
      <c r="G509" s="40"/>
      <c r="H509" s="53"/>
      <c r="R509" s="40"/>
      <c r="S509" s="40"/>
      <c r="U509" s="40"/>
      <c r="V509" s="40"/>
      <c r="W509" s="40"/>
      <c r="Y509" s="40"/>
      <c r="Z509" s="40"/>
      <c r="AA509" s="41"/>
      <c r="AB509" s="41"/>
      <c r="AC509" s="41"/>
      <c r="AD509" s="41"/>
      <c r="AE509" s="41"/>
      <c r="AF509" s="40"/>
      <c r="AG509" s="40"/>
      <c r="AH509" s="5"/>
      <c r="AI509" s="5"/>
      <c r="AJ509" s="40"/>
      <c r="AK509" s="40"/>
      <c r="AL509" s="40"/>
      <c r="AM509" s="40"/>
      <c r="AN509" s="40"/>
      <c r="AP509" s="40"/>
      <c r="AR509" s="40"/>
    </row>
    <row r="510" spans="2:44" ht="12.75" customHeight="1" x14ac:dyDescent="0.15">
      <c r="B510" s="40"/>
      <c r="C510" s="40"/>
      <c r="D510" s="40"/>
      <c r="E510" s="185"/>
      <c r="F510" s="40"/>
      <c r="G510" s="40"/>
      <c r="H510" s="53"/>
      <c r="R510" s="40"/>
      <c r="S510" s="40"/>
      <c r="U510" s="40"/>
      <c r="V510" s="40"/>
      <c r="W510" s="40"/>
      <c r="Y510" s="40"/>
      <c r="Z510" s="40"/>
      <c r="AA510" s="41"/>
      <c r="AB510" s="41"/>
      <c r="AC510" s="41"/>
      <c r="AD510" s="41"/>
      <c r="AE510" s="41"/>
      <c r="AF510" s="40"/>
      <c r="AG510" s="40"/>
      <c r="AH510" s="5"/>
      <c r="AI510" s="5"/>
      <c r="AJ510" s="40"/>
      <c r="AK510" s="40"/>
      <c r="AL510" s="40"/>
      <c r="AM510" s="40"/>
      <c r="AN510" s="40"/>
      <c r="AP510" s="40"/>
      <c r="AR510" s="40"/>
    </row>
    <row r="511" spans="2:44" ht="12.75" customHeight="1" x14ac:dyDescent="0.15">
      <c r="B511" s="40"/>
      <c r="C511" s="40"/>
      <c r="D511" s="40"/>
      <c r="E511" s="185"/>
      <c r="F511" s="40"/>
      <c r="G511" s="40"/>
      <c r="H511" s="53"/>
      <c r="R511" s="40"/>
      <c r="S511" s="40"/>
      <c r="U511" s="40"/>
      <c r="V511" s="40"/>
      <c r="W511" s="40"/>
      <c r="Y511" s="40"/>
      <c r="Z511" s="40"/>
      <c r="AA511" s="41"/>
      <c r="AB511" s="41"/>
      <c r="AC511" s="41"/>
      <c r="AD511" s="41"/>
      <c r="AE511" s="41"/>
      <c r="AF511" s="40"/>
      <c r="AG511" s="40"/>
      <c r="AH511" s="5"/>
      <c r="AI511" s="5"/>
      <c r="AJ511" s="40"/>
      <c r="AK511" s="40"/>
      <c r="AL511" s="40"/>
      <c r="AM511" s="40"/>
      <c r="AN511" s="40"/>
      <c r="AP511" s="40"/>
      <c r="AR511" s="40"/>
    </row>
    <row r="512" spans="2:44" ht="12.75" customHeight="1" x14ac:dyDescent="0.15">
      <c r="B512" s="40"/>
      <c r="C512" s="40"/>
      <c r="D512" s="40"/>
      <c r="E512" s="185"/>
      <c r="F512" s="40"/>
      <c r="G512" s="40"/>
      <c r="H512" s="53"/>
      <c r="R512" s="40"/>
      <c r="S512" s="40"/>
      <c r="U512" s="40"/>
      <c r="V512" s="40"/>
      <c r="W512" s="40"/>
      <c r="Y512" s="40"/>
      <c r="Z512" s="40"/>
      <c r="AA512" s="41"/>
      <c r="AB512" s="41"/>
      <c r="AC512" s="41"/>
      <c r="AD512" s="41"/>
      <c r="AE512" s="41"/>
      <c r="AF512" s="40"/>
      <c r="AG512" s="40"/>
      <c r="AH512" s="5"/>
      <c r="AI512" s="5"/>
      <c r="AJ512" s="40"/>
      <c r="AK512" s="40"/>
      <c r="AL512" s="40"/>
      <c r="AM512" s="40"/>
      <c r="AN512" s="40"/>
      <c r="AP512" s="40"/>
      <c r="AR512" s="40"/>
    </row>
    <row r="513" spans="2:44" ht="12.75" customHeight="1" x14ac:dyDescent="0.15">
      <c r="B513" s="40"/>
      <c r="C513" s="40"/>
      <c r="D513" s="40"/>
      <c r="E513" s="185"/>
      <c r="F513" s="40"/>
      <c r="G513" s="40"/>
      <c r="H513" s="53"/>
      <c r="R513" s="40"/>
      <c r="S513" s="40"/>
      <c r="U513" s="40"/>
      <c r="V513" s="40"/>
      <c r="W513" s="40"/>
      <c r="Y513" s="40"/>
      <c r="Z513" s="40"/>
      <c r="AA513" s="41"/>
      <c r="AB513" s="41"/>
      <c r="AC513" s="41"/>
      <c r="AD513" s="41"/>
      <c r="AE513" s="41"/>
      <c r="AF513" s="40"/>
      <c r="AG513" s="40"/>
      <c r="AH513" s="5"/>
      <c r="AI513" s="5"/>
      <c r="AJ513" s="40"/>
      <c r="AK513" s="40"/>
      <c r="AL513" s="40"/>
      <c r="AM513" s="40"/>
      <c r="AN513" s="40"/>
      <c r="AP513" s="40"/>
      <c r="AR513" s="40"/>
    </row>
    <row r="514" spans="2:44" ht="12.75" customHeight="1" x14ac:dyDescent="0.15">
      <c r="B514" s="40"/>
      <c r="C514" s="40"/>
      <c r="D514" s="40"/>
      <c r="E514" s="185"/>
      <c r="F514" s="40"/>
      <c r="G514" s="40"/>
      <c r="H514" s="53"/>
      <c r="R514" s="40"/>
      <c r="S514" s="40"/>
      <c r="U514" s="40"/>
      <c r="V514" s="40"/>
      <c r="W514" s="40"/>
      <c r="Y514" s="40"/>
      <c r="Z514" s="40"/>
      <c r="AA514" s="41"/>
      <c r="AB514" s="41"/>
      <c r="AC514" s="41"/>
      <c r="AD514" s="41"/>
      <c r="AE514" s="41"/>
      <c r="AF514" s="40"/>
      <c r="AG514" s="40"/>
      <c r="AH514" s="5"/>
      <c r="AI514" s="5"/>
      <c r="AJ514" s="40"/>
      <c r="AK514" s="40"/>
      <c r="AL514" s="40"/>
      <c r="AM514" s="40"/>
      <c r="AN514" s="40"/>
      <c r="AP514" s="40"/>
      <c r="AR514" s="40"/>
    </row>
    <row r="515" spans="2:44" ht="12.75" customHeight="1" x14ac:dyDescent="0.15">
      <c r="B515" s="40"/>
      <c r="C515" s="40"/>
      <c r="D515" s="40"/>
      <c r="E515" s="185"/>
      <c r="F515" s="40"/>
      <c r="G515" s="40"/>
      <c r="H515" s="53"/>
      <c r="R515" s="40"/>
      <c r="S515" s="40"/>
      <c r="U515" s="40"/>
      <c r="V515" s="40"/>
      <c r="W515" s="40"/>
      <c r="Y515" s="40"/>
      <c r="Z515" s="40"/>
      <c r="AA515" s="41"/>
      <c r="AB515" s="41"/>
      <c r="AC515" s="41"/>
      <c r="AD515" s="41"/>
      <c r="AE515" s="41"/>
      <c r="AF515" s="40"/>
      <c r="AG515" s="40"/>
      <c r="AH515" s="5"/>
      <c r="AI515" s="5"/>
      <c r="AJ515" s="40"/>
      <c r="AK515" s="40"/>
      <c r="AL515" s="40"/>
      <c r="AM515" s="40"/>
      <c r="AN515" s="40"/>
      <c r="AP515" s="40"/>
      <c r="AR515" s="40"/>
    </row>
    <row r="516" spans="2:44" ht="12.75" customHeight="1" x14ac:dyDescent="0.15">
      <c r="B516" s="40"/>
      <c r="C516" s="40"/>
      <c r="D516" s="40"/>
      <c r="E516" s="185"/>
      <c r="F516" s="40"/>
      <c r="G516" s="40"/>
      <c r="H516" s="53"/>
      <c r="R516" s="40"/>
      <c r="S516" s="40"/>
      <c r="U516" s="40"/>
      <c r="V516" s="40"/>
      <c r="W516" s="40"/>
      <c r="Y516" s="40"/>
      <c r="Z516" s="40"/>
      <c r="AA516" s="41"/>
      <c r="AB516" s="41"/>
      <c r="AC516" s="41"/>
      <c r="AD516" s="41"/>
      <c r="AE516" s="41"/>
      <c r="AF516" s="40"/>
      <c r="AG516" s="40"/>
      <c r="AH516" s="5"/>
      <c r="AI516" s="5"/>
      <c r="AJ516" s="40"/>
      <c r="AK516" s="40"/>
      <c r="AL516" s="40"/>
      <c r="AM516" s="40"/>
      <c r="AN516" s="40"/>
      <c r="AP516" s="40"/>
      <c r="AR516" s="40"/>
    </row>
    <row r="517" spans="2:44" ht="12.75" customHeight="1" x14ac:dyDescent="0.15">
      <c r="B517" s="40"/>
      <c r="C517" s="40"/>
      <c r="D517" s="40"/>
      <c r="E517" s="185"/>
      <c r="F517" s="40"/>
      <c r="G517" s="40"/>
      <c r="H517" s="53"/>
      <c r="R517" s="40"/>
      <c r="S517" s="40"/>
      <c r="U517" s="40"/>
      <c r="V517" s="40"/>
      <c r="W517" s="40"/>
      <c r="Y517" s="40"/>
      <c r="Z517" s="40"/>
      <c r="AA517" s="41"/>
      <c r="AB517" s="41"/>
      <c r="AC517" s="41"/>
      <c r="AD517" s="41"/>
      <c r="AE517" s="41"/>
      <c r="AF517" s="40"/>
      <c r="AG517" s="40"/>
      <c r="AH517" s="5"/>
      <c r="AI517" s="5"/>
      <c r="AJ517" s="40"/>
      <c r="AK517" s="40"/>
      <c r="AL517" s="40"/>
      <c r="AM517" s="40"/>
      <c r="AN517" s="40"/>
      <c r="AP517" s="40"/>
      <c r="AR517" s="40"/>
    </row>
    <row r="518" spans="2:44" ht="12.75" customHeight="1" x14ac:dyDescent="0.15">
      <c r="B518" s="40"/>
      <c r="C518" s="40"/>
      <c r="D518" s="40"/>
      <c r="E518" s="185"/>
      <c r="F518" s="40"/>
      <c r="G518" s="40"/>
      <c r="H518" s="53"/>
      <c r="R518" s="40"/>
      <c r="S518" s="40"/>
      <c r="U518" s="40"/>
      <c r="V518" s="40"/>
      <c r="W518" s="40"/>
      <c r="Y518" s="40"/>
      <c r="Z518" s="40"/>
      <c r="AA518" s="41"/>
      <c r="AB518" s="41"/>
      <c r="AC518" s="41"/>
      <c r="AD518" s="41"/>
      <c r="AE518" s="41"/>
      <c r="AF518" s="40"/>
      <c r="AG518" s="40"/>
      <c r="AH518" s="5"/>
      <c r="AI518" s="5"/>
      <c r="AJ518" s="40"/>
      <c r="AK518" s="40"/>
      <c r="AL518" s="40"/>
      <c r="AM518" s="40"/>
      <c r="AN518" s="40"/>
      <c r="AP518" s="40"/>
      <c r="AR518" s="40"/>
    </row>
    <row r="519" spans="2:44" ht="12.75" customHeight="1" x14ac:dyDescent="0.15">
      <c r="B519" s="40"/>
      <c r="C519" s="40"/>
      <c r="D519" s="40"/>
      <c r="E519" s="185"/>
      <c r="F519" s="40"/>
      <c r="G519" s="40"/>
      <c r="H519" s="53"/>
      <c r="R519" s="40"/>
      <c r="S519" s="40"/>
      <c r="U519" s="40"/>
      <c r="V519" s="40"/>
      <c r="W519" s="40"/>
      <c r="Y519" s="40"/>
      <c r="Z519" s="40"/>
      <c r="AA519" s="41"/>
      <c r="AB519" s="41"/>
      <c r="AC519" s="41"/>
      <c r="AD519" s="41"/>
      <c r="AE519" s="41"/>
      <c r="AF519" s="40"/>
      <c r="AG519" s="40"/>
      <c r="AH519" s="5"/>
      <c r="AI519" s="5"/>
      <c r="AJ519" s="40"/>
      <c r="AK519" s="40"/>
      <c r="AL519" s="40"/>
      <c r="AM519" s="40"/>
      <c r="AN519" s="40"/>
      <c r="AP519" s="40"/>
      <c r="AR519" s="40"/>
    </row>
    <row r="520" spans="2:44" ht="12.75" customHeight="1" x14ac:dyDescent="0.15">
      <c r="B520" s="40"/>
      <c r="C520" s="40"/>
      <c r="D520" s="40"/>
      <c r="E520" s="185"/>
      <c r="F520" s="40"/>
      <c r="G520" s="40"/>
      <c r="H520" s="53"/>
      <c r="R520" s="40"/>
      <c r="S520" s="40"/>
      <c r="U520" s="40"/>
      <c r="V520" s="40"/>
      <c r="W520" s="40"/>
      <c r="Y520" s="40"/>
      <c r="Z520" s="40"/>
      <c r="AA520" s="41"/>
      <c r="AB520" s="41"/>
      <c r="AC520" s="41"/>
      <c r="AD520" s="41"/>
      <c r="AE520" s="41"/>
      <c r="AF520" s="40"/>
      <c r="AG520" s="40"/>
      <c r="AH520" s="5"/>
      <c r="AI520" s="5"/>
      <c r="AJ520" s="40"/>
      <c r="AK520" s="40"/>
      <c r="AL520" s="40"/>
      <c r="AM520" s="40"/>
      <c r="AN520" s="40"/>
      <c r="AP520" s="40"/>
      <c r="AR520" s="40"/>
    </row>
    <row r="521" spans="2:44" ht="12.75" customHeight="1" x14ac:dyDescent="0.15">
      <c r="B521" s="40"/>
      <c r="C521" s="40"/>
      <c r="D521" s="40"/>
      <c r="E521" s="185"/>
      <c r="F521" s="40"/>
      <c r="G521" s="40"/>
      <c r="H521" s="53"/>
      <c r="R521" s="40"/>
      <c r="S521" s="40"/>
      <c r="U521" s="40"/>
      <c r="V521" s="40"/>
      <c r="W521" s="40"/>
      <c r="Y521" s="40"/>
      <c r="Z521" s="40"/>
      <c r="AA521" s="41"/>
      <c r="AB521" s="41"/>
      <c r="AC521" s="41"/>
      <c r="AD521" s="41"/>
      <c r="AE521" s="41"/>
      <c r="AF521" s="40"/>
      <c r="AG521" s="40"/>
      <c r="AH521" s="5"/>
      <c r="AI521" s="5"/>
      <c r="AJ521" s="40"/>
      <c r="AK521" s="40"/>
      <c r="AL521" s="40"/>
      <c r="AM521" s="40"/>
      <c r="AN521" s="40"/>
      <c r="AP521" s="40"/>
      <c r="AR521" s="40"/>
    </row>
    <row r="522" spans="2:44" ht="12.75" customHeight="1" x14ac:dyDescent="0.15">
      <c r="B522" s="40"/>
      <c r="C522" s="40"/>
      <c r="D522" s="40"/>
      <c r="E522" s="185"/>
      <c r="F522" s="40"/>
      <c r="G522" s="40"/>
      <c r="H522" s="53"/>
      <c r="R522" s="40"/>
      <c r="S522" s="40"/>
      <c r="U522" s="40"/>
      <c r="V522" s="40"/>
      <c r="W522" s="40"/>
      <c r="Y522" s="40"/>
      <c r="Z522" s="40"/>
      <c r="AA522" s="41"/>
      <c r="AB522" s="41"/>
      <c r="AC522" s="41"/>
      <c r="AD522" s="41"/>
      <c r="AE522" s="41"/>
      <c r="AF522" s="40"/>
      <c r="AG522" s="40"/>
      <c r="AH522" s="5"/>
      <c r="AI522" s="5"/>
      <c r="AJ522" s="40"/>
      <c r="AK522" s="40"/>
      <c r="AL522" s="40"/>
      <c r="AM522" s="40"/>
      <c r="AN522" s="40"/>
      <c r="AP522" s="40"/>
      <c r="AR522" s="40"/>
    </row>
    <row r="523" spans="2:44" ht="12.75" customHeight="1" x14ac:dyDescent="0.15">
      <c r="B523" s="40"/>
      <c r="C523" s="40"/>
      <c r="D523" s="40"/>
      <c r="E523" s="185"/>
      <c r="F523" s="40"/>
      <c r="G523" s="40"/>
      <c r="H523" s="53"/>
      <c r="R523" s="40"/>
      <c r="S523" s="40"/>
      <c r="U523" s="40"/>
      <c r="V523" s="40"/>
      <c r="W523" s="40"/>
      <c r="Y523" s="40"/>
      <c r="Z523" s="40"/>
      <c r="AA523" s="41"/>
      <c r="AB523" s="41"/>
      <c r="AC523" s="41"/>
      <c r="AD523" s="41"/>
      <c r="AE523" s="41"/>
      <c r="AF523" s="40"/>
      <c r="AG523" s="40"/>
      <c r="AH523" s="5"/>
      <c r="AI523" s="5"/>
      <c r="AJ523" s="40"/>
      <c r="AK523" s="40"/>
      <c r="AL523" s="40"/>
      <c r="AM523" s="40"/>
      <c r="AN523" s="40"/>
      <c r="AP523" s="40"/>
      <c r="AR523" s="40"/>
    </row>
    <row r="524" spans="2:44" ht="12.75" customHeight="1" x14ac:dyDescent="0.15">
      <c r="B524" s="40"/>
      <c r="C524" s="40"/>
      <c r="D524" s="40"/>
      <c r="E524" s="185"/>
      <c r="F524" s="40"/>
      <c r="G524" s="40"/>
      <c r="H524" s="53"/>
      <c r="R524" s="40"/>
      <c r="S524" s="40"/>
      <c r="U524" s="40"/>
      <c r="V524" s="40"/>
      <c r="W524" s="40"/>
      <c r="Y524" s="40"/>
      <c r="Z524" s="40"/>
      <c r="AA524" s="41"/>
      <c r="AB524" s="41"/>
      <c r="AC524" s="41"/>
      <c r="AD524" s="41"/>
      <c r="AE524" s="41"/>
      <c r="AF524" s="40"/>
      <c r="AG524" s="40"/>
      <c r="AH524" s="5"/>
      <c r="AI524" s="5"/>
      <c r="AJ524" s="40"/>
      <c r="AK524" s="40"/>
      <c r="AL524" s="40"/>
      <c r="AM524" s="40"/>
      <c r="AN524" s="40"/>
      <c r="AP524" s="40"/>
      <c r="AR524" s="40"/>
    </row>
    <row r="525" spans="2:44" ht="12.75" customHeight="1" x14ac:dyDescent="0.15">
      <c r="B525" s="40"/>
      <c r="C525" s="40"/>
      <c r="D525" s="40"/>
      <c r="E525" s="185"/>
      <c r="F525" s="40"/>
      <c r="G525" s="40"/>
      <c r="H525" s="53"/>
      <c r="R525" s="40"/>
      <c r="S525" s="40"/>
      <c r="U525" s="40"/>
      <c r="V525" s="40"/>
      <c r="W525" s="40"/>
      <c r="Y525" s="40"/>
      <c r="Z525" s="40"/>
      <c r="AA525" s="41"/>
      <c r="AB525" s="41"/>
      <c r="AC525" s="41"/>
      <c r="AD525" s="41"/>
      <c r="AE525" s="41"/>
      <c r="AF525" s="40"/>
      <c r="AG525" s="40"/>
      <c r="AH525" s="5"/>
      <c r="AI525" s="5"/>
      <c r="AJ525" s="40"/>
      <c r="AK525" s="40"/>
      <c r="AL525" s="40"/>
      <c r="AM525" s="40"/>
      <c r="AN525" s="40"/>
      <c r="AP525" s="40"/>
      <c r="AR525" s="40"/>
    </row>
    <row r="526" spans="2:44" ht="12.75" customHeight="1" x14ac:dyDescent="0.15">
      <c r="B526" s="40"/>
      <c r="C526" s="40"/>
      <c r="D526" s="40"/>
      <c r="E526" s="185"/>
      <c r="F526" s="40"/>
      <c r="G526" s="40"/>
      <c r="H526" s="53"/>
      <c r="R526" s="40"/>
      <c r="S526" s="40"/>
      <c r="U526" s="40"/>
      <c r="V526" s="40"/>
      <c r="W526" s="40"/>
      <c r="Y526" s="40"/>
      <c r="Z526" s="40"/>
      <c r="AA526" s="41"/>
      <c r="AB526" s="41"/>
      <c r="AC526" s="41"/>
      <c r="AD526" s="41"/>
      <c r="AE526" s="41"/>
      <c r="AF526" s="40"/>
      <c r="AG526" s="40"/>
      <c r="AH526" s="5"/>
      <c r="AI526" s="5"/>
      <c r="AJ526" s="40"/>
      <c r="AK526" s="40"/>
      <c r="AL526" s="40"/>
      <c r="AM526" s="40"/>
      <c r="AN526" s="40"/>
      <c r="AP526" s="40"/>
      <c r="AR526" s="40"/>
    </row>
    <row r="527" spans="2:44" ht="12.75" customHeight="1" x14ac:dyDescent="0.15">
      <c r="B527" s="40"/>
      <c r="C527" s="40"/>
      <c r="D527" s="40"/>
      <c r="E527" s="185"/>
      <c r="F527" s="40"/>
      <c r="G527" s="40"/>
      <c r="H527" s="53"/>
      <c r="R527" s="40"/>
      <c r="S527" s="40"/>
      <c r="U527" s="40"/>
      <c r="V527" s="40"/>
      <c r="W527" s="40"/>
      <c r="Y527" s="40"/>
      <c r="Z527" s="40"/>
      <c r="AA527" s="41"/>
      <c r="AB527" s="41"/>
      <c r="AC527" s="41"/>
      <c r="AD527" s="41"/>
      <c r="AE527" s="41"/>
      <c r="AF527" s="40"/>
      <c r="AG527" s="40"/>
      <c r="AH527" s="5"/>
      <c r="AI527" s="5"/>
      <c r="AJ527" s="40"/>
      <c r="AK527" s="40"/>
      <c r="AL527" s="40"/>
      <c r="AM527" s="40"/>
      <c r="AN527" s="40"/>
      <c r="AP527" s="40"/>
      <c r="AR527" s="40"/>
    </row>
    <row r="528" spans="2:44" ht="12.75" customHeight="1" x14ac:dyDescent="0.15">
      <c r="B528" s="40"/>
      <c r="C528" s="40"/>
      <c r="D528" s="40"/>
      <c r="E528" s="185"/>
      <c r="F528" s="40"/>
      <c r="G528" s="40"/>
      <c r="H528" s="53"/>
      <c r="R528" s="40"/>
      <c r="S528" s="40"/>
      <c r="U528" s="40"/>
      <c r="V528" s="40"/>
      <c r="W528" s="40"/>
      <c r="Y528" s="40"/>
      <c r="Z528" s="40"/>
      <c r="AA528" s="41"/>
      <c r="AB528" s="41"/>
      <c r="AC528" s="41"/>
      <c r="AD528" s="41"/>
      <c r="AE528" s="41"/>
      <c r="AF528" s="40"/>
      <c r="AG528" s="40"/>
      <c r="AH528" s="5"/>
      <c r="AI528" s="5"/>
      <c r="AJ528" s="40"/>
      <c r="AK528" s="40"/>
      <c r="AL528" s="40"/>
      <c r="AM528" s="40"/>
      <c r="AN528" s="40"/>
      <c r="AP528" s="40"/>
      <c r="AR528" s="40"/>
    </row>
    <row r="529" spans="2:44" ht="12.75" customHeight="1" x14ac:dyDescent="0.15">
      <c r="B529" s="40"/>
      <c r="C529" s="40"/>
      <c r="D529" s="40"/>
      <c r="E529" s="185"/>
      <c r="F529" s="40"/>
      <c r="G529" s="40"/>
      <c r="H529" s="53"/>
      <c r="R529" s="40"/>
      <c r="S529" s="40"/>
      <c r="U529" s="40"/>
      <c r="V529" s="40"/>
      <c r="W529" s="40"/>
      <c r="Y529" s="40"/>
      <c r="Z529" s="40"/>
      <c r="AA529" s="41"/>
      <c r="AB529" s="41"/>
      <c r="AC529" s="41"/>
      <c r="AD529" s="41"/>
      <c r="AE529" s="41"/>
      <c r="AF529" s="40"/>
      <c r="AG529" s="40"/>
      <c r="AH529" s="5"/>
      <c r="AI529" s="5"/>
      <c r="AJ529" s="40"/>
      <c r="AK529" s="40"/>
      <c r="AL529" s="40"/>
      <c r="AM529" s="40"/>
      <c r="AN529" s="40"/>
      <c r="AP529" s="40"/>
      <c r="AR529" s="40"/>
    </row>
    <row r="530" spans="2:44" ht="12.75" customHeight="1" x14ac:dyDescent="0.15">
      <c r="B530" s="40"/>
      <c r="C530" s="40"/>
      <c r="D530" s="40"/>
      <c r="E530" s="185"/>
      <c r="F530" s="40"/>
      <c r="G530" s="40"/>
      <c r="H530" s="53"/>
      <c r="R530" s="40"/>
      <c r="S530" s="40"/>
      <c r="U530" s="40"/>
      <c r="V530" s="40"/>
      <c r="W530" s="40"/>
      <c r="Y530" s="40"/>
      <c r="Z530" s="40"/>
      <c r="AA530" s="41"/>
      <c r="AB530" s="41"/>
      <c r="AC530" s="41"/>
      <c r="AD530" s="41"/>
      <c r="AE530" s="41"/>
      <c r="AF530" s="40"/>
      <c r="AG530" s="40"/>
      <c r="AH530" s="5"/>
      <c r="AI530" s="5"/>
      <c r="AJ530" s="40"/>
      <c r="AK530" s="40"/>
      <c r="AL530" s="40"/>
      <c r="AM530" s="40"/>
      <c r="AN530" s="40"/>
      <c r="AP530" s="40"/>
      <c r="AR530" s="40"/>
    </row>
    <row r="531" spans="2:44" ht="12.75" customHeight="1" x14ac:dyDescent="0.15">
      <c r="B531" s="40"/>
      <c r="C531" s="40"/>
      <c r="D531" s="40"/>
      <c r="E531" s="185"/>
      <c r="F531" s="40"/>
      <c r="G531" s="40"/>
      <c r="H531" s="53"/>
      <c r="R531" s="40"/>
      <c r="S531" s="40"/>
      <c r="U531" s="40"/>
      <c r="V531" s="40"/>
      <c r="W531" s="40"/>
      <c r="Y531" s="40"/>
      <c r="Z531" s="40"/>
      <c r="AA531" s="41"/>
      <c r="AB531" s="41"/>
      <c r="AC531" s="41"/>
      <c r="AD531" s="41"/>
      <c r="AE531" s="41"/>
      <c r="AF531" s="40"/>
      <c r="AG531" s="40"/>
      <c r="AH531" s="5"/>
      <c r="AI531" s="5"/>
      <c r="AJ531" s="40"/>
      <c r="AK531" s="40"/>
      <c r="AL531" s="40"/>
      <c r="AM531" s="40"/>
      <c r="AN531" s="40"/>
      <c r="AP531" s="40"/>
      <c r="AR531" s="40"/>
    </row>
    <row r="532" spans="2:44" ht="12.75" customHeight="1" x14ac:dyDescent="0.15">
      <c r="B532" s="40"/>
      <c r="C532" s="40"/>
      <c r="D532" s="40"/>
      <c r="E532" s="185"/>
      <c r="F532" s="40"/>
      <c r="G532" s="40"/>
      <c r="H532" s="53"/>
      <c r="R532" s="40"/>
      <c r="S532" s="40"/>
      <c r="U532" s="40"/>
      <c r="V532" s="40"/>
      <c r="W532" s="40"/>
      <c r="Y532" s="40"/>
      <c r="Z532" s="40"/>
      <c r="AA532" s="41"/>
      <c r="AB532" s="41"/>
      <c r="AC532" s="41"/>
      <c r="AD532" s="41"/>
      <c r="AE532" s="41"/>
      <c r="AF532" s="40"/>
      <c r="AG532" s="40"/>
      <c r="AH532" s="5"/>
      <c r="AI532" s="5"/>
      <c r="AJ532" s="40"/>
      <c r="AK532" s="40"/>
      <c r="AL532" s="40"/>
      <c r="AM532" s="40"/>
      <c r="AN532" s="40"/>
      <c r="AP532" s="40"/>
      <c r="AR532" s="40"/>
    </row>
    <row r="533" spans="2:44" ht="12.75" customHeight="1" x14ac:dyDescent="0.15">
      <c r="B533" s="40"/>
      <c r="C533" s="40"/>
      <c r="D533" s="40"/>
      <c r="E533" s="185"/>
      <c r="F533" s="40"/>
      <c r="G533" s="40"/>
      <c r="H533" s="53"/>
      <c r="R533" s="40"/>
      <c r="S533" s="40"/>
      <c r="U533" s="40"/>
      <c r="V533" s="40"/>
      <c r="W533" s="40"/>
      <c r="Y533" s="40"/>
      <c r="Z533" s="40"/>
      <c r="AA533" s="41"/>
      <c r="AB533" s="41"/>
      <c r="AC533" s="41"/>
      <c r="AD533" s="41"/>
      <c r="AE533" s="41"/>
      <c r="AF533" s="40"/>
      <c r="AG533" s="40"/>
      <c r="AH533" s="5"/>
      <c r="AI533" s="5"/>
      <c r="AJ533" s="40"/>
      <c r="AK533" s="40"/>
      <c r="AL533" s="40"/>
      <c r="AM533" s="40"/>
      <c r="AN533" s="40"/>
      <c r="AP533" s="40"/>
      <c r="AR533" s="40"/>
    </row>
    <row r="534" spans="2:44" ht="12.75" customHeight="1" x14ac:dyDescent="0.15">
      <c r="B534" s="40"/>
      <c r="C534" s="40"/>
      <c r="D534" s="40"/>
      <c r="E534" s="185"/>
      <c r="F534" s="40"/>
      <c r="G534" s="40"/>
      <c r="H534" s="53"/>
      <c r="R534" s="40"/>
      <c r="S534" s="40"/>
      <c r="U534" s="40"/>
      <c r="V534" s="40"/>
      <c r="W534" s="40"/>
      <c r="Y534" s="40"/>
      <c r="Z534" s="40"/>
      <c r="AA534" s="41"/>
      <c r="AB534" s="41"/>
      <c r="AC534" s="41"/>
      <c r="AD534" s="41"/>
      <c r="AE534" s="41"/>
      <c r="AF534" s="40"/>
      <c r="AG534" s="40"/>
      <c r="AH534" s="5"/>
      <c r="AI534" s="5"/>
      <c r="AJ534" s="40"/>
      <c r="AK534" s="40"/>
      <c r="AL534" s="40"/>
      <c r="AM534" s="40"/>
      <c r="AN534" s="40"/>
      <c r="AP534" s="40"/>
      <c r="AR534" s="40"/>
    </row>
    <row r="535" spans="2:44" ht="12.75" customHeight="1" x14ac:dyDescent="0.15">
      <c r="B535" s="40"/>
      <c r="C535" s="40"/>
      <c r="D535" s="40"/>
      <c r="E535" s="185"/>
      <c r="F535" s="40"/>
      <c r="G535" s="40"/>
      <c r="H535" s="53"/>
      <c r="R535" s="40"/>
      <c r="S535" s="40"/>
      <c r="U535" s="40"/>
      <c r="V535" s="40"/>
      <c r="W535" s="40"/>
      <c r="Y535" s="40"/>
      <c r="Z535" s="40"/>
      <c r="AA535" s="41"/>
      <c r="AB535" s="41"/>
      <c r="AC535" s="41"/>
      <c r="AD535" s="41"/>
      <c r="AE535" s="41"/>
      <c r="AF535" s="40"/>
      <c r="AG535" s="40"/>
      <c r="AH535" s="5"/>
      <c r="AI535" s="5"/>
      <c r="AJ535" s="40"/>
      <c r="AK535" s="40"/>
      <c r="AL535" s="40"/>
      <c r="AM535" s="40"/>
      <c r="AN535" s="40"/>
      <c r="AP535" s="40"/>
      <c r="AR535" s="40"/>
    </row>
    <row r="536" spans="2:44" ht="12.75" customHeight="1" x14ac:dyDescent="0.15">
      <c r="B536" s="40"/>
      <c r="C536" s="40"/>
      <c r="D536" s="40"/>
      <c r="E536" s="185"/>
      <c r="F536" s="40"/>
      <c r="G536" s="40"/>
      <c r="H536" s="53"/>
      <c r="R536" s="40"/>
      <c r="S536" s="40"/>
      <c r="U536" s="40"/>
      <c r="V536" s="40"/>
      <c r="W536" s="40"/>
      <c r="Y536" s="40"/>
      <c r="Z536" s="40"/>
      <c r="AA536" s="41"/>
      <c r="AB536" s="41"/>
      <c r="AC536" s="41"/>
      <c r="AD536" s="41"/>
      <c r="AE536" s="41"/>
      <c r="AF536" s="40"/>
      <c r="AG536" s="40"/>
      <c r="AH536" s="5"/>
      <c r="AI536" s="5"/>
      <c r="AJ536" s="40"/>
      <c r="AK536" s="40"/>
      <c r="AL536" s="40"/>
      <c r="AM536" s="40"/>
      <c r="AN536" s="40"/>
      <c r="AP536" s="40"/>
      <c r="AR536" s="40"/>
    </row>
    <row r="537" spans="2:44" ht="12.75" customHeight="1" x14ac:dyDescent="0.15">
      <c r="B537" s="40"/>
      <c r="C537" s="40"/>
      <c r="D537" s="40"/>
      <c r="E537" s="185"/>
      <c r="F537" s="40"/>
      <c r="G537" s="40"/>
      <c r="H537" s="53"/>
      <c r="R537" s="40"/>
      <c r="S537" s="40"/>
      <c r="U537" s="40"/>
      <c r="V537" s="40"/>
      <c r="W537" s="40"/>
      <c r="Y537" s="40"/>
      <c r="Z537" s="40"/>
      <c r="AA537" s="41"/>
      <c r="AB537" s="41"/>
      <c r="AC537" s="41"/>
      <c r="AD537" s="41"/>
      <c r="AE537" s="41"/>
      <c r="AF537" s="40"/>
      <c r="AG537" s="40"/>
      <c r="AH537" s="5"/>
      <c r="AI537" s="5"/>
      <c r="AJ537" s="40"/>
      <c r="AK537" s="40"/>
      <c r="AL537" s="40"/>
      <c r="AM537" s="40"/>
      <c r="AN537" s="40"/>
      <c r="AP537" s="40"/>
      <c r="AR537" s="40"/>
    </row>
    <row r="538" spans="2:44" ht="12.75" customHeight="1" x14ac:dyDescent="0.15">
      <c r="B538" s="40"/>
      <c r="C538" s="40"/>
      <c r="D538" s="40"/>
      <c r="E538" s="185"/>
      <c r="F538" s="40"/>
      <c r="G538" s="40"/>
      <c r="H538" s="53"/>
      <c r="R538" s="40"/>
      <c r="S538" s="40"/>
      <c r="U538" s="40"/>
      <c r="V538" s="40"/>
      <c r="W538" s="40"/>
      <c r="Y538" s="40"/>
      <c r="Z538" s="40"/>
      <c r="AA538" s="41"/>
      <c r="AB538" s="41"/>
      <c r="AC538" s="41"/>
      <c r="AD538" s="41"/>
      <c r="AE538" s="41"/>
      <c r="AF538" s="40"/>
      <c r="AG538" s="40"/>
      <c r="AH538" s="5"/>
      <c r="AI538" s="5"/>
      <c r="AJ538" s="40"/>
      <c r="AK538" s="40"/>
      <c r="AL538" s="40"/>
      <c r="AM538" s="40"/>
      <c r="AN538" s="40"/>
      <c r="AP538" s="40"/>
      <c r="AR538" s="40"/>
    </row>
    <row r="539" spans="2:44" ht="12.75" customHeight="1" x14ac:dyDescent="0.15">
      <c r="B539" s="40"/>
      <c r="C539" s="40"/>
      <c r="D539" s="40"/>
      <c r="E539" s="185"/>
      <c r="F539" s="40"/>
      <c r="G539" s="40"/>
      <c r="H539" s="53"/>
      <c r="R539" s="40"/>
      <c r="S539" s="40"/>
      <c r="U539" s="40"/>
      <c r="V539" s="40"/>
      <c r="W539" s="40"/>
      <c r="Y539" s="40"/>
      <c r="Z539" s="40"/>
      <c r="AA539" s="41"/>
      <c r="AB539" s="41"/>
      <c r="AC539" s="41"/>
      <c r="AD539" s="41"/>
      <c r="AE539" s="41"/>
      <c r="AF539" s="40"/>
      <c r="AG539" s="40"/>
      <c r="AH539" s="5"/>
      <c r="AI539" s="5"/>
      <c r="AJ539" s="40"/>
      <c r="AK539" s="40"/>
      <c r="AL539" s="40"/>
      <c r="AM539" s="40"/>
      <c r="AN539" s="40"/>
      <c r="AP539" s="40"/>
      <c r="AR539" s="40"/>
    </row>
    <row r="540" spans="2:44" ht="12.75" customHeight="1" x14ac:dyDescent="0.15">
      <c r="B540" s="40"/>
      <c r="C540" s="40"/>
      <c r="D540" s="40"/>
      <c r="E540" s="185"/>
      <c r="F540" s="40"/>
      <c r="G540" s="40"/>
      <c r="H540" s="53"/>
      <c r="R540" s="40"/>
      <c r="S540" s="40"/>
      <c r="U540" s="40"/>
      <c r="V540" s="40"/>
      <c r="W540" s="40"/>
      <c r="Y540" s="40"/>
      <c r="Z540" s="40"/>
      <c r="AA540" s="41"/>
      <c r="AB540" s="41"/>
      <c r="AC540" s="41"/>
      <c r="AD540" s="41"/>
      <c r="AE540" s="41"/>
      <c r="AF540" s="40"/>
      <c r="AG540" s="40"/>
      <c r="AH540" s="5"/>
      <c r="AI540" s="5"/>
      <c r="AJ540" s="40"/>
      <c r="AK540" s="40"/>
      <c r="AL540" s="40"/>
      <c r="AM540" s="40"/>
      <c r="AN540" s="40"/>
      <c r="AP540" s="40"/>
      <c r="AR540" s="40"/>
    </row>
    <row r="541" spans="2:44" ht="12.75" customHeight="1" x14ac:dyDescent="0.15">
      <c r="B541" s="40"/>
      <c r="C541" s="40"/>
      <c r="D541" s="40"/>
      <c r="E541" s="185"/>
      <c r="F541" s="40"/>
      <c r="G541" s="40"/>
      <c r="H541" s="53"/>
      <c r="R541" s="40"/>
      <c r="S541" s="40"/>
      <c r="U541" s="40"/>
      <c r="V541" s="40"/>
      <c r="W541" s="40"/>
      <c r="Y541" s="40"/>
      <c r="Z541" s="40"/>
      <c r="AA541" s="41"/>
      <c r="AB541" s="41"/>
      <c r="AC541" s="41"/>
      <c r="AD541" s="41"/>
      <c r="AE541" s="41"/>
      <c r="AF541" s="40"/>
      <c r="AG541" s="40"/>
      <c r="AH541" s="5"/>
      <c r="AI541" s="5"/>
      <c r="AJ541" s="40"/>
      <c r="AK541" s="40"/>
      <c r="AL541" s="40"/>
      <c r="AM541" s="40"/>
      <c r="AN541" s="40"/>
      <c r="AP541" s="40"/>
      <c r="AR541" s="40"/>
    </row>
    <row r="542" spans="2:44" ht="12.75" customHeight="1" x14ac:dyDescent="0.15">
      <c r="B542" s="40"/>
      <c r="C542" s="40"/>
      <c r="D542" s="40"/>
      <c r="E542" s="185"/>
      <c r="F542" s="40"/>
      <c r="G542" s="40"/>
      <c r="H542" s="53"/>
      <c r="R542" s="40"/>
      <c r="S542" s="40"/>
      <c r="U542" s="40"/>
      <c r="V542" s="40"/>
      <c r="W542" s="40"/>
      <c r="Y542" s="40"/>
      <c r="Z542" s="40"/>
      <c r="AA542" s="41"/>
      <c r="AB542" s="41"/>
      <c r="AC542" s="41"/>
      <c r="AD542" s="41"/>
      <c r="AE542" s="41"/>
      <c r="AF542" s="40"/>
      <c r="AG542" s="40"/>
      <c r="AH542" s="5"/>
      <c r="AI542" s="5"/>
      <c r="AJ542" s="40"/>
      <c r="AK542" s="40"/>
      <c r="AL542" s="40"/>
      <c r="AM542" s="40"/>
      <c r="AN542" s="40"/>
      <c r="AP542" s="40"/>
      <c r="AR542" s="40"/>
    </row>
    <row r="543" spans="2:44" ht="12.75" customHeight="1" x14ac:dyDescent="0.15">
      <c r="B543" s="40"/>
      <c r="C543" s="40"/>
      <c r="D543" s="40"/>
      <c r="E543" s="185"/>
      <c r="F543" s="40"/>
      <c r="G543" s="40"/>
      <c r="H543" s="53"/>
      <c r="R543" s="40"/>
      <c r="S543" s="40"/>
      <c r="U543" s="40"/>
      <c r="V543" s="40"/>
      <c r="W543" s="40"/>
      <c r="Y543" s="40"/>
      <c r="Z543" s="40"/>
      <c r="AA543" s="41"/>
      <c r="AB543" s="41"/>
      <c r="AC543" s="41"/>
      <c r="AD543" s="41"/>
      <c r="AE543" s="41"/>
      <c r="AF543" s="40"/>
      <c r="AG543" s="40"/>
      <c r="AH543" s="5"/>
      <c r="AI543" s="5"/>
      <c r="AJ543" s="40"/>
      <c r="AK543" s="40"/>
      <c r="AL543" s="40"/>
      <c r="AM543" s="40"/>
      <c r="AN543" s="40"/>
      <c r="AP543" s="40"/>
      <c r="AR543" s="40"/>
    </row>
    <row r="544" spans="2:44" ht="12.75" customHeight="1" x14ac:dyDescent="0.15">
      <c r="B544" s="40"/>
      <c r="C544" s="40"/>
      <c r="D544" s="40"/>
      <c r="E544" s="185"/>
      <c r="F544" s="40"/>
      <c r="G544" s="40"/>
      <c r="H544" s="53"/>
      <c r="R544" s="40"/>
      <c r="S544" s="40"/>
      <c r="U544" s="40"/>
      <c r="V544" s="40"/>
      <c r="W544" s="40"/>
      <c r="Y544" s="40"/>
      <c r="Z544" s="40"/>
      <c r="AA544" s="41"/>
      <c r="AB544" s="41"/>
      <c r="AC544" s="41"/>
      <c r="AD544" s="41"/>
      <c r="AE544" s="41"/>
      <c r="AF544" s="40"/>
      <c r="AG544" s="40"/>
      <c r="AH544" s="5"/>
      <c r="AI544" s="5"/>
      <c r="AJ544" s="40"/>
      <c r="AK544" s="40"/>
      <c r="AL544" s="40"/>
      <c r="AM544" s="40"/>
      <c r="AN544" s="40"/>
      <c r="AP544" s="40"/>
      <c r="AR544" s="40"/>
    </row>
    <row r="545" spans="2:44" ht="12.75" customHeight="1" x14ac:dyDescent="0.15">
      <c r="B545" s="40"/>
      <c r="C545" s="40"/>
      <c r="D545" s="40"/>
      <c r="E545" s="185"/>
      <c r="F545" s="40"/>
      <c r="G545" s="40"/>
      <c r="H545" s="53"/>
      <c r="R545" s="40"/>
      <c r="S545" s="40"/>
      <c r="U545" s="40"/>
      <c r="V545" s="40"/>
      <c r="W545" s="40"/>
      <c r="Y545" s="40"/>
      <c r="Z545" s="40"/>
      <c r="AA545" s="41"/>
      <c r="AB545" s="41"/>
      <c r="AC545" s="41"/>
      <c r="AD545" s="41"/>
      <c r="AE545" s="41"/>
      <c r="AF545" s="40"/>
      <c r="AG545" s="40"/>
      <c r="AH545" s="5"/>
      <c r="AI545" s="5"/>
      <c r="AJ545" s="40"/>
      <c r="AK545" s="40"/>
      <c r="AL545" s="40"/>
      <c r="AM545" s="40"/>
      <c r="AN545" s="40"/>
      <c r="AP545" s="40"/>
      <c r="AR545" s="40"/>
    </row>
    <row r="546" spans="2:44" ht="12.75" customHeight="1" x14ac:dyDescent="0.15">
      <c r="B546" s="40"/>
      <c r="C546" s="40"/>
      <c r="D546" s="40"/>
      <c r="E546" s="185"/>
      <c r="F546" s="40"/>
      <c r="G546" s="40"/>
      <c r="H546" s="53"/>
      <c r="R546" s="40"/>
      <c r="S546" s="40"/>
      <c r="U546" s="40"/>
      <c r="V546" s="40"/>
      <c r="W546" s="40"/>
      <c r="Y546" s="40"/>
      <c r="Z546" s="40"/>
      <c r="AA546" s="41"/>
      <c r="AB546" s="41"/>
      <c r="AC546" s="41"/>
      <c r="AD546" s="41"/>
      <c r="AE546" s="41"/>
      <c r="AF546" s="40"/>
      <c r="AG546" s="40"/>
      <c r="AH546" s="5"/>
      <c r="AI546" s="5"/>
      <c r="AJ546" s="40"/>
      <c r="AK546" s="40"/>
      <c r="AL546" s="40"/>
      <c r="AM546" s="40"/>
      <c r="AN546" s="40"/>
      <c r="AP546" s="40"/>
      <c r="AR546" s="40"/>
    </row>
    <row r="547" spans="2:44" ht="12.75" customHeight="1" x14ac:dyDescent="0.15">
      <c r="B547" s="40"/>
      <c r="C547" s="40"/>
      <c r="D547" s="40"/>
      <c r="E547" s="185"/>
      <c r="F547" s="40"/>
      <c r="G547" s="40"/>
      <c r="H547" s="53"/>
      <c r="R547" s="40"/>
      <c r="S547" s="40"/>
      <c r="U547" s="40"/>
      <c r="V547" s="40"/>
      <c r="W547" s="40"/>
      <c r="Y547" s="40"/>
      <c r="Z547" s="40"/>
      <c r="AA547" s="41"/>
      <c r="AB547" s="41"/>
      <c r="AC547" s="41"/>
      <c r="AD547" s="41"/>
      <c r="AE547" s="41"/>
      <c r="AF547" s="40"/>
      <c r="AG547" s="40"/>
      <c r="AH547" s="5"/>
      <c r="AI547" s="5"/>
      <c r="AJ547" s="40"/>
      <c r="AK547" s="40"/>
      <c r="AL547" s="40"/>
      <c r="AM547" s="40"/>
      <c r="AN547" s="40"/>
      <c r="AP547" s="40"/>
      <c r="AR547" s="40"/>
    </row>
    <row r="548" spans="2:44" ht="12.75" customHeight="1" x14ac:dyDescent="0.15">
      <c r="B548" s="40"/>
      <c r="C548" s="40"/>
      <c r="D548" s="40"/>
      <c r="E548" s="185"/>
      <c r="F548" s="40"/>
      <c r="G548" s="40"/>
      <c r="H548" s="53"/>
      <c r="R548" s="40"/>
      <c r="S548" s="40"/>
      <c r="U548" s="40"/>
      <c r="V548" s="40"/>
      <c r="W548" s="40"/>
      <c r="Y548" s="40"/>
      <c r="Z548" s="40"/>
      <c r="AA548" s="41"/>
      <c r="AB548" s="41"/>
      <c r="AC548" s="41"/>
      <c r="AD548" s="41"/>
      <c r="AE548" s="41"/>
      <c r="AF548" s="40"/>
      <c r="AG548" s="40"/>
      <c r="AH548" s="5"/>
      <c r="AI548" s="5"/>
      <c r="AJ548" s="40"/>
      <c r="AK548" s="40"/>
      <c r="AL548" s="40"/>
      <c r="AM548" s="40"/>
      <c r="AN548" s="40"/>
      <c r="AP548" s="40"/>
      <c r="AR548" s="40"/>
    </row>
    <row r="549" spans="2:44" ht="12.75" customHeight="1" x14ac:dyDescent="0.15">
      <c r="B549" s="40"/>
      <c r="C549" s="40"/>
      <c r="D549" s="40"/>
      <c r="E549" s="185"/>
      <c r="F549" s="40"/>
      <c r="G549" s="40"/>
      <c r="H549" s="53"/>
      <c r="R549" s="40"/>
      <c r="S549" s="40"/>
      <c r="U549" s="40"/>
      <c r="V549" s="40"/>
      <c r="W549" s="40"/>
      <c r="Y549" s="40"/>
      <c r="Z549" s="40"/>
      <c r="AA549" s="41"/>
      <c r="AB549" s="41"/>
      <c r="AC549" s="41"/>
      <c r="AD549" s="41"/>
      <c r="AE549" s="41"/>
      <c r="AF549" s="40"/>
      <c r="AG549" s="40"/>
      <c r="AH549" s="5"/>
      <c r="AI549" s="5"/>
      <c r="AJ549" s="40"/>
      <c r="AK549" s="40"/>
      <c r="AL549" s="40"/>
      <c r="AM549" s="40"/>
      <c r="AN549" s="40"/>
      <c r="AP549" s="40"/>
      <c r="AR549" s="40"/>
    </row>
    <row r="550" spans="2:44" ht="12.75" customHeight="1" x14ac:dyDescent="0.15">
      <c r="B550" s="40"/>
      <c r="C550" s="40"/>
      <c r="D550" s="40"/>
      <c r="E550" s="185"/>
      <c r="F550" s="40"/>
      <c r="G550" s="40"/>
      <c r="H550" s="53"/>
      <c r="R550" s="40"/>
      <c r="S550" s="40"/>
      <c r="U550" s="40"/>
      <c r="V550" s="40"/>
      <c r="W550" s="40"/>
      <c r="Y550" s="40"/>
      <c r="Z550" s="40"/>
      <c r="AA550" s="41"/>
      <c r="AB550" s="41"/>
      <c r="AC550" s="41"/>
      <c r="AD550" s="41"/>
      <c r="AE550" s="41"/>
      <c r="AF550" s="40"/>
      <c r="AG550" s="40"/>
      <c r="AH550" s="5"/>
      <c r="AI550" s="5"/>
      <c r="AJ550" s="40"/>
      <c r="AK550" s="40"/>
      <c r="AL550" s="40"/>
      <c r="AM550" s="40"/>
      <c r="AN550" s="40"/>
      <c r="AP550" s="40"/>
      <c r="AR550" s="40"/>
    </row>
    <row r="551" spans="2:44" ht="12.75" customHeight="1" x14ac:dyDescent="0.15">
      <c r="B551" s="40"/>
      <c r="C551" s="40"/>
      <c r="D551" s="40"/>
      <c r="E551" s="185"/>
      <c r="F551" s="40"/>
      <c r="G551" s="40"/>
      <c r="H551" s="53"/>
      <c r="R551" s="40"/>
      <c r="S551" s="40"/>
      <c r="U551" s="40"/>
      <c r="V551" s="40"/>
      <c r="W551" s="40"/>
      <c r="Y551" s="40"/>
      <c r="Z551" s="40"/>
      <c r="AA551" s="41"/>
      <c r="AB551" s="41"/>
      <c r="AC551" s="41"/>
      <c r="AD551" s="41"/>
      <c r="AE551" s="41"/>
      <c r="AF551" s="40"/>
      <c r="AG551" s="40"/>
      <c r="AH551" s="5"/>
      <c r="AI551" s="5"/>
      <c r="AJ551" s="40"/>
      <c r="AK551" s="40"/>
      <c r="AL551" s="40"/>
      <c r="AM551" s="40"/>
      <c r="AN551" s="40"/>
      <c r="AP551" s="40"/>
      <c r="AR551" s="40"/>
    </row>
    <row r="552" spans="2:44" ht="12.75" customHeight="1" x14ac:dyDescent="0.15">
      <c r="B552" s="40"/>
      <c r="C552" s="40"/>
      <c r="D552" s="40"/>
      <c r="E552" s="185"/>
      <c r="F552" s="40"/>
      <c r="G552" s="40"/>
      <c r="H552" s="53"/>
      <c r="R552" s="40"/>
      <c r="S552" s="40"/>
      <c r="U552" s="40"/>
      <c r="V552" s="40"/>
      <c r="W552" s="40"/>
      <c r="Y552" s="40"/>
      <c r="Z552" s="40"/>
      <c r="AA552" s="41"/>
      <c r="AB552" s="41"/>
      <c r="AC552" s="41"/>
      <c r="AD552" s="41"/>
      <c r="AE552" s="41"/>
      <c r="AF552" s="40"/>
      <c r="AG552" s="40"/>
      <c r="AH552" s="5"/>
      <c r="AI552" s="5"/>
      <c r="AJ552" s="40"/>
      <c r="AK552" s="40"/>
      <c r="AL552" s="40"/>
      <c r="AM552" s="40"/>
      <c r="AN552" s="40"/>
      <c r="AP552" s="40"/>
      <c r="AR552" s="40"/>
    </row>
    <row r="553" spans="2:44" ht="12.75" customHeight="1" x14ac:dyDescent="0.15">
      <c r="B553" s="40"/>
      <c r="C553" s="40"/>
      <c r="D553" s="40"/>
      <c r="E553" s="185"/>
      <c r="F553" s="40"/>
      <c r="G553" s="40"/>
      <c r="H553" s="53"/>
      <c r="R553" s="40"/>
      <c r="S553" s="40"/>
      <c r="U553" s="40"/>
      <c r="V553" s="40"/>
      <c r="W553" s="40"/>
      <c r="Y553" s="40"/>
      <c r="Z553" s="40"/>
      <c r="AA553" s="41"/>
      <c r="AB553" s="41"/>
      <c r="AC553" s="41"/>
      <c r="AD553" s="41"/>
      <c r="AE553" s="41"/>
      <c r="AF553" s="40"/>
      <c r="AG553" s="40"/>
      <c r="AH553" s="5"/>
      <c r="AI553" s="5"/>
      <c r="AJ553" s="40"/>
      <c r="AK553" s="40"/>
      <c r="AL553" s="40"/>
      <c r="AM553" s="40"/>
      <c r="AN553" s="40"/>
      <c r="AP553" s="40"/>
      <c r="AR553" s="40"/>
    </row>
    <row r="554" spans="2:44" ht="12.75" customHeight="1" x14ac:dyDescent="0.15">
      <c r="B554" s="40"/>
      <c r="C554" s="40"/>
      <c r="D554" s="40"/>
      <c r="E554" s="185"/>
      <c r="F554" s="40"/>
      <c r="G554" s="40"/>
      <c r="H554" s="53"/>
      <c r="R554" s="40"/>
      <c r="S554" s="40"/>
      <c r="U554" s="40"/>
      <c r="V554" s="40"/>
      <c r="W554" s="40"/>
      <c r="Y554" s="40"/>
      <c r="Z554" s="40"/>
      <c r="AA554" s="41"/>
      <c r="AB554" s="41"/>
      <c r="AC554" s="41"/>
      <c r="AD554" s="41"/>
      <c r="AE554" s="41"/>
      <c r="AF554" s="40"/>
      <c r="AG554" s="40"/>
      <c r="AH554" s="5"/>
      <c r="AI554" s="5"/>
      <c r="AJ554" s="40"/>
      <c r="AK554" s="40"/>
      <c r="AL554" s="40"/>
      <c r="AM554" s="40"/>
      <c r="AN554" s="40"/>
      <c r="AP554" s="40"/>
      <c r="AR554" s="40"/>
    </row>
    <row r="555" spans="2:44" ht="12.75" customHeight="1" x14ac:dyDescent="0.15">
      <c r="B555" s="40"/>
      <c r="C555" s="40"/>
      <c r="D555" s="40"/>
      <c r="E555" s="185"/>
      <c r="F555" s="40"/>
      <c r="G555" s="40"/>
      <c r="H555" s="53"/>
      <c r="R555" s="40"/>
      <c r="S555" s="40"/>
      <c r="U555" s="40"/>
      <c r="V555" s="40"/>
      <c r="W555" s="40"/>
      <c r="Y555" s="40"/>
      <c r="Z555" s="40"/>
      <c r="AA555" s="41"/>
      <c r="AB555" s="41"/>
      <c r="AC555" s="41"/>
      <c r="AD555" s="41"/>
      <c r="AE555" s="41"/>
      <c r="AF555" s="40"/>
      <c r="AG555" s="40"/>
      <c r="AH555" s="5"/>
      <c r="AI555" s="5"/>
      <c r="AJ555" s="40"/>
      <c r="AK555" s="40"/>
      <c r="AL555" s="40"/>
      <c r="AM555" s="40"/>
      <c r="AN555" s="40"/>
      <c r="AP555" s="40"/>
      <c r="AR555" s="40"/>
    </row>
    <row r="556" spans="2:44" ht="12.75" customHeight="1" x14ac:dyDescent="0.15">
      <c r="B556" s="40"/>
      <c r="C556" s="40"/>
      <c r="D556" s="40"/>
      <c r="E556" s="185"/>
      <c r="F556" s="40"/>
      <c r="G556" s="40"/>
      <c r="H556" s="53"/>
      <c r="R556" s="40"/>
      <c r="S556" s="40"/>
      <c r="U556" s="40"/>
      <c r="V556" s="40"/>
      <c r="W556" s="40"/>
      <c r="Y556" s="40"/>
      <c r="Z556" s="40"/>
      <c r="AA556" s="41"/>
      <c r="AB556" s="41"/>
      <c r="AC556" s="41"/>
      <c r="AD556" s="41"/>
      <c r="AE556" s="41"/>
      <c r="AF556" s="40"/>
      <c r="AG556" s="40"/>
      <c r="AH556" s="5"/>
      <c r="AI556" s="5"/>
      <c r="AJ556" s="40"/>
      <c r="AK556" s="40"/>
      <c r="AL556" s="40"/>
      <c r="AM556" s="40"/>
      <c r="AN556" s="40"/>
      <c r="AP556" s="40"/>
      <c r="AR556" s="40"/>
    </row>
    <row r="557" spans="2:44" ht="12.75" customHeight="1" x14ac:dyDescent="0.15">
      <c r="B557" s="40"/>
      <c r="C557" s="40"/>
      <c r="D557" s="40"/>
      <c r="E557" s="185"/>
      <c r="F557" s="40"/>
      <c r="G557" s="40"/>
      <c r="H557" s="53"/>
      <c r="R557" s="40"/>
      <c r="S557" s="40"/>
      <c r="U557" s="40"/>
      <c r="V557" s="40"/>
      <c r="W557" s="40"/>
      <c r="Y557" s="40"/>
      <c r="Z557" s="40"/>
      <c r="AA557" s="41"/>
      <c r="AB557" s="41"/>
      <c r="AC557" s="41"/>
      <c r="AD557" s="41"/>
      <c r="AE557" s="41"/>
      <c r="AF557" s="40"/>
      <c r="AG557" s="40"/>
      <c r="AH557" s="5"/>
      <c r="AI557" s="5"/>
      <c r="AJ557" s="40"/>
      <c r="AK557" s="40"/>
      <c r="AL557" s="40"/>
      <c r="AM557" s="40"/>
      <c r="AN557" s="40"/>
      <c r="AP557" s="40"/>
      <c r="AR557" s="40"/>
    </row>
    <row r="558" spans="2:44" ht="12.75" customHeight="1" x14ac:dyDescent="0.15">
      <c r="B558" s="40"/>
      <c r="C558" s="40"/>
      <c r="D558" s="40"/>
      <c r="E558" s="185"/>
      <c r="F558" s="40"/>
      <c r="G558" s="40"/>
      <c r="H558" s="53"/>
      <c r="R558" s="40"/>
      <c r="S558" s="40"/>
      <c r="U558" s="40"/>
      <c r="V558" s="40"/>
      <c r="W558" s="40"/>
      <c r="Y558" s="40"/>
      <c r="Z558" s="40"/>
      <c r="AA558" s="41"/>
      <c r="AB558" s="41"/>
      <c r="AC558" s="41"/>
      <c r="AD558" s="41"/>
      <c r="AE558" s="41"/>
      <c r="AF558" s="40"/>
      <c r="AG558" s="40"/>
      <c r="AH558" s="5"/>
      <c r="AI558" s="5"/>
      <c r="AJ558" s="40"/>
      <c r="AK558" s="40"/>
      <c r="AL558" s="40"/>
      <c r="AM558" s="40"/>
      <c r="AN558" s="40"/>
      <c r="AP558" s="40"/>
      <c r="AR558" s="40"/>
    </row>
    <row r="559" spans="2:44" ht="12.75" customHeight="1" x14ac:dyDescent="0.15">
      <c r="B559" s="40"/>
      <c r="C559" s="40"/>
      <c r="D559" s="40"/>
      <c r="E559" s="185"/>
      <c r="F559" s="40"/>
      <c r="G559" s="40"/>
      <c r="H559" s="53"/>
      <c r="R559" s="40"/>
      <c r="S559" s="40"/>
      <c r="U559" s="40"/>
      <c r="V559" s="40"/>
      <c r="W559" s="40"/>
      <c r="Y559" s="40"/>
      <c r="Z559" s="40"/>
      <c r="AA559" s="41"/>
      <c r="AB559" s="41"/>
      <c r="AC559" s="41"/>
      <c r="AD559" s="41"/>
      <c r="AE559" s="41"/>
      <c r="AF559" s="40"/>
      <c r="AG559" s="40"/>
      <c r="AH559" s="5"/>
      <c r="AI559" s="5"/>
      <c r="AJ559" s="40"/>
      <c r="AK559" s="40"/>
      <c r="AL559" s="40"/>
      <c r="AM559" s="40"/>
      <c r="AN559" s="40"/>
      <c r="AP559" s="40"/>
      <c r="AR559" s="40"/>
    </row>
    <row r="560" spans="2:44" ht="12.75" customHeight="1" x14ac:dyDescent="0.15">
      <c r="B560" s="40"/>
      <c r="C560" s="40"/>
      <c r="D560" s="40"/>
      <c r="E560" s="185"/>
      <c r="F560" s="40"/>
      <c r="G560" s="40"/>
      <c r="H560" s="53"/>
      <c r="R560" s="40"/>
      <c r="S560" s="40"/>
      <c r="U560" s="40"/>
      <c r="V560" s="40"/>
      <c r="W560" s="40"/>
      <c r="Y560" s="40"/>
      <c r="Z560" s="40"/>
      <c r="AA560" s="41"/>
      <c r="AB560" s="41"/>
      <c r="AC560" s="41"/>
      <c r="AD560" s="41"/>
      <c r="AE560" s="41"/>
      <c r="AF560" s="40"/>
      <c r="AG560" s="40"/>
      <c r="AH560" s="5"/>
      <c r="AI560" s="5"/>
      <c r="AJ560" s="40"/>
      <c r="AK560" s="40"/>
      <c r="AL560" s="40"/>
      <c r="AM560" s="40"/>
      <c r="AN560" s="40"/>
      <c r="AP560" s="40"/>
      <c r="AR560" s="40"/>
    </row>
    <row r="561" spans="2:44" ht="12.75" customHeight="1" x14ac:dyDescent="0.15">
      <c r="B561" s="40"/>
      <c r="C561" s="40"/>
      <c r="D561" s="40"/>
      <c r="E561" s="185"/>
      <c r="F561" s="40"/>
      <c r="G561" s="40"/>
      <c r="H561" s="53"/>
      <c r="R561" s="40"/>
      <c r="S561" s="40"/>
      <c r="U561" s="40"/>
      <c r="V561" s="40"/>
      <c r="W561" s="40"/>
      <c r="Y561" s="40"/>
      <c r="Z561" s="40"/>
      <c r="AA561" s="41"/>
      <c r="AB561" s="41"/>
      <c r="AC561" s="41"/>
      <c r="AD561" s="41"/>
      <c r="AE561" s="41"/>
      <c r="AF561" s="40"/>
      <c r="AG561" s="40"/>
      <c r="AH561" s="5"/>
      <c r="AI561" s="5"/>
      <c r="AJ561" s="40"/>
      <c r="AK561" s="40"/>
      <c r="AL561" s="40"/>
      <c r="AM561" s="40"/>
      <c r="AN561" s="40"/>
      <c r="AP561" s="40"/>
      <c r="AR561" s="40"/>
    </row>
    <row r="562" spans="2:44" ht="12.75" customHeight="1" x14ac:dyDescent="0.15">
      <c r="B562" s="40"/>
      <c r="C562" s="40"/>
      <c r="D562" s="40"/>
      <c r="E562" s="185"/>
      <c r="F562" s="40"/>
      <c r="G562" s="40"/>
      <c r="H562" s="53"/>
      <c r="R562" s="40"/>
      <c r="S562" s="40"/>
      <c r="U562" s="40"/>
      <c r="V562" s="40"/>
      <c r="W562" s="40"/>
      <c r="Y562" s="40"/>
      <c r="Z562" s="40"/>
      <c r="AA562" s="41"/>
      <c r="AB562" s="41"/>
      <c r="AC562" s="41"/>
      <c r="AD562" s="41"/>
      <c r="AE562" s="41"/>
      <c r="AF562" s="40"/>
      <c r="AG562" s="40"/>
      <c r="AH562" s="5"/>
      <c r="AI562" s="5"/>
      <c r="AJ562" s="40"/>
      <c r="AK562" s="40"/>
      <c r="AL562" s="40"/>
      <c r="AM562" s="40"/>
      <c r="AN562" s="40"/>
      <c r="AP562" s="40"/>
      <c r="AR562" s="40"/>
    </row>
    <row r="563" spans="2:44" ht="12.75" customHeight="1" x14ac:dyDescent="0.15">
      <c r="B563" s="40"/>
      <c r="C563" s="40"/>
      <c r="D563" s="40"/>
      <c r="E563" s="185"/>
      <c r="F563" s="40"/>
      <c r="G563" s="40"/>
      <c r="H563" s="53"/>
      <c r="R563" s="40"/>
      <c r="S563" s="40"/>
      <c r="U563" s="40"/>
      <c r="V563" s="40"/>
      <c r="W563" s="40"/>
      <c r="Y563" s="40"/>
      <c r="Z563" s="40"/>
      <c r="AA563" s="41"/>
      <c r="AB563" s="41"/>
      <c r="AC563" s="41"/>
      <c r="AD563" s="41"/>
      <c r="AE563" s="41"/>
      <c r="AF563" s="40"/>
      <c r="AG563" s="40"/>
      <c r="AH563" s="5"/>
      <c r="AI563" s="5"/>
      <c r="AJ563" s="40"/>
      <c r="AK563" s="40"/>
      <c r="AL563" s="40"/>
      <c r="AM563" s="40"/>
      <c r="AN563" s="40"/>
      <c r="AP563" s="40"/>
      <c r="AR563" s="40"/>
    </row>
    <row r="564" spans="2:44" ht="12.75" customHeight="1" x14ac:dyDescent="0.15">
      <c r="B564" s="40"/>
      <c r="C564" s="40"/>
      <c r="D564" s="40"/>
      <c r="E564" s="185"/>
      <c r="F564" s="40"/>
      <c r="G564" s="40"/>
      <c r="H564" s="53"/>
      <c r="R564" s="40"/>
      <c r="S564" s="40"/>
      <c r="U564" s="40"/>
      <c r="V564" s="40"/>
      <c r="W564" s="40"/>
      <c r="Y564" s="40"/>
      <c r="Z564" s="40"/>
      <c r="AA564" s="41"/>
      <c r="AB564" s="41"/>
      <c r="AC564" s="41"/>
      <c r="AD564" s="41"/>
      <c r="AE564" s="41"/>
      <c r="AF564" s="40"/>
      <c r="AG564" s="40"/>
      <c r="AH564" s="5"/>
      <c r="AI564" s="5"/>
      <c r="AJ564" s="40"/>
      <c r="AK564" s="40"/>
      <c r="AL564" s="40"/>
      <c r="AM564" s="40"/>
      <c r="AN564" s="40"/>
      <c r="AP564" s="40"/>
      <c r="AR564" s="40"/>
    </row>
    <row r="565" spans="2:44" ht="12.75" customHeight="1" x14ac:dyDescent="0.15">
      <c r="B565" s="40"/>
      <c r="C565" s="40"/>
      <c r="D565" s="40"/>
      <c r="E565" s="185"/>
      <c r="F565" s="40"/>
      <c r="G565" s="40"/>
      <c r="H565" s="53"/>
      <c r="R565" s="40"/>
      <c r="S565" s="40"/>
      <c r="U565" s="40"/>
      <c r="V565" s="40"/>
      <c r="W565" s="40"/>
      <c r="Y565" s="40"/>
      <c r="Z565" s="40"/>
      <c r="AA565" s="41"/>
      <c r="AB565" s="41"/>
      <c r="AC565" s="41"/>
      <c r="AD565" s="41"/>
      <c r="AE565" s="41"/>
      <c r="AF565" s="40"/>
      <c r="AG565" s="40"/>
      <c r="AH565" s="5"/>
      <c r="AI565" s="5"/>
      <c r="AJ565" s="40"/>
      <c r="AK565" s="40"/>
      <c r="AL565" s="40"/>
      <c r="AM565" s="40"/>
      <c r="AN565" s="40"/>
      <c r="AP565" s="40"/>
      <c r="AR565" s="40"/>
    </row>
    <row r="566" spans="2:44" ht="12.75" customHeight="1" x14ac:dyDescent="0.15">
      <c r="B566" s="40"/>
      <c r="C566" s="40"/>
      <c r="D566" s="40"/>
      <c r="E566" s="185"/>
      <c r="F566" s="40"/>
      <c r="G566" s="40"/>
      <c r="H566" s="53"/>
      <c r="R566" s="40"/>
      <c r="S566" s="40"/>
      <c r="U566" s="40"/>
      <c r="V566" s="40"/>
      <c r="W566" s="40"/>
      <c r="Y566" s="40"/>
      <c r="Z566" s="40"/>
      <c r="AA566" s="41"/>
      <c r="AB566" s="41"/>
      <c r="AC566" s="41"/>
      <c r="AD566" s="41"/>
      <c r="AE566" s="41"/>
      <c r="AF566" s="40"/>
      <c r="AG566" s="40"/>
      <c r="AH566" s="5"/>
      <c r="AI566" s="5"/>
      <c r="AJ566" s="40"/>
      <c r="AK566" s="40"/>
      <c r="AL566" s="40"/>
      <c r="AM566" s="40"/>
      <c r="AN566" s="40"/>
      <c r="AP566" s="40"/>
      <c r="AR566" s="40"/>
    </row>
    <row r="567" spans="2:44" ht="12.75" customHeight="1" x14ac:dyDescent="0.15">
      <c r="B567" s="40"/>
      <c r="C567" s="40"/>
      <c r="D567" s="40"/>
      <c r="E567" s="185"/>
      <c r="F567" s="40"/>
      <c r="G567" s="40"/>
      <c r="H567" s="53"/>
      <c r="R567" s="40"/>
      <c r="S567" s="40"/>
      <c r="U567" s="40"/>
      <c r="V567" s="40"/>
      <c r="W567" s="40"/>
      <c r="Y567" s="40"/>
      <c r="Z567" s="40"/>
      <c r="AA567" s="41"/>
      <c r="AB567" s="41"/>
      <c r="AC567" s="41"/>
      <c r="AD567" s="41"/>
      <c r="AE567" s="41"/>
      <c r="AF567" s="40"/>
      <c r="AG567" s="40"/>
      <c r="AH567" s="5"/>
      <c r="AI567" s="5"/>
      <c r="AJ567" s="40"/>
      <c r="AK567" s="40"/>
      <c r="AL567" s="40"/>
      <c r="AM567" s="40"/>
      <c r="AN567" s="40"/>
      <c r="AP567" s="40"/>
      <c r="AR567" s="40"/>
    </row>
    <row r="568" spans="2:44" ht="12.75" customHeight="1" x14ac:dyDescent="0.15">
      <c r="B568" s="40"/>
      <c r="C568" s="40"/>
      <c r="D568" s="40"/>
      <c r="E568" s="185"/>
      <c r="F568" s="40"/>
      <c r="G568" s="40"/>
      <c r="H568" s="53"/>
      <c r="R568" s="40"/>
      <c r="S568" s="40"/>
      <c r="U568" s="40"/>
      <c r="V568" s="40"/>
      <c r="W568" s="40"/>
      <c r="Y568" s="40"/>
      <c r="Z568" s="40"/>
      <c r="AA568" s="41"/>
      <c r="AB568" s="41"/>
      <c r="AC568" s="41"/>
      <c r="AD568" s="41"/>
      <c r="AE568" s="41"/>
      <c r="AF568" s="40"/>
      <c r="AG568" s="40"/>
      <c r="AH568" s="5"/>
      <c r="AI568" s="5"/>
      <c r="AJ568" s="40"/>
      <c r="AK568" s="40"/>
      <c r="AL568" s="40"/>
      <c r="AM568" s="40"/>
      <c r="AN568" s="40"/>
      <c r="AP568" s="40"/>
      <c r="AR568" s="40"/>
    </row>
    <row r="569" spans="2:44" ht="12.75" customHeight="1" x14ac:dyDescent="0.15">
      <c r="B569" s="40"/>
      <c r="C569" s="40"/>
      <c r="D569" s="40"/>
      <c r="E569" s="185"/>
      <c r="F569" s="40"/>
      <c r="G569" s="40"/>
      <c r="H569" s="53"/>
      <c r="R569" s="40"/>
      <c r="S569" s="40"/>
      <c r="U569" s="40"/>
      <c r="V569" s="40"/>
      <c r="W569" s="40"/>
      <c r="Y569" s="40"/>
      <c r="Z569" s="40"/>
      <c r="AA569" s="41"/>
      <c r="AB569" s="41"/>
      <c r="AC569" s="41"/>
      <c r="AD569" s="41"/>
      <c r="AE569" s="41"/>
      <c r="AF569" s="40"/>
      <c r="AG569" s="40"/>
      <c r="AH569" s="5"/>
      <c r="AI569" s="5"/>
      <c r="AJ569" s="40"/>
      <c r="AK569" s="40"/>
      <c r="AL569" s="40"/>
      <c r="AM569" s="40"/>
      <c r="AN569" s="40"/>
      <c r="AP569" s="40"/>
      <c r="AR569" s="40"/>
    </row>
    <row r="570" spans="2:44" ht="12.75" customHeight="1" x14ac:dyDescent="0.15">
      <c r="B570" s="40"/>
      <c r="C570" s="40"/>
      <c r="D570" s="40"/>
      <c r="E570" s="185"/>
      <c r="F570" s="40"/>
      <c r="G570" s="40"/>
      <c r="H570" s="53"/>
      <c r="R570" s="40"/>
      <c r="S570" s="40"/>
      <c r="U570" s="40"/>
      <c r="V570" s="40"/>
      <c r="W570" s="40"/>
      <c r="Y570" s="40"/>
      <c r="Z570" s="40"/>
      <c r="AA570" s="41"/>
      <c r="AB570" s="41"/>
      <c r="AC570" s="41"/>
      <c r="AD570" s="41"/>
      <c r="AE570" s="41"/>
      <c r="AF570" s="40"/>
      <c r="AG570" s="40"/>
      <c r="AH570" s="5"/>
      <c r="AI570" s="5"/>
      <c r="AJ570" s="40"/>
      <c r="AK570" s="40"/>
      <c r="AL570" s="40"/>
      <c r="AM570" s="40"/>
      <c r="AN570" s="40"/>
      <c r="AP570" s="40"/>
      <c r="AR570" s="40"/>
    </row>
    <row r="571" spans="2:44" ht="12.75" customHeight="1" x14ac:dyDescent="0.15">
      <c r="B571" s="40"/>
      <c r="C571" s="40"/>
      <c r="D571" s="40"/>
      <c r="E571" s="185"/>
      <c r="F571" s="40"/>
      <c r="G571" s="40"/>
      <c r="H571" s="53"/>
      <c r="R571" s="40"/>
      <c r="S571" s="40"/>
      <c r="U571" s="40"/>
      <c r="V571" s="40"/>
      <c r="W571" s="40"/>
      <c r="Y571" s="40"/>
      <c r="Z571" s="40"/>
      <c r="AA571" s="41"/>
      <c r="AB571" s="41"/>
      <c r="AC571" s="41"/>
      <c r="AD571" s="41"/>
      <c r="AE571" s="41"/>
      <c r="AF571" s="40"/>
      <c r="AG571" s="40"/>
      <c r="AH571" s="5"/>
      <c r="AI571" s="5"/>
      <c r="AJ571" s="40"/>
      <c r="AK571" s="40"/>
      <c r="AL571" s="40"/>
      <c r="AM571" s="40"/>
      <c r="AN571" s="40"/>
      <c r="AP571" s="40"/>
      <c r="AR571" s="40"/>
    </row>
    <row r="572" spans="2:44" ht="12.75" customHeight="1" x14ac:dyDescent="0.15">
      <c r="B572" s="40"/>
      <c r="C572" s="40"/>
      <c r="D572" s="40"/>
      <c r="E572" s="185"/>
      <c r="F572" s="40"/>
      <c r="G572" s="40"/>
      <c r="H572" s="53"/>
      <c r="R572" s="40"/>
      <c r="S572" s="40"/>
      <c r="U572" s="40"/>
      <c r="V572" s="40"/>
      <c r="W572" s="40"/>
      <c r="Y572" s="40"/>
      <c r="Z572" s="40"/>
      <c r="AA572" s="41"/>
      <c r="AB572" s="41"/>
      <c r="AC572" s="41"/>
      <c r="AD572" s="41"/>
      <c r="AE572" s="41"/>
      <c r="AF572" s="40"/>
      <c r="AG572" s="40"/>
      <c r="AH572" s="5"/>
      <c r="AI572" s="5"/>
      <c r="AJ572" s="40"/>
      <c r="AK572" s="40"/>
      <c r="AL572" s="40"/>
      <c r="AM572" s="40"/>
      <c r="AN572" s="40"/>
      <c r="AP572" s="40"/>
      <c r="AR572" s="40"/>
    </row>
    <row r="573" spans="2:44" ht="12.75" customHeight="1" x14ac:dyDescent="0.15">
      <c r="B573" s="40"/>
      <c r="C573" s="40"/>
      <c r="D573" s="40"/>
      <c r="E573" s="185"/>
      <c r="F573" s="40"/>
      <c r="G573" s="40"/>
      <c r="H573" s="53"/>
      <c r="R573" s="40"/>
      <c r="S573" s="40"/>
      <c r="U573" s="40"/>
      <c r="V573" s="40"/>
      <c r="W573" s="40"/>
      <c r="Y573" s="40"/>
      <c r="Z573" s="40"/>
      <c r="AA573" s="41"/>
      <c r="AB573" s="41"/>
      <c r="AC573" s="41"/>
      <c r="AD573" s="41"/>
      <c r="AE573" s="41"/>
      <c r="AF573" s="40"/>
      <c r="AG573" s="40"/>
      <c r="AH573" s="5"/>
      <c r="AI573" s="5"/>
      <c r="AJ573" s="40"/>
      <c r="AK573" s="40"/>
      <c r="AL573" s="40"/>
      <c r="AM573" s="40"/>
      <c r="AN573" s="40"/>
      <c r="AP573" s="40"/>
      <c r="AR573" s="40"/>
    </row>
    <row r="574" spans="2:44" ht="12.75" customHeight="1" x14ac:dyDescent="0.15">
      <c r="B574" s="40"/>
      <c r="C574" s="40"/>
      <c r="D574" s="40"/>
      <c r="E574" s="185"/>
      <c r="F574" s="40"/>
      <c r="G574" s="40"/>
      <c r="H574" s="53"/>
      <c r="R574" s="40"/>
      <c r="S574" s="40"/>
      <c r="U574" s="40"/>
      <c r="V574" s="40"/>
      <c r="W574" s="40"/>
      <c r="Y574" s="40"/>
      <c r="Z574" s="40"/>
      <c r="AA574" s="41"/>
      <c r="AB574" s="41"/>
      <c r="AC574" s="41"/>
      <c r="AD574" s="41"/>
      <c r="AE574" s="41"/>
      <c r="AF574" s="40"/>
      <c r="AG574" s="40"/>
      <c r="AH574" s="5"/>
      <c r="AI574" s="5"/>
      <c r="AJ574" s="40"/>
      <c r="AK574" s="40"/>
      <c r="AL574" s="40"/>
      <c r="AM574" s="40"/>
      <c r="AN574" s="40"/>
      <c r="AP574" s="40"/>
      <c r="AR574" s="40"/>
    </row>
    <row r="575" spans="2:44" ht="12.75" customHeight="1" x14ac:dyDescent="0.15">
      <c r="B575" s="40"/>
      <c r="C575" s="40"/>
      <c r="D575" s="40"/>
      <c r="E575" s="185"/>
      <c r="F575" s="40"/>
      <c r="G575" s="40"/>
      <c r="H575" s="53"/>
      <c r="R575" s="40"/>
      <c r="S575" s="40"/>
      <c r="U575" s="40"/>
      <c r="V575" s="40"/>
      <c r="W575" s="40"/>
      <c r="Y575" s="40"/>
      <c r="Z575" s="40"/>
      <c r="AA575" s="41"/>
      <c r="AB575" s="41"/>
      <c r="AC575" s="41"/>
      <c r="AD575" s="41"/>
      <c r="AE575" s="41"/>
      <c r="AF575" s="40"/>
      <c r="AG575" s="40"/>
      <c r="AH575" s="5"/>
      <c r="AI575" s="5"/>
      <c r="AJ575" s="40"/>
      <c r="AK575" s="40"/>
      <c r="AL575" s="40"/>
      <c r="AM575" s="40"/>
      <c r="AN575" s="40"/>
      <c r="AP575" s="40"/>
      <c r="AR575" s="40"/>
    </row>
    <row r="576" spans="2:44" ht="12.75" customHeight="1" x14ac:dyDescent="0.15">
      <c r="B576" s="40"/>
      <c r="C576" s="40"/>
      <c r="D576" s="40"/>
      <c r="E576" s="185"/>
      <c r="F576" s="40"/>
      <c r="G576" s="40"/>
      <c r="H576" s="53"/>
      <c r="R576" s="40"/>
      <c r="S576" s="40"/>
      <c r="U576" s="40"/>
      <c r="V576" s="40"/>
      <c r="W576" s="40"/>
      <c r="Y576" s="40"/>
      <c r="Z576" s="40"/>
      <c r="AA576" s="41"/>
      <c r="AB576" s="41"/>
      <c r="AC576" s="41"/>
      <c r="AD576" s="41"/>
      <c r="AE576" s="41"/>
      <c r="AF576" s="40"/>
      <c r="AG576" s="40"/>
      <c r="AH576" s="5"/>
      <c r="AI576" s="5"/>
      <c r="AJ576" s="40"/>
      <c r="AK576" s="40"/>
      <c r="AL576" s="40"/>
      <c r="AM576" s="40"/>
      <c r="AN576" s="40"/>
      <c r="AP576" s="40"/>
      <c r="AR576" s="40"/>
    </row>
    <row r="577" spans="2:44" ht="12.75" customHeight="1" x14ac:dyDescent="0.15">
      <c r="B577" s="40"/>
      <c r="C577" s="40"/>
      <c r="D577" s="40"/>
      <c r="E577" s="185"/>
      <c r="F577" s="40"/>
      <c r="G577" s="40"/>
      <c r="H577" s="53"/>
      <c r="R577" s="40"/>
      <c r="S577" s="40"/>
      <c r="U577" s="40"/>
      <c r="V577" s="40"/>
      <c r="W577" s="40"/>
      <c r="Y577" s="40"/>
      <c r="Z577" s="40"/>
      <c r="AA577" s="41"/>
      <c r="AB577" s="41"/>
      <c r="AC577" s="41"/>
      <c r="AD577" s="41"/>
      <c r="AE577" s="41"/>
      <c r="AF577" s="40"/>
      <c r="AG577" s="40"/>
      <c r="AH577" s="5"/>
      <c r="AI577" s="5"/>
      <c r="AJ577" s="40"/>
      <c r="AK577" s="40"/>
      <c r="AL577" s="40"/>
      <c r="AM577" s="40"/>
      <c r="AN577" s="40"/>
      <c r="AP577" s="40"/>
      <c r="AR577" s="40"/>
    </row>
    <row r="578" spans="2:44" ht="12.75" customHeight="1" x14ac:dyDescent="0.15">
      <c r="B578" s="40"/>
      <c r="C578" s="40"/>
      <c r="D578" s="40"/>
      <c r="E578" s="185"/>
      <c r="F578" s="40"/>
      <c r="G578" s="40"/>
      <c r="H578" s="53"/>
      <c r="R578" s="40"/>
      <c r="S578" s="40"/>
      <c r="U578" s="40"/>
      <c r="V578" s="40"/>
      <c r="W578" s="40"/>
      <c r="Y578" s="40"/>
      <c r="Z578" s="40"/>
      <c r="AA578" s="41"/>
      <c r="AB578" s="41"/>
      <c r="AC578" s="41"/>
      <c r="AD578" s="41"/>
      <c r="AE578" s="41"/>
      <c r="AF578" s="40"/>
      <c r="AG578" s="40"/>
      <c r="AH578" s="5"/>
      <c r="AI578" s="5"/>
      <c r="AJ578" s="40"/>
      <c r="AK578" s="40"/>
      <c r="AL578" s="40"/>
      <c r="AM578" s="40"/>
      <c r="AN578" s="40"/>
      <c r="AP578" s="40"/>
      <c r="AR578" s="40"/>
    </row>
    <row r="579" spans="2:44" ht="12.75" customHeight="1" x14ac:dyDescent="0.15">
      <c r="B579" s="40"/>
      <c r="C579" s="40"/>
      <c r="D579" s="40"/>
      <c r="E579" s="185"/>
      <c r="F579" s="40"/>
      <c r="G579" s="40"/>
      <c r="H579" s="53"/>
      <c r="R579" s="40"/>
      <c r="S579" s="40"/>
      <c r="U579" s="40"/>
      <c r="V579" s="40"/>
      <c r="W579" s="40"/>
      <c r="Y579" s="40"/>
      <c r="Z579" s="40"/>
      <c r="AA579" s="41"/>
      <c r="AB579" s="41"/>
      <c r="AC579" s="41"/>
      <c r="AD579" s="41"/>
      <c r="AE579" s="41"/>
      <c r="AF579" s="40"/>
      <c r="AG579" s="40"/>
      <c r="AH579" s="5"/>
      <c r="AI579" s="5"/>
      <c r="AJ579" s="40"/>
      <c r="AK579" s="40"/>
      <c r="AL579" s="40"/>
      <c r="AM579" s="40"/>
      <c r="AN579" s="40"/>
      <c r="AP579" s="40"/>
      <c r="AR579" s="40"/>
    </row>
    <row r="580" spans="2:44" ht="12.75" customHeight="1" x14ac:dyDescent="0.15">
      <c r="B580" s="40"/>
      <c r="C580" s="40"/>
      <c r="D580" s="40"/>
      <c r="E580" s="185"/>
      <c r="F580" s="40"/>
      <c r="G580" s="40"/>
      <c r="H580" s="53"/>
      <c r="R580" s="40"/>
      <c r="S580" s="40"/>
      <c r="U580" s="40"/>
      <c r="V580" s="40"/>
      <c r="W580" s="40"/>
      <c r="Y580" s="40"/>
      <c r="Z580" s="40"/>
      <c r="AA580" s="41"/>
      <c r="AB580" s="41"/>
      <c r="AC580" s="41"/>
      <c r="AD580" s="41"/>
      <c r="AE580" s="41"/>
      <c r="AF580" s="40"/>
      <c r="AG580" s="40"/>
      <c r="AH580" s="5"/>
      <c r="AI580" s="5"/>
      <c r="AJ580" s="40"/>
      <c r="AK580" s="40"/>
      <c r="AL580" s="40"/>
      <c r="AM580" s="40"/>
      <c r="AN580" s="40"/>
      <c r="AP580" s="40"/>
      <c r="AR580" s="40"/>
    </row>
    <row r="581" spans="2:44" ht="12.75" customHeight="1" x14ac:dyDescent="0.15">
      <c r="B581" s="40"/>
      <c r="C581" s="40"/>
      <c r="D581" s="40"/>
      <c r="E581" s="185"/>
      <c r="F581" s="40"/>
      <c r="G581" s="40"/>
      <c r="H581" s="53"/>
      <c r="R581" s="40"/>
      <c r="S581" s="40"/>
      <c r="U581" s="40"/>
      <c r="V581" s="40"/>
      <c r="W581" s="40"/>
      <c r="Y581" s="40"/>
      <c r="Z581" s="40"/>
      <c r="AA581" s="41"/>
      <c r="AB581" s="41"/>
      <c r="AC581" s="41"/>
      <c r="AD581" s="41"/>
      <c r="AE581" s="41"/>
      <c r="AF581" s="40"/>
      <c r="AG581" s="40"/>
      <c r="AH581" s="5"/>
      <c r="AI581" s="5"/>
      <c r="AJ581" s="40"/>
      <c r="AK581" s="40"/>
      <c r="AL581" s="40"/>
      <c r="AM581" s="40"/>
      <c r="AN581" s="40"/>
      <c r="AP581" s="40"/>
      <c r="AR581" s="40"/>
    </row>
    <row r="582" spans="2:44" ht="12.75" customHeight="1" x14ac:dyDescent="0.15">
      <c r="B582" s="40"/>
      <c r="C582" s="40"/>
      <c r="D582" s="40"/>
      <c r="E582" s="185"/>
      <c r="F582" s="40"/>
      <c r="G582" s="40"/>
      <c r="H582" s="53"/>
      <c r="R582" s="40"/>
      <c r="S582" s="40"/>
      <c r="U582" s="40"/>
      <c r="V582" s="40"/>
      <c r="W582" s="40"/>
      <c r="Y582" s="40"/>
      <c r="Z582" s="40"/>
      <c r="AA582" s="41"/>
      <c r="AB582" s="41"/>
      <c r="AC582" s="41"/>
      <c r="AD582" s="41"/>
      <c r="AE582" s="41"/>
      <c r="AF582" s="40"/>
      <c r="AG582" s="40"/>
      <c r="AH582" s="5"/>
      <c r="AI582" s="5"/>
      <c r="AJ582" s="40"/>
      <c r="AK582" s="40"/>
      <c r="AL582" s="40"/>
      <c r="AM582" s="40"/>
      <c r="AN582" s="40"/>
      <c r="AP582" s="40"/>
      <c r="AR582" s="40"/>
    </row>
    <row r="583" spans="2:44" ht="12.75" customHeight="1" x14ac:dyDescent="0.15">
      <c r="B583" s="40"/>
      <c r="C583" s="40"/>
      <c r="D583" s="40"/>
      <c r="E583" s="185"/>
      <c r="F583" s="40"/>
      <c r="G583" s="40"/>
      <c r="H583" s="53"/>
      <c r="R583" s="40"/>
      <c r="S583" s="40"/>
      <c r="U583" s="40"/>
      <c r="V583" s="40"/>
      <c r="W583" s="40"/>
      <c r="Y583" s="40"/>
      <c r="Z583" s="40"/>
      <c r="AA583" s="41"/>
      <c r="AB583" s="41"/>
      <c r="AC583" s="41"/>
      <c r="AD583" s="41"/>
      <c r="AE583" s="41"/>
      <c r="AF583" s="40"/>
      <c r="AG583" s="40"/>
      <c r="AH583" s="5"/>
      <c r="AI583" s="5"/>
      <c r="AJ583" s="40"/>
      <c r="AK583" s="40"/>
      <c r="AL583" s="40"/>
      <c r="AM583" s="40"/>
      <c r="AN583" s="40"/>
      <c r="AP583" s="40"/>
      <c r="AR583" s="40"/>
    </row>
    <row r="584" spans="2:44" ht="12.75" customHeight="1" x14ac:dyDescent="0.15">
      <c r="B584" s="40"/>
      <c r="C584" s="40"/>
      <c r="D584" s="40"/>
      <c r="E584" s="185"/>
      <c r="F584" s="40"/>
      <c r="G584" s="40"/>
      <c r="H584" s="53"/>
      <c r="R584" s="40"/>
      <c r="S584" s="40"/>
      <c r="U584" s="40"/>
      <c r="V584" s="40"/>
      <c r="W584" s="40"/>
      <c r="Y584" s="40"/>
      <c r="Z584" s="40"/>
      <c r="AA584" s="41"/>
      <c r="AB584" s="41"/>
      <c r="AC584" s="41"/>
      <c r="AD584" s="41"/>
      <c r="AE584" s="41"/>
      <c r="AF584" s="40"/>
      <c r="AG584" s="40"/>
      <c r="AH584" s="5"/>
      <c r="AI584" s="5"/>
      <c r="AJ584" s="40"/>
      <c r="AK584" s="40"/>
      <c r="AL584" s="40"/>
      <c r="AM584" s="40"/>
      <c r="AN584" s="40"/>
      <c r="AP584" s="40"/>
      <c r="AR584" s="40"/>
    </row>
    <row r="585" spans="2:44" ht="12.75" customHeight="1" x14ac:dyDescent="0.15">
      <c r="B585" s="40"/>
      <c r="C585" s="40"/>
      <c r="D585" s="40"/>
      <c r="E585" s="185"/>
      <c r="F585" s="40"/>
      <c r="G585" s="40"/>
      <c r="H585" s="53"/>
      <c r="R585" s="40"/>
      <c r="S585" s="40"/>
      <c r="U585" s="40"/>
      <c r="V585" s="40"/>
      <c r="W585" s="40"/>
      <c r="Y585" s="40"/>
      <c r="Z585" s="40"/>
      <c r="AA585" s="41"/>
      <c r="AB585" s="41"/>
      <c r="AC585" s="41"/>
      <c r="AD585" s="41"/>
      <c r="AE585" s="41"/>
      <c r="AF585" s="40"/>
      <c r="AG585" s="40"/>
      <c r="AH585" s="5"/>
      <c r="AI585" s="5"/>
      <c r="AJ585" s="40"/>
      <c r="AK585" s="40"/>
      <c r="AL585" s="40"/>
      <c r="AM585" s="40"/>
      <c r="AN585" s="40"/>
      <c r="AP585" s="40"/>
      <c r="AR585" s="40"/>
    </row>
    <row r="586" spans="2:44" ht="12.75" customHeight="1" x14ac:dyDescent="0.15">
      <c r="B586" s="40"/>
      <c r="C586" s="40"/>
      <c r="D586" s="40"/>
      <c r="E586" s="185"/>
      <c r="F586" s="40"/>
      <c r="G586" s="40"/>
      <c r="H586" s="53"/>
      <c r="R586" s="40"/>
      <c r="S586" s="40"/>
      <c r="U586" s="40"/>
      <c r="V586" s="40"/>
      <c r="W586" s="40"/>
      <c r="Y586" s="40"/>
      <c r="Z586" s="40"/>
      <c r="AA586" s="41"/>
      <c r="AB586" s="41"/>
      <c r="AC586" s="41"/>
      <c r="AD586" s="41"/>
      <c r="AE586" s="41"/>
      <c r="AF586" s="40"/>
      <c r="AG586" s="40"/>
      <c r="AH586" s="5"/>
      <c r="AI586" s="5"/>
      <c r="AJ586" s="40"/>
      <c r="AK586" s="40"/>
      <c r="AL586" s="40"/>
      <c r="AM586" s="40"/>
      <c r="AN586" s="40"/>
      <c r="AP586" s="40"/>
      <c r="AR586" s="40"/>
    </row>
    <row r="587" spans="2:44" ht="12.75" customHeight="1" x14ac:dyDescent="0.15">
      <c r="B587" s="40"/>
      <c r="C587" s="40"/>
      <c r="D587" s="40"/>
      <c r="E587" s="185"/>
      <c r="F587" s="40"/>
      <c r="G587" s="40"/>
      <c r="H587" s="53"/>
      <c r="R587" s="40"/>
      <c r="S587" s="40"/>
      <c r="U587" s="40"/>
      <c r="V587" s="40"/>
      <c r="W587" s="40"/>
      <c r="Y587" s="40"/>
      <c r="Z587" s="40"/>
      <c r="AA587" s="41"/>
      <c r="AB587" s="41"/>
      <c r="AC587" s="41"/>
      <c r="AD587" s="41"/>
      <c r="AE587" s="41"/>
      <c r="AF587" s="40"/>
      <c r="AG587" s="40"/>
      <c r="AH587" s="5"/>
      <c r="AI587" s="5"/>
      <c r="AJ587" s="40"/>
      <c r="AK587" s="40"/>
      <c r="AL587" s="40"/>
      <c r="AM587" s="40"/>
      <c r="AN587" s="40"/>
      <c r="AP587" s="40"/>
      <c r="AR587" s="40"/>
    </row>
    <row r="588" spans="2:44" ht="12.75" customHeight="1" x14ac:dyDescent="0.15">
      <c r="B588" s="40"/>
      <c r="C588" s="40"/>
      <c r="D588" s="40"/>
      <c r="E588" s="185"/>
      <c r="F588" s="40"/>
      <c r="G588" s="40"/>
      <c r="H588" s="53"/>
      <c r="R588" s="40"/>
      <c r="S588" s="40"/>
      <c r="U588" s="40"/>
      <c r="V588" s="40"/>
      <c r="W588" s="40"/>
      <c r="Y588" s="40"/>
      <c r="Z588" s="40"/>
      <c r="AA588" s="41"/>
      <c r="AB588" s="41"/>
      <c r="AC588" s="41"/>
      <c r="AD588" s="41"/>
      <c r="AE588" s="41"/>
      <c r="AF588" s="40"/>
      <c r="AG588" s="40"/>
      <c r="AH588" s="5"/>
      <c r="AI588" s="5"/>
      <c r="AJ588" s="40"/>
      <c r="AK588" s="40"/>
      <c r="AL588" s="40"/>
      <c r="AM588" s="40"/>
      <c r="AN588" s="40"/>
      <c r="AP588" s="40"/>
      <c r="AR588" s="40"/>
    </row>
    <row r="589" spans="2:44" ht="12.75" customHeight="1" x14ac:dyDescent="0.15">
      <c r="B589" s="40"/>
      <c r="C589" s="40"/>
      <c r="D589" s="40"/>
      <c r="E589" s="185"/>
      <c r="F589" s="40"/>
      <c r="G589" s="40"/>
      <c r="H589" s="53"/>
      <c r="R589" s="40"/>
      <c r="S589" s="40"/>
      <c r="U589" s="40"/>
      <c r="V589" s="40"/>
      <c r="W589" s="40"/>
      <c r="Y589" s="40"/>
      <c r="Z589" s="40"/>
      <c r="AA589" s="41"/>
      <c r="AB589" s="41"/>
      <c r="AC589" s="41"/>
      <c r="AD589" s="41"/>
      <c r="AE589" s="41"/>
      <c r="AF589" s="40"/>
      <c r="AG589" s="40"/>
      <c r="AH589" s="5"/>
      <c r="AI589" s="5"/>
      <c r="AJ589" s="40"/>
      <c r="AK589" s="40"/>
      <c r="AL589" s="40"/>
      <c r="AM589" s="40"/>
      <c r="AN589" s="40"/>
      <c r="AP589" s="40"/>
      <c r="AR589" s="40"/>
    </row>
    <row r="590" spans="2:44" ht="12.75" customHeight="1" x14ac:dyDescent="0.15">
      <c r="B590" s="40"/>
      <c r="C590" s="40"/>
      <c r="D590" s="40"/>
      <c r="E590" s="185"/>
      <c r="F590" s="40"/>
      <c r="G590" s="40"/>
      <c r="H590" s="53"/>
      <c r="R590" s="40"/>
      <c r="S590" s="40"/>
      <c r="U590" s="40"/>
      <c r="V590" s="40"/>
      <c r="W590" s="40"/>
      <c r="Y590" s="40"/>
      <c r="Z590" s="40"/>
      <c r="AA590" s="41"/>
      <c r="AB590" s="41"/>
      <c r="AC590" s="41"/>
      <c r="AD590" s="41"/>
      <c r="AE590" s="41"/>
      <c r="AF590" s="40"/>
      <c r="AG590" s="40"/>
      <c r="AH590" s="5"/>
      <c r="AI590" s="5"/>
      <c r="AJ590" s="40"/>
      <c r="AK590" s="40"/>
      <c r="AL590" s="40"/>
      <c r="AM590" s="40"/>
      <c r="AN590" s="40"/>
      <c r="AP590" s="40"/>
      <c r="AR590" s="40"/>
    </row>
    <row r="591" spans="2:44" ht="12.75" customHeight="1" x14ac:dyDescent="0.15">
      <c r="B591" s="40"/>
      <c r="C591" s="40"/>
      <c r="D591" s="40"/>
      <c r="E591" s="185"/>
      <c r="F591" s="40"/>
      <c r="G591" s="40"/>
      <c r="H591" s="53"/>
      <c r="R591" s="40"/>
      <c r="S591" s="40"/>
      <c r="U591" s="40"/>
      <c r="V591" s="40"/>
      <c r="W591" s="40"/>
      <c r="Y591" s="40"/>
      <c r="Z591" s="40"/>
      <c r="AA591" s="41"/>
      <c r="AB591" s="41"/>
      <c r="AC591" s="41"/>
      <c r="AD591" s="41"/>
      <c r="AE591" s="41"/>
      <c r="AF591" s="40"/>
      <c r="AG591" s="40"/>
      <c r="AH591" s="5"/>
      <c r="AI591" s="5"/>
      <c r="AJ591" s="40"/>
      <c r="AK591" s="40"/>
      <c r="AL591" s="40"/>
      <c r="AM591" s="40"/>
      <c r="AN591" s="40"/>
      <c r="AP591" s="40"/>
      <c r="AR591" s="40"/>
    </row>
    <row r="592" spans="2:44" ht="12.75" customHeight="1" x14ac:dyDescent="0.15">
      <c r="B592" s="40"/>
      <c r="C592" s="40"/>
      <c r="D592" s="40"/>
      <c r="E592" s="185"/>
      <c r="F592" s="40"/>
      <c r="G592" s="40"/>
      <c r="H592" s="53"/>
      <c r="R592" s="40"/>
      <c r="S592" s="40"/>
      <c r="U592" s="40"/>
      <c r="V592" s="40"/>
      <c r="W592" s="40"/>
      <c r="Y592" s="40"/>
      <c r="Z592" s="40"/>
      <c r="AA592" s="41"/>
      <c r="AB592" s="41"/>
      <c r="AC592" s="41"/>
      <c r="AD592" s="41"/>
      <c r="AE592" s="41"/>
      <c r="AF592" s="40"/>
      <c r="AG592" s="40"/>
      <c r="AH592" s="5"/>
      <c r="AI592" s="5"/>
      <c r="AJ592" s="40"/>
      <c r="AK592" s="40"/>
      <c r="AL592" s="40"/>
      <c r="AM592" s="40"/>
      <c r="AN592" s="40"/>
      <c r="AP592" s="40"/>
      <c r="AR592" s="40"/>
    </row>
    <row r="593" spans="2:44" ht="12.75" customHeight="1" x14ac:dyDescent="0.15">
      <c r="B593" s="40"/>
      <c r="C593" s="40"/>
      <c r="D593" s="40"/>
      <c r="E593" s="185"/>
      <c r="F593" s="40"/>
      <c r="G593" s="40"/>
      <c r="H593" s="53"/>
      <c r="R593" s="40"/>
      <c r="S593" s="40"/>
      <c r="U593" s="40"/>
      <c r="V593" s="40"/>
      <c r="W593" s="40"/>
      <c r="Y593" s="40"/>
      <c r="Z593" s="40"/>
      <c r="AA593" s="41"/>
      <c r="AB593" s="41"/>
      <c r="AC593" s="41"/>
      <c r="AD593" s="41"/>
      <c r="AE593" s="41"/>
      <c r="AF593" s="40"/>
      <c r="AG593" s="40"/>
      <c r="AH593" s="5"/>
      <c r="AI593" s="5"/>
      <c r="AJ593" s="40"/>
      <c r="AK593" s="40"/>
      <c r="AL593" s="40"/>
      <c r="AM593" s="40"/>
      <c r="AN593" s="40"/>
      <c r="AP593" s="40"/>
      <c r="AR593" s="40"/>
    </row>
    <row r="594" spans="2:44" ht="12.75" customHeight="1" x14ac:dyDescent="0.15">
      <c r="B594" s="40"/>
      <c r="C594" s="40"/>
      <c r="D594" s="40"/>
      <c r="E594" s="185"/>
      <c r="F594" s="40"/>
      <c r="G594" s="40"/>
      <c r="H594" s="53"/>
      <c r="R594" s="40"/>
      <c r="S594" s="40"/>
      <c r="U594" s="40"/>
      <c r="V594" s="40"/>
      <c r="W594" s="40"/>
      <c r="Y594" s="40"/>
      <c r="Z594" s="40"/>
      <c r="AA594" s="41"/>
      <c r="AB594" s="41"/>
      <c r="AC594" s="41"/>
      <c r="AD594" s="41"/>
      <c r="AE594" s="41"/>
      <c r="AF594" s="40"/>
      <c r="AG594" s="40"/>
      <c r="AH594" s="5"/>
      <c r="AI594" s="5"/>
      <c r="AJ594" s="40"/>
      <c r="AK594" s="40"/>
      <c r="AL594" s="40"/>
      <c r="AM594" s="40"/>
      <c r="AN594" s="40"/>
      <c r="AP594" s="40"/>
      <c r="AR594" s="40"/>
    </row>
    <row r="595" spans="2:44" ht="12.75" customHeight="1" x14ac:dyDescent="0.15">
      <c r="B595" s="40"/>
      <c r="C595" s="40"/>
      <c r="D595" s="40"/>
      <c r="E595" s="185"/>
      <c r="F595" s="40"/>
      <c r="G595" s="40"/>
      <c r="H595" s="53"/>
      <c r="R595" s="40"/>
      <c r="S595" s="40"/>
      <c r="U595" s="40"/>
      <c r="V595" s="40"/>
      <c r="W595" s="40"/>
      <c r="Y595" s="40"/>
      <c r="Z595" s="40"/>
      <c r="AA595" s="41"/>
      <c r="AB595" s="41"/>
      <c r="AC595" s="41"/>
      <c r="AD595" s="41"/>
      <c r="AE595" s="41"/>
      <c r="AF595" s="40"/>
      <c r="AG595" s="40"/>
      <c r="AH595" s="5"/>
      <c r="AI595" s="5"/>
      <c r="AJ595" s="40"/>
      <c r="AK595" s="40"/>
      <c r="AL595" s="40"/>
      <c r="AM595" s="40"/>
      <c r="AN595" s="40"/>
      <c r="AP595" s="40"/>
      <c r="AR595" s="40"/>
    </row>
    <row r="596" spans="2:44" ht="12.75" customHeight="1" x14ac:dyDescent="0.15">
      <c r="B596" s="40"/>
      <c r="C596" s="40"/>
      <c r="D596" s="40"/>
      <c r="E596" s="185"/>
      <c r="F596" s="40"/>
      <c r="G596" s="40"/>
      <c r="H596" s="53"/>
      <c r="R596" s="40"/>
      <c r="S596" s="40"/>
      <c r="U596" s="40"/>
      <c r="V596" s="40"/>
      <c r="W596" s="40"/>
      <c r="Y596" s="40"/>
      <c r="Z596" s="40"/>
      <c r="AA596" s="41"/>
      <c r="AB596" s="41"/>
      <c r="AC596" s="41"/>
      <c r="AD596" s="41"/>
      <c r="AE596" s="41"/>
      <c r="AF596" s="40"/>
      <c r="AG596" s="40"/>
      <c r="AH596" s="5"/>
      <c r="AI596" s="5"/>
      <c r="AJ596" s="40"/>
      <c r="AK596" s="40"/>
      <c r="AL596" s="40"/>
      <c r="AM596" s="40"/>
      <c r="AN596" s="40"/>
      <c r="AP596" s="40"/>
      <c r="AR596" s="40"/>
    </row>
    <row r="597" spans="2:44" ht="12.75" customHeight="1" x14ac:dyDescent="0.15">
      <c r="B597" s="40"/>
      <c r="C597" s="40"/>
      <c r="D597" s="40"/>
      <c r="E597" s="185"/>
      <c r="F597" s="40"/>
      <c r="G597" s="40"/>
      <c r="H597" s="53"/>
      <c r="R597" s="40"/>
      <c r="S597" s="40"/>
      <c r="U597" s="40"/>
      <c r="V597" s="40"/>
      <c r="W597" s="40"/>
      <c r="Y597" s="40"/>
      <c r="Z597" s="40"/>
      <c r="AA597" s="41"/>
      <c r="AB597" s="41"/>
      <c r="AC597" s="41"/>
      <c r="AD597" s="41"/>
      <c r="AE597" s="41"/>
      <c r="AF597" s="40"/>
      <c r="AG597" s="40"/>
      <c r="AH597" s="5"/>
      <c r="AI597" s="5"/>
      <c r="AJ597" s="40"/>
      <c r="AK597" s="40"/>
      <c r="AL597" s="40"/>
      <c r="AM597" s="40"/>
      <c r="AN597" s="40"/>
      <c r="AP597" s="40"/>
      <c r="AR597" s="40"/>
    </row>
    <row r="598" spans="2:44" ht="12.75" customHeight="1" x14ac:dyDescent="0.15">
      <c r="B598" s="40"/>
      <c r="C598" s="40"/>
      <c r="D598" s="40"/>
      <c r="E598" s="185"/>
      <c r="F598" s="40"/>
      <c r="G598" s="40"/>
      <c r="H598" s="53"/>
      <c r="R598" s="40"/>
      <c r="S598" s="40"/>
      <c r="U598" s="40"/>
      <c r="V598" s="40"/>
      <c r="W598" s="40"/>
      <c r="Y598" s="40"/>
      <c r="Z598" s="40"/>
      <c r="AA598" s="41"/>
      <c r="AB598" s="41"/>
      <c r="AC598" s="41"/>
      <c r="AD598" s="41"/>
      <c r="AE598" s="41"/>
      <c r="AF598" s="40"/>
      <c r="AG598" s="40"/>
      <c r="AH598" s="5"/>
      <c r="AI598" s="5"/>
      <c r="AJ598" s="40"/>
      <c r="AK598" s="40"/>
      <c r="AL598" s="40"/>
      <c r="AM598" s="40"/>
      <c r="AN598" s="40"/>
      <c r="AP598" s="40"/>
      <c r="AR598" s="40"/>
    </row>
    <row r="599" spans="2:44" ht="12.75" customHeight="1" x14ac:dyDescent="0.15">
      <c r="B599" s="40"/>
      <c r="C599" s="40"/>
      <c r="D599" s="40"/>
      <c r="E599" s="185"/>
      <c r="F599" s="40"/>
      <c r="G599" s="40"/>
      <c r="H599" s="53"/>
      <c r="R599" s="40"/>
      <c r="S599" s="40"/>
      <c r="U599" s="40"/>
      <c r="V599" s="40"/>
      <c r="W599" s="40"/>
      <c r="Y599" s="40"/>
      <c r="Z599" s="40"/>
      <c r="AA599" s="41"/>
      <c r="AB599" s="41"/>
      <c r="AC599" s="41"/>
      <c r="AD599" s="41"/>
      <c r="AE599" s="41"/>
      <c r="AF599" s="40"/>
      <c r="AG599" s="40"/>
      <c r="AH599" s="5"/>
      <c r="AI599" s="5"/>
      <c r="AJ599" s="40"/>
      <c r="AK599" s="40"/>
      <c r="AL599" s="40"/>
      <c r="AM599" s="40"/>
      <c r="AN599" s="40"/>
      <c r="AP599" s="40"/>
      <c r="AR599" s="40"/>
    </row>
    <row r="600" spans="2:44" ht="12.75" customHeight="1" x14ac:dyDescent="0.15">
      <c r="B600" s="40"/>
      <c r="C600" s="40"/>
      <c r="D600" s="40"/>
      <c r="E600" s="185"/>
      <c r="F600" s="40"/>
      <c r="G600" s="40"/>
      <c r="H600" s="53"/>
      <c r="R600" s="40"/>
      <c r="S600" s="40"/>
      <c r="U600" s="40"/>
      <c r="V600" s="40"/>
      <c r="W600" s="40"/>
      <c r="Y600" s="40"/>
      <c r="Z600" s="40"/>
      <c r="AA600" s="41"/>
      <c r="AB600" s="41"/>
      <c r="AC600" s="41"/>
      <c r="AD600" s="41"/>
      <c r="AE600" s="41"/>
      <c r="AF600" s="40"/>
      <c r="AG600" s="40"/>
      <c r="AH600" s="5"/>
      <c r="AI600" s="5"/>
      <c r="AJ600" s="40"/>
      <c r="AK600" s="40"/>
      <c r="AL600" s="40"/>
      <c r="AM600" s="40"/>
      <c r="AN600" s="40"/>
      <c r="AP600" s="40"/>
      <c r="AR600" s="40"/>
    </row>
    <row r="601" spans="2:44" ht="12.75" customHeight="1" x14ac:dyDescent="0.15">
      <c r="B601" s="40"/>
      <c r="C601" s="40"/>
      <c r="D601" s="40"/>
      <c r="E601" s="185"/>
      <c r="F601" s="40"/>
      <c r="G601" s="40"/>
      <c r="H601" s="53"/>
      <c r="R601" s="40"/>
      <c r="S601" s="40"/>
      <c r="U601" s="40"/>
      <c r="V601" s="40"/>
      <c r="W601" s="40"/>
      <c r="Y601" s="40"/>
      <c r="Z601" s="40"/>
      <c r="AA601" s="41"/>
      <c r="AB601" s="41"/>
      <c r="AC601" s="41"/>
      <c r="AD601" s="41"/>
      <c r="AE601" s="41"/>
      <c r="AF601" s="40"/>
      <c r="AG601" s="40"/>
      <c r="AH601" s="5"/>
      <c r="AI601" s="5"/>
      <c r="AJ601" s="40"/>
      <c r="AK601" s="40"/>
      <c r="AL601" s="40"/>
      <c r="AM601" s="40"/>
      <c r="AN601" s="40"/>
      <c r="AP601" s="40"/>
      <c r="AR601" s="40"/>
    </row>
    <row r="602" spans="2:44" ht="12.75" customHeight="1" x14ac:dyDescent="0.15">
      <c r="B602" s="40"/>
      <c r="C602" s="40"/>
      <c r="D602" s="40"/>
      <c r="E602" s="185"/>
      <c r="F602" s="40"/>
      <c r="G602" s="40"/>
      <c r="H602" s="53"/>
      <c r="R602" s="40"/>
      <c r="S602" s="40"/>
      <c r="U602" s="40"/>
      <c r="V602" s="40"/>
      <c r="W602" s="40"/>
      <c r="Y602" s="40"/>
      <c r="Z602" s="40"/>
      <c r="AA602" s="41"/>
      <c r="AB602" s="41"/>
      <c r="AC602" s="41"/>
      <c r="AD602" s="41"/>
      <c r="AE602" s="41"/>
      <c r="AF602" s="40"/>
      <c r="AG602" s="40"/>
      <c r="AH602" s="5"/>
      <c r="AI602" s="5"/>
      <c r="AJ602" s="40"/>
      <c r="AK602" s="40"/>
      <c r="AL602" s="40"/>
      <c r="AM602" s="40"/>
      <c r="AN602" s="40"/>
      <c r="AP602" s="40"/>
      <c r="AR602" s="40"/>
    </row>
    <row r="603" spans="2:44" ht="12.75" customHeight="1" x14ac:dyDescent="0.15">
      <c r="B603" s="40"/>
      <c r="C603" s="40"/>
      <c r="D603" s="40"/>
      <c r="E603" s="185"/>
      <c r="F603" s="40"/>
      <c r="G603" s="40"/>
      <c r="H603" s="53"/>
      <c r="R603" s="40"/>
      <c r="S603" s="40"/>
      <c r="U603" s="40"/>
      <c r="V603" s="40"/>
      <c r="W603" s="40"/>
      <c r="Y603" s="40"/>
      <c r="Z603" s="40"/>
      <c r="AA603" s="41"/>
      <c r="AB603" s="41"/>
      <c r="AC603" s="41"/>
      <c r="AD603" s="41"/>
      <c r="AE603" s="41"/>
      <c r="AF603" s="40"/>
      <c r="AG603" s="40"/>
      <c r="AH603" s="5"/>
      <c r="AI603" s="5"/>
      <c r="AJ603" s="40"/>
      <c r="AK603" s="40"/>
      <c r="AL603" s="40"/>
      <c r="AM603" s="40"/>
      <c r="AN603" s="40"/>
      <c r="AP603" s="40"/>
      <c r="AR603" s="40"/>
    </row>
    <row r="604" spans="2:44" ht="12.75" customHeight="1" x14ac:dyDescent="0.15">
      <c r="B604" s="40"/>
      <c r="C604" s="40"/>
      <c r="D604" s="40"/>
      <c r="E604" s="185"/>
      <c r="F604" s="40"/>
      <c r="G604" s="40"/>
      <c r="H604" s="53"/>
      <c r="R604" s="40"/>
      <c r="S604" s="40"/>
      <c r="U604" s="40"/>
      <c r="V604" s="40"/>
      <c r="W604" s="40"/>
      <c r="Y604" s="40"/>
      <c r="Z604" s="40"/>
      <c r="AA604" s="41"/>
      <c r="AB604" s="41"/>
      <c r="AC604" s="41"/>
      <c r="AD604" s="41"/>
      <c r="AE604" s="41"/>
      <c r="AF604" s="40"/>
      <c r="AG604" s="40"/>
      <c r="AH604" s="5"/>
      <c r="AI604" s="5"/>
      <c r="AJ604" s="40"/>
      <c r="AK604" s="40"/>
      <c r="AL604" s="40"/>
      <c r="AM604" s="40"/>
      <c r="AN604" s="40"/>
      <c r="AP604" s="40"/>
      <c r="AR604" s="40"/>
    </row>
    <row r="605" spans="2:44" ht="12.75" customHeight="1" x14ac:dyDescent="0.15">
      <c r="B605" s="40"/>
      <c r="C605" s="40"/>
      <c r="D605" s="40"/>
      <c r="E605" s="185"/>
      <c r="F605" s="40"/>
      <c r="G605" s="40"/>
      <c r="H605" s="53"/>
      <c r="R605" s="40"/>
      <c r="S605" s="40"/>
      <c r="U605" s="40"/>
      <c r="V605" s="40"/>
      <c r="W605" s="40"/>
      <c r="Y605" s="40"/>
      <c r="Z605" s="40"/>
      <c r="AA605" s="41"/>
      <c r="AB605" s="41"/>
      <c r="AC605" s="41"/>
      <c r="AD605" s="41"/>
      <c r="AE605" s="41"/>
      <c r="AF605" s="40"/>
      <c r="AG605" s="40"/>
      <c r="AH605" s="5"/>
      <c r="AI605" s="5"/>
      <c r="AJ605" s="40"/>
      <c r="AK605" s="40"/>
      <c r="AL605" s="40"/>
      <c r="AM605" s="40"/>
      <c r="AN605" s="40"/>
      <c r="AP605" s="40"/>
      <c r="AR605" s="40"/>
    </row>
    <row r="606" spans="2:44" ht="12.75" customHeight="1" x14ac:dyDescent="0.15">
      <c r="B606" s="40"/>
      <c r="C606" s="40"/>
      <c r="D606" s="40"/>
      <c r="E606" s="185"/>
      <c r="F606" s="40"/>
      <c r="G606" s="40"/>
      <c r="H606" s="53"/>
      <c r="R606" s="40"/>
      <c r="S606" s="40"/>
      <c r="U606" s="40"/>
      <c r="V606" s="40"/>
      <c r="W606" s="40"/>
      <c r="Y606" s="40"/>
      <c r="Z606" s="40"/>
      <c r="AA606" s="41"/>
      <c r="AB606" s="41"/>
      <c r="AC606" s="41"/>
      <c r="AD606" s="41"/>
      <c r="AE606" s="41"/>
      <c r="AF606" s="40"/>
      <c r="AG606" s="40"/>
      <c r="AH606" s="5"/>
      <c r="AI606" s="5"/>
      <c r="AJ606" s="40"/>
      <c r="AK606" s="40"/>
      <c r="AL606" s="40"/>
      <c r="AM606" s="40"/>
      <c r="AN606" s="40"/>
      <c r="AP606" s="40"/>
      <c r="AR606" s="40"/>
    </row>
    <row r="607" spans="2:44" ht="12.75" customHeight="1" x14ac:dyDescent="0.15">
      <c r="B607" s="40"/>
      <c r="C607" s="40"/>
      <c r="D607" s="40"/>
      <c r="E607" s="185"/>
      <c r="F607" s="40"/>
      <c r="G607" s="40"/>
      <c r="H607" s="53"/>
      <c r="R607" s="40"/>
      <c r="S607" s="40"/>
      <c r="U607" s="40"/>
      <c r="V607" s="40"/>
      <c r="W607" s="40"/>
      <c r="Y607" s="40"/>
      <c r="Z607" s="40"/>
      <c r="AA607" s="41"/>
      <c r="AB607" s="41"/>
      <c r="AC607" s="41"/>
      <c r="AD607" s="41"/>
      <c r="AE607" s="41"/>
      <c r="AF607" s="40"/>
      <c r="AG607" s="40"/>
      <c r="AH607" s="5"/>
      <c r="AI607" s="5"/>
      <c r="AJ607" s="40"/>
      <c r="AK607" s="40"/>
      <c r="AL607" s="40"/>
      <c r="AM607" s="40"/>
      <c r="AN607" s="40"/>
      <c r="AP607" s="40"/>
      <c r="AR607" s="40"/>
    </row>
    <row r="608" spans="2:44" ht="12.75" customHeight="1" x14ac:dyDescent="0.15">
      <c r="B608" s="40"/>
      <c r="C608" s="40"/>
      <c r="D608" s="40"/>
      <c r="E608" s="185"/>
      <c r="F608" s="40"/>
      <c r="G608" s="40"/>
      <c r="H608" s="53"/>
      <c r="R608" s="40"/>
      <c r="S608" s="40"/>
      <c r="U608" s="40"/>
      <c r="V608" s="40"/>
      <c r="W608" s="40"/>
      <c r="Y608" s="40"/>
      <c r="Z608" s="40"/>
      <c r="AA608" s="41"/>
      <c r="AB608" s="41"/>
      <c r="AC608" s="41"/>
      <c r="AD608" s="41"/>
      <c r="AE608" s="41"/>
      <c r="AF608" s="40"/>
      <c r="AG608" s="40"/>
      <c r="AH608" s="5"/>
      <c r="AI608" s="5"/>
      <c r="AJ608" s="40"/>
      <c r="AK608" s="40"/>
      <c r="AL608" s="40"/>
      <c r="AM608" s="40"/>
      <c r="AN608" s="40"/>
      <c r="AP608" s="40"/>
      <c r="AR608" s="40"/>
    </row>
    <row r="609" spans="2:44" ht="12.75" customHeight="1" x14ac:dyDescent="0.15">
      <c r="B609" s="40"/>
      <c r="C609" s="40"/>
      <c r="D609" s="40"/>
      <c r="E609" s="185"/>
      <c r="F609" s="40"/>
      <c r="G609" s="40"/>
      <c r="H609" s="53"/>
      <c r="R609" s="40"/>
      <c r="S609" s="40"/>
      <c r="U609" s="40"/>
      <c r="V609" s="40"/>
      <c r="W609" s="40"/>
      <c r="Y609" s="40"/>
      <c r="Z609" s="40"/>
      <c r="AA609" s="41"/>
      <c r="AB609" s="41"/>
      <c r="AC609" s="41"/>
      <c r="AD609" s="41"/>
      <c r="AE609" s="41"/>
      <c r="AF609" s="40"/>
      <c r="AG609" s="40"/>
      <c r="AH609" s="5"/>
      <c r="AI609" s="5"/>
      <c r="AJ609" s="40"/>
      <c r="AK609" s="40"/>
      <c r="AL609" s="40"/>
      <c r="AM609" s="40"/>
      <c r="AN609" s="40"/>
      <c r="AP609" s="40"/>
      <c r="AR609" s="40"/>
    </row>
    <row r="610" spans="2:44" ht="12.75" customHeight="1" x14ac:dyDescent="0.15">
      <c r="B610" s="40"/>
      <c r="C610" s="40"/>
      <c r="D610" s="40"/>
      <c r="E610" s="185"/>
      <c r="F610" s="40"/>
      <c r="G610" s="40"/>
      <c r="H610" s="53"/>
      <c r="R610" s="40"/>
      <c r="S610" s="40"/>
      <c r="U610" s="40"/>
      <c r="V610" s="40"/>
      <c r="W610" s="40"/>
      <c r="Y610" s="40"/>
      <c r="Z610" s="40"/>
      <c r="AA610" s="41"/>
      <c r="AB610" s="41"/>
      <c r="AC610" s="41"/>
      <c r="AD610" s="41"/>
      <c r="AE610" s="41"/>
      <c r="AF610" s="40"/>
      <c r="AG610" s="40"/>
      <c r="AH610" s="5"/>
      <c r="AI610" s="5"/>
      <c r="AJ610" s="40"/>
      <c r="AK610" s="40"/>
      <c r="AL610" s="40"/>
      <c r="AM610" s="40"/>
      <c r="AN610" s="40"/>
      <c r="AP610" s="40"/>
      <c r="AR610" s="40"/>
    </row>
    <row r="611" spans="2:44" ht="12.75" customHeight="1" x14ac:dyDescent="0.15">
      <c r="B611" s="40"/>
      <c r="C611" s="40"/>
      <c r="D611" s="40"/>
      <c r="E611" s="185"/>
      <c r="F611" s="40"/>
      <c r="G611" s="40"/>
      <c r="H611" s="53"/>
      <c r="R611" s="40"/>
      <c r="S611" s="40"/>
      <c r="U611" s="40"/>
      <c r="V611" s="40"/>
      <c r="W611" s="40"/>
      <c r="Y611" s="40"/>
      <c r="Z611" s="40"/>
      <c r="AA611" s="41"/>
      <c r="AB611" s="41"/>
      <c r="AC611" s="41"/>
      <c r="AD611" s="41"/>
      <c r="AE611" s="41"/>
      <c r="AF611" s="40"/>
      <c r="AG611" s="40"/>
      <c r="AH611" s="5"/>
      <c r="AI611" s="5"/>
      <c r="AJ611" s="40"/>
      <c r="AK611" s="40"/>
      <c r="AL611" s="40"/>
      <c r="AM611" s="40"/>
      <c r="AN611" s="40"/>
      <c r="AP611" s="40"/>
      <c r="AR611" s="40"/>
    </row>
    <row r="612" spans="2:44" ht="12.75" customHeight="1" x14ac:dyDescent="0.15">
      <c r="B612" s="40"/>
      <c r="C612" s="40"/>
      <c r="D612" s="40"/>
      <c r="E612" s="185"/>
      <c r="F612" s="40"/>
      <c r="G612" s="40"/>
      <c r="H612" s="53"/>
      <c r="R612" s="40"/>
      <c r="S612" s="40"/>
      <c r="U612" s="40"/>
      <c r="V612" s="40"/>
      <c r="W612" s="40"/>
      <c r="Y612" s="40"/>
      <c r="Z612" s="40"/>
      <c r="AA612" s="41"/>
      <c r="AB612" s="41"/>
      <c r="AC612" s="41"/>
      <c r="AD612" s="41"/>
      <c r="AE612" s="41"/>
      <c r="AF612" s="40"/>
      <c r="AG612" s="40"/>
      <c r="AH612" s="5"/>
      <c r="AI612" s="5"/>
      <c r="AJ612" s="40"/>
      <c r="AK612" s="40"/>
      <c r="AL612" s="40"/>
      <c r="AM612" s="40"/>
      <c r="AN612" s="40"/>
      <c r="AP612" s="40"/>
      <c r="AR612" s="40"/>
    </row>
    <row r="613" spans="2:44" ht="12.75" customHeight="1" x14ac:dyDescent="0.15">
      <c r="B613" s="40"/>
      <c r="C613" s="40"/>
      <c r="D613" s="40"/>
      <c r="E613" s="185"/>
      <c r="F613" s="40"/>
      <c r="G613" s="40"/>
      <c r="H613" s="53"/>
      <c r="R613" s="40"/>
      <c r="S613" s="40"/>
      <c r="U613" s="40"/>
      <c r="V613" s="40"/>
      <c r="W613" s="40"/>
      <c r="Y613" s="40"/>
      <c r="Z613" s="40"/>
      <c r="AA613" s="41"/>
      <c r="AB613" s="41"/>
      <c r="AC613" s="41"/>
      <c r="AD613" s="41"/>
      <c r="AE613" s="41"/>
      <c r="AF613" s="40"/>
      <c r="AG613" s="40"/>
      <c r="AH613" s="5"/>
      <c r="AI613" s="5"/>
      <c r="AJ613" s="40"/>
      <c r="AK613" s="40"/>
      <c r="AL613" s="40"/>
      <c r="AM613" s="40"/>
      <c r="AN613" s="40"/>
      <c r="AP613" s="40"/>
      <c r="AR613" s="40"/>
    </row>
    <row r="614" spans="2:44" ht="12.75" customHeight="1" x14ac:dyDescent="0.15">
      <c r="B614" s="40"/>
      <c r="C614" s="40"/>
      <c r="D614" s="40"/>
      <c r="E614" s="185"/>
      <c r="F614" s="40"/>
      <c r="G614" s="40"/>
      <c r="H614" s="53"/>
      <c r="R614" s="40"/>
      <c r="S614" s="40"/>
      <c r="U614" s="40"/>
      <c r="V614" s="40"/>
      <c r="W614" s="40"/>
      <c r="Y614" s="40"/>
      <c r="Z614" s="40"/>
      <c r="AA614" s="41"/>
      <c r="AB614" s="41"/>
      <c r="AC614" s="41"/>
      <c r="AD614" s="41"/>
      <c r="AE614" s="41"/>
      <c r="AF614" s="40"/>
      <c r="AG614" s="40"/>
      <c r="AH614" s="5"/>
      <c r="AI614" s="5"/>
      <c r="AJ614" s="40"/>
      <c r="AK614" s="40"/>
      <c r="AL614" s="40"/>
      <c r="AM614" s="40"/>
      <c r="AN614" s="40"/>
      <c r="AP614" s="40"/>
      <c r="AR614" s="40"/>
    </row>
    <row r="615" spans="2:44" ht="12.75" customHeight="1" x14ac:dyDescent="0.15">
      <c r="B615" s="40"/>
      <c r="C615" s="40"/>
      <c r="D615" s="40"/>
      <c r="E615" s="185"/>
      <c r="F615" s="40"/>
      <c r="G615" s="40"/>
      <c r="H615" s="53"/>
      <c r="R615" s="40"/>
      <c r="S615" s="40"/>
      <c r="U615" s="40"/>
      <c r="V615" s="40"/>
      <c r="W615" s="40"/>
      <c r="Y615" s="40"/>
      <c r="Z615" s="40"/>
      <c r="AA615" s="41"/>
      <c r="AB615" s="41"/>
      <c r="AC615" s="41"/>
      <c r="AD615" s="41"/>
      <c r="AE615" s="41"/>
      <c r="AF615" s="40"/>
      <c r="AG615" s="40"/>
      <c r="AH615" s="5"/>
      <c r="AI615" s="5"/>
      <c r="AJ615" s="40"/>
      <c r="AK615" s="40"/>
      <c r="AL615" s="40"/>
      <c r="AM615" s="40"/>
      <c r="AN615" s="40"/>
      <c r="AP615" s="40"/>
      <c r="AR615" s="40"/>
    </row>
    <row r="616" spans="2:44" ht="12.75" customHeight="1" x14ac:dyDescent="0.15">
      <c r="B616" s="40"/>
      <c r="C616" s="40"/>
      <c r="D616" s="40"/>
      <c r="E616" s="185"/>
      <c r="F616" s="40"/>
      <c r="G616" s="40"/>
      <c r="H616" s="53"/>
      <c r="R616" s="40"/>
      <c r="S616" s="40"/>
      <c r="U616" s="40"/>
      <c r="V616" s="40"/>
      <c r="W616" s="40"/>
      <c r="Y616" s="40"/>
      <c r="Z616" s="40"/>
      <c r="AA616" s="41"/>
      <c r="AB616" s="41"/>
      <c r="AC616" s="41"/>
      <c r="AD616" s="41"/>
      <c r="AE616" s="41"/>
      <c r="AF616" s="40"/>
      <c r="AG616" s="40"/>
      <c r="AH616" s="5"/>
      <c r="AI616" s="5"/>
      <c r="AJ616" s="40"/>
      <c r="AK616" s="40"/>
      <c r="AL616" s="40"/>
      <c r="AM616" s="40"/>
      <c r="AN616" s="40"/>
      <c r="AP616" s="40"/>
      <c r="AR616" s="40"/>
    </row>
    <row r="617" spans="2:44" ht="12.75" customHeight="1" x14ac:dyDescent="0.15">
      <c r="B617" s="40"/>
      <c r="C617" s="40"/>
      <c r="D617" s="40"/>
      <c r="E617" s="185"/>
      <c r="F617" s="40"/>
      <c r="G617" s="40"/>
      <c r="H617" s="53"/>
      <c r="R617" s="40"/>
      <c r="S617" s="40"/>
      <c r="U617" s="40"/>
      <c r="V617" s="40"/>
      <c r="W617" s="40"/>
      <c r="Y617" s="40"/>
      <c r="Z617" s="40"/>
      <c r="AA617" s="41"/>
      <c r="AB617" s="41"/>
      <c r="AC617" s="41"/>
      <c r="AD617" s="41"/>
      <c r="AE617" s="41"/>
      <c r="AF617" s="40"/>
      <c r="AG617" s="40"/>
      <c r="AH617" s="5"/>
      <c r="AI617" s="5"/>
      <c r="AJ617" s="40"/>
      <c r="AK617" s="40"/>
      <c r="AL617" s="40"/>
      <c r="AM617" s="40"/>
      <c r="AN617" s="40"/>
      <c r="AP617" s="40"/>
      <c r="AR617" s="40"/>
    </row>
    <row r="618" spans="2:44" ht="12.75" customHeight="1" x14ac:dyDescent="0.15">
      <c r="B618" s="40"/>
      <c r="C618" s="40"/>
      <c r="D618" s="40"/>
      <c r="E618" s="185"/>
      <c r="F618" s="40"/>
      <c r="G618" s="40"/>
      <c r="H618" s="53"/>
      <c r="R618" s="40"/>
      <c r="S618" s="40"/>
      <c r="U618" s="40"/>
      <c r="V618" s="40"/>
      <c r="W618" s="40"/>
      <c r="Y618" s="40"/>
      <c r="Z618" s="40"/>
      <c r="AA618" s="41"/>
      <c r="AB618" s="41"/>
      <c r="AC618" s="41"/>
      <c r="AD618" s="41"/>
      <c r="AE618" s="41"/>
      <c r="AF618" s="40"/>
      <c r="AG618" s="40"/>
      <c r="AH618" s="5"/>
      <c r="AI618" s="5"/>
      <c r="AJ618" s="40"/>
      <c r="AK618" s="40"/>
      <c r="AL618" s="40"/>
      <c r="AM618" s="40"/>
      <c r="AN618" s="40"/>
      <c r="AP618" s="40"/>
      <c r="AR618" s="40"/>
    </row>
    <row r="619" spans="2:44" ht="12.75" customHeight="1" x14ac:dyDescent="0.15">
      <c r="B619" s="40"/>
      <c r="C619" s="40"/>
      <c r="D619" s="40"/>
      <c r="E619" s="185"/>
      <c r="F619" s="40"/>
      <c r="G619" s="40"/>
      <c r="H619" s="53"/>
      <c r="R619" s="40"/>
      <c r="S619" s="40"/>
      <c r="U619" s="40"/>
      <c r="V619" s="40"/>
      <c r="W619" s="40"/>
      <c r="Y619" s="40"/>
      <c r="Z619" s="40"/>
      <c r="AA619" s="41"/>
      <c r="AB619" s="41"/>
      <c r="AC619" s="41"/>
      <c r="AD619" s="41"/>
      <c r="AE619" s="41"/>
      <c r="AF619" s="40"/>
      <c r="AG619" s="40"/>
      <c r="AH619" s="5"/>
      <c r="AI619" s="5"/>
      <c r="AJ619" s="40"/>
      <c r="AK619" s="40"/>
      <c r="AL619" s="40"/>
      <c r="AM619" s="40"/>
      <c r="AN619" s="40"/>
      <c r="AP619" s="40"/>
      <c r="AR619" s="40"/>
    </row>
    <row r="620" spans="2:44" ht="12.75" customHeight="1" x14ac:dyDescent="0.15">
      <c r="B620" s="40"/>
      <c r="C620" s="40"/>
      <c r="D620" s="40"/>
      <c r="E620" s="185"/>
      <c r="F620" s="40"/>
      <c r="G620" s="40"/>
      <c r="H620" s="53"/>
      <c r="R620" s="40"/>
      <c r="S620" s="40"/>
      <c r="U620" s="40"/>
      <c r="V620" s="40"/>
      <c r="W620" s="40"/>
      <c r="Y620" s="40"/>
      <c r="Z620" s="40"/>
      <c r="AA620" s="41"/>
      <c r="AB620" s="41"/>
      <c r="AC620" s="41"/>
      <c r="AD620" s="41"/>
      <c r="AE620" s="41"/>
      <c r="AF620" s="40"/>
      <c r="AG620" s="40"/>
      <c r="AH620" s="5"/>
      <c r="AI620" s="5"/>
      <c r="AJ620" s="40"/>
      <c r="AK620" s="40"/>
      <c r="AL620" s="40"/>
      <c r="AM620" s="40"/>
      <c r="AN620" s="40"/>
      <c r="AP620" s="40"/>
      <c r="AR620" s="40"/>
    </row>
    <row r="621" spans="2:44" ht="12.75" customHeight="1" x14ac:dyDescent="0.15">
      <c r="B621" s="40"/>
      <c r="C621" s="40"/>
      <c r="D621" s="40"/>
      <c r="E621" s="185"/>
      <c r="F621" s="40"/>
      <c r="G621" s="40"/>
      <c r="H621" s="53"/>
      <c r="R621" s="40"/>
      <c r="S621" s="40"/>
      <c r="U621" s="40"/>
      <c r="V621" s="40"/>
      <c r="W621" s="40"/>
      <c r="Y621" s="40"/>
      <c r="Z621" s="40"/>
      <c r="AA621" s="41"/>
      <c r="AB621" s="41"/>
      <c r="AC621" s="41"/>
      <c r="AD621" s="41"/>
      <c r="AE621" s="41"/>
      <c r="AF621" s="40"/>
      <c r="AG621" s="40"/>
      <c r="AH621" s="5"/>
      <c r="AI621" s="5"/>
      <c r="AJ621" s="40"/>
      <c r="AK621" s="40"/>
      <c r="AL621" s="40"/>
      <c r="AM621" s="40"/>
      <c r="AN621" s="40"/>
      <c r="AP621" s="40"/>
      <c r="AR621" s="40"/>
    </row>
    <row r="622" spans="2:44" ht="12.75" customHeight="1" x14ac:dyDescent="0.15">
      <c r="B622" s="40"/>
      <c r="C622" s="40"/>
      <c r="D622" s="40"/>
      <c r="E622" s="185"/>
      <c r="F622" s="40"/>
      <c r="G622" s="40"/>
      <c r="H622" s="53"/>
      <c r="R622" s="40"/>
      <c r="S622" s="40"/>
      <c r="U622" s="40"/>
      <c r="V622" s="40"/>
      <c r="W622" s="40"/>
      <c r="Y622" s="40"/>
      <c r="Z622" s="40"/>
      <c r="AA622" s="41"/>
      <c r="AB622" s="41"/>
      <c r="AC622" s="41"/>
      <c r="AD622" s="41"/>
      <c r="AE622" s="41"/>
      <c r="AF622" s="40"/>
      <c r="AG622" s="40"/>
      <c r="AH622" s="5"/>
      <c r="AI622" s="5"/>
      <c r="AJ622" s="40"/>
      <c r="AK622" s="40"/>
      <c r="AL622" s="40"/>
      <c r="AM622" s="40"/>
      <c r="AN622" s="40"/>
      <c r="AP622" s="40"/>
      <c r="AR622" s="40"/>
    </row>
    <row r="623" spans="2:44" ht="12.75" customHeight="1" x14ac:dyDescent="0.15">
      <c r="B623" s="40"/>
      <c r="C623" s="40"/>
      <c r="D623" s="40"/>
      <c r="E623" s="185"/>
      <c r="F623" s="40"/>
      <c r="G623" s="40"/>
      <c r="H623" s="53"/>
      <c r="R623" s="40"/>
      <c r="S623" s="40"/>
      <c r="U623" s="40"/>
      <c r="V623" s="40"/>
      <c r="W623" s="40"/>
      <c r="Y623" s="40"/>
      <c r="Z623" s="40"/>
      <c r="AA623" s="41"/>
      <c r="AB623" s="41"/>
      <c r="AC623" s="41"/>
      <c r="AD623" s="41"/>
      <c r="AE623" s="41"/>
      <c r="AF623" s="40"/>
      <c r="AG623" s="40"/>
      <c r="AH623" s="5"/>
      <c r="AI623" s="5"/>
      <c r="AJ623" s="40"/>
      <c r="AK623" s="40"/>
      <c r="AL623" s="40"/>
      <c r="AM623" s="40"/>
      <c r="AN623" s="40"/>
      <c r="AP623" s="40"/>
      <c r="AR623" s="40"/>
    </row>
    <row r="624" spans="2:44" ht="12.75" customHeight="1" x14ac:dyDescent="0.15">
      <c r="B624" s="40"/>
      <c r="C624" s="40"/>
      <c r="D624" s="40"/>
      <c r="E624" s="185"/>
      <c r="F624" s="40"/>
      <c r="G624" s="40"/>
      <c r="H624" s="53"/>
      <c r="R624" s="40"/>
      <c r="S624" s="40"/>
      <c r="U624" s="40"/>
      <c r="V624" s="40"/>
      <c r="W624" s="40"/>
      <c r="Y624" s="40"/>
      <c r="Z624" s="40"/>
      <c r="AA624" s="41"/>
      <c r="AB624" s="41"/>
      <c r="AC624" s="41"/>
      <c r="AD624" s="41"/>
      <c r="AE624" s="41"/>
      <c r="AF624" s="40"/>
      <c r="AG624" s="40"/>
      <c r="AH624" s="5"/>
      <c r="AI624" s="5"/>
      <c r="AJ624" s="40"/>
      <c r="AK624" s="40"/>
      <c r="AL624" s="40"/>
      <c r="AM624" s="40"/>
      <c r="AN624" s="40"/>
      <c r="AP624" s="40"/>
      <c r="AR624" s="40"/>
    </row>
    <row r="625" spans="2:44" ht="12.75" customHeight="1" x14ac:dyDescent="0.15">
      <c r="B625" s="40"/>
      <c r="C625" s="40"/>
      <c r="D625" s="40"/>
      <c r="E625" s="185"/>
      <c r="F625" s="40"/>
      <c r="G625" s="40"/>
      <c r="H625" s="53"/>
      <c r="R625" s="40"/>
      <c r="S625" s="40"/>
      <c r="U625" s="40"/>
      <c r="V625" s="40"/>
      <c r="W625" s="40"/>
      <c r="Y625" s="40"/>
      <c r="Z625" s="40"/>
      <c r="AA625" s="41"/>
      <c r="AB625" s="41"/>
      <c r="AC625" s="41"/>
      <c r="AD625" s="41"/>
      <c r="AE625" s="41"/>
      <c r="AF625" s="40"/>
      <c r="AG625" s="40"/>
      <c r="AH625" s="5"/>
      <c r="AI625" s="5"/>
      <c r="AJ625" s="40"/>
      <c r="AK625" s="40"/>
      <c r="AL625" s="40"/>
      <c r="AM625" s="40"/>
      <c r="AN625" s="40"/>
      <c r="AP625" s="40"/>
      <c r="AR625" s="40"/>
    </row>
    <row r="626" spans="2:44" ht="12.75" customHeight="1" x14ac:dyDescent="0.15">
      <c r="B626" s="40"/>
      <c r="C626" s="40"/>
      <c r="D626" s="40"/>
      <c r="E626" s="185"/>
      <c r="F626" s="40"/>
      <c r="G626" s="40"/>
      <c r="H626" s="53"/>
      <c r="R626" s="40"/>
      <c r="S626" s="40"/>
      <c r="U626" s="40"/>
      <c r="V626" s="40"/>
      <c r="W626" s="40"/>
      <c r="Y626" s="40"/>
      <c r="Z626" s="40"/>
      <c r="AA626" s="41"/>
      <c r="AB626" s="41"/>
      <c r="AC626" s="41"/>
      <c r="AD626" s="41"/>
      <c r="AE626" s="41"/>
      <c r="AF626" s="40"/>
      <c r="AG626" s="40"/>
      <c r="AH626" s="5"/>
      <c r="AI626" s="5"/>
      <c r="AJ626" s="40"/>
      <c r="AK626" s="40"/>
      <c r="AL626" s="40"/>
      <c r="AM626" s="40"/>
      <c r="AN626" s="40"/>
      <c r="AP626" s="40"/>
      <c r="AR626" s="40"/>
    </row>
    <row r="627" spans="2:44" ht="12.75" customHeight="1" x14ac:dyDescent="0.15">
      <c r="B627" s="40"/>
      <c r="C627" s="40"/>
      <c r="D627" s="40"/>
      <c r="E627" s="185"/>
      <c r="F627" s="40"/>
      <c r="G627" s="40"/>
      <c r="H627" s="53"/>
      <c r="R627" s="40"/>
      <c r="S627" s="40"/>
      <c r="U627" s="40"/>
      <c r="V627" s="40"/>
      <c r="W627" s="40"/>
      <c r="Y627" s="40"/>
      <c r="Z627" s="40"/>
      <c r="AA627" s="41"/>
      <c r="AB627" s="41"/>
      <c r="AC627" s="41"/>
      <c r="AD627" s="41"/>
      <c r="AE627" s="41"/>
      <c r="AF627" s="40"/>
      <c r="AG627" s="40"/>
      <c r="AH627" s="5"/>
      <c r="AI627" s="5"/>
      <c r="AJ627" s="40"/>
      <c r="AK627" s="40"/>
      <c r="AL627" s="40"/>
      <c r="AM627" s="40"/>
      <c r="AN627" s="40"/>
      <c r="AP627" s="40"/>
      <c r="AR627" s="40"/>
    </row>
    <row r="628" spans="2:44" ht="12.75" customHeight="1" x14ac:dyDescent="0.15">
      <c r="B628" s="40"/>
      <c r="C628" s="40"/>
      <c r="D628" s="40"/>
      <c r="E628" s="185"/>
      <c r="F628" s="40"/>
      <c r="G628" s="40"/>
      <c r="H628" s="53"/>
      <c r="R628" s="40"/>
      <c r="S628" s="40"/>
      <c r="U628" s="40"/>
      <c r="V628" s="40"/>
      <c r="W628" s="40"/>
      <c r="Y628" s="40"/>
      <c r="Z628" s="40"/>
      <c r="AA628" s="41"/>
      <c r="AB628" s="41"/>
      <c r="AC628" s="41"/>
      <c r="AD628" s="41"/>
      <c r="AE628" s="41"/>
      <c r="AF628" s="40"/>
      <c r="AG628" s="40"/>
      <c r="AH628" s="5"/>
      <c r="AI628" s="5"/>
      <c r="AJ628" s="40"/>
      <c r="AK628" s="40"/>
      <c r="AL628" s="40"/>
      <c r="AM628" s="40"/>
      <c r="AN628" s="40"/>
      <c r="AP628" s="40"/>
      <c r="AR628" s="40"/>
    </row>
    <row r="629" spans="2:44" ht="12.75" customHeight="1" x14ac:dyDescent="0.15">
      <c r="B629" s="40"/>
      <c r="C629" s="40"/>
      <c r="D629" s="40"/>
      <c r="E629" s="185"/>
      <c r="F629" s="40"/>
      <c r="G629" s="40"/>
      <c r="H629" s="53"/>
      <c r="R629" s="40"/>
      <c r="S629" s="40"/>
      <c r="U629" s="40"/>
      <c r="V629" s="40"/>
      <c r="W629" s="40"/>
      <c r="Y629" s="40"/>
      <c r="Z629" s="40"/>
      <c r="AA629" s="41"/>
      <c r="AB629" s="41"/>
      <c r="AC629" s="41"/>
      <c r="AD629" s="41"/>
      <c r="AE629" s="41"/>
      <c r="AF629" s="40"/>
      <c r="AG629" s="40"/>
      <c r="AH629" s="5"/>
      <c r="AI629" s="5"/>
      <c r="AJ629" s="40"/>
      <c r="AK629" s="40"/>
      <c r="AL629" s="40"/>
      <c r="AM629" s="40"/>
      <c r="AN629" s="40"/>
      <c r="AP629" s="40"/>
      <c r="AR629" s="40"/>
    </row>
    <row r="630" spans="2:44" ht="12.75" customHeight="1" x14ac:dyDescent="0.15">
      <c r="B630" s="40"/>
      <c r="C630" s="40"/>
      <c r="D630" s="40"/>
      <c r="E630" s="185"/>
      <c r="F630" s="40"/>
      <c r="G630" s="40"/>
      <c r="H630" s="53"/>
      <c r="R630" s="40"/>
      <c r="S630" s="40"/>
      <c r="U630" s="40"/>
      <c r="V630" s="40"/>
      <c r="W630" s="40"/>
      <c r="Y630" s="40"/>
      <c r="Z630" s="40"/>
      <c r="AA630" s="41"/>
      <c r="AB630" s="41"/>
      <c r="AC630" s="41"/>
      <c r="AD630" s="41"/>
      <c r="AE630" s="41"/>
      <c r="AF630" s="40"/>
      <c r="AG630" s="40"/>
      <c r="AH630" s="5"/>
      <c r="AI630" s="5"/>
      <c r="AJ630" s="40"/>
      <c r="AK630" s="40"/>
      <c r="AL630" s="40"/>
      <c r="AM630" s="40"/>
      <c r="AN630" s="40"/>
      <c r="AP630" s="40"/>
      <c r="AR630" s="40"/>
    </row>
    <row r="631" spans="2:44" ht="12.75" customHeight="1" x14ac:dyDescent="0.15">
      <c r="B631" s="40"/>
      <c r="C631" s="40"/>
      <c r="D631" s="40"/>
      <c r="E631" s="185"/>
      <c r="F631" s="40"/>
      <c r="G631" s="40"/>
      <c r="H631" s="53"/>
      <c r="R631" s="40"/>
      <c r="S631" s="40"/>
      <c r="U631" s="40"/>
      <c r="V631" s="40"/>
      <c r="W631" s="40"/>
      <c r="Y631" s="40"/>
      <c r="Z631" s="40"/>
      <c r="AA631" s="41"/>
      <c r="AB631" s="41"/>
      <c r="AC631" s="41"/>
      <c r="AD631" s="41"/>
      <c r="AE631" s="41"/>
      <c r="AF631" s="40"/>
      <c r="AG631" s="40"/>
      <c r="AH631" s="5"/>
      <c r="AI631" s="5"/>
      <c r="AJ631" s="40"/>
      <c r="AK631" s="40"/>
      <c r="AL631" s="40"/>
      <c r="AM631" s="40"/>
      <c r="AN631" s="40"/>
      <c r="AP631" s="40"/>
      <c r="AR631" s="40"/>
    </row>
    <row r="632" spans="2:44" ht="12.75" customHeight="1" x14ac:dyDescent="0.15">
      <c r="B632" s="40"/>
      <c r="C632" s="40"/>
      <c r="D632" s="40"/>
      <c r="E632" s="185"/>
      <c r="F632" s="40"/>
      <c r="G632" s="40"/>
      <c r="H632" s="53"/>
      <c r="R632" s="40"/>
      <c r="S632" s="40"/>
      <c r="U632" s="40"/>
      <c r="V632" s="40"/>
      <c r="W632" s="40"/>
      <c r="Y632" s="40"/>
      <c r="Z632" s="40"/>
      <c r="AA632" s="41"/>
      <c r="AB632" s="41"/>
      <c r="AC632" s="41"/>
      <c r="AD632" s="41"/>
      <c r="AE632" s="41"/>
      <c r="AF632" s="40"/>
      <c r="AG632" s="40"/>
      <c r="AH632" s="5"/>
      <c r="AI632" s="5"/>
      <c r="AJ632" s="40"/>
      <c r="AK632" s="40"/>
      <c r="AL632" s="40"/>
      <c r="AM632" s="40"/>
      <c r="AN632" s="40"/>
      <c r="AP632" s="40"/>
      <c r="AR632" s="40"/>
    </row>
    <row r="633" spans="2:44" ht="12.75" customHeight="1" x14ac:dyDescent="0.15">
      <c r="B633" s="40"/>
      <c r="C633" s="40"/>
      <c r="D633" s="40"/>
      <c r="E633" s="185"/>
      <c r="F633" s="40"/>
      <c r="G633" s="40"/>
      <c r="H633" s="53"/>
      <c r="R633" s="40"/>
      <c r="S633" s="40"/>
      <c r="U633" s="40"/>
      <c r="V633" s="40"/>
      <c r="W633" s="40"/>
      <c r="Y633" s="40"/>
      <c r="Z633" s="40"/>
      <c r="AA633" s="41"/>
      <c r="AB633" s="41"/>
      <c r="AC633" s="41"/>
      <c r="AD633" s="41"/>
      <c r="AE633" s="41"/>
      <c r="AF633" s="40"/>
      <c r="AG633" s="40"/>
      <c r="AH633" s="5"/>
      <c r="AI633" s="5"/>
      <c r="AJ633" s="40"/>
      <c r="AK633" s="40"/>
      <c r="AL633" s="40"/>
      <c r="AM633" s="40"/>
      <c r="AN633" s="40"/>
      <c r="AP633" s="40"/>
      <c r="AR633" s="40"/>
    </row>
    <row r="634" spans="2:44" ht="12.75" customHeight="1" x14ac:dyDescent="0.15">
      <c r="B634" s="40"/>
      <c r="C634" s="40"/>
      <c r="D634" s="40"/>
      <c r="E634" s="185"/>
      <c r="F634" s="40"/>
      <c r="G634" s="40"/>
      <c r="H634" s="53"/>
      <c r="R634" s="40"/>
      <c r="S634" s="40"/>
      <c r="U634" s="40"/>
      <c r="V634" s="40"/>
      <c r="W634" s="40"/>
      <c r="Y634" s="40"/>
      <c r="Z634" s="40"/>
      <c r="AA634" s="41"/>
      <c r="AB634" s="41"/>
      <c r="AC634" s="41"/>
      <c r="AD634" s="41"/>
      <c r="AE634" s="41"/>
      <c r="AF634" s="40"/>
      <c r="AG634" s="40"/>
      <c r="AH634" s="5"/>
      <c r="AI634" s="5"/>
      <c r="AJ634" s="40"/>
      <c r="AK634" s="40"/>
      <c r="AL634" s="40"/>
      <c r="AM634" s="40"/>
      <c r="AN634" s="40"/>
      <c r="AP634" s="40"/>
      <c r="AR634" s="40"/>
    </row>
    <row r="635" spans="2:44" ht="12.75" customHeight="1" x14ac:dyDescent="0.15">
      <c r="B635" s="40"/>
      <c r="C635" s="40"/>
      <c r="D635" s="40"/>
      <c r="E635" s="185"/>
      <c r="F635" s="40"/>
      <c r="G635" s="40"/>
      <c r="H635" s="53"/>
      <c r="R635" s="40"/>
      <c r="S635" s="40"/>
      <c r="U635" s="40"/>
      <c r="V635" s="40"/>
      <c r="W635" s="40"/>
      <c r="Y635" s="40"/>
      <c r="Z635" s="40"/>
      <c r="AA635" s="41"/>
      <c r="AB635" s="41"/>
      <c r="AC635" s="41"/>
      <c r="AD635" s="41"/>
      <c r="AE635" s="41"/>
      <c r="AF635" s="40"/>
      <c r="AG635" s="40"/>
      <c r="AH635" s="5"/>
      <c r="AI635" s="5"/>
      <c r="AJ635" s="40"/>
      <c r="AK635" s="40"/>
      <c r="AL635" s="40"/>
      <c r="AM635" s="40"/>
      <c r="AN635" s="40"/>
      <c r="AP635" s="40"/>
      <c r="AR635" s="40"/>
    </row>
    <row r="636" spans="2:44" ht="12.75" customHeight="1" x14ac:dyDescent="0.15">
      <c r="B636" s="40"/>
      <c r="C636" s="40"/>
      <c r="D636" s="40"/>
      <c r="E636" s="185"/>
      <c r="F636" s="40"/>
      <c r="G636" s="40"/>
      <c r="H636" s="53"/>
      <c r="R636" s="40"/>
      <c r="S636" s="40"/>
      <c r="U636" s="40"/>
      <c r="V636" s="40"/>
      <c r="W636" s="40"/>
      <c r="Y636" s="40"/>
      <c r="Z636" s="40"/>
      <c r="AA636" s="41"/>
      <c r="AB636" s="41"/>
      <c r="AC636" s="41"/>
      <c r="AD636" s="41"/>
      <c r="AE636" s="41"/>
      <c r="AF636" s="40"/>
      <c r="AG636" s="40"/>
      <c r="AH636" s="5"/>
      <c r="AI636" s="5"/>
      <c r="AJ636" s="40"/>
      <c r="AK636" s="40"/>
      <c r="AL636" s="40"/>
      <c r="AM636" s="40"/>
      <c r="AN636" s="40"/>
      <c r="AP636" s="40"/>
      <c r="AR636" s="40"/>
    </row>
    <row r="637" spans="2:44" ht="12.75" customHeight="1" x14ac:dyDescent="0.15">
      <c r="B637" s="40"/>
      <c r="C637" s="40"/>
      <c r="D637" s="40"/>
      <c r="E637" s="185"/>
      <c r="F637" s="40"/>
      <c r="G637" s="40"/>
      <c r="H637" s="53"/>
      <c r="R637" s="40"/>
      <c r="S637" s="40"/>
      <c r="U637" s="40"/>
      <c r="V637" s="40"/>
      <c r="W637" s="40"/>
      <c r="Y637" s="40"/>
      <c r="Z637" s="40"/>
      <c r="AA637" s="41"/>
      <c r="AB637" s="41"/>
      <c r="AC637" s="41"/>
      <c r="AD637" s="41"/>
      <c r="AE637" s="41"/>
      <c r="AF637" s="40"/>
      <c r="AG637" s="40"/>
      <c r="AH637" s="5"/>
      <c r="AI637" s="5"/>
      <c r="AJ637" s="40"/>
      <c r="AK637" s="40"/>
      <c r="AL637" s="40"/>
      <c r="AM637" s="40"/>
      <c r="AN637" s="40"/>
      <c r="AP637" s="40"/>
      <c r="AR637" s="40"/>
    </row>
    <row r="638" spans="2:44" ht="12.75" customHeight="1" x14ac:dyDescent="0.15">
      <c r="B638" s="40"/>
      <c r="C638" s="40"/>
      <c r="D638" s="40"/>
      <c r="E638" s="185"/>
      <c r="F638" s="40"/>
      <c r="G638" s="40"/>
      <c r="H638" s="53"/>
      <c r="R638" s="40"/>
      <c r="S638" s="40"/>
      <c r="U638" s="40"/>
      <c r="V638" s="40"/>
      <c r="W638" s="40"/>
      <c r="Y638" s="40"/>
      <c r="Z638" s="40"/>
      <c r="AA638" s="41"/>
      <c r="AB638" s="41"/>
      <c r="AC638" s="41"/>
      <c r="AD638" s="41"/>
      <c r="AE638" s="41"/>
      <c r="AF638" s="40"/>
      <c r="AG638" s="40"/>
      <c r="AH638" s="5"/>
      <c r="AI638" s="5"/>
      <c r="AJ638" s="40"/>
      <c r="AK638" s="40"/>
      <c r="AL638" s="40"/>
      <c r="AM638" s="40"/>
      <c r="AN638" s="40"/>
      <c r="AP638" s="40"/>
      <c r="AR638" s="40"/>
    </row>
    <row r="639" spans="2:44" ht="12.75" customHeight="1" x14ac:dyDescent="0.15">
      <c r="B639" s="40"/>
      <c r="C639" s="40"/>
      <c r="D639" s="40"/>
      <c r="E639" s="185"/>
      <c r="F639" s="40"/>
      <c r="G639" s="40"/>
      <c r="H639" s="53"/>
      <c r="R639" s="40"/>
      <c r="S639" s="40"/>
      <c r="U639" s="40"/>
      <c r="V639" s="40"/>
      <c r="W639" s="40"/>
      <c r="Y639" s="40"/>
      <c r="Z639" s="40"/>
      <c r="AA639" s="41"/>
      <c r="AB639" s="41"/>
      <c r="AC639" s="41"/>
      <c r="AD639" s="41"/>
      <c r="AE639" s="41"/>
      <c r="AF639" s="40"/>
      <c r="AG639" s="40"/>
      <c r="AH639" s="5"/>
      <c r="AI639" s="5"/>
      <c r="AJ639" s="40"/>
      <c r="AK639" s="40"/>
      <c r="AL639" s="40"/>
      <c r="AM639" s="40"/>
      <c r="AN639" s="40"/>
      <c r="AP639" s="40"/>
      <c r="AR639" s="40"/>
    </row>
    <row r="640" spans="2:44" ht="12.75" customHeight="1" x14ac:dyDescent="0.15">
      <c r="B640" s="40"/>
      <c r="C640" s="40"/>
      <c r="D640" s="40"/>
      <c r="E640" s="185"/>
      <c r="F640" s="40"/>
      <c r="G640" s="40"/>
      <c r="H640" s="53"/>
      <c r="R640" s="40"/>
      <c r="S640" s="40"/>
      <c r="U640" s="40"/>
      <c r="V640" s="40"/>
      <c r="W640" s="40"/>
      <c r="Y640" s="40"/>
      <c r="Z640" s="40"/>
      <c r="AA640" s="41"/>
      <c r="AB640" s="41"/>
      <c r="AC640" s="41"/>
      <c r="AD640" s="41"/>
      <c r="AE640" s="41"/>
      <c r="AF640" s="40"/>
      <c r="AG640" s="40"/>
      <c r="AH640" s="5"/>
      <c r="AI640" s="5"/>
      <c r="AJ640" s="40"/>
      <c r="AK640" s="40"/>
      <c r="AL640" s="40"/>
      <c r="AM640" s="40"/>
      <c r="AN640" s="40"/>
      <c r="AP640" s="40"/>
      <c r="AR640" s="40"/>
    </row>
    <row r="641" spans="2:44" ht="12.75" customHeight="1" x14ac:dyDescent="0.15">
      <c r="B641" s="40"/>
      <c r="C641" s="40"/>
      <c r="D641" s="40"/>
      <c r="E641" s="185"/>
      <c r="F641" s="40"/>
      <c r="G641" s="40"/>
      <c r="H641" s="53"/>
      <c r="R641" s="40"/>
      <c r="S641" s="40"/>
      <c r="U641" s="40"/>
      <c r="V641" s="40"/>
      <c r="W641" s="40"/>
      <c r="Y641" s="40"/>
      <c r="Z641" s="40"/>
      <c r="AA641" s="41"/>
      <c r="AB641" s="41"/>
      <c r="AC641" s="41"/>
      <c r="AD641" s="41"/>
      <c r="AE641" s="41"/>
      <c r="AF641" s="40"/>
      <c r="AG641" s="40"/>
      <c r="AH641" s="5"/>
      <c r="AI641" s="5"/>
      <c r="AJ641" s="40"/>
      <c r="AK641" s="40"/>
      <c r="AL641" s="40"/>
      <c r="AM641" s="40"/>
      <c r="AN641" s="40"/>
      <c r="AP641" s="40"/>
      <c r="AR641" s="40"/>
    </row>
    <row r="642" spans="2:44" ht="12.75" customHeight="1" x14ac:dyDescent="0.15">
      <c r="B642" s="40"/>
      <c r="C642" s="40"/>
      <c r="D642" s="40"/>
      <c r="E642" s="185"/>
      <c r="F642" s="40"/>
      <c r="G642" s="40"/>
      <c r="H642" s="53"/>
      <c r="R642" s="40"/>
      <c r="S642" s="40"/>
      <c r="U642" s="40"/>
      <c r="V642" s="40"/>
      <c r="W642" s="40"/>
      <c r="Y642" s="40"/>
      <c r="Z642" s="40"/>
      <c r="AA642" s="41"/>
      <c r="AB642" s="41"/>
      <c r="AC642" s="41"/>
      <c r="AD642" s="41"/>
      <c r="AE642" s="41"/>
      <c r="AF642" s="40"/>
      <c r="AG642" s="40"/>
      <c r="AH642" s="5"/>
      <c r="AI642" s="5"/>
      <c r="AJ642" s="40"/>
      <c r="AK642" s="40"/>
      <c r="AL642" s="40"/>
      <c r="AM642" s="40"/>
      <c r="AN642" s="40"/>
      <c r="AP642" s="40"/>
      <c r="AR642" s="40"/>
    </row>
    <row r="643" spans="2:44" ht="12.75" customHeight="1" x14ac:dyDescent="0.15">
      <c r="B643" s="40"/>
      <c r="C643" s="40"/>
      <c r="D643" s="40"/>
      <c r="E643" s="185"/>
      <c r="F643" s="40"/>
      <c r="G643" s="40"/>
      <c r="H643" s="53"/>
      <c r="R643" s="40"/>
      <c r="S643" s="40"/>
      <c r="U643" s="40"/>
      <c r="V643" s="40"/>
      <c r="W643" s="40"/>
      <c r="Y643" s="40"/>
      <c r="Z643" s="40"/>
      <c r="AA643" s="41"/>
      <c r="AB643" s="41"/>
      <c r="AC643" s="41"/>
      <c r="AD643" s="41"/>
      <c r="AE643" s="41"/>
      <c r="AF643" s="40"/>
      <c r="AG643" s="40"/>
      <c r="AH643" s="5"/>
      <c r="AI643" s="5"/>
      <c r="AJ643" s="40"/>
      <c r="AK643" s="40"/>
      <c r="AL643" s="40"/>
      <c r="AM643" s="40"/>
      <c r="AN643" s="40"/>
      <c r="AP643" s="40"/>
      <c r="AR643" s="40"/>
    </row>
    <row r="644" spans="2:44" ht="12.75" customHeight="1" x14ac:dyDescent="0.15">
      <c r="B644" s="40"/>
      <c r="C644" s="40"/>
      <c r="D644" s="40"/>
      <c r="E644" s="185"/>
      <c r="F644" s="40"/>
      <c r="G644" s="40"/>
      <c r="H644" s="53"/>
      <c r="R644" s="40"/>
      <c r="S644" s="40"/>
      <c r="U644" s="40"/>
      <c r="V644" s="40"/>
      <c r="W644" s="40"/>
      <c r="Y644" s="40"/>
      <c r="Z644" s="40"/>
      <c r="AA644" s="41"/>
      <c r="AB644" s="41"/>
      <c r="AC644" s="41"/>
      <c r="AD644" s="41"/>
      <c r="AE644" s="41"/>
      <c r="AF644" s="40"/>
      <c r="AG644" s="40"/>
      <c r="AH644" s="5"/>
      <c r="AI644" s="5"/>
      <c r="AJ644" s="40"/>
      <c r="AK644" s="40"/>
      <c r="AL644" s="40"/>
      <c r="AM644" s="40"/>
      <c r="AN644" s="40"/>
      <c r="AP644" s="40"/>
      <c r="AR644" s="40"/>
    </row>
    <row r="645" spans="2:44" ht="12.75" customHeight="1" x14ac:dyDescent="0.15">
      <c r="B645" s="40"/>
      <c r="C645" s="40"/>
      <c r="D645" s="40"/>
      <c r="E645" s="185"/>
      <c r="F645" s="40"/>
      <c r="G645" s="40"/>
      <c r="H645" s="53"/>
      <c r="R645" s="40"/>
      <c r="S645" s="40"/>
      <c r="U645" s="40"/>
      <c r="V645" s="40"/>
      <c r="W645" s="40"/>
      <c r="Y645" s="40"/>
      <c r="Z645" s="40"/>
      <c r="AA645" s="41"/>
      <c r="AB645" s="41"/>
      <c r="AC645" s="41"/>
      <c r="AD645" s="41"/>
      <c r="AE645" s="41"/>
      <c r="AF645" s="40"/>
      <c r="AG645" s="40"/>
      <c r="AH645" s="5"/>
      <c r="AI645" s="5"/>
      <c r="AJ645" s="40"/>
      <c r="AK645" s="40"/>
      <c r="AL645" s="40"/>
      <c r="AM645" s="40"/>
      <c r="AN645" s="40"/>
      <c r="AP645" s="40"/>
      <c r="AR645" s="40"/>
    </row>
    <row r="646" spans="2:44" ht="12.75" customHeight="1" x14ac:dyDescent="0.15">
      <c r="B646" s="40"/>
      <c r="C646" s="40"/>
      <c r="D646" s="40"/>
      <c r="E646" s="185"/>
      <c r="F646" s="40"/>
      <c r="G646" s="40"/>
      <c r="H646" s="53"/>
      <c r="R646" s="40"/>
      <c r="S646" s="40"/>
      <c r="U646" s="40"/>
      <c r="V646" s="40"/>
      <c r="W646" s="40"/>
      <c r="Y646" s="40"/>
      <c r="Z646" s="40"/>
      <c r="AA646" s="41"/>
      <c r="AB646" s="41"/>
      <c r="AC646" s="41"/>
      <c r="AD646" s="41"/>
      <c r="AE646" s="41"/>
      <c r="AF646" s="40"/>
      <c r="AG646" s="40"/>
      <c r="AH646" s="5"/>
      <c r="AI646" s="5"/>
      <c r="AJ646" s="40"/>
      <c r="AK646" s="40"/>
      <c r="AL646" s="40"/>
      <c r="AM646" s="40"/>
      <c r="AN646" s="40"/>
      <c r="AP646" s="40"/>
      <c r="AR646" s="40"/>
    </row>
    <row r="647" spans="2:44" ht="12.75" customHeight="1" x14ac:dyDescent="0.15">
      <c r="B647" s="40"/>
      <c r="C647" s="40"/>
      <c r="D647" s="40"/>
      <c r="E647" s="185"/>
      <c r="F647" s="40"/>
      <c r="G647" s="40"/>
      <c r="H647" s="53"/>
      <c r="R647" s="40"/>
      <c r="S647" s="40"/>
      <c r="U647" s="40"/>
      <c r="V647" s="40"/>
      <c r="W647" s="40"/>
      <c r="Y647" s="40"/>
      <c r="Z647" s="40"/>
      <c r="AA647" s="41"/>
      <c r="AB647" s="41"/>
      <c r="AC647" s="41"/>
      <c r="AD647" s="41"/>
      <c r="AE647" s="41"/>
      <c r="AF647" s="40"/>
      <c r="AG647" s="40"/>
      <c r="AH647" s="5"/>
      <c r="AI647" s="5"/>
      <c r="AJ647" s="40"/>
      <c r="AK647" s="40"/>
      <c r="AL647" s="40"/>
      <c r="AM647" s="40"/>
      <c r="AN647" s="40"/>
      <c r="AP647" s="40"/>
      <c r="AR647" s="40"/>
    </row>
    <row r="648" spans="2:44" ht="12.75" customHeight="1" x14ac:dyDescent="0.15">
      <c r="B648" s="40"/>
      <c r="C648" s="40"/>
      <c r="D648" s="40"/>
      <c r="E648" s="185"/>
      <c r="F648" s="40"/>
      <c r="G648" s="40"/>
      <c r="H648" s="53"/>
      <c r="R648" s="40"/>
      <c r="S648" s="40"/>
      <c r="U648" s="40"/>
      <c r="V648" s="40"/>
      <c r="W648" s="40"/>
      <c r="Y648" s="40"/>
      <c r="Z648" s="40"/>
      <c r="AA648" s="41"/>
      <c r="AB648" s="41"/>
      <c r="AC648" s="41"/>
      <c r="AD648" s="41"/>
      <c r="AE648" s="41"/>
      <c r="AF648" s="40"/>
      <c r="AG648" s="40"/>
      <c r="AH648" s="5"/>
      <c r="AI648" s="5"/>
      <c r="AJ648" s="40"/>
      <c r="AK648" s="40"/>
      <c r="AL648" s="40"/>
      <c r="AM648" s="40"/>
      <c r="AN648" s="40"/>
      <c r="AP648" s="40"/>
      <c r="AR648" s="40"/>
    </row>
    <row r="649" spans="2:44" ht="12.75" customHeight="1" x14ac:dyDescent="0.15">
      <c r="B649" s="40"/>
      <c r="C649" s="40"/>
      <c r="D649" s="40"/>
      <c r="E649" s="185"/>
      <c r="F649" s="40"/>
      <c r="G649" s="40"/>
      <c r="H649" s="53"/>
      <c r="R649" s="40"/>
      <c r="S649" s="40"/>
      <c r="U649" s="40"/>
      <c r="V649" s="40"/>
      <c r="W649" s="40"/>
      <c r="Y649" s="40"/>
      <c r="Z649" s="40"/>
      <c r="AA649" s="41"/>
      <c r="AB649" s="41"/>
      <c r="AC649" s="41"/>
      <c r="AD649" s="41"/>
      <c r="AE649" s="41"/>
      <c r="AF649" s="40"/>
      <c r="AG649" s="40"/>
      <c r="AH649" s="5"/>
      <c r="AI649" s="5"/>
      <c r="AJ649" s="40"/>
      <c r="AK649" s="40"/>
      <c r="AL649" s="40"/>
      <c r="AM649" s="40"/>
      <c r="AN649" s="40"/>
      <c r="AP649" s="40"/>
      <c r="AR649" s="40"/>
    </row>
    <row r="650" spans="2:44" ht="12.75" customHeight="1" x14ac:dyDescent="0.15">
      <c r="B650" s="40"/>
      <c r="C650" s="40"/>
      <c r="D650" s="40"/>
      <c r="E650" s="185"/>
      <c r="F650" s="40"/>
      <c r="G650" s="40"/>
      <c r="H650" s="53"/>
      <c r="R650" s="40"/>
      <c r="S650" s="40"/>
      <c r="U650" s="40"/>
      <c r="V650" s="40"/>
      <c r="W650" s="40"/>
      <c r="Y650" s="40"/>
      <c r="Z650" s="40"/>
      <c r="AA650" s="41"/>
      <c r="AB650" s="41"/>
      <c r="AC650" s="41"/>
      <c r="AD650" s="41"/>
      <c r="AE650" s="41"/>
      <c r="AF650" s="40"/>
      <c r="AG650" s="40"/>
      <c r="AH650" s="5"/>
      <c r="AI650" s="5"/>
      <c r="AJ650" s="40"/>
      <c r="AK650" s="40"/>
      <c r="AL650" s="40"/>
      <c r="AM650" s="40"/>
      <c r="AN650" s="40"/>
      <c r="AP650" s="40"/>
      <c r="AR650" s="40"/>
    </row>
    <row r="651" spans="2:44" ht="12.75" customHeight="1" x14ac:dyDescent="0.15">
      <c r="B651" s="40"/>
      <c r="C651" s="40"/>
      <c r="D651" s="40"/>
      <c r="E651" s="185"/>
      <c r="F651" s="40"/>
      <c r="G651" s="40"/>
      <c r="H651" s="53"/>
      <c r="R651" s="40"/>
      <c r="S651" s="40"/>
      <c r="U651" s="40"/>
      <c r="V651" s="40"/>
      <c r="W651" s="40"/>
      <c r="Y651" s="40"/>
      <c r="Z651" s="40"/>
      <c r="AA651" s="41"/>
      <c r="AB651" s="41"/>
      <c r="AC651" s="41"/>
      <c r="AD651" s="41"/>
      <c r="AE651" s="41"/>
      <c r="AF651" s="40"/>
      <c r="AG651" s="40"/>
      <c r="AH651" s="5"/>
      <c r="AI651" s="5"/>
      <c r="AJ651" s="40"/>
      <c r="AK651" s="40"/>
      <c r="AL651" s="40"/>
      <c r="AM651" s="40"/>
      <c r="AN651" s="40"/>
      <c r="AP651" s="40"/>
      <c r="AR651" s="40"/>
    </row>
    <row r="652" spans="2:44" ht="12.75" customHeight="1" x14ac:dyDescent="0.15">
      <c r="B652" s="40"/>
      <c r="C652" s="40"/>
      <c r="D652" s="40"/>
      <c r="E652" s="185"/>
      <c r="F652" s="40"/>
      <c r="G652" s="40"/>
      <c r="H652" s="53"/>
      <c r="R652" s="40"/>
      <c r="S652" s="40"/>
      <c r="U652" s="40"/>
      <c r="V652" s="40"/>
      <c r="W652" s="40"/>
      <c r="Y652" s="40"/>
      <c r="Z652" s="40"/>
      <c r="AA652" s="41"/>
      <c r="AB652" s="41"/>
      <c r="AC652" s="41"/>
      <c r="AD652" s="41"/>
      <c r="AE652" s="41"/>
      <c r="AF652" s="40"/>
      <c r="AG652" s="40"/>
      <c r="AH652" s="5"/>
      <c r="AI652" s="5"/>
      <c r="AJ652" s="40"/>
      <c r="AK652" s="40"/>
      <c r="AL652" s="40"/>
      <c r="AM652" s="40"/>
      <c r="AN652" s="40"/>
      <c r="AP652" s="40"/>
      <c r="AR652" s="40"/>
    </row>
    <row r="653" spans="2:44" ht="12.75" customHeight="1" x14ac:dyDescent="0.15">
      <c r="B653" s="40"/>
      <c r="C653" s="40"/>
      <c r="D653" s="40"/>
      <c r="E653" s="185"/>
      <c r="F653" s="40"/>
      <c r="G653" s="40"/>
      <c r="H653" s="53"/>
      <c r="R653" s="40"/>
      <c r="S653" s="40"/>
      <c r="U653" s="40"/>
      <c r="V653" s="40"/>
      <c r="W653" s="40"/>
      <c r="Y653" s="40"/>
      <c r="Z653" s="40"/>
      <c r="AA653" s="41"/>
      <c r="AB653" s="41"/>
      <c r="AC653" s="41"/>
      <c r="AD653" s="41"/>
      <c r="AE653" s="41"/>
      <c r="AF653" s="40"/>
      <c r="AG653" s="40"/>
      <c r="AH653" s="5"/>
      <c r="AI653" s="5"/>
      <c r="AJ653" s="40"/>
      <c r="AK653" s="40"/>
      <c r="AL653" s="40"/>
      <c r="AM653" s="40"/>
      <c r="AN653" s="40"/>
      <c r="AP653" s="40"/>
      <c r="AR653" s="40"/>
    </row>
    <row r="654" spans="2:44" ht="12.75" customHeight="1" x14ac:dyDescent="0.15">
      <c r="B654" s="40"/>
      <c r="C654" s="40"/>
      <c r="D654" s="40"/>
      <c r="E654" s="185"/>
      <c r="F654" s="40"/>
      <c r="G654" s="40"/>
      <c r="H654" s="53"/>
      <c r="R654" s="40"/>
      <c r="S654" s="40"/>
      <c r="U654" s="40"/>
      <c r="V654" s="40"/>
      <c r="W654" s="40"/>
      <c r="Y654" s="40"/>
      <c r="Z654" s="40"/>
      <c r="AA654" s="41"/>
      <c r="AB654" s="41"/>
      <c r="AC654" s="41"/>
      <c r="AD654" s="41"/>
      <c r="AE654" s="41"/>
      <c r="AF654" s="40"/>
      <c r="AG654" s="40"/>
      <c r="AH654" s="5"/>
      <c r="AI654" s="5"/>
      <c r="AJ654" s="40"/>
      <c r="AK654" s="40"/>
      <c r="AL654" s="40"/>
      <c r="AM654" s="40"/>
      <c r="AN654" s="40"/>
      <c r="AP654" s="40"/>
      <c r="AR654" s="40"/>
    </row>
    <row r="655" spans="2:44" ht="12.75" customHeight="1" x14ac:dyDescent="0.15">
      <c r="B655" s="40"/>
      <c r="C655" s="40"/>
      <c r="D655" s="40"/>
      <c r="E655" s="185"/>
      <c r="F655" s="40"/>
      <c r="G655" s="40"/>
      <c r="H655" s="53"/>
      <c r="R655" s="40"/>
      <c r="S655" s="40"/>
      <c r="U655" s="40"/>
      <c r="V655" s="40"/>
      <c r="W655" s="40"/>
      <c r="Y655" s="40"/>
      <c r="Z655" s="40"/>
      <c r="AA655" s="41"/>
      <c r="AB655" s="41"/>
      <c r="AC655" s="41"/>
      <c r="AD655" s="41"/>
      <c r="AE655" s="41"/>
      <c r="AF655" s="40"/>
      <c r="AG655" s="40"/>
      <c r="AH655" s="5"/>
      <c r="AI655" s="5"/>
      <c r="AJ655" s="40"/>
      <c r="AK655" s="40"/>
      <c r="AL655" s="40"/>
      <c r="AM655" s="40"/>
      <c r="AN655" s="40"/>
      <c r="AP655" s="40"/>
      <c r="AR655" s="40"/>
    </row>
    <row r="656" spans="2:44" ht="12.75" customHeight="1" x14ac:dyDescent="0.15">
      <c r="B656" s="40"/>
      <c r="C656" s="40"/>
      <c r="D656" s="40"/>
      <c r="E656" s="185"/>
      <c r="F656" s="40"/>
      <c r="G656" s="40"/>
      <c r="H656" s="53"/>
      <c r="R656" s="40"/>
      <c r="S656" s="40"/>
      <c r="U656" s="40"/>
      <c r="V656" s="40"/>
      <c r="W656" s="40"/>
      <c r="Y656" s="40"/>
      <c r="Z656" s="40"/>
      <c r="AA656" s="41"/>
      <c r="AB656" s="41"/>
      <c r="AC656" s="41"/>
      <c r="AD656" s="41"/>
      <c r="AE656" s="41"/>
      <c r="AF656" s="40"/>
      <c r="AG656" s="40"/>
      <c r="AH656" s="5"/>
      <c r="AI656" s="5"/>
      <c r="AJ656" s="40"/>
      <c r="AK656" s="40"/>
      <c r="AL656" s="40"/>
      <c r="AM656" s="40"/>
      <c r="AN656" s="40"/>
      <c r="AP656" s="40"/>
      <c r="AR656" s="40"/>
    </row>
    <row r="657" spans="2:44" ht="12.75" customHeight="1" x14ac:dyDescent="0.15">
      <c r="B657" s="40"/>
      <c r="C657" s="40"/>
      <c r="D657" s="40"/>
      <c r="E657" s="185"/>
      <c r="F657" s="40"/>
      <c r="G657" s="40"/>
      <c r="H657" s="53"/>
      <c r="R657" s="40"/>
      <c r="S657" s="40"/>
      <c r="U657" s="40"/>
      <c r="V657" s="40"/>
      <c r="W657" s="40"/>
      <c r="Y657" s="40"/>
      <c r="Z657" s="40"/>
      <c r="AA657" s="41"/>
      <c r="AB657" s="41"/>
      <c r="AC657" s="41"/>
      <c r="AD657" s="41"/>
      <c r="AE657" s="41"/>
      <c r="AF657" s="40"/>
      <c r="AG657" s="40"/>
      <c r="AH657" s="5"/>
      <c r="AI657" s="5"/>
      <c r="AJ657" s="40"/>
      <c r="AK657" s="40"/>
      <c r="AL657" s="40"/>
      <c r="AM657" s="40"/>
      <c r="AN657" s="40"/>
      <c r="AP657" s="40"/>
      <c r="AR657" s="40"/>
    </row>
    <row r="658" spans="2:44" ht="12.75" customHeight="1" x14ac:dyDescent="0.15">
      <c r="B658" s="40"/>
      <c r="C658" s="40"/>
      <c r="D658" s="40"/>
      <c r="E658" s="185"/>
      <c r="F658" s="40"/>
      <c r="G658" s="40"/>
      <c r="H658" s="53"/>
      <c r="R658" s="40"/>
      <c r="S658" s="40"/>
      <c r="U658" s="40"/>
      <c r="V658" s="40"/>
      <c r="W658" s="40"/>
      <c r="Y658" s="40"/>
      <c r="Z658" s="40"/>
      <c r="AA658" s="41"/>
      <c r="AB658" s="41"/>
      <c r="AC658" s="41"/>
      <c r="AD658" s="41"/>
      <c r="AE658" s="41"/>
      <c r="AF658" s="40"/>
      <c r="AG658" s="40"/>
      <c r="AH658" s="5"/>
      <c r="AI658" s="5"/>
      <c r="AJ658" s="40"/>
      <c r="AK658" s="40"/>
      <c r="AL658" s="40"/>
      <c r="AM658" s="40"/>
      <c r="AN658" s="40"/>
      <c r="AP658" s="40"/>
      <c r="AR658" s="40"/>
    </row>
    <row r="659" spans="2:44" ht="12.75" customHeight="1" x14ac:dyDescent="0.15">
      <c r="B659" s="40"/>
      <c r="C659" s="40"/>
      <c r="D659" s="40"/>
      <c r="E659" s="185"/>
      <c r="F659" s="40"/>
      <c r="G659" s="40"/>
      <c r="H659" s="53"/>
      <c r="R659" s="40"/>
      <c r="S659" s="40"/>
      <c r="U659" s="40"/>
      <c r="V659" s="40"/>
      <c r="W659" s="40"/>
      <c r="Y659" s="40"/>
      <c r="Z659" s="40"/>
      <c r="AA659" s="41"/>
      <c r="AB659" s="41"/>
      <c r="AC659" s="41"/>
      <c r="AD659" s="41"/>
      <c r="AE659" s="41"/>
      <c r="AF659" s="40"/>
      <c r="AG659" s="40"/>
      <c r="AH659" s="5"/>
      <c r="AI659" s="5"/>
      <c r="AJ659" s="40"/>
      <c r="AK659" s="40"/>
      <c r="AL659" s="40"/>
      <c r="AM659" s="40"/>
      <c r="AN659" s="40"/>
      <c r="AP659" s="40"/>
      <c r="AR659" s="40"/>
    </row>
    <row r="660" spans="2:44" ht="12.75" customHeight="1" x14ac:dyDescent="0.15">
      <c r="B660" s="40"/>
      <c r="C660" s="40"/>
      <c r="D660" s="40"/>
      <c r="E660" s="185"/>
      <c r="F660" s="40"/>
      <c r="G660" s="40"/>
      <c r="H660" s="53"/>
      <c r="R660" s="40"/>
      <c r="S660" s="40"/>
      <c r="U660" s="40"/>
      <c r="V660" s="40"/>
      <c r="W660" s="40"/>
      <c r="Y660" s="40"/>
      <c r="Z660" s="40"/>
      <c r="AA660" s="41"/>
      <c r="AB660" s="41"/>
      <c r="AC660" s="41"/>
      <c r="AD660" s="41"/>
      <c r="AE660" s="41"/>
      <c r="AF660" s="40"/>
      <c r="AG660" s="40"/>
      <c r="AH660" s="5"/>
      <c r="AI660" s="5"/>
      <c r="AJ660" s="40"/>
      <c r="AK660" s="40"/>
      <c r="AL660" s="40"/>
      <c r="AM660" s="40"/>
      <c r="AN660" s="40"/>
      <c r="AP660" s="40"/>
      <c r="AR660" s="40"/>
    </row>
    <row r="661" spans="2:44" ht="12.75" customHeight="1" x14ac:dyDescent="0.15">
      <c r="B661" s="40"/>
      <c r="C661" s="40"/>
      <c r="D661" s="40"/>
      <c r="E661" s="185"/>
      <c r="F661" s="40"/>
      <c r="G661" s="40"/>
      <c r="H661" s="53"/>
      <c r="R661" s="40"/>
      <c r="S661" s="40"/>
      <c r="U661" s="40"/>
      <c r="V661" s="40"/>
      <c r="W661" s="40"/>
      <c r="Y661" s="40"/>
      <c r="Z661" s="40"/>
      <c r="AA661" s="41"/>
      <c r="AB661" s="41"/>
      <c r="AC661" s="41"/>
      <c r="AD661" s="41"/>
      <c r="AE661" s="41"/>
      <c r="AF661" s="40"/>
      <c r="AG661" s="40"/>
      <c r="AH661" s="5"/>
      <c r="AI661" s="5"/>
      <c r="AJ661" s="40"/>
      <c r="AK661" s="40"/>
      <c r="AL661" s="40"/>
      <c r="AM661" s="40"/>
      <c r="AN661" s="40"/>
      <c r="AP661" s="40"/>
      <c r="AR661" s="40"/>
    </row>
    <row r="662" spans="2:44" ht="12.75" customHeight="1" x14ac:dyDescent="0.15">
      <c r="B662" s="40"/>
      <c r="C662" s="40"/>
      <c r="D662" s="40"/>
      <c r="E662" s="185"/>
      <c r="F662" s="40"/>
      <c r="G662" s="40"/>
      <c r="H662" s="53"/>
      <c r="R662" s="40"/>
      <c r="S662" s="40"/>
      <c r="U662" s="40"/>
      <c r="V662" s="40"/>
      <c r="W662" s="40"/>
      <c r="Y662" s="40"/>
      <c r="Z662" s="40"/>
      <c r="AA662" s="41"/>
      <c r="AB662" s="41"/>
      <c r="AC662" s="41"/>
      <c r="AD662" s="41"/>
      <c r="AE662" s="41"/>
      <c r="AF662" s="40"/>
      <c r="AG662" s="40"/>
      <c r="AH662" s="5"/>
      <c r="AI662" s="5"/>
      <c r="AJ662" s="40"/>
      <c r="AK662" s="40"/>
      <c r="AL662" s="40"/>
      <c r="AM662" s="40"/>
      <c r="AN662" s="40"/>
      <c r="AP662" s="40"/>
      <c r="AR662" s="40"/>
    </row>
    <row r="663" spans="2:44" ht="12.75" customHeight="1" x14ac:dyDescent="0.15">
      <c r="B663" s="40"/>
      <c r="C663" s="40"/>
      <c r="D663" s="40"/>
      <c r="E663" s="185"/>
      <c r="F663" s="40"/>
      <c r="G663" s="40"/>
      <c r="H663" s="53"/>
      <c r="R663" s="40"/>
      <c r="S663" s="40"/>
      <c r="U663" s="40"/>
      <c r="V663" s="40"/>
      <c r="W663" s="40"/>
      <c r="Y663" s="40"/>
      <c r="Z663" s="40"/>
      <c r="AA663" s="41"/>
      <c r="AB663" s="41"/>
      <c r="AC663" s="41"/>
      <c r="AD663" s="41"/>
      <c r="AE663" s="41"/>
      <c r="AF663" s="40"/>
      <c r="AG663" s="40"/>
      <c r="AH663" s="5"/>
      <c r="AI663" s="5"/>
      <c r="AJ663" s="40"/>
      <c r="AK663" s="40"/>
      <c r="AL663" s="40"/>
      <c r="AM663" s="40"/>
      <c r="AN663" s="40"/>
      <c r="AP663" s="40"/>
      <c r="AR663" s="40"/>
    </row>
    <row r="664" spans="2:44" ht="12.75" customHeight="1" x14ac:dyDescent="0.15">
      <c r="B664" s="40"/>
      <c r="C664" s="40"/>
      <c r="D664" s="40"/>
      <c r="E664" s="185"/>
      <c r="F664" s="40"/>
      <c r="G664" s="40"/>
      <c r="H664" s="53"/>
      <c r="R664" s="40"/>
      <c r="S664" s="40"/>
      <c r="U664" s="40"/>
      <c r="V664" s="40"/>
      <c r="W664" s="40"/>
      <c r="Y664" s="40"/>
      <c r="Z664" s="40"/>
      <c r="AA664" s="41"/>
      <c r="AB664" s="41"/>
      <c r="AC664" s="41"/>
      <c r="AD664" s="41"/>
      <c r="AE664" s="41"/>
      <c r="AF664" s="40"/>
      <c r="AG664" s="40"/>
      <c r="AH664" s="5"/>
      <c r="AI664" s="5"/>
      <c r="AJ664" s="40"/>
      <c r="AK664" s="40"/>
      <c r="AL664" s="40"/>
      <c r="AM664" s="40"/>
      <c r="AN664" s="40"/>
      <c r="AP664" s="40"/>
      <c r="AR664" s="40"/>
    </row>
    <row r="665" spans="2:44" ht="12.75" customHeight="1" x14ac:dyDescent="0.15">
      <c r="B665" s="40"/>
      <c r="C665" s="40"/>
      <c r="D665" s="40"/>
      <c r="E665" s="185"/>
      <c r="F665" s="40"/>
      <c r="G665" s="40"/>
      <c r="H665" s="53"/>
      <c r="R665" s="40"/>
      <c r="S665" s="40"/>
      <c r="U665" s="40"/>
      <c r="V665" s="40"/>
      <c r="W665" s="40"/>
      <c r="Y665" s="40"/>
      <c r="Z665" s="40"/>
      <c r="AA665" s="41"/>
      <c r="AB665" s="41"/>
      <c r="AC665" s="41"/>
      <c r="AD665" s="41"/>
      <c r="AE665" s="41"/>
      <c r="AF665" s="40"/>
      <c r="AG665" s="40"/>
      <c r="AH665" s="5"/>
      <c r="AI665" s="5"/>
      <c r="AJ665" s="40"/>
      <c r="AK665" s="40"/>
      <c r="AL665" s="40"/>
      <c r="AM665" s="40"/>
      <c r="AN665" s="40"/>
      <c r="AP665" s="40"/>
      <c r="AR665" s="40"/>
    </row>
    <row r="666" spans="2:44" ht="12.75" customHeight="1" x14ac:dyDescent="0.15">
      <c r="B666" s="40"/>
      <c r="C666" s="40"/>
      <c r="D666" s="40"/>
      <c r="E666" s="185"/>
      <c r="F666" s="40"/>
      <c r="G666" s="40"/>
      <c r="H666" s="53"/>
      <c r="R666" s="40"/>
      <c r="S666" s="40"/>
      <c r="U666" s="40"/>
      <c r="V666" s="40"/>
      <c r="W666" s="40"/>
      <c r="Y666" s="40"/>
      <c r="Z666" s="40"/>
      <c r="AA666" s="41"/>
      <c r="AB666" s="41"/>
      <c r="AC666" s="41"/>
      <c r="AD666" s="41"/>
      <c r="AE666" s="41"/>
      <c r="AF666" s="40"/>
      <c r="AG666" s="40"/>
      <c r="AH666" s="5"/>
      <c r="AI666" s="5"/>
      <c r="AJ666" s="40"/>
      <c r="AK666" s="40"/>
      <c r="AL666" s="40"/>
      <c r="AM666" s="40"/>
      <c r="AN666" s="40"/>
      <c r="AP666" s="40"/>
      <c r="AR666" s="40"/>
    </row>
    <row r="667" spans="2:44" ht="12.75" customHeight="1" x14ac:dyDescent="0.15">
      <c r="B667" s="40"/>
      <c r="C667" s="40"/>
      <c r="D667" s="40"/>
      <c r="E667" s="185"/>
      <c r="F667" s="40"/>
      <c r="G667" s="40"/>
      <c r="H667" s="53"/>
      <c r="R667" s="40"/>
      <c r="S667" s="40"/>
      <c r="U667" s="40"/>
      <c r="V667" s="40"/>
      <c r="W667" s="40"/>
      <c r="Y667" s="40"/>
      <c r="Z667" s="40"/>
      <c r="AA667" s="41"/>
      <c r="AB667" s="41"/>
      <c r="AC667" s="41"/>
      <c r="AD667" s="41"/>
      <c r="AE667" s="41"/>
      <c r="AF667" s="40"/>
      <c r="AG667" s="40"/>
      <c r="AH667" s="5"/>
      <c r="AI667" s="5"/>
      <c r="AJ667" s="40"/>
      <c r="AK667" s="40"/>
      <c r="AL667" s="40"/>
      <c r="AM667" s="40"/>
      <c r="AN667" s="40"/>
      <c r="AP667" s="40"/>
      <c r="AR667" s="40"/>
    </row>
    <row r="668" spans="2:44" ht="12.75" customHeight="1" x14ac:dyDescent="0.15">
      <c r="B668" s="40"/>
      <c r="C668" s="40"/>
      <c r="D668" s="40"/>
      <c r="E668" s="185"/>
      <c r="F668" s="40"/>
      <c r="G668" s="40"/>
      <c r="H668" s="53"/>
      <c r="R668" s="40"/>
      <c r="S668" s="40"/>
      <c r="U668" s="40"/>
      <c r="V668" s="40"/>
      <c r="W668" s="40"/>
      <c r="Y668" s="40"/>
      <c r="Z668" s="40"/>
      <c r="AA668" s="41"/>
      <c r="AB668" s="41"/>
      <c r="AC668" s="41"/>
      <c r="AD668" s="41"/>
      <c r="AE668" s="41"/>
      <c r="AF668" s="40"/>
      <c r="AG668" s="40"/>
      <c r="AH668" s="5"/>
      <c r="AI668" s="5"/>
      <c r="AJ668" s="40"/>
      <c r="AK668" s="40"/>
      <c r="AL668" s="40"/>
      <c r="AM668" s="40"/>
      <c r="AN668" s="40"/>
      <c r="AP668" s="40"/>
      <c r="AR668" s="40"/>
    </row>
    <row r="669" spans="2:44" ht="12.75" customHeight="1" x14ac:dyDescent="0.15">
      <c r="B669" s="40"/>
      <c r="C669" s="40"/>
      <c r="D669" s="40"/>
      <c r="E669" s="185"/>
      <c r="F669" s="40"/>
      <c r="G669" s="40"/>
      <c r="H669" s="53"/>
      <c r="R669" s="40"/>
      <c r="S669" s="40"/>
      <c r="U669" s="40"/>
      <c r="V669" s="40"/>
      <c r="W669" s="40"/>
      <c r="Y669" s="40"/>
      <c r="Z669" s="40"/>
      <c r="AA669" s="41"/>
      <c r="AB669" s="41"/>
      <c r="AC669" s="41"/>
      <c r="AD669" s="41"/>
      <c r="AE669" s="41"/>
      <c r="AF669" s="40"/>
      <c r="AG669" s="40"/>
      <c r="AH669" s="5"/>
      <c r="AI669" s="5"/>
      <c r="AJ669" s="40"/>
      <c r="AK669" s="40"/>
      <c r="AL669" s="40"/>
      <c r="AM669" s="40"/>
      <c r="AN669" s="40"/>
      <c r="AP669" s="40"/>
      <c r="AR669" s="40"/>
    </row>
    <row r="670" spans="2:44" ht="12.75" customHeight="1" x14ac:dyDescent="0.15">
      <c r="B670" s="40"/>
      <c r="C670" s="40"/>
      <c r="D670" s="40"/>
      <c r="E670" s="185"/>
      <c r="F670" s="40"/>
      <c r="G670" s="40"/>
      <c r="H670" s="53"/>
      <c r="R670" s="40"/>
      <c r="S670" s="40"/>
      <c r="U670" s="40"/>
      <c r="V670" s="40"/>
      <c r="W670" s="40"/>
      <c r="Y670" s="40"/>
      <c r="Z670" s="40"/>
      <c r="AA670" s="41"/>
      <c r="AB670" s="41"/>
      <c r="AC670" s="41"/>
      <c r="AD670" s="41"/>
      <c r="AE670" s="41"/>
      <c r="AF670" s="40"/>
      <c r="AG670" s="40"/>
      <c r="AH670" s="5"/>
      <c r="AI670" s="5"/>
      <c r="AJ670" s="40"/>
      <c r="AK670" s="40"/>
      <c r="AL670" s="40"/>
      <c r="AM670" s="40"/>
      <c r="AN670" s="40"/>
      <c r="AP670" s="40"/>
      <c r="AR670" s="40"/>
    </row>
    <row r="671" spans="2:44" ht="12.75" customHeight="1" x14ac:dyDescent="0.15">
      <c r="B671" s="40"/>
      <c r="C671" s="40"/>
      <c r="D671" s="40"/>
      <c r="E671" s="185"/>
      <c r="F671" s="40"/>
      <c r="G671" s="40"/>
      <c r="H671" s="53"/>
      <c r="R671" s="40"/>
      <c r="S671" s="40"/>
      <c r="U671" s="40"/>
      <c r="V671" s="40"/>
      <c r="W671" s="40"/>
      <c r="Y671" s="40"/>
      <c r="Z671" s="40"/>
      <c r="AA671" s="41"/>
      <c r="AB671" s="41"/>
      <c r="AC671" s="41"/>
      <c r="AD671" s="41"/>
      <c r="AE671" s="41"/>
      <c r="AF671" s="40"/>
      <c r="AG671" s="40"/>
      <c r="AH671" s="5"/>
      <c r="AI671" s="5"/>
      <c r="AJ671" s="40"/>
      <c r="AK671" s="40"/>
      <c r="AL671" s="40"/>
      <c r="AM671" s="40"/>
      <c r="AN671" s="40"/>
      <c r="AP671" s="40"/>
      <c r="AR671" s="40"/>
    </row>
    <row r="672" spans="2:44" ht="12.75" customHeight="1" x14ac:dyDescent="0.15">
      <c r="B672" s="40"/>
      <c r="C672" s="40"/>
      <c r="D672" s="40"/>
      <c r="E672" s="185"/>
      <c r="F672" s="40"/>
      <c r="G672" s="40"/>
      <c r="H672" s="53"/>
      <c r="R672" s="40"/>
      <c r="S672" s="40"/>
      <c r="U672" s="40"/>
      <c r="V672" s="40"/>
      <c r="W672" s="40"/>
      <c r="Y672" s="40"/>
      <c r="Z672" s="40"/>
      <c r="AA672" s="41"/>
      <c r="AB672" s="41"/>
      <c r="AC672" s="41"/>
      <c r="AD672" s="41"/>
      <c r="AE672" s="41"/>
      <c r="AF672" s="40"/>
      <c r="AG672" s="40"/>
      <c r="AH672" s="5"/>
      <c r="AI672" s="5"/>
      <c r="AJ672" s="40"/>
      <c r="AK672" s="40"/>
      <c r="AL672" s="40"/>
      <c r="AM672" s="40"/>
      <c r="AN672" s="40"/>
      <c r="AP672" s="40"/>
      <c r="AR672" s="40"/>
    </row>
    <row r="673" spans="2:44" ht="12.75" customHeight="1" x14ac:dyDescent="0.15">
      <c r="B673" s="40"/>
      <c r="C673" s="40"/>
      <c r="D673" s="40"/>
      <c r="E673" s="185"/>
      <c r="F673" s="40"/>
      <c r="G673" s="40"/>
      <c r="H673" s="53"/>
      <c r="R673" s="40"/>
      <c r="S673" s="40"/>
      <c r="U673" s="40"/>
      <c r="V673" s="40"/>
      <c r="W673" s="40"/>
      <c r="Y673" s="40"/>
      <c r="Z673" s="40"/>
      <c r="AA673" s="41"/>
      <c r="AB673" s="41"/>
      <c r="AC673" s="41"/>
      <c r="AD673" s="41"/>
      <c r="AE673" s="41"/>
      <c r="AF673" s="40"/>
      <c r="AG673" s="40"/>
      <c r="AH673" s="5"/>
      <c r="AI673" s="5"/>
      <c r="AJ673" s="40"/>
      <c r="AK673" s="40"/>
      <c r="AL673" s="40"/>
      <c r="AM673" s="40"/>
      <c r="AN673" s="40"/>
      <c r="AP673" s="40"/>
      <c r="AR673" s="40"/>
    </row>
    <row r="674" spans="2:44" ht="12.75" customHeight="1" x14ac:dyDescent="0.15">
      <c r="B674" s="40"/>
      <c r="C674" s="40"/>
      <c r="D674" s="40"/>
      <c r="E674" s="185"/>
      <c r="F674" s="40"/>
      <c r="G674" s="40"/>
      <c r="H674" s="53"/>
      <c r="R674" s="40"/>
      <c r="S674" s="40"/>
      <c r="U674" s="40"/>
      <c r="V674" s="40"/>
      <c r="W674" s="40"/>
      <c r="Y674" s="40"/>
      <c r="Z674" s="40"/>
      <c r="AA674" s="41"/>
      <c r="AB674" s="41"/>
      <c r="AC674" s="41"/>
      <c r="AD674" s="41"/>
      <c r="AE674" s="41"/>
      <c r="AF674" s="40"/>
      <c r="AG674" s="40"/>
      <c r="AH674" s="5"/>
      <c r="AI674" s="5"/>
      <c r="AJ674" s="40"/>
      <c r="AK674" s="40"/>
      <c r="AL674" s="40"/>
      <c r="AM674" s="40"/>
      <c r="AN674" s="40"/>
      <c r="AP674" s="40"/>
      <c r="AR674" s="40"/>
    </row>
    <row r="675" spans="2:44" ht="12.75" customHeight="1" x14ac:dyDescent="0.15">
      <c r="B675" s="40"/>
      <c r="C675" s="40"/>
      <c r="D675" s="40"/>
      <c r="E675" s="185"/>
      <c r="F675" s="40"/>
      <c r="G675" s="40"/>
      <c r="H675" s="53"/>
      <c r="R675" s="40"/>
      <c r="S675" s="40"/>
      <c r="U675" s="40"/>
      <c r="V675" s="40"/>
      <c r="W675" s="40"/>
      <c r="Y675" s="40"/>
      <c r="Z675" s="40"/>
      <c r="AA675" s="41"/>
      <c r="AB675" s="41"/>
      <c r="AC675" s="41"/>
      <c r="AD675" s="41"/>
      <c r="AE675" s="41"/>
      <c r="AF675" s="40"/>
      <c r="AG675" s="40"/>
      <c r="AH675" s="5"/>
      <c r="AI675" s="5"/>
      <c r="AJ675" s="40"/>
      <c r="AK675" s="40"/>
      <c r="AL675" s="40"/>
      <c r="AM675" s="40"/>
      <c r="AN675" s="40"/>
      <c r="AP675" s="40"/>
      <c r="AR675" s="40"/>
    </row>
    <row r="676" spans="2:44" ht="12.75" customHeight="1" x14ac:dyDescent="0.15">
      <c r="B676" s="40"/>
      <c r="C676" s="40"/>
      <c r="D676" s="40"/>
      <c r="E676" s="185"/>
      <c r="F676" s="40"/>
      <c r="G676" s="40"/>
      <c r="H676" s="53"/>
      <c r="R676" s="40"/>
      <c r="S676" s="40"/>
      <c r="U676" s="40"/>
      <c r="V676" s="40"/>
      <c r="W676" s="40"/>
      <c r="Y676" s="40"/>
      <c r="Z676" s="40"/>
      <c r="AA676" s="41"/>
      <c r="AB676" s="41"/>
      <c r="AC676" s="41"/>
      <c r="AD676" s="41"/>
      <c r="AE676" s="41"/>
      <c r="AF676" s="40"/>
      <c r="AG676" s="40"/>
      <c r="AH676" s="5"/>
      <c r="AI676" s="5"/>
      <c r="AJ676" s="40"/>
      <c r="AK676" s="40"/>
      <c r="AL676" s="40"/>
      <c r="AM676" s="40"/>
      <c r="AN676" s="40"/>
      <c r="AP676" s="40"/>
      <c r="AR676" s="40"/>
    </row>
    <row r="677" spans="2:44" ht="12.75" customHeight="1" x14ac:dyDescent="0.15">
      <c r="B677" s="40"/>
      <c r="C677" s="40"/>
      <c r="D677" s="40"/>
      <c r="E677" s="185"/>
      <c r="F677" s="40"/>
      <c r="G677" s="40"/>
      <c r="H677" s="53"/>
      <c r="R677" s="40"/>
      <c r="S677" s="40"/>
      <c r="U677" s="40"/>
      <c r="V677" s="40"/>
      <c r="W677" s="40"/>
      <c r="Y677" s="40"/>
      <c r="Z677" s="40"/>
      <c r="AA677" s="41"/>
      <c r="AB677" s="41"/>
      <c r="AC677" s="41"/>
      <c r="AD677" s="41"/>
      <c r="AE677" s="41"/>
      <c r="AF677" s="40"/>
      <c r="AG677" s="40"/>
      <c r="AH677" s="5"/>
      <c r="AI677" s="5"/>
      <c r="AJ677" s="40"/>
      <c r="AK677" s="40"/>
      <c r="AL677" s="40"/>
      <c r="AM677" s="40"/>
      <c r="AN677" s="40"/>
      <c r="AP677" s="40"/>
      <c r="AR677" s="40"/>
    </row>
    <row r="678" spans="2:44" ht="12.75" customHeight="1" x14ac:dyDescent="0.15">
      <c r="B678" s="40"/>
      <c r="C678" s="40"/>
      <c r="D678" s="40"/>
      <c r="E678" s="185"/>
      <c r="F678" s="40"/>
      <c r="G678" s="40"/>
      <c r="H678" s="53"/>
      <c r="R678" s="40"/>
      <c r="S678" s="40"/>
      <c r="U678" s="40"/>
      <c r="V678" s="40"/>
      <c r="W678" s="40"/>
      <c r="Y678" s="40"/>
      <c r="Z678" s="40"/>
      <c r="AA678" s="41"/>
      <c r="AB678" s="41"/>
      <c r="AC678" s="41"/>
      <c r="AD678" s="41"/>
      <c r="AE678" s="41"/>
      <c r="AF678" s="40"/>
      <c r="AG678" s="40"/>
      <c r="AH678" s="5"/>
      <c r="AI678" s="5"/>
      <c r="AJ678" s="40"/>
      <c r="AK678" s="40"/>
      <c r="AL678" s="40"/>
      <c r="AM678" s="40"/>
      <c r="AN678" s="40"/>
      <c r="AP678" s="40"/>
      <c r="AR678" s="40"/>
    </row>
    <row r="679" spans="2:44" ht="12.75" customHeight="1" x14ac:dyDescent="0.15">
      <c r="B679" s="40"/>
      <c r="C679" s="40"/>
      <c r="D679" s="40"/>
      <c r="E679" s="185"/>
      <c r="F679" s="40"/>
      <c r="G679" s="40"/>
      <c r="H679" s="53"/>
      <c r="R679" s="40"/>
      <c r="S679" s="40"/>
      <c r="U679" s="40"/>
      <c r="V679" s="40"/>
      <c r="W679" s="40"/>
      <c r="Y679" s="40"/>
      <c r="Z679" s="40"/>
      <c r="AA679" s="41"/>
      <c r="AB679" s="41"/>
      <c r="AC679" s="41"/>
      <c r="AD679" s="41"/>
      <c r="AE679" s="41"/>
      <c r="AF679" s="40"/>
      <c r="AG679" s="40"/>
      <c r="AH679" s="5"/>
      <c r="AI679" s="5"/>
      <c r="AJ679" s="40"/>
      <c r="AK679" s="40"/>
      <c r="AL679" s="40"/>
      <c r="AM679" s="40"/>
      <c r="AN679" s="40"/>
      <c r="AP679" s="40"/>
      <c r="AR679" s="40"/>
    </row>
    <row r="680" spans="2:44" ht="12.75" customHeight="1" x14ac:dyDescent="0.15">
      <c r="B680" s="40"/>
      <c r="C680" s="40"/>
      <c r="D680" s="40"/>
      <c r="E680" s="185"/>
      <c r="F680" s="40"/>
      <c r="G680" s="40"/>
      <c r="H680" s="53"/>
      <c r="R680" s="40"/>
      <c r="S680" s="40"/>
      <c r="U680" s="40"/>
      <c r="V680" s="40"/>
      <c r="W680" s="40"/>
      <c r="Y680" s="40"/>
      <c r="Z680" s="40"/>
      <c r="AA680" s="41"/>
      <c r="AB680" s="41"/>
      <c r="AC680" s="41"/>
      <c r="AD680" s="41"/>
      <c r="AE680" s="41"/>
      <c r="AF680" s="40"/>
      <c r="AG680" s="40"/>
      <c r="AH680" s="5"/>
      <c r="AI680" s="5"/>
      <c r="AJ680" s="40"/>
      <c r="AK680" s="40"/>
      <c r="AL680" s="40"/>
      <c r="AM680" s="40"/>
      <c r="AN680" s="40"/>
      <c r="AP680" s="40"/>
      <c r="AR680" s="40"/>
    </row>
    <row r="681" spans="2:44" ht="12.75" customHeight="1" x14ac:dyDescent="0.15">
      <c r="B681" s="40"/>
      <c r="C681" s="40"/>
      <c r="D681" s="40"/>
      <c r="E681" s="185"/>
      <c r="F681" s="40"/>
      <c r="G681" s="40"/>
      <c r="H681" s="53"/>
      <c r="R681" s="40"/>
      <c r="S681" s="40"/>
      <c r="U681" s="40"/>
      <c r="V681" s="40"/>
      <c r="W681" s="40"/>
      <c r="Y681" s="40"/>
      <c r="Z681" s="40"/>
      <c r="AA681" s="41"/>
      <c r="AB681" s="41"/>
      <c r="AC681" s="41"/>
      <c r="AD681" s="41"/>
      <c r="AE681" s="41"/>
      <c r="AF681" s="40"/>
      <c r="AG681" s="40"/>
      <c r="AH681" s="5"/>
      <c r="AI681" s="5"/>
      <c r="AJ681" s="40"/>
      <c r="AK681" s="40"/>
      <c r="AL681" s="40"/>
      <c r="AM681" s="40"/>
      <c r="AN681" s="40"/>
      <c r="AP681" s="40"/>
      <c r="AR681" s="40"/>
    </row>
    <row r="682" spans="2:44" ht="12.75" customHeight="1" x14ac:dyDescent="0.15">
      <c r="B682" s="40"/>
      <c r="C682" s="40"/>
      <c r="D682" s="40"/>
      <c r="E682" s="185"/>
      <c r="F682" s="40"/>
      <c r="G682" s="40"/>
      <c r="H682" s="53"/>
      <c r="R682" s="40"/>
      <c r="S682" s="40"/>
      <c r="U682" s="40"/>
      <c r="V682" s="40"/>
      <c r="W682" s="40"/>
      <c r="Y682" s="40"/>
      <c r="Z682" s="40"/>
      <c r="AA682" s="41"/>
      <c r="AB682" s="41"/>
      <c r="AC682" s="41"/>
      <c r="AD682" s="41"/>
      <c r="AE682" s="41"/>
      <c r="AF682" s="40"/>
      <c r="AG682" s="40"/>
      <c r="AH682" s="5"/>
      <c r="AI682" s="5"/>
      <c r="AJ682" s="40"/>
      <c r="AK682" s="40"/>
      <c r="AL682" s="40"/>
      <c r="AM682" s="40"/>
      <c r="AN682" s="40"/>
      <c r="AP682" s="40"/>
      <c r="AR682" s="40"/>
    </row>
    <row r="683" spans="2:44" ht="12.75" customHeight="1" x14ac:dyDescent="0.15">
      <c r="B683" s="40"/>
      <c r="C683" s="40"/>
      <c r="D683" s="40"/>
      <c r="E683" s="185"/>
      <c r="F683" s="40"/>
      <c r="G683" s="40"/>
      <c r="H683" s="53"/>
      <c r="R683" s="40"/>
      <c r="S683" s="40"/>
      <c r="U683" s="40"/>
      <c r="V683" s="40"/>
      <c r="W683" s="40"/>
      <c r="Y683" s="40"/>
      <c r="Z683" s="40"/>
      <c r="AA683" s="41"/>
      <c r="AB683" s="41"/>
      <c r="AC683" s="41"/>
      <c r="AD683" s="41"/>
      <c r="AE683" s="41"/>
      <c r="AF683" s="40"/>
      <c r="AG683" s="40"/>
      <c r="AH683" s="5"/>
      <c r="AI683" s="5"/>
      <c r="AJ683" s="40"/>
      <c r="AK683" s="40"/>
      <c r="AL683" s="40"/>
      <c r="AM683" s="40"/>
      <c r="AN683" s="40"/>
      <c r="AP683" s="40"/>
      <c r="AR683" s="40"/>
    </row>
    <row r="684" spans="2:44" ht="12.75" customHeight="1" x14ac:dyDescent="0.15">
      <c r="B684" s="40"/>
      <c r="C684" s="40"/>
      <c r="D684" s="40"/>
      <c r="E684" s="185"/>
      <c r="F684" s="40"/>
      <c r="G684" s="40"/>
      <c r="H684" s="53"/>
      <c r="R684" s="40"/>
      <c r="S684" s="40"/>
      <c r="U684" s="40"/>
      <c r="V684" s="40"/>
      <c r="W684" s="40"/>
      <c r="Y684" s="40"/>
      <c r="Z684" s="40"/>
      <c r="AA684" s="41"/>
      <c r="AB684" s="41"/>
      <c r="AC684" s="41"/>
      <c r="AD684" s="41"/>
      <c r="AE684" s="41"/>
      <c r="AF684" s="40"/>
      <c r="AG684" s="40"/>
      <c r="AH684" s="5"/>
      <c r="AI684" s="5"/>
      <c r="AJ684" s="40"/>
      <c r="AK684" s="40"/>
      <c r="AL684" s="40"/>
      <c r="AM684" s="40"/>
      <c r="AN684" s="40"/>
      <c r="AP684" s="40"/>
      <c r="AR684" s="40"/>
    </row>
    <row r="685" spans="2:44" ht="12.75" customHeight="1" x14ac:dyDescent="0.15">
      <c r="B685" s="40"/>
      <c r="C685" s="40"/>
      <c r="D685" s="40"/>
      <c r="E685" s="185"/>
      <c r="F685" s="40"/>
      <c r="G685" s="40"/>
      <c r="H685" s="53"/>
      <c r="R685" s="40"/>
      <c r="S685" s="40"/>
      <c r="U685" s="40"/>
      <c r="V685" s="40"/>
      <c r="W685" s="40"/>
      <c r="Y685" s="40"/>
      <c r="Z685" s="40"/>
      <c r="AA685" s="41"/>
      <c r="AB685" s="41"/>
      <c r="AC685" s="41"/>
      <c r="AD685" s="41"/>
      <c r="AE685" s="41"/>
      <c r="AF685" s="40"/>
      <c r="AG685" s="40"/>
      <c r="AH685" s="5"/>
      <c r="AI685" s="5"/>
      <c r="AJ685" s="40"/>
      <c r="AK685" s="40"/>
      <c r="AL685" s="40"/>
      <c r="AM685" s="40"/>
      <c r="AN685" s="40"/>
      <c r="AP685" s="40"/>
      <c r="AR685" s="40"/>
    </row>
    <row r="686" spans="2:44" ht="12.75" customHeight="1" x14ac:dyDescent="0.15">
      <c r="B686" s="40"/>
      <c r="C686" s="40"/>
      <c r="D686" s="40"/>
      <c r="E686" s="185"/>
      <c r="F686" s="40"/>
      <c r="G686" s="40"/>
      <c r="H686" s="53"/>
      <c r="R686" s="40"/>
      <c r="S686" s="40"/>
      <c r="U686" s="40"/>
      <c r="V686" s="40"/>
      <c r="W686" s="40"/>
      <c r="Y686" s="40"/>
      <c r="Z686" s="40"/>
      <c r="AA686" s="41"/>
      <c r="AB686" s="41"/>
      <c r="AC686" s="41"/>
      <c r="AD686" s="41"/>
      <c r="AE686" s="41"/>
      <c r="AF686" s="40"/>
      <c r="AG686" s="40"/>
      <c r="AH686" s="5"/>
      <c r="AI686" s="5"/>
      <c r="AJ686" s="40"/>
      <c r="AK686" s="40"/>
      <c r="AL686" s="40"/>
      <c r="AM686" s="40"/>
      <c r="AN686" s="40"/>
      <c r="AP686" s="40"/>
      <c r="AR686" s="40"/>
    </row>
    <row r="687" spans="2:44" ht="12.75" customHeight="1" x14ac:dyDescent="0.15">
      <c r="B687" s="40"/>
      <c r="C687" s="40"/>
      <c r="D687" s="40"/>
      <c r="E687" s="185"/>
      <c r="F687" s="40"/>
      <c r="G687" s="40"/>
      <c r="H687" s="53"/>
      <c r="R687" s="40"/>
      <c r="S687" s="40"/>
      <c r="U687" s="40"/>
      <c r="V687" s="40"/>
      <c r="W687" s="40"/>
      <c r="Y687" s="40"/>
      <c r="Z687" s="40"/>
      <c r="AA687" s="41"/>
      <c r="AB687" s="41"/>
      <c r="AC687" s="41"/>
      <c r="AD687" s="41"/>
      <c r="AE687" s="41"/>
      <c r="AF687" s="40"/>
      <c r="AG687" s="40"/>
      <c r="AH687" s="5"/>
      <c r="AI687" s="5"/>
      <c r="AJ687" s="40"/>
      <c r="AK687" s="40"/>
      <c r="AL687" s="40"/>
      <c r="AM687" s="40"/>
      <c r="AN687" s="40"/>
      <c r="AP687" s="40"/>
      <c r="AR687" s="40"/>
    </row>
    <row r="688" spans="2:44" ht="12.75" customHeight="1" x14ac:dyDescent="0.15">
      <c r="B688" s="40"/>
      <c r="C688" s="40"/>
      <c r="D688" s="40"/>
      <c r="E688" s="185"/>
      <c r="F688" s="40"/>
      <c r="G688" s="40"/>
      <c r="H688" s="53"/>
      <c r="R688" s="40"/>
      <c r="S688" s="40"/>
      <c r="U688" s="40"/>
      <c r="V688" s="40"/>
      <c r="W688" s="40"/>
      <c r="Y688" s="40"/>
      <c r="Z688" s="40"/>
      <c r="AA688" s="41"/>
      <c r="AB688" s="41"/>
      <c r="AC688" s="41"/>
      <c r="AD688" s="41"/>
      <c r="AE688" s="41"/>
      <c r="AF688" s="40"/>
      <c r="AG688" s="40"/>
      <c r="AH688" s="5"/>
      <c r="AI688" s="5"/>
      <c r="AJ688" s="40"/>
      <c r="AK688" s="40"/>
      <c r="AL688" s="40"/>
      <c r="AM688" s="40"/>
      <c r="AN688" s="40"/>
      <c r="AP688" s="40"/>
      <c r="AR688" s="40"/>
    </row>
    <row r="689" spans="2:44" ht="12.75" customHeight="1" x14ac:dyDescent="0.15">
      <c r="B689" s="40"/>
      <c r="C689" s="40"/>
      <c r="D689" s="40"/>
      <c r="E689" s="185"/>
      <c r="F689" s="40"/>
      <c r="G689" s="40"/>
      <c r="H689" s="53"/>
      <c r="R689" s="40"/>
      <c r="S689" s="40"/>
      <c r="U689" s="40"/>
      <c r="V689" s="40"/>
      <c r="W689" s="40"/>
      <c r="Y689" s="40"/>
      <c r="Z689" s="40"/>
      <c r="AA689" s="41"/>
      <c r="AB689" s="41"/>
      <c r="AC689" s="41"/>
      <c r="AD689" s="41"/>
      <c r="AE689" s="41"/>
      <c r="AF689" s="40"/>
      <c r="AG689" s="40"/>
      <c r="AH689" s="5"/>
      <c r="AI689" s="5"/>
      <c r="AJ689" s="40"/>
      <c r="AK689" s="40"/>
      <c r="AL689" s="40"/>
      <c r="AM689" s="40"/>
      <c r="AN689" s="40"/>
      <c r="AP689" s="40"/>
      <c r="AR689" s="40"/>
    </row>
    <row r="690" spans="2:44" ht="12.75" customHeight="1" x14ac:dyDescent="0.15">
      <c r="B690" s="40"/>
      <c r="C690" s="40"/>
      <c r="D690" s="40"/>
      <c r="E690" s="185"/>
      <c r="F690" s="40"/>
      <c r="G690" s="40"/>
      <c r="H690" s="53"/>
      <c r="R690" s="40"/>
      <c r="S690" s="40"/>
      <c r="U690" s="40"/>
      <c r="V690" s="40"/>
      <c r="W690" s="40"/>
      <c r="Y690" s="40"/>
      <c r="Z690" s="40"/>
      <c r="AA690" s="41"/>
      <c r="AB690" s="41"/>
      <c r="AC690" s="41"/>
      <c r="AD690" s="41"/>
      <c r="AE690" s="41"/>
      <c r="AF690" s="40"/>
      <c r="AG690" s="40"/>
      <c r="AH690" s="5"/>
      <c r="AI690" s="5"/>
      <c r="AJ690" s="40"/>
      <c r="AK690" s="40"/>
      <c r="AL690" s="40"/>
      <c r="AM690" s="40"/>
      <c r="AN690" s="40"/>
      <c r="AP690" s="40"/>
      <c r="AR690" s="40"/>
    </row>
    <row r="691" spans="2:44" ht="12.75" customHeight="1" x14ac:dyDescent="0.15">
      <c r="B691" s="40"/>
      <c r="C691" s="40"/>
      <c r="D691" s="40"/>
      <c r="E691" s="185"/>
      <c r="F691" s="40"/>
      <c r="G691" s="40"/>
      <c r="H691" s="53"/>
      <c r="R691" s="40"/>
      <c r="S691" s="40"/>
      <c r="U691" s="40"/>
      <c r="V691" s="40"/>
      <c r="W691" s="40"/>
      <c r="Y691" s="40"/>
      <c r="Z691" s="40"/>
      <c r="AA691" s="41"/>
      <c r="AB691" s="41"/>
      <c r="AC691" s="41"/>
      <c r="AD691" s="41"/>
      <c r="AE691" s="41"/>
      <c r="AF691" s="40"/>
      <c r="AG691" s="40"/>
      <c r="AH691" s="5"/>
      <c r="AI691" s="5"/>
      <c r="AJ691" s="40"/>
      <c r="AK691" s="40"/>
      <c r="AL691" s="40"/>
      <c r="AM691" s="40"/>
      <c r="AN691" s="40"/>
      <c r="AP691" s="40"/>
      <c r="AR691" s="40"/>
    </row>
    <row r="692" spans="2:44" ht="12.75" customHeight="1" x14ac:dyDescent="0.15">
      <c r="B692" s="40"/>
      <c r="C692" s="40"/>
      <c r="D692" s="40"/>
      <c r="E692" s="185"/>
      <c r="F692" s="40"/>
      <c r="G692" s="40"/>
      <c r="H692" s="53"/>
      <c r="R692" s="40"/>
      <c r="S692" s="40"/>
      <c r="U692" s="40"/>
      <c r="V692" s="40"/>
      <c r="W692" s="40"/>
      <c r="Y692" s="40"/>
      <c r="Z692" s="40"/>
      <c r="AA692" s="41"/>
      <c r="AB692" s="41"/>
      <c r="AC692" s="41"/>
      <c r="AD692" s="41"/>
      <c r="AE692" s="41"/>
      <c r="AF692" s="40"/>
      <c r="AG692" s="40"/>
      <c r="AH692" s="5"/>
      <c r="AI692" s="5"/>
      <c r="AJ692" s="40"/>
      <c r="AK692" s="40"/>
      <c r="AL692" s="40"/>
      <c r="AM692" s="40"/>
      <c r="AN692" s="40"/>
      <c r="AP692" s="40"/>
      <c r="AR692" s="40"/>
    </row>
    <row r="693" spans="2:44" ht="12.75" customHeight="1" x14ac:dyDescent="0.15">
      <c r="B693" s="40"/>
      <c r="C693" s="40"/>
      <c r="D693" s="40"/>
      <c r="E693" s="185"/>
      <c r="F693" s="40"/>
      <c r="G693" s="40"/>
      <c r="H693" s="53"/>
      <c r="R693" s="40"/>
      <c r="S693" s="40"/>
      <c r="U693" s="40"/>
      <c r="V693" s="40"/>
      <c r="W693" s="40"/>
      <c r="Y693" s="40"/>
      <c r="Z693" s="40"/>
      <c r="AA693" s="41"/>
      <c r="AB693" s="41"/>
      <c r="AC693" s="41"/>
      <c r="AD693" s="41"/>
      <c r="AE693" s="41"/>
      <c r="AF693" s="40"/>
      <c r="AG693" s="40"/>
      <c r="AH693" s="5"/>
      <c r="AI693" s="5"/>
      <c r="AJ693" s="40"/>
      <c r="AK693" s="40"/>
      <c r="AL693" s="40"/>
      <c r="AM693" s="40"/>
      <c r="AN693" s="40"/>
      <c r="AP693" s="40"/>
      <c r="AR693" s="40"/>
    </row>
    <row r="694" spans="2:44" ht="12.75" customHeight="1" x14ac:dyDescent="0.15">
      <c r="B694" s="40"/>
      <c r="C694" s="40"/>
      <c r="D694" s="40"/>
      <c r="E694" s="185"/>
      <c r="F694" s="40"/>
      <c r="G694" s="40"/>
      <c r="H694" s="53"/>
      <c r="R694" s="40"/>
      <c r="S694" s="40"/>
      <c r="U694" s="40"/>
      <c r="V694" s="40"/>
      <c r="W694" s="40"/>
      <c r="Y694" s="40"/>
      <c r="Z694" s="40"/>
      <c r="AA694" s="41"/>
      <c r="AB694" s="41"/>
      <c r="AC694" s="41"/>
      <c r="AD694" s="41"/>
      <c r="AE694" s="41"/>
      <c r="AF694" s="40"/>
      <c r="AG694" s="40"/>
      <c r="AH694" s="5"/>
      <c r="AI694" s="5"/>
      <c r="AJ694" s="40"/>
      <c r="AK694" s="40"/>
      <c r="AL694" s="40"/>
      <c r="AM694" s="40"/>
      <c r="AN694" s="40"/>
      <c r="AP694" s="40"/>
      <c r="AR694" s="40"/>
    </row>
    <row r="695" spans="2:44" ht="12.75" customHeight="1" x14ac:dyDescent="0.15">
      <c r="B695" s="40"/>
      <c r="C695" s="40"/>
      <c r="D695" s="40"/>
      <c r="E695" s="185"/>
      <c r="F695" s="40"/>
      <c r="G695" s="40"/>
      <c r="H695" s="53"/>
      <c r="R695" s="40"/>
      <c r="S695" s="40"/>
      <c r="U695" s="40"/>
      <c r="V695" s="40"/>
      <c r="W695" s="40"/>
      <c r="Y695" s="40"/>
      <c r="Z695" s="40"/>
      <c r="AA695" s="41"/>
      <c r="AB695" s="41"/>
      <c r="AC695" s="41"/>
      <c r="AD695" s="41"/>
      <c r="AE695" s="41"/>
      <c r="AF695" s="40"/>
      <c r="AG695" s="40"/>
      <c r="AH695" s="5"/>
      <c r="AI695" s="5"/>
      <c r="AJ695" s="40"/>
      <c r="AK695" s="40"/>
      <c r="AL695" s="40"/>
      <c r="AM695" s="40"/>
      <c r="AN695" s="40"/>
      <c r="AP695" s="40"/>
      <c r="AR695" s="40"/>
    </row>
    <row r="696" spans="2:44" ht="12.75" customHeight="1" x14ac:dyDescent="0.15">
      <c r="B696" s="40"/>
      <c r="C696" s="40"/>
      <c r="D696" s="40"/>
      <c r="E696" s="185"/>
      <c r="F696" s="40"/>
      <c r="G696" s="40"/>
      <c r="H696" s="53"/>
      <c r="R696" s="40"/>
      <c r="S696" s="40"/>
      <c r="U696" s="40"/>
      <c r="V696" s="40"/>
      <c r="W696" s="40"/>
      <c r="Y696" s="40"/>
      <c r="Z696" s="40"/>
      <c r="AA696" s="41"/>
      <c r="AB696" s="41"/>
      <c r="AC696" s="41"/>
      <c r="AD696" s="41"/>
      <c r="AE696" s="41"/>
      <c r="AF696" s="40"/>
      <c r="AG696" s="40"/>
      <c r="AH696" s="5"/>
      <c r="AI696" s="5"/>
      <c r="AJ696" s="40"/>
      <c r="AK696" s="40"/>
      <c r="AL696" s="40"/>
      <c r="AM696" s="40"/>
      <c r="AN696" s="40"/>
      <c r="AP696" s="40"/>
      <c r="AR696" s="40"/>
    </row>
    <row r="697" spans="2:44" ht="12.75" customHeight="1" x14ac:dyDescent="0.15">
      <c r="B697" s="40"/>
      <c r="C697" s="40"/>
      <c r="D697" s="40"/>
      <c r="E697" s="185"/>
      <c r="F697" s="40"/>
      <c r="G697" s="40"/>
      <c r="H697" s="53"/>
      <c r="R697" s="40"/>
      <c r="S697" s="40"/>
      <c r="U697" s="40"/>
      <c r="V697" s="40"/>
      <c r="W697" s="40"/>
      <c r="Y697" s="40"/>
      <c r="Z697" s="40"/>
      <c r="AA697" s="41"/>
      <c r="AB697" s="41"/>
      <c r="AC697" s="41"/>
      <c r="AD697" s="41"/>
      <c r="AE697" s="41"/>
      <c r="AF697" s="40"/>
      <c r="AG697" s="40"/>
      <c r="AH697" s="5"/>
      <c r="AI697" s="5"/>
      <c r="AJ697" s="40"/>
      <c r="AK697" s="40"/>
      <c r="AL697" s="40"/>
      <c r="AM697" s="40"/>
      <c r="AN697" s="40"/>
      <c r="AP697" s="40"/>
      <c r="AR697" s="40"/>
    </row>
    <row r="698" spans="2:44" ht="12.75" customHeight="1" x14ac:dyDescent="0.15">
      <c r="B698" s="40"/>
      <c r="C698" s="40"/>
      <c r="D698" s="40"/>
      <c r="E698" s="185"/>
      <c r="F698" s="40"/>
      <c r="G698" s="40"/>
      <c r="H698" s="53"/>
      <c r="R698" s="40"/>
      <c r="S698" s="40"/>
      <c r="U698" s="40"/>
      <c r="V698" s="40"/>
      <c r="W698" s="40"/>
      <c r="Y698" s="40"/>
      <c r="Z698" s="40"/>
      <c r="AA698" s="41"/>
      <c r="AB698" s="41"/>
      <c r="AC698" s="41"/>
      <c r="AD698" s="41"/>
      <c r="AE698" s="41"/>
      <c r="AF698" s="40"/>
      <c r="AG698" s="40"/>
      <c r="AH698" s="5"/>
      <c r="AI698" s="5"/>
      <c r="AJ698" s="40"/>
      <c r="AK698" s="40"/>
      <c r="AL698" s="40"/>
      <c r="AM698" s="40"/>
      <c r="AN698" s="40"/>
      <c r="AP698" s="40"/>
      <c r="AR698" s="40"/>
    </row>
    <row r="699" spans="2:44" ht="12.75" customHeight="1" x14ac:dyDescent="0.15">
      <c r="B699" s="40"/>
      <c r="C699" s="40"/>
      <c r="D699" s="40"/>
      <c r="E699" s="185"/>
      <c r="F699" s="40"/>
      <c r="G699" s="40"/>
      <c r="H699" s="53"/>
      <c r="R699" s="40"/>
      <c r="S699" s="40"/>
      <c r="U699" s="40"/>
      <c r="V699" s="40"/>
      <c r="W699" s="40"/>
      <c r="Y699" s="40"/>
      <c r="Z699" s="40"/>
      <c r="AA699" s="41"/>
      <c r="AB699" s="41"/>
      <c r="AC699" s="41"/>
      <c r="AD699" s="41"/>
      <c r="AE699" s="41"/>
      <c r="AF699" s="40"/>
      <c r="AG699" s="40"/>
      <c r="AH699" s="5"/>
      <c r="AI699" s="5"/>
      <c r="AJ699" s="40"/>
      <c r="AK699" s="40"/>
      <c r="AL699" s="40"/>
      <c r="AM699" s="40"/>
      <c r="AN699" s="40"/>
      <c r="AP699" s="40"/>
      <c r="AR699" s="40"/>
    </row>
    <row r="700" spans="2:44" ht="12.75" customHeight="1" x14ac:dyDescent="0.15">
      <c r="B700" s="40"/>
      <c r="C700" s="40"/>
      <c r="D700" s="40"/>
      <c r="E700" s="185"/>
      <c r="F700" s="40"/>
      <c r="G700" s="40"/>
      <c r="H700" s="53"/>
      <c r="R700" s="40"/>
      <c r="S700" s="40"/>
      <c r="U700" s="40"/>
      <c r="V700" s="40"/>
      <c r="W700" s="40"/>
      <c r="Y700" s="40"/>
      <c r="Z700" s="40"/>
      <c r="AA700" s="41"/>
      <c r="AB700" s="41"/>
      <c r="AC700" s="41"/>
      <c r="AD700" s="41"/>
      <c r="AE700" s="41"/>
      <c r="AF700" s="40"/>
      <c r="AG700" s="40"/>
      <c r="AH700" s="5"/>
      <c r="AI700" s="5"/>
      <c r="AJ700" s="40"/>
      <c r="AK700" s="40"/>
      <c r="AL700" s="40"/>
      <c r="AM700" s="40"/>
      <c r="AN700" s="40"/>
      <c r="AP700" s="40"/>
      <c r="AR700" s="40"/>
    </row>
    <row r="701" spans="2:44" ht="12.75" customHeight="1" x14ac:dyDescent="0.15">
      <c r="B701" s="40"/>
      <c r="C701" s="40"/>
      <c r="D701" s="40"/>
      <c r="E701" s="185"/>
      <c r="F701" s="40"/>
      <c r="G701" s="40"/>
      <c r="H701" s="53"/>
      <c r="R701" s="40"/>
      <c r="S701" s="40"/>
      <c r="U701" s="40"/>
      <c r="V701" s="40"/>
      <c r="W701" s="40"/>
      <c r="Y701" s="40"/>
      <c r="Z701" s="40"/>
      <c r="AA701" s="41"/>
      <c r="AB701" s="41"/>
      <c r="AC701" s="41"/>
      <c r="AD701" s="41"/>
      <c r="AE701" s="41"/>
      <c r="AF701" s="40"/>
      <c r="AG701" s="40"/>
      <c r="AH701" s="5"/>
      <c r="AI701" s="5"/>
      <c r="AJ701" s="40"/>
      <c r="AK701" s="40"/>
      <c r="AL701" s="40"/>
      <c r="AM701" s="40"/>
      <c r="AN701" s="40"/>
      <c r="AP701" s="40"/>
      <c r="AR701" s="40"/>
    </row>
    <row r="702" spans="2:44" ht="12.75" customHeight="1" x14ac:dyDescent="0.15">
      <c r="B702" s="40"/>
      <c r="C702" s="40"/>
      <c r="D702" s="40"/>
      <c r="E702" s="185"/>
      <c r="F702" s="40"/>
      <c r="G702" s="40"/>
      <c r="H702" s="53"/>
      <c r="R702" s="40"/>
      <c r="S702" s="40"/>
      <c r="U702" s="40"/>
      <c r="V702" s="40"/>
      <c r="W702" s="40"/>
      <c r="Y702" s="40"/>
      <c r="Z702" s="40"/>
      <c r="AA702" s="41"/>
      <c r="AB702" s="41"/>
      <c r="AC702" s="41"/>
      <c r="AD702" s="41"/>
      <c r="AE702" s="41"/>
      <c r="AF702" s="40"/>
      <c r="AG702" s="40"/>
      <c r="AH702" s="5"/>
      <c r="AI702" s="5"/>
      <c r="AJ702" s="40"/>
      <c r="AK702" s="40"/>
      <c r="AL702" s="40"/>
      <c r="AM702" s="40"/>
      <c r="AN702" s="40"/>
      <c r="AP702" s="40"/>
      <c r="AR702" s="40"/>
    </row>
    <row r="703" spans="2:44" ht="12.75" customHeight="1" x14ac:dyDescent="0.15">
      <c r="B703" s="40"/>
      <c r="C703" s="40"/>
      <c r="D703" s="40"/>
      <c r="E703" s="185"/>
      <c r="F703" s="40"/>
      <c r="G703" s="40"/>
      <c r="H703" s="53"/>
      <c r="R703" s="40"/>
      <c r="S703" s="40"/>
      <c r="U703" s="40"/>
      <c r="V703" s="40"/>
      <c r="W703" s="40"/>
      <c r="Y703" s="40"/>
      <c r="Z703" s="40"/>
      <c r="AA703" s="41"/>
      <c r="AB703" s="41"/>
      <c r="AC703" s="41"/>
      <c r="AD703" s="41"/>
      <c r="AE703" s="41"/>
      <c r="AF703" s="40"/>
      <c r="AG703" s="40"/>
      <c r="AH703" s="5"/>
      <c r="AI703" s="5"/>
      <c r="AJ703" s="40"/>
      <c r="AK703" s="40"/>
      <c r="AL703" s="40"/>
      <c r="AM703" s="40"/>
      <c r="AN703" s="40"/>
      <c r="AP703" s="40"/>
      <c r="AR703" s="40"/>
    </row>
    <row r="704" spans="2:44" ht="12.75" customHeight="1" x14ac:dyDescent="0.15">
      <c r="B704" s="40"/>
      <c r="C704" s="40"/>
      <c r="D704" s="40"/>
      <c r="E704" s="185"/>
      <c r="F704" s="40"/>
      <c r="G704" s="40"/>
      <c r="H704" s="53"/>
      <c r="R704" s="40"/>
      <c r="S704" s="40"/>
      <c r="U704" s="40"/>
      <c r="V704" s="40"/>
      <c r="W704" s="40"/>
      <c r="Y704" s="40"/>
      <c r="Z704" s="40"/>
      <c r="AA704" s="41"/>
      <c r="AB704" s="41"/>
      <c r="AC704" s="41"/>
      <c r="AD704" s="41"/>
      <c r="AE704" s="41"/>
      <c r="AF704" s="40"/>
      <c r="AG704" s="40"/>
      <c r="AH704" s="5"/>
      <c r="AI704" s="5"/>
      <c r="AJ704" s="40"/>
      <c r="AK704" s="40"/>
      <c r="AL704" s="40"/>
      <c r="AM704" s="40"/>
      <c r="AN704" s="40"/>
      <c r="AP704" s="40"/>
      <c r="AR704" s="40"/>
    </row>
    <row r="705" spans="2:44" ht="12.75" customHeight="1" x14ac:dyDescent="0.15">
      <c r="B705" s="40"/>
      <c r="C705" s="40"/>
      <c r="D705" s="40"/>
      <c r="E705" s="185"/>
      <c r="F705" s="40"/>
      <c r="G705" s="40"/>
      <c r="H705" s="53"/>
      <c r="R705" s="40"/>
      <c r="S705" s="40"/>
      <c r="U705" s="40"/>
      <c r="V705" s="40"/>
      <c r="W705" s="40"/>
      <c r="Y705" s="40"/>
      <c r="Z705" s="40"/>
      <c r="AA705" s="41"/>
      <c r="AB705" s="41"/>
      <c r="AC705" s="41"/>
      <c r="AD705" s="41"/>
      <c r="AE705" s="41"/>
      <c r="AF705" s="40"/>
      <c r="AG705" s="40"/>
      <c r="AH705" s="5"/>
      <c r="AI705" s="5"/>
      <c r="AJ705" s="40"/>
      <c r="AK705" s="40"/>
      <c r="AL705" s="40"/>
      <c r="AM705" s="40"/>
      <c r="AN705" s="40"/>
      <c r="AP705" s="40"/>
      <c r="AR705" s="40"/>
    </row>
    <row r="706" spans="2:44" ht="12.75" customHeight="1" x14ac:dyDescent="0.15">
      <c r="B706" s="40"/>
      <c r="C706" s="40"/>
      <c r="D706" s="40"/>
      <c r="E706" s="185"/>
      <c r="F706" s="40"/>
      <c r="G706" s="40"/>
      <c r="H706" s="53"/>
      <c r="R706" s="40"/>
      <c r="S706" s="40"/>
      <c r="U706" s="40"/>
      <c r="V706" s="40"/>
      <c r="W706" s="40"/>
      <c r="Y706" s="40"/>
      <c r="Z706" s="40"/>
      <c r="AA706" s="41"/>
      <c r="AB706" s="41"/>
      <c r="AC706" s="41"/>
      <c r="AD706" s="41"/>
      <c r="AE706" s="41"/>
      <c r="AF706" s="40"/>
      <c r="AG706" s="40"/>
      <c r="AH706" s="5"/>
      <c r="AI706" s="5"/>
      <c r="AJ706" s="40"/>
      <c r="AK706" s="40"/>
      <c r="AL706" s="40"/>
      <c r="AM706" s="40"/>
      <c r="AN706" s="40"/>
      <c r="AP706" s="40"/>
      <c r="AR706" s="40"/>
    </row>
    <row r="707" spans="2:44" ht="12.75" customHeight="1" x14ac:dyDescent="0.15">
      <c r="B707" s="40"/>
      <c r="C707" s="40"/>
      <c r="D707" s="40"/>
      <c r="E707" s="185"/>
      <c r="F707" s="40"/>
      <c r="G707" s="40"/>
      <c r="H707" s="53"/>
      <c r="R707" s="40"/>
      <c r="S707" s="40"/>
      <c r="U707" s="40"/>
      <c r="V707" s="40"/>
      <c r="W707" s="40"/>
      <c r="Y707" s="40"/>
      <c r="Z707" s="40"/>
      <c r="AA707" s="41"/>
      <c r="AB707" s="41"/>
      <c r="AC707" s="41"/>
      <c r="AD707" s="41"/>
      <c r="AE707" s="41"/>
      <c r="AF707" s="40"/>
      <c r="AG707" s="40"/>
      <c r="AH707" s="5"/>
      <c r="AI707" s="5"/>
      <c r="AJ707" s="40"/>
      <c r="AK707" s="40"/>
      <c r="AL707" s="40"/>
      <c r="AM707" s="40"/>
      <c r="AN707" s="40"/>
      <c r="AP707" s="40"/>
      <c r="AR707" s="40"/>
    </row>
    <row r="708" spans="2:44" ht="12.75" customHeight="1" x14ac:dyDescent="0.15">
      <c r="B708" s="40"/>
      <c r="C708" s="40"/>
      <c r="D708" s="40"/>
      <c r="E708" s="185"/>
      <c r="F708" s="40"/>
      <c r="G708" s="40"/>
      <c r="H708" s="53"/>
      <c r="R708" s="40"/>
      <c r="S708" s="40"/>
      <c r="U708" s="40"/>
      <c r="V708" s="40"/>
      <c r="W708" s="40"/>
      <c r="Y708" s="40"/>
      <c r="Z708" s="40"/>
      <c r="AA708" s="41"/>
      <c r="AB708" s="41"/>
      <c r="AC708" s="41"/>
      <c r="AD708" s="41"/>
      <c r="AE708" s="41"/>
      <c r="AF708" s="40"/>
      <c r="AG708" s="40"/>
      <c r="AH708" s="5"/>
      <c r="AI708" s="5"/>
      <c r="AJ708" s="40"/>
      <c r="AK708" s="40"/>
      <c r="AL708" s="40"/>
      <c r="AM708" s="40"/>
      <c r="AN708" s="40"/>
      <c r="AP708" s="40"/>
      <c r="AR708" s="40"/>
    </row>
    <row r="709" spans="2:44" ht="12.75" customHeight="1" x14ac:dyDescent="0.15">
      <c r="B709" s="40"/>
      <c r="C709" s="40"/>
      <c r="D709" s="40"/>
      <c r="E709" s="185"/>
      <c r="F709" s="40"/>
      <c r="G709" s="40"/>
      <c r="H709" s="53"/>
      <c r="R709" s="40"/>
      <c r="S709" s="40"/>
      <c r="U709" s="40"/>
      <c r="V709" s="40"/>
      <c r="W709" s="40"/>
      <c r="Y709" s="40"/>
      <c r="Z709" s="40"/>
      <c r="AA709" s="41"/>
      <c r="AB709" s="41"/>
      <c r="AC709" s="41"/>
      <c r="AD709" s="41"/>
      <c r="AE709" s="41"/>
      <c r="AF709" s="40"/>
      <c r="AG709" s="40"/>
      <c r="AH709" s="5"/>
      <c r="AI709" s="5"/>
      <c r="AJ709" s="40"/>
      <c r="AK709" s="40"/>
      <c r="AL709" s="40"/>
      <c r="AM709" s="40"/>
      <c r="AN709" s="40"/>
      <c r="AP709" s="40"/>
      <c r="AR709" s="40"/>
    </row>
    <row r="710" spans="2:44" ht="12.75" customHeight="1" x14ac:dyDescent="0.15">
      <c r="B710" s="40"/>
      <c r="C710" s="40"/>
      <c r="D710" s="40"/>
      <c r="E710" s="185"/>
      <c r="F710" s="40"/>
      <c r="G710" s="40"/>
      <c r="H710" s="53"/>
      <c r="R710" s="40"/>
      <c r="S710" s="40"/>
      <c r="U710" s="40"/>
      <c r="V710" s="40"/>
      <c r="W710" s="40"/>
      <c r="Y710" s="40"/>
      <c r="Z710" s="40"/>
      <c r="AA710" s="41"/>
      <c r="AB710" s="41"/>
      <c r="AC710" s="41"/>
      <c r="AD710" s="41"/>
      <c r="AE710" s="41"/>
      <c r="AF710" s="40"/>
      <c r="AG710" s="40"/>
      <c r="AH710" s="5"/>
      <c r="AI710" s="5"/>
      <c r="AJ710" s="40"/>
      <c r="AK710" s="40"/>
      <c r="AL710" s="40"/>
      <c r="AM710" s="40"/>
      <c r="AN710" s="40"/>
      <c r="AP710" s="40"/>
      <c r="AR710" s="40"/>
    </row>
    <row r="711" spans="2:44" ht="12.75" customHeight="1" x14ac:dyDescent="0.15">
      <c r="B711" s="40"/>
      <c r="C711" s="40"/>
      <c r="D711" s="40"/>
      <c r="E711" s="185"/>
      <c r="F711" s="40"/>
      <c r="G711" s="40"/>
      <c r="H711" s="53"/>
      <c r="R711" s="40"/>
      <c r="S711" s="40"/>
      <c r="U711" s="40"/>
      <c r="V711" s="40"/>
      <c r="W711" s="40"/>
      <c r="Y711" s="40"/>
      <c r="Z711" s="40"/>
      <c r="AA711" s="41"/>
      <c r="AB711" s="41"/>
      <c r="AC711" s="41"/>
      <c r="AD711" s="41"/>
      <c r="AE711" s="41"/>
      <c r="AF711" s="40"/>
      <c r="AG711" s="40"/>
      <c r="AH711" s="5"/>
      <c r="AI711" s="5"/>
      <c r="AJ711" s="40"/>
      <c r="AK711" s="40"/>
      <c r="AL711" s="40"/>
      <c r="AM711" s="40"/>
      <c r="AN711" s="40"/>
      <c r="AP711" s="40"/>
      <c r="AR711" s="40"/>
    </row>
    <row r="712" spans="2:44" ht="12.75" customHeight="1" x14ac:dyDescent="0.15">
      <c r="B712" s="40"/>
      <c r="C712" s="40"/>
      <c r="D712" s="40"/>
      <c r="E712" s="185"/>
      <c r="F712" s="40"/>
      <c r="G712" s="40"/>
      <c r="H712" s="53"/>
      <c r="R712" s="40"/>
      <c r="S712" s="40"/>
      <c r="U712" s="40"/>
      <c r="V712" s="40"/>
      <c r="W712" s="40"/>
      <c r="Y712" s="40"/>
      <c r="Z712" s="40"/>
      <c r="AA712" s="41"/>
      <c r="AB712" s="41"/>
      <c r="AC712" s="41"/>
      <c r="AD712" s="41"/>
      <c r="AE712" s="41"/>
      <c r="AF712" s="40"/>
      <c r="AG712" s="40"/>
      <c r="AH712" s="5"/>
      <c r="AI712" s="5"/>
      <c r="AJ712" s="40"/>
      <c r="AK712" s="40"/>
      <c r="AL712" s="40"/>
      <c r="AM712" s="40"/>
      <c r="AN712" s="40"/>
      <c r="AP712" s="40"/>
      <c r="AR712" s="40"/>
    </row>
    <row r="713" spans="2:44" ht="12.75" customHeight="1" x14ac:dyDescent="0.15">
      <c r="B713" s="40"/>
      <c r="C713" s="40"/>
      <c r="D713" s="40"/>
      <c r="E713" s="185"/>
      <c r="F713" s="40"/>
      <c r="G713" s="40"/>
      <c r="H713" s="53"/>
      <c r="R713" s="40"/>
      <c r="S713" s="40"/>
      <c r="U713" s="40"/>
      <c r="V713" s="40"/>
      <c r="W713" s="40"/>
      <c r="Y713" s="40"/>
      <c r="Z713" s="40"/>
      <c r="AA713" s="41"/>
      <c r="AB713" s="41"/>
      <c r="AC713" s="41"/>
      <c r="AD713" s="41"/>
      <c r="AE713" s="41"/>
      <c r="AF713" s="40"/>
      <c r="AG713" s="40"/>
      <c r="AH713" s="5"/>
      <c r="AI713" s="5"/>
      <c r="AJ713" s="40"/>
      <c r="AK713" s="40"/>
      <c r="AL713" s="40"/>
      <c r="AM713" s="40"/>
      <c r="AN713" s="40"/>
      <c r="AP713" s="40"/>
      <c r="AR713" s="40"/>
    </row>
    <row r="714" spans="2:44" ht="12.75" customHeight="1" x14ac:dyDescent="0.15">
      <c r="B714" s="40"/>
      <c r="C714" s="40"/>
      <c r="D714" s="40"/>
      <c r="E714" s="185"/>
      <c r="F714" s="40"/>
      <c r="G714" s="40"/>
      <c r="H714" s="53"/>
      <c r="R714" s="40"/>
      <c r="S714" s="40"/>
      <c r="U714" s="40"/>
      <c r="V714" s="40"/>
      <c r="W714" s="40"/>
      <c r="Y714" s="40"/>
      <c r="Z714" s="40"/>
      <c r="AA714" s="41"/>
      <c r="AB714" s="41"/>
      <c r="AC714" s="41"/>
      <c r="AD714" s="41"/>
      <c r="AE714" s="41"/>
      <c r="AF714" s="40"/>
      <c r="AG714" s="40"/>
      <c r="AH714" s="5"/>
      <c r="AI714" s="5"/>
      <c r="AJ714" s="40"/>
      <c r="AK714" s="40"/>
      <c r="AL714" s="40"/>
      <c r="AM714" s="40"/>
      <c r="AN714" s="40"/>
      <c r="AP714" s="40"/>
      <c r="AR714" s="40"/>
    </row>
    <row r="715" spans="2:44" ht="12.75" customHeight="1" x14ac:dyDescent="0.15">
      <c r="B715" s="40"/>
      <c r="C715" s="40"/>
      <c r="D715" s="40"/>
      <c r="E715" s="185"/>
      <c r="F715" s="40"/>
      <c r="G715" s="40"/>
      <c r="H715" s="53"/>
      <c r="R715" s="40"/>
      <c r="S715" s="40"/>
      <c r="U715" s="40"/>
      <c r="V715" s="40"/>
      <c r="W715" s="40"/>
      <c r="Y715" s="40"/>
      <c r="Z715" s="40"/>
      <c r="AA715" s="41"/>
      <c r="AB715" s="41"/>
      <c r="AC715" s="41"/>
      <c r="AD715" s="41"/>
      <c r="AE715" s="41"/>
      <c r="AF715" s="40"/>
      <c r="AG715" s="40"/>
      <c r="AH715" s="5"/>
      <c r="AI715" s="5"/>
      <c r="AJ715" s="40"/>
      <c r="AK715" s="40"/>
      <c r="AL715" s="40"/>
      <c r="AM715" s="40"/>
      <c r="AN715" s="40"/>
      <c r="AP715" s="40"/>
      <c r="AR715" s="40"/>
    </row>
    <row r="716" spans="2:44" ht="12.75" customHeight="1" x14ac:dyDescent="0.15">
      <c r="B716" s="40"/>
      <c r="C716" s="40"/>
      <c r="D716" s="40"/>
      <c r="E716" s="185"/>
      <c r="F716" s="40"/>
      <c r="G716" s="40"/>
      <c r="H716" s="53"/>
      <c r="R716" s="40"/>
      <c r="S716" s="40"/>
      <c r="U716" s="40"/>
      <c r="V716" s="40"/>
      <c r="W716" s="40"/>
      <c r="Y716" s="40"/>
      <c r="Z716" s="40"/>
      <c r="AA716" s="41"/>
      <c r="AB716" s="41"/>
      <c r="AC716" s="41"/>
      <c r="AD716" s="41"/>
      <c r="AE716" s="41"/>
      <c r="AF716" s="40"/>
      <c r="AG716" s="40"/>
      <c r="AH716" s="5"/>
      <c r="AI716" s="5"/>
      <c r="AJ716" s="40"/>
      <c r="AK716" s="40"/>
      <c r="AL716" s="40"/>
      <c r="AM716" s="40"/>
      <c r="AN716" s="40"/>
      <c r="AP716" s="40"/>
      <c r="AR716" s="40"/>
    </row>
    <row r="717" spans="2:44" ht="12.75" customHeight="1" x14ac:dyDescent="0.15">
      <c r="B717" s="40"/>
      <c r="C717" s="40"/>
      <c r="D717" s="40"/>
      <c r="E717" s="185"/>
      <c r="F717" s="40"/>
      <c r="G717" s="40"/>
      <c r="H717" s="53"/>
      <c r="R717" s="40"/>
      <c r="S717" s="40"/>
      <c r="U717" s="40"/>
      <c r="V717" s="40"/>
      <c r="W717" s="40"/>
      <c r="Y717" s="40"/>
      <c r="Z717" s="40"/>
      <c r="AA717" s="41"/>
      <c r="AB717" s="41"/>
      <c r="AC717" s="41"/>
      <c r="AD717" s="41"/>
      <c r="AE717" s="41"/>
      <c r="AF717" s="40"/>
      <c r="AG717" s="40"/>
      <c r="AH717" s="5"/>
      <c r="AI717" s="5"/>
      <c r="AJ717" s="40"/>
      <c r="AK717" s="40"/>
      <c r="AL717" s="40"/>
      <c r="AM717" s="40"/>
      <c r="AN717" s="40"/>
      <c r="AP717" s="40"/>
      <c r="AR717" s="40"/>
    </row>
    <row r="718" spans="2:44" ht="12.75" customHeight="1" x14ac:dyDescent="0.15">
      <c r="B718" s="40"/>
      <c r="C718" s="40"/>
      <c r="D718" s="40"/>
      <c r="E718" s="185"/>
      <c r="F718" s="40"/>
      <c r="G718" s="40"/>
      <c r="H718" s="53"/>
      <c r="R718" s="40"/>
      <c r="S718" s="40"/>
      <c r="U718" s="40"/>
      <c r="V718" s="40"/>
      <c r="W718" s="40"/>
      <c r="Y718" s="40"/>
      <c r="Z718" s="40"/>
      <c r="AA718" s="41"/>
      <c r="AB718" s="41"/>
      <c r="AC718" s="41"/>
      <c r="AD718" s="41"/>
      <c r="AE718" s="41"/>
      <c r="AF718" s="40"/>
      <c r="AG718" s="40"/>
      <c r="AH718" s="5"/>
      <c r="AI718" s="5"/>
      <c r="AJ718" s="40"/>
      <c r="AK718" s="40"/>
      <c r="AL718" s="40"/>
      <c r="AM718" s="40"/>
      <c r="AN718" s="40"/>
      <c r="AP718" s="40"/>
      <c r="AR718" s="40"/>
    </row>
    <row r="719" spans="2:44" ht="12.75" customHeight="1" x14ac:dyDescent="0.15">
      <c r="B719" s="40"/>
      <c r="C719" s="40"/>
      <c r="D719" s="40"/>
      <c r="E719" s="185"/>
      <c r="F719" s="40"/>
      <c r="G719" s="40"/>
      <c r="H719" s="53"/>
      <c r="R719" s="40"/>
      <c r="S719" s="40"/>
      <c r="U719" s="40"/>
      <c r="V719" s="40"/>
      <c r="W719" s="40"/>
      <c r="Y719" s="40"/>
      <c r="Z719" s="40"/>
      <c r="AA719" s="41"/>
      <c r="AB719" s="41"/>
      <c r="AC719" s="41"/>
      <c r="AD719" s="41"/>
      <c r="AE719" s="41"/>
      <c r="AF719" s="40"/>
      <c r="AG719" s="40"/>
      <c r="AH719" s="5"/>
      <c r="AI719" s="5"/>
      <c r="AJ719" s="40"/>
      <c r="AK719" s="40"/>
      <c r="AL719" s="40"/>
      <c r="AM719" s="40"/>
      <c r="AN719" s="40"/>
      <c r="AP719" s="40"/>
      <c r="AR719" s="40"/>
    </row>
    <row r="720" spans="2:44" ht="12.75" customHeight="1" x14ac:dyDescent="0.15">
      <c r="B720" s="40"/>
      <c r="C720" s="40"/>
      <c r="D720" s="40"/>
      <c r="E720" s="185"/>
      <c r="F720" s="40"/>
      <c r="G720" s="40"/>
      <c r="H720" s="53"/>
      <c r="R720" s="40"/>
      <c r="S720" s="40"/>
      <c r="U720" s="40"/>
      <c r="V720" s="40"/>
      <c r="W720" s="40"/>
      <c r="Y720" s="40"/>
      <c r="Z720" s="40"/>
      <c r="AA720" s="41"/>
      <c r="AB720" s="41"/>
      <c r="AC720" s="41"/>
      <c r="AD720" s="41"/>
      <c r="AE720" s="41"/>
      <c r="AF720" s="40"/>
      <c r="AG720" s="40"/>
      <c r="AH720" s="5"/>
      <c r="AI720" s="5"/>
      <c r="AJ720" s="40"/>
      <c r="AK720" s="40"/>
      <c r="AL720" s="40"/>
      <c r="AM720" s="40"/>
      <c r="AN720" s="40"/>
      <c r="AP720" s="40"/>
      <c r="AR720" s="40"/>
    </row>
    <row r="721" spans="2:44" ht="12.75" customHeight="1" x14ac:dyDescent="0.15">
      <c r="B721" s="40"/>
      <c r="C721" s="40"/>
      <c r="D721" s="40"/>
      <c r="E721" s="185"/>
      <c r="F721" s="40"/>
      <c r="G721" s="40"/>
      <c r="H721" s="53"/>
      <c r="R721" s="40"/>
      <c r="S721" s="40"/>
      <c r="U721" s="40"/>
      <c r="V721" s="40"/>
      <c r="W721" s="40"/>
      <c r="Y721" s="40"/>
      <c r="Z721" s="40"/>
      <c r="AA721" s="41"/>
      <c r="AB721" s="41"/>
      <c r="AC721" s="41"/>
      <c r="AD721" s="41"/>
      <c r="AE721" s="41"/>
      <c r="AF721" s="40"/>
      <c r="AG721" s="40"/>
      <c r="AH721" s="5"/>
      <c r="AI721" s="5"/>
      <c r="AJ721" s="40"/>
      <c r="AK721" s="40"/>
      <c r="AL721" s="40"/>
      <c r="AM721" s="40"/>
      <c r="AN721" s="40"/>
      <c r="AP721" s="40"/>
      <c r="AR721" s="40"/>
    </row>
    <row r="722" spans="2:44" ht="12.75" customHeight="1" x14ac:dyDescent="0.15">
      <c r="B722" s="40"/>
      <c r="C722" s="40"/>
      <c r="D722" s="40"/>
      <c r="E722" s="185"/>
      <c r="F722" s="40"/>
      <c r="G722" s="40"/>
      <c r="H722" s="53"/>
      <c r="R722" s="40"/>
      <c r="S722" s="40"/>
      <c r="U722" s="40"/>
      <c r="V722" s="40"/>
      <c r="W722" s="40"/>
      <c r="Y722" s="40"/>
      <c r="Z722" s="40"/>
      <c r="AA722" s="41"/>
      <c r="AB722" s="41"/>
      <c r="AC722" s="41"/>
      <c r="AD722" s="41"/>
      <c r="AE722" s="41"/>
      <c r="AF722" s="40"/>
      <c r="AG722" s="40"/>
      <c r="AH722" s="5"/>
      <c r="AI722" s="5"/>
      <c r="AJ722" s="40"/>
      <c r="AK722" s="40"/>
      <c r="AL722" s="40"/>
      <c r="AM722" s="40"/>
      <c r="AN722" s="40"/>
      <c r="AP722" s="40"/>
      <c r="AR722" s="40"/>
    </row>
    <row r="723" spans="2:44" ht="12.75" customHeight="1" x14ac:dyDescent="0.15">
      <c r="B723" s="40"/>
      <c r="C723" s="40"/>
      <c r="D723" s="40"/>
      <c r="E723" s="185"/>
      <c r="F723" s="40"/>
      <c r="G723" s="40"/>
      <c r="H723" s="53"/>
      <c r="R723" s="40"/>
      <c r="S723" s="40"/>
      <c r="U723" s="40"/>
      <c r="V723" s="40"/>
      <c r="W723" s="40"/>
      <c r="Y723" s="40"/>
      <c r="Z723" s="40"/>
      <c r="AA723" s="41"/>
      <c r="AB723" s="41"/>
      <c r="AC723" s="41"/>
      <c r="AD723" s="41"/>
      <c r="AE723" s="41"/>
      <c r="AF723" s="40"/>
      <c r="AG723" s="40"/>
      <c r="AH723" s="5"/>
      <c r="AI723" s="5"/>
      <c r="AJ723" s="40"/>
      <c r="AK723" s="40"/>
      <c r="AL723" s="40"/>
      <c r="AM723" s="40"/>
      <c r="AN723" s="40"/>
      <c r="AP723" s="40"/>
      <c r="AR723" s="40"/>
    </row>
    <row r="724" spans="2:44" ht="12.75" customHeight="1" x14ac:dyDescent="0.15">
      <c r="B724" s="40"/>
      <c r="C724" s="40"/>
      <c r="D724" s="40"/>
      <c r="E724" s="185"/>
      <c r="F724" s="40"/>
      <c r="G724" s="40"/>
      <c r="H724" s="53"/>
      <c r="R724" s="40"/>
      <c r="S724" s="40"/>
      <c r="U724" s="40"/>
      <c r="V724" s="40"/>
      <c r="W724" s="40"/>
      <c r="Y724" s="40"/>
      <c r="Z724" s="40"/>
      <c r="AA724" s="41"/>
      <c r="AB724" s="41"/>
      <c r="AC724" s="41"/>
      <c r="AD724" s="41"/>
      <c r="AE724" s="41"/>
      <c r="AF724" s="40"/>
      <c r="AG724" s="40"/>
      <c r="AH724" s="5"/>
      <c r="AI724" s="5"/>
      <c r="AJ724" s="40"/>
      <c r="AK724" s="40"/>
      <c r="AL724" s="40"/>
      <c r="AM724" s="40"/>
      <c r="AN724" s="40"/>
      <c r="AP724" s="40"/>
      <c r="AR724" s="40"/>
    </row>
    <row r="725" spans="2:44" ht="12.75" customHeight="1" x14ac:dyDescent="0.15">
      <c r="B725" s="40"/>
      <c r="C725" s="40"/>
      <c r="D725" s="40"/>
      <c r="E725" s="185"/>
      <c r="F725" s="40"/>
      <c r="G725" s="40"/>
      <c r="H725" s="53"/>
      <c r="R725" s="40"/>
      <c r="S725" s="40"/>
      <c r="U725" s="40"/>
      <c r="V725" s="40"/>
      <c r="W725" s="40"/>
      <c r="Y725" s="40"/>
      <c r="Z725" s="40"/>
      <c r="AA725" s="41"/>
      <c r="AB725" s="41"/>
      <c r="AC725" s="41"/>
      <c r="AD725" s="41"/>
      <c r="AE725" s="41"/>
      <c r="AF725" s="40"/>
      <c r="AG725" s="40"/>
      <c r="AH725" s="5"/>
      <c r="AI725" s="5"/>
      <c r="AJ725" s="40"/>
      <c r="AK725" s="40"/>
      <c r="AL725" s="40"/>
      <c r="AM725" s="40"/>
      <c r="AN725" s="40"/>
      <c r="AP725" s="40"/>
      <c r="AR725" s="40"/>
    </row>
    <row r="726" spans="2:44" ht="12.75" customHeight="1" x14ac:dyDescent="0.15">
      <c r="B726" s="40"/>
      <c r="C726" s="40"/>
      <c r="D726" s="40"/>
      <c r="E726" s="185"/>
      <c r="F726" s="40"/>
      <c r="G726" s="40"/>
      <c r="H726" s="53"/>
      <c r="R726" s="40"/>
      <c r="S726" s="40"/>
      <c r="U726" s="40"/>
      <c r="V726" s="40"/>
      <c r="W726" s="40"/>
      <c r="Y726" s="40"/>
      <c r="Z726" s="40"/>
      <c r="AA726" s="41"/>
      <c r="AB726" s="41"/>
      <c r="AC726" s="41"/>
      <c r="AD726" s="41"/>
      <c r="AE726" s="41"/>
      <c r="AF726" s="40"/>
      <c r="AG726" s="40"/>
      <c r="AH726" s="5"/>
      <c r="AI726" s="5"/>
      <c r="AJ726" s="40"/>
      <c r="AK726" s="40"/>
      <c r="AL726" s="40"/>
      <c r="AM726" s="40"/>
      <c r="AN726" s="40"/>
      <c r="AP726" s="40"/>
      <c r="AR726" s="40"/>
    </row>
    <row r="727" spans="2:44" ht="12.75" customHeight="1" x14ac:dyDescent="0.15">
      <c r="B727" s="40"/>
      <c r="C727" s="40"/>
      <c r="D727" s="40"/>
      <c r="E727" s="185"/>
      <c r="F727" s="40"/>
      <c r="G727" s="40"/>
      <c r="H727" s="53"/>
      <c r="R727" s="40"/>
      <c r="S727" s="40"/>
      <c r="U727" s="40"/>
      <c r="V727" s="40"/>
      <c r="W727" s="40"/>
      <c r="Y727" s="40"/>
      <c r="Z727" s="40"/>
      <c r="AA727" s="41"/>
      <c r="AB727" s="41"/>
      <c r="AC727" s="41"/>
      <c r="AD727" s="41"/>
      <c r="AE727" s="41"/>
      <c r="AF727" s="40"/>
      <c r="AG727" s="40"/>
      <c r="AH727" s="5"/>
      <c r="AI727" s="5"/>
      <c r="AJ727" s="40"/>
      <c r="AK727" s="40"/>
      <c r="AL727" s="40"/>
      <c r="AM727" s="40"/>
      <c r="AN727" s="40"/>
      <c r="AP727" s="40"/>
      <c r="AR727" s="40"/>
    </row>
    <row r="728" spans="2:44" ht="12.75" customHeight="1" x14ac:dyDescent="0.15">
      <c r="B728" s="40"/>
      <c r="C728" s="40"/>
      <c r="D728" s="40"/>
      <c r="E728" s="185"/>
      <c r="F728" s="40"/>
      <c r="G728" s="40"/>
      <c r="H728" s="53"/>
      <c r="R728" s="40"/>
      <c r="S728" s="40"/>
      <c r="U728" s="40"/>
      <c r="V728" s="40"/>
      <c r="W728" s="40"/>
      <c r="Y728" s="40"/>
      <c r="Z728" s="40"/>
      <c r="AA728" s="41"/>
      <c r="AB728" s="41"/>
      <c r="AC728" s="41"/>
      <c r="AD728" s="41"/>
      <c r="AE728" s="41"/>
      <c r="AF728" s="40"/>
      <c r="AG728" s="40"/>
      <c r="AH728" s="5"/>
      <c r="AI728" s="5"/>
      <c r="AJ728" s="40"/>
      <c r="AK728" s="40"/>
      <c r="AL728" s="40"/>
      <c r="AM728" s="40"/>
      <c r="AN728" s="40"/>
      <c r="AP728" s="40"/>
      <c r="AR728" s="40"/>
    </row>
    <row r="729" spans="2:44" ht="12.75" customHeight="1" x14ac:dyDescent="0.15">
      <c r="B729" s="40"/>
      <c r="C729" s="40"/>
      <c r="D729" s="40"/>
      <c r="E729" s="185"/>
      <c r="F729" s="40"/>
      <c r="G729" s="40"/>
      <c r="H729" s="53"/>
      <c r="R729" s="40"/>
      <c r="S729" s="40"/>
      <c r="U729" s="40"/>
      <c r="V729" s="40"/>
      <c r="W729" s="40"/>
      <c r="Y729" s="40"/>
      <c r="Z729" s="40"/>
      <c r="AA729" s="41"/>
      <c r="AB729" s="41"/>
      <c r="AC729" s="41"/>
      <c r="AD729" s="41"/>
      <c r="AE729" s="41"/>
      <c r="AF729" s="40"/>
      <c r="AG729" s="40"/>
      <c r="AH729" s="5"/>
      <c r="AI729" s="5"/>
      <c r="AJ729" s="40"/>
      <c r="AK729" s="40"/>
      <c r="AL729" s="40"/>
      <c r="AM729" s="40"/>
      <c r="AN729" s="40"/>
      <c r="AP729" s="40"/>
      <c r="AR729" s="40"/>
    </row>
    <row r="730" spans="2:44" ht="12.75" customHeight="1" x14ac:dyDescent="0.15">
      <c r="B730" s="40"/>
      <c r="C730" s="40"/>
      <c r="D730" s="40"/>
      <c r="E730" s="185"/>
      <c r="F730" s="40"/>
      <c r="G730" s="40"/>
      <c r="H730" s="53"/>
      <c r="R730" s="40"/>
      <c r="S730" s="40"/>
      <c r="U730" s="40"/>
      <c r="V730" s="40"/>
      <c r="W730" s="40"/>
      <c r="Y730" s="40"/>
      <c r="Z730" s="40"/>
      <c r="AA730" s="41"/>
      <c r="AB730" s="41"/>
      <c r="AC730" s="41"/>
      <c r="AD730" s="41"/>
      <c r="AE730" s="41"/>
      <c r="AF730" s="40"/>
      <c r="AG730" s="40"/>
      <c r="AH730" s="5"/>
      <c r="AI730" s="5"/>
      <c r="AJ730" s="40"/>
      <c r="AK730" s="40"/>
      <c r="AL730" s="40"/>
      <c r="AM730" s="40"/>
      <c r="AN730" s="40"/>
      <c r="AP730" s="40"/>
      <c r="AR730" s="40"/>
    </row>
    <row r="731" spans="2:44" ht="12.75" customHeight="1" x14ac:dyDescent="0.15">
      <c r="B731" s="40"/>
      <c r="C731" s="40"/>
      <c r="D731" s="40"/>
      <c r="E731" s="185"/>
      <c r="F731" s="40"/>
      <c r="G731" s="40"/>
      <c r="H731" s="53"/>
      <c r="R731" s="40"/>
      <c r="S731" s="40"/>
      <c r="U731" s="40"/>
      <c r="V731" s="40"/>
      <c r="W731" s="40"/>
      <c r="Y731" s="40"/>
      <c r="Z731" s="40"/>
      <c r="AA731" s="41"/>
      <c r="AB731" s="41"/>
      <c r="AC731" s="41"/>
      <c r="AD731" s="41"/>
      <c r="AE731" s="41"/>
      <c r="AF731" s="40"/>
      <c r="AG731" s="40"/>
      <c r="AH731" s="5"/>
      <c r="AI731" s="5"/>
      <c r="AJ731" s="40"/>
      <c r="AK731" s="40"/>
      <c r="AL731" s="40"/>
      <c r="AM731" s="40"/>
      <c r="AN731" s="40"/>
      <c r="AP731" s="40"/>
      <c r="AR731" s="40"/>
    </row>
    <row r="732" spans="2:44" ht="12.75" customHeight="1" x14ac:dyDescent="0.15">
      <c r="B732" s="40"/>
      <c r="C732" s="40"/>
      <c r="D732" s="40"/>
      <c r="E732" s="185"/>
      <c r="F732" s="40"/>
      <c r="G732" s="40"/>
      <c r="H732" s="53"/>
      <c r="R732" s="40"/>
      <c r="S732" s="40"/>
      <c r="U732" s="40"/>
      <c r="V732" s="40"/>
      <c r="W732" s="40"/>
      <c r="Y732" s="40"/>
      <c r="Z732" s="40"/>
      <c r="AA732" s="41"/>
      <c r="AB732" s="41"/>
      <c r="AC732" s="41"/>
      <c r="AD732" s="41"/>
      <c r="AE732" s="41"/>
      <c r="AF732" s="40"/>
      <c r="AG732" s="40"/>
      <c r="AH732" s="5"/>
      <c r="AI732" s="5"/>
      <c r="AJ732" s="40"/>
      <c r="AK732" s="40"/>
      <c r="AL732" s="40"/>
      <c r="AM732" s="40"/>
      <c r="AN732" s="40"/>
      <c r="AP732" s="40"/>
      <c r="AR732" s="40"/>
    </row>
    <row r="733" spans="2:44" ht="12.75" customHeight="1" x14ac:dyDescent="0.15">
      <c r="B733" s="40"/>
      <c r="C733" s="40"/>
      <c r="D733" s="40"/>
      <c r="E733" s="185"/>
      <c r="F733" s="40"/>
      <c r="G733" s="40"/>
      <c r="H733" s="53"/>
      <c r="R733" s="40"/>
      <c r="S733" s="40"/>
      <c r="U733" s="40"/>
      <c r="V733" s="40"/>
      <c r="W733" s="40"/>
      <c r="Y733" s="40"/>
      <c r="Z733" s="40"/>
      <c r="AA733" s="41"/>
      <c r="AB733" s="41"/>
      <c r="AC733" s="41"/>
      <c r="AD733" s="41"/>
      <c r="AE733" s="41"/>
      <c r="AF733" s="40"/>
      <c r="AG733" s="40"/>
      <c r="AH733" s="5"/>
      <c r="AI733" s="5"/>
      <c r="AJ733" s="40"/>
      <c r="AK733" s="40"/>
      <c r="AL733" s="40"/>
      <c r="AM733" s="40"/>
      <c r="AN733" s="40"/>
      <c r="AP733" s="40"/>
      <c r="AR733" s="40"/>
    </row>
    <row r="734" spans="2:44" ht="12.75" customHeight="1" x14ac:dyDescent="0.15">
      <c r="B734" s="40"/>
      <c r="C734" s="40"/>
      <c r="D734" s="40"/>
      <c r="E734" s="185"/>
      <c r="F734" s="40"/>
      <c r="G734" s="40"/>
      <c r="H734" s="53"/>
      <c r="R734" s="40"/>
      <c r="S734" s="40"/>
      <c r="U734" s="40"/>
      <c r="V734" s="40"/>
      <c r="W734" s="40"/>
      <c r="Y734" s="40"/>
      <c r="Z734" s="40"/>
      <c r="AA734" s="41"/>
      <c r="AB734" s="41"/>
      <c r="AC734" s="41"/>
      <c r="AD734" s="41"/>
      <c r="AE734" s="41"/>
      <c r="AF734" s="40"/>
      <c r="AG734" s="40"/>
      <c r="AH734" s="5"/>
      <c r="AI734" s="5"/>
      <c r="AJ734" s="40"/>
      <c r="AK734" s="40"/>
      <c r="AL734" s="40"/>
      <c r="AM734" s="40"/>
      <c r="AN734" s="40"/>
      <c r="AP734" s="40"/>
      <c r="AR734" s="40"/>
    </row>
    <row r="735" spans="2:44" ht="12.75" customHeight="1" x14ac:dyDescent="0.15">
      <c r="B735" s="40"/>
      <c r="C735" s="40"/>
      <c r="D735" s="40"/>
      <c r="E735" s="185"/>
      <c r="F735" s="40"/>
      <c r="G735" s="40"/>
      <c r="H735" s="53"/>
      <c r="R735" s="40"/>
      <c r="S735" s="40"/>
      <c r="U735" s="40"/>
      <c r="V735" s="40"/>
      <c r="W735" s="40"/>
      <c r="Y735" s="40"/>
      <c r="Z735" s="40"/>
      <c r="AA735" s="41"/>
      <c r="AB735" s="41"/>
      <c r="AC735" s="41"/>
      <c r="AD735" s="41"/>
      <c r="AE735" s="41"/>
      <c r="AF735" s="40"/>
      <c r="AG735" s="40"/>
      <c r="AH735" s="5"/>
      <c r="AI735" s="5"/>
      <c r="AJ735" s="40"/>
      <c r="AK735" s="40"/>
      <c r="AL735" s="40"/>
      <c r="AM735" s="40"/>
      <c r="AN735" s="40"/>
      <c r="AP735" s="40"/>
      <c r="AR735" s="40"/>
    </row>
    <row r="736" spans="2:44" ht="12.75" customHeight="1" x14ac:dyDescent="0.15">
      <c r="B736" s="40"/>
      <c r="C736" s="40"/>
      <c r="D736" s="40"/>
      <c r="E736" s="185"/>
      <c r="F736" s="40"/>
      <c r="G736" s="40"/>
      <c r="H736" s="53"/>
      <c r="R736" s="40"/>
      <c r="S736" s="40"/>
      <c r="U736" s="40"/>
      <c r="V736" s="40"/>
      <c r="W736" s="40"/>
      <c r="Y736" s="40"/>
      <c r="Z736" s="40"/>
      <c r="AA736" s="41"/>
      <c r="AB736" s="41"/>
      <c r="AC736" s="41"/>
      <c r="AD736" s="41"/>
      <c r="AE736" s="41"/>
      <c r="AF736" s="40"/>
      <c r="AG736" s="40"/>
      <c r="AH736" s="5"/>
      <c r="AI736" s="5"/>
      <c r="AJ736" s="40"/>
      <c r="AK736" s="40"/>
      <c r="AL736" s="40"/>
      <c r="AM736" s="40"/>
      <c r="AN736" s="40"/>
      <c r="AP736" s="40"/>
      <c r="AR736" s="40"/>
    </row>
    <row r="737" spans="2:44" ht="12.75" customHeight="1" x14ac:dyDescent="0.15">
      <c r="B737" s="40"/>
      <c r="C737" s="40"/>
      <c r="D737" s="40"/>
      <c r="E737" s="185"/>
      <c r="F737" s="40"/>
      <c r="G737" s="40"/>
      <c r="H737" s="53"/>
      <c r="R737" s="40"/>
      <c r="S737" s="40"/>
      <c r="U737" s="40"/>
      <c r="V737" s="40"/>
      <c r="W737" s="40"/>
      <c r="Y737" s="40"/>
      <c r="Z737" s="40"/>
      <c r="AA737" s="41"/>
      <c r="AB737" s="41"/>
      <c r="AC737" s="41"/>
      <c r="AD737" s="41"/>
      <c r="AE737" s="41"/>
      <c r="AF737" s="40"/>
      <c r="AG737" s="40"/>
      <c r="AH737" s="5"/>
      <c r="AI737" s="5"/>
      <c r="AJ737" s="40"/>
      <c r="AK737" s="40"/>
      <c r="AL737" s="40"/>
      <c r="AM737" s="40"/>
      <c r="AN737" s="40"/>
      <c r="AP737" s="40"/>
      <c r="AR737" s="40"/>
    </row>
    <row r="738" spans="2:44" ht="12.75" customHeight="1" x14ac:dyDescent="0.15">
      <c r="B738" s="40"/>
      <c r="C738" s="40"/>
      <c r="D738" s="40"/>
      <c r="E738" s="185"/>
      <c r="F738" s="40"/>
      <c r="G738" s="40"/>
      <c r="H738" s="53"/>
      <c r="R738" s="40"/>
      <c r="S738" s="40"/>
      <c r="U738" s="40"/>
      <c r="V738" s="40"/>
      <c r="W738" s="40"/>
      <c r="Y738" s="40"/>
      <c r="Z738" s="40"/>
      <c r="AA738" s="41"/>
      <c r="AB738" s="41"/>
      <c r="AC738" s="41"/>
      <c r="AD738" s="41"/>
      <c r="AE738" s="41"/>
      <c r="AF738" s="40"/>
      <c r="AG738" s="40"/>
      <c r="AH738" s="5"/>
      <c r="AI738" s="5"/>
      <c r="AJ738" s="40"/>
      <c r="AK738" s="40"/>
      <c r="AL738" s="40"/>
      <c r="AM738" s="40"/>
      <c r="AN738" s="40"/>
      <c r="AP738" s="40"/>
      <c r="AR738" s="40"/>
    </row>
    <row r="739" spans="2:44" ht="12.75" customHeight="1" x14ac:dyDescent="0.15">
      <c r="B739" s="40"/>
      <c r="C739" s="40"/>
      <c r="D739" s="40"/>
      <c r="E739" s="185"/>
      <c r="F739" s="40"/>
      <c r="G739" s="40"/>
      <c r="H739" s="53"/>
      <c r="R739" s="40"/>
      <c r="S739" s="40"/>
      <c r="U739" s="40"/>
      <c r="V739" s="40"/>
      <c r="W739" s="40"/>
      <c r="Y739" s="40"/>
      <c r="Z739" s="40"/>
      <c r="AA739" s="41"/>
      <c r="AB739" s="41"/>
      <c r="AC739" s="41"/>
      <c r="AD739" s="41"/>
      <c r="AE739" s="41"/>
      <c r="AF739" s="40"/>
      <c r="AG739" s="40"/>
      <c r="AH739" s="5"/>
      <c r="AI739" s="5"/>
      <c r="AJ739" s="40"/>
      <c r="AK739" s="40"/>
      <c r="AL739" s="40"/>
      <c r="AM739" s="40"/>
      <c r="AN739" s="40"/>
      <c r="AP739" s="40"/>
      <c r="AR739" s="40"/>
    </row>
    <row r="740" spans="2:44" ht="12.75" customHeight="1" x14ac:dyDescent="0.15">
      <c r="B740" s="40"/>
      <c r="C740" s="40"/>
      <c r="D740" s="40"/>
      <c r="E740" s="185"/>
      <c r="F740" s="40"/>
      <c r="G740" s="40"/>
      <c r="H740" s="53"/>
      <c r="R740" s="40"/>
      <c r="S740" s="40"/>
      <c r="U740" s="40"/>
      <c r="V740" s="40"/>
      <c r="W740" s="40"/>
      <c r="Y740" s="40"/>
      <c r="Z740" s="40"/>
      <c r="AA740" s="41"/>
      <c r="AB740" s="41"/>
      <c r="AC740" s="41"/>
      <c r="AD740" s="41"/>
      <c r="AE740" s="41"/>
      <c r="AF740" s="40"/>
      <c r="AG740" s="40"/>
      <c r="AH740" s="5"/>
      <c r="AI740" s="5"/>
      <c r="AJ740" s="40"/>
      <c r="AK740" s="40"/>
      <c r="AL740" s="40"/>
      <c r="AM740" s="40"/>
      <c r="AN740" s="40"/>
      <c r="AP740" s="40"/>
      <c r="AR740" s="40"/>
    </row>
    <row r="741" spans="2:44" ht="12.75" customHeight="1" x14ac:dyDescent="0.15">
      <c r="B741" s="40"/>
      <c r="C741" s="40"/>
      <c r="D741" s="40"/>
      <c r="E741" s="185"/>
      <c r="F741" s="40"/>
      <c r="G741" s="40"/>
      <c r="H741" s="53"/>
      <c r="R741" s="40"/>
      <c r="S741" s="40"/>
      <c r="U741" s="40"/>
      <c r="V741" s="40"/>
      <c r="W741" s="40"/>
      <c r="Y741" s="40"/>
      <c r="Z741" s="40"/>
      <c r="AA741" s="41"/>
      <c r="AB741" s="41"/>
      <c r="AC741" s="41"/>
      <c r="AD741" s="41"/>
      <c r="AE741" s="41"/>
      <c r="AF741" s="40"/>
      <c r="AG741" s="40"/>
      <c r="AH741" s="5"/>
      <c r="AI741" s="5"/>
      <c r="AJ741" s="40"/>
      <c r="AK741" s="40"/>
      <c r="AL741" s="40"/>
      <c r="AM741" s="40"/>
      <c r="AN741" s="40"/>
      <c r="AP741" s="40"/>
      <c r="AR741" s="40"/>
    </row>
    <row r="742" spans="2:44" ht="12.75" customHeight="1" x14ac:dyDescent="0.15">
      <c r="B742" s="40"/>
      <c r="C742" s="40"/>
      <c r="D742" s="40"/>
      <c r="E742" s="185"/>
      <c r="F742" s="40"/>
      <c r="G742" s="40"/>
      <c r="H742" s="53"/>
      <c r="R742" s="40"/>
      <c r="S742" s="40"/>
      <c r="U742" s="40"/>
      <c r="V742" s="40"/>
      <c r="W742" s="40"/>
      <c r="Y742" s="40"/>
      <c r="Z742" s="40"/>
      <c r="AA742" s="41"/>
      <c r="AB742" s="41"/>
      <c r="AC742" s="41"/>
      <c r="AD742" s="41"/>
      <c r="AE742" s="41"/>
      <c r="AF742" s="40"/>
      <c r="AG742" s="40"/>
      <c r="AH742" s="5"/>
      <c r="AI742" s="5"/>
      <c r="AJ742" s="40"/>
      <c r="AK742" s="40"/>
      <c r="AL742" s="40"/>
      <c r="AM742" s="40"/>
      <c r="AN742" s="40"/>
      <c r="AP742" s="40"/>
      <c r="AR742" s="40"/>
    </row>
    <row r="743" spans="2:44" ht="12.75" customHeight="1" x14ac:dyDescent="0.15">
      <c r="B743" s="40"/>
      <c r="C743" s="40"/>
      <c r="D743" s="40"/>
      <c r="E743" s="185"/>
      <c r="F743" s="40"/>
      <c r="G743" s="40"/>
      <c r="H743" s="53"/>
      <c r="R743" s="40"/>
      <c r="S743" s="40"/>
      <c r="U743" s="40"/>
      <c r="V743" s="40"/>
      <c r="W743" s="40"/>
      <c r="Y743" s="40"/>
      <c r="Z743" s="40"/>
      <c r="AA743" s="41"/>
      <c r="AB743" s="41"/>
      <c r="AC743" s="41"/>
      <c r="AD743" s="41"/>
      <c r="AE743" s="41"/>
      <c r="AF743" s="40"/>
      <c r="AG743" s="40"/>
      <c r="AH743" s="5"/>
      <c r="AI743" s="5"/>
      <c r="AJ743" s="40"/>
      <c r="AK743" s="40"/>
      <c r="AL743" s="40"/>
      <c r="AM743" s="40"/>
      <c r="AN743" s="40"/>
      <c r="AP743" s="40"/>
      <c r="AR743" s="40"/>
    </row>
    <row r="744" spans="2:44" ht="12.75" customHeight="1" x14ac:dyDescent="0.15">
      <c r="B744" s="40"/>
      <c r="C744" s="40"/>
      <c r="D744" s="40"/>
      <c r="E744" s="185"/>
      <c r="F744" s="40"/>
      <c r="G744" s="40"/>
      <c r="H744" s="53"/>
      <c r="R744" s="40"/>
      <c r="S744" s="40"/>
      <c r="U744" s="40"/>
      <c r="V744" s="40"/>
      <c r="W744" s="40"/>
      <c r="Y744" s="40"/>
      <c r="Z744" s="40"/>
      <c r="AA744" s="41"/>
      <c r="AB744" s="41"/>
      <c r="AC744" s="41"/>
      <c r="AD744" s="41"/>
      <c r="AE744" s="41"/>
      <c r="AF744" s="40"/>
      <c r="AG744" s="40"/>
      <c r="AH744" s="5"/>
      <c r="AI744" s="5"/>
      <c r="AJ744" s="40"/>
      <c r="AK744" s="40"/>
      <c r="AL744" s="40"/>
      <c r="AM744" s="40"/>
      <c r="AN744" s="40"/>
      <c r="AP744" s="40"/>
      <c r="AR744" s="40"/>
    </row>
    <row r="745" spans="2:44" ht="12.75" customHeight="1" x14ac:dyDescent="0.15">
      <c r="B745" s="40"/>
      <c r="C745" s="40"/>
      <c r="D745" s="40"/>
      <c r="E745" s="185"/>
      <c r="F745" s="40"/>
      <c r="G745" s="40"/>
      <c r="H745" s="53"/>
      <c r="R745" s="40"/>
      <c r="S745" s="40"/>
      <c r="U745" s="40"/>
      <c r="V745" s="40"/>
      <c r="W745" s="40"/>
      <c r="Y745" s="40"/>
      <c r="Z745" s="40"/>
      <c r="AA745" s="41"/>
      <c r="AB745" s="41"/>
      <c r="AC745" s="41"/>
      <c r="AD745" s="41"/>
      <c r="AE745" s="41"/>
      <c r="AF745" s="40"/>
      <c r="AG745" s="40"/>
      <c r="AH745" s="5"/>
      <c r="AI745" s="5"/>
      <c r="AJ745" s="40"/>
      <c r="AK745" s="40"/>
      <c r="AL745" s="40"/>
      <c r="AM745" s="40"/>
      <c r="AN745" s="40"/>
      <c r="AP745" s="40"/>
      <c r="AR745" s="40"/>
    </row>
    <row r="746" spans="2:44" ht="12.75" customHeight="1" x14ac:dyDescent="0.15">
      <c r="B746" s="40"/>
      <c r="C746" s="40"/>
      <c r="D746" s="40"/>
      <c r="E746" s="185"/>
      <c r="F746" s="40"/>
      <c r="G746" s="40"/>
      <c r="H746" s="53"/>
      <c r="R746" s="40"/>
      <c r="S746" s="40"/>
      <c r="U746" s="40"/>
      <c r="V746" s="40"/>
      <c r="W746" s="40"/>
      <c r="Y746" s="40"/>
      <c r="Z746" s="40"/>
      <c r="AA746" s="41"/>
      <c r="AB746" s="41"/>
      <c r="AC746" s="41"/>
      <c r="AD746" s="41"/>
      <c r="AE746" s="41"/>
      <c r="AF746" s="40"/>
      <c r="AG746" s="40"/>
      <c r="AH746" s="5"/>
      <c r="AI746" s="5"/>
      <c r="AJ746" s="40"/>
      <c r="AK746" s="40"/>
      <c r="AL746" s="40"/>
      <c r="AM746" s="40"/>
      <c r="AN746" s="40"/>
      <c r="AP746" s="40"/>
      <c r="AR746" s="40"/>
    </row>
    <row r="747" spans="2:44" ht="12.75" customHeight="1" x14ac:dyDescent="0.15">
      <c r="B747" s="40"/>
      <c r="C747" s="40"/>
      <c r="D747" s="40"/>
      <c r="E747" s="185"/>
      <c r="F747" s="40"/>
      <c r="G747" s="40"/>
      <c r="H747" s="53"/>
      <c r="R747" s="40"/>
      <c r="S747" s="40"/>
      <c r="U747" s="40"/>
      <c r="V747" s="40"/>
      <c r="W747" s="40"/>
      <c r="Y747" s="40"/>
      <c r="Z747" s="40"/>
      <c r="AA747" s="41"/>
      <c r="AB747" s="41"/>
      <c r="AC747" s="41"/>
      <c r="AD747" s="41"/>
      <c r="AE747" s="41"/>
      <c r="AF747" s="40"/>
      <c r="AG747" s="40"/>
      <c r="AH747" s="5"/>
      <c r="AI747" s="5"/>
      <c r="AJ747" s="40"/>
      <c r="AK747" s="40"/>
      <c r="AL747" s="40"/>
      <c r="AM747" s="40"/>
      <c r="AN747" s="40"/>
      <c r="AP747" s="40"/>
      <c r="AR747" s="40"/>
    </row>
    <row r="748" spans="2:44" ht="12.75" customHeight="1" x14ac:dyDescent="0.15">
      <c r="B748" s="40"/>
      <c r="C748" s="40"/>
      <c r="D748" s="40"/>
      <c r="E748" s="185"/>
      <c r="F748" s="40"/>
      <c r="G748" s="40"/>
      <c r="H748" s="53"/>
      <c r="R748" s="40"/>
      <c r="S748" s="40"/>
      <c r="U748" s="40"/>
      <c r="V748" s="40"/>
      <c r="W748" s="40"/>
      <c r="Y748" s="40"/>
      <c r="Z748" s="40"/>
      <c r="AA748" s="41"/>
      <c r="AB748" s="41"/>
      <c r="AC748" s="41"/>
      <c r="AD748" s="41"/>
      <c r="AE748" s="41"/>
      <c r="AF748" s="40"/>
      <c r="AG748" s="40"/>
      <c r="AH748" s="5"/>
      <c r="AI748" s="5"/>
      <c r="AJ748" s="40"/>
      <c r="AK748" s="40"/>
      <c r="AL748" s="40"/>
      <c r="AM748" s="40"/>
      <c r="AN748" s="40"/>
      <c r="AP748" s="40"/>
      <c r="AR748" s="40"/>
    </row>
    <row r="749" spans="2:44" ht="12.75" customHeight="1" x14ac:dyDescent="0.15">
      <c r="B749" s="40"/>
      <c r="C749" s="40"/>
      <c r="D749" s="40"/>
      <c r="E749" s="185"/>
      <c r="F749" s="40"/>
      <c r="G749" s="40"/>
      <c r="H749" s="53"/>
      <c r="R749" s="40"/>
      <c r="S749" s="40"/>
      <c r="U749" s="40"/>
      <c r="V749" s="40"/>
      <c r="W749" s="40"/>
      <c r="Y749" s="40"/>
      <c r="Z749" s="40"/>
      <c r="AA749" s="41"/>
      <c r="AB749" s="41"/>
      <c r="AC749" s="41"/>
      <c r="AD749" s="41"/>
      <c r="AE749" s="41"/>
      <c r="AF749" s="40"/>
      <c r="AG749" s="40"/>
      <c r="AH749" s="5"/>
      <c r="AI749" s="5"/>
      <c r="AJ749" s="40"/>
      <c r="AK749" s="40"/>
      <c r="AL749" s="40"/>
      <c r="AM749" s="40"/>
      <c r="AN749" s="40"/>
      <c r="AP749" s="40"/>
      <c r="AR749" s="40"/>
    </row>
    <row r="750" spans="2:44" ht="12.75" customHeight="1" x14ac:dyDescent="0.15">
      <c r="B750" s="40"/>
      <c r="C750" s="40"/>
      <c r="D750" s="40"/>
      <c r="E750" s="185"/>
      <c r="F750" s="40"/>
      <c r="G750" s="40"/>
      <c r="H750" s="53"/>
      <c r="R750" s="40"/>
      <c r="S750" s="40"/>
      <c r="U750" s="40"/>
      <c r="V750" s="40"/>
      <c r="W750" s="40"/>
      <c r="Y750" s="40"/>
      <c r="Z750" s="40"/>
      <c r="AA750" s="41"/>
      <c r="AB750" s="41"/>
      <c r="AC750" s="41"/>
      <c r="AD750" s="41"/>
      <c r="AE750" s="41"/>
      <c r="AF750" s="40"/>
      <c r="AG750" s="40"/>
      <c r="AH750" s="5"/>
      <c r="AI750" s="5"/>
      <c r="AJ750" s="40"/>
      <c r="AK750" s="40"/>
      <c r="AL750" s="40"/>
      <c r="AM750" s="40"/>
      <c r="AN750" s="40"/>
      <c r="AP750" s="40"/>
      <c r="AR750" s="40"/>
    </row>
    <row r="751" spans="2:44" ht="12.75" customHeight="1" x14ac:dyDescent="0.15">
      <c r="B751" s="40"/>
      <c r="C751" s="40"/>
      <c r="D751" s="40"/>
      <c r="E751" s="185"/>
      <c r="F751" s="40"/>
      <c r="G751" s="40"/>
      <c r="H751" s="53"/>
      <c r="R751" s="40"/>
      <c r="S751" s="40"/>
      <c r="U751" s="40"/>
      <c r="V751" s="40"/>
      <c r="W751" s="40"/>
      <c r="Y751" s="40"/>
      <c r="Z751" s="40"/>
      <c r="AA751" s="41"/>
      <c r="AB751" s="41"/>
      <c r="AC751" s="41"/>
      <c r="AD751" s="41"/>
      <c r="AE751" s="41"/>
      <c r="AF751" s="40"/>
      <c r="AG751" s="40"/>
      <c r="AH751" s="5"/>
      <c r="AI751" s="5"/>
      <c r="AJ751" s="40"/>
      <c r="AK751" s="40"/>
      <c r="AL751" s="40"/>
      <c r="AM751" s="40"/>
      <c r="AN751" s="40"/>
      <c r="AP751" s="40"/>
      <c r="AR751" s="40"/>
    </row>
    <row r="752" spans="2:44" ht="12.75" customHeight="1" x14ac:dyDescent="0.15">
      <c r="B752" s="40"/>
      <c r="C752" s="40"/>
      <c r="D752" s="40"/>
      <c r="E752" s="185"/>
      <c r="F752" s="40"/>
      <c r="G752" s="40"/>
      <c r="H752" s="53"/>
      <c r="R752" s="40"/>
      <c r="S752" s="40"/>
      <c r="U752" s="40"/>
      <c r="V752" s="40"/>
      <c r="W752" s="40"/>
      <c r="Y752" s="40"/>
      <c r="Z752" s="40"/>
      <c r="AA752" s="41"/>
      <c r="AB752" s="41"/>
      <c r="AC752" s="41"/>
      <c r="AD752" s="41"/>
      <c r="AE752" s="41"/>
      <c r="AF752" s="40"/>
      <c r="AG752" s="40"/>
      <c r="AH752" s="5"/>
      <c r="AI752" s="5"/>
      <c r="AJ752" s="40"/>
      <c r="AK752" s="40"/>
      <c r="AL752" s="40"/>
      <c r="AM752" s="40"/>
      <c r="AN752" s="40"/>
      <c r="AP752" s="40"/>
      <c r="AR752" s="40"/>
    </row>
    <row r="753" spans="2:44" ht="12.75" customHeight="1" x14ac:dyDescent="0.15">
      <c r="B753" s="40"/>
      <c r="C753" s="40"/>
      <c r="D753" s="40"/>
      <c r="E753" s="185"/>
      <c r="F753" s="40"/>
      <c r="G753" s="40"/>
      <c r="H753" s="53"/>
      <c r="R753" s="40"/>
      <c r="S753" s="40"/>
      <c r="U753" s="40"/>
      <c r="V753" s="40"/>
      <c r="W753" s="40"/>
      <c r="Y753" s="40"/>
      <c r="Z753" s="40"/>
      <c r="AA753" s="41"/>
      <c r="AB753" s="41"/>
      <c r="AC753" s="41"/>
      <c r="AD753" s="41"/>
      <c r="AE753" s="41"/>
      <c r="AF753" s="40"/>
      <c r="AG753" s="40"/>
      <c r="AH753" s="5"/>
      <c r="AI753" s="5"/>
      <c r="AJ753" s="40"/>
      <c r="AK753" s="40"/>
      <c r="AL753" s="40"/>
      <c r="AM753" s="40"/>
      <c r="AN753" s="40"/>
      <c r="AP753" s="40"/>
      <c r="AR753" s="40"/>
    </row>
    <row r="754" spans="2:44" ht="12.75" customHeight="1" x14ac:dyDescent="0.15">
      <c r="B754" s="40"/>
      <c r="C754" s="40"/>
      <c r="D754" s="40"/>
      <c r="E754" s="185"/>
      <c r="F754" s="40"/>
      <c r="G754" s="40"/>
      <c r="H754" s="53"/>
      <c r="R754" s="40"/>
      <c r="S754" s="40"/>
      <c r="U754" s="40"/>
      <c r="V754" s="40"/>
      <c r="W754" s="40"/>
      <c r="Y754" s="40"/>
      <c r="Z754" s="40"/>
      <c r="AA754" s="41"/>
      <c r="AB754" s="41"/>
      <c r="AC754" s="41"/>
      <c r="AD754" s="41"/>
      <c r="AE754" s="41"/>
      <c r="AF754" s="40"/>
      <c r="AG754" s="40"/>
      <c r="AH754" s="5"/>
      <c r="AI754" s="5"/>
      <c r="AJ754" s="40"/>
      <c r="AK754" s="40"/>
      <c r="AL754" s="40"/>
      <c r="AM754" s="40"/>
      <c r="AN754" s="40"/>
      <c r="AP754" s="40"/>
      <c r="AR754" s="40"/>
    </row>
    <row r="755" spans="2:44" ht="12.75" customHeight="1" x14ac:dyDescent="0.15">
      <c r="B755" s="40"/>
      <c r="C755" s="40"/>
      <c r="D755" s="40"/>
      <c r="E755" s="185"/>
      <c r="F755" s="40"/>
      <c r="G755" s="40"/>
      <c r="H755" s="53"/>
      <c r="R755" s="40"/>
      <c r="S755" s="40"/>
      <c r="U755" s="40"/>
      <c r="V755" s="40"/>
      <c r="W755" s="40"/>
      <c r="Y755" s="40"/>
      <c r="Z755" s="40"/>
      <c r="AA755" s="41"/>
      <c r="AB755" s="41"/>
      <c r="AC755" s="41"/>
      <c r="AD755" s="41"/>
      <c r="AE755" s="41"/>
      <c r="AF755" s="40"/>
      <c r="AG755" s="40"/>
      <c r="AH755" s="5"/>
      <c r="AI755" s="5"/>
      <c r="AJ755" s="40"/>
      <c r="AK755" s="40"/>
      <c r="AL755" s="40"/>
      <c r="AM755" s="40"/>
      <c r="AN755" s="40"/>
      <c r="AP755" s="40"/>
      <c r="AR755" s="40"/>
    </row>
    <row r="756" spans="2:44" ht="12.75" customHeight="1" x14ac:dyDescent="0.15">
      <c r="B756" s="40"/>
      <c r="C756" s="40"/>
      <c r="D756" s="40"/>
      <c r="E756" s="185"/>
      <c r="F756" s="40"/>
      <c r="G756" s="40"/>
      <c r="H756" s="53"/>
      <c r="R756" s="40"/>
      <c r="S756" s="40"/>
      <c r="U756" s="40"/>
      <c r="V756" s="40"/>
      <c r="W756" s="40"/>
      <c r="Y756" s="40"/>
      <c r="Z756" s="40"/>
      <c r="AA756" s="41"/>
      <c r="AB756" s="41"/>
      <c r="AC756" s="41"/>
      <c r="AD756" s="41"/>
      <c r="AE756" s="41"/>
      <c r="AF756" s="40"/>
      <c r="AG756" s="40"/>
      <c r="AH756" s="5"/>
      <c r="AI756" s="5"/>
      <c r="AJ756" s="40"/>
      <c r="AK756" s="40"/>
      <c r="AL756" s="40"/>
      <c r="AM756" s="40"/>
      <c r="AN756" s="40"/>
      <c r="AP756" s="40"/>
      <c r="AR756" s="40"/>
    </row>
    <row r="757" spans="2:44" ht="12.75" customHeight="1" x14ac:dyDescent="0.15">
      <c r="B757" s="40"/>
      <c r="C757" s="40"/>
      <c r="D757" s="40"/>
      <c r="E757" s="185"/>
      <c r="F757" s="40"/>
      <c r="G757" s="40"/>
      <c r="H757" s="53"/>
      <c r="R757" s="40"/>
      <c r="S757" s="40"/>
      <c r="U757" s="40"/>
      <c r="V757" s="40"/>
      <c r="W757" s="40"/>
      <c r="Y757" s="40"/>
      <c r="Z757" s="40"/>
      <c r="AA757" s="41"/>
      <c r="AB757" s="41"/>
      <c r="AC757" s="41"/>
      <c r="AD757" s="41"/>
      <c r="AE757" s="41"/>
      <c r="AF757" s="40"/>
      <c r="AG757" s="40"/>
      <c r="AH757" s="5"/>
      <c r="AI757" s="5"/>
      <c r="AJ757" s="40"/>
      <c r="AK757" s="40"/>
      <c r="AL757" s="40"/>
      <c r="AM757" s="40"/>
      <c r="AN757" s="40"/>
      <c r="AP757" s="40"/>
      <c r="AR757" s="40"/>
    </row>
    <row r="758" spans="2:44" ht="12.75" customHeight="1" x14ac:dyDescent="0.15">
      <c r="B758" s="40"/>
      <c r="C758" s="40"/>
      <c r="D758" s="40"/>
      <c r="E758" s="185"/>
      <c r="F758" s="40"/>
      <c r="G758" s="40"/>
      <c r="H758" s="53"/>
      <c r="R758" s="40"/>
      <c r="S758" s="40"/>
      <c r="U758" s="40"/>
      <c r="V758" s="40"/>
      <c r="W758" s="40"/>
      <c r="Y758" s="40"/>
      <c r="Z758" s="40"/>
      <c r="AA758" s="41"/>
      <c r="AB758" s="41"/>
      <c r="AC758" s="41"/>
      <c r="AD758" s="41"/>
      <c r="AE758" s="41"/>
      <c r="AF758" s="40"/>
      <c r="AG758" s="40"/>
      <c r="AH758" s="5"/>
      <c r="AI758" s="5"/>
      <c r="AJ758" s="40"/>
      <c r="AK758" s="40"/>
      <c r="AL758" s="40"/>
      <c r="AM758" s="40"/>
      <c r="AN758" s="40"/>
      <c r="AP758" s="40"/>
      <c r="AR758" s="40"/>
    </row>
    <row r="759" spans="2:44" ht="12.75" customHeight="1" x14ac:dyDescent="0.15">
      <c r="B759" s="40"/>
      <c r="C759" s="40"/>
      <c r="D759" s="40"/>
      <c r="E759" s="185"/>
      <c r="F759" s="40"/>
      <c r="G759" s="40"/>
      <c r="H759" s="53"/>
      <c r="R759" s="40"/>
      <c r="S759" s="40"/>
      <c r="U759" s="40"/>
      <c r="V759" s="40"/>
      <c r="W759" s="40"/>
      <c r="Y759" s="40"/>
      <c r="Z759" s="40"/>
      <c r="AA759" s="41"/>
      <c r="AB759" s="41"/>
      <c r="AC759" s="41"/>
      <c r="AD759" s="41"/>
      <c r="AE759" s="41"/>
      <c r="AF759" s="40"/>
      <c r="AG759" s="40"/>
      <c r="AH759" s="5"/>
      <c r="AI759" s="5"/>
      <c r="AJ759" s="40"/>
      <c r="AK759" s="40"/>
      <c r="AL759" s="40"/>
      <c r="AM759" s="40"/>
      <c r="AN759" s="40"/>
      <c r="AP759" s="40"/>
      <c r="AR759" s="40"/>
    </row>
    <row r="760" spans="2:44" ht="12.75" customHeight="1" x14ac:dyDescent="0.15">
      <c r="B760" s="40"/>
      <c r="C760" s="40"/>
      <c r="D760" s="40"/>
      <c r="E760" s="185"/>
      <c r="F760" s="40"/>
      <c r="G760" s="40"/>
      <c r="H760" s="53"/>
      <c r="R760" s="40"/>
      <c r="S760" s="40"/>
      <c r="U760" s="40"/>
      <c r="V760" s="40"/>
      <c r="W760" s="40"/>
      <c r="Y760" s="40"/>
      <c r="Z760" s="40"/>
      <c r="AA760" s="41"/>
      <c r="AB760" s="41"/>
      <c r="AC760" s="41"/>
      <c r="AD760" s="41"/>
      <c r="AE760" s="41"/>
      <c r="AF760" s="40"/>
      <c r="AG760" s="40"/>
      <c r="AH760" s="5"/>
      <c r="AI760" s="5"/>
      <c r="AJ760" s="40"/>
      <c r="AK760" s="40"/>
      <c r="AL760" s="40"/>
      <c r="AM760" s="40"/>
      <c r="AN760" s="40"/>
      <c r="AP760" s="40"/>
      <c r="AR760" s="40"/>
    </row>
    <row r="761" spans="2:44" ht="12.75" customHeight="1" x14ac:dyDescent="0.15">
      <c r="B761" s="40"/>
      <c r="C761" s="40"/>
      <c r="D761" s="40"/>
      <c r="E761" s="185"/>
      <c r="F761" s="40"/>
      <c r="G761" s="40"/>
      <c r="H761" s="53"/>
      <c r="R761" s="40"/>
      <c r="S761" s="40"/>
      <c r="U761" s="40"/>
      <c r="V761" s="40"/>
      <c r="W761" s="40"/>
      <c r="Y761" s="40"/>
      <c r="Z761" s="40"/>
      <c r="AA761" s="41"/>
      <c r="AB761" s="41"/>
      <c r="AC761" s="41"/>
      <c r="AD761" s="41"/>
      <c r="AE761" s="41"/>
      <c r="AF761" s="40"/>
      <c r="AG761" s="40"/>
      <c r="AH761" s="5"/>
      <c r="AI761" s="5"/>
      <c r="AJ761" s="40"/>
      <c r="AK761" s="40"/>
      <c r="AL761" s="40"/>
      <c r="AM761" s="40"/>
      <c r="AN761" s="40"/>
      <c r="AP761" s="40"/>
      <c r="AR761" s="40"/>
    </row>
    <row r="762" spans="2:44" ht="12.75" customHeight="1" x14ac:dyDescent="0.15">
      <c r="B762" s="40"/>
      <c r="C762" s="40"/>
      <c r="D762" s="40"/>
      <c r="E762" s="185"/>
      <c r="F762" s="40"/>
      <c r="G762" s="40"/>
      <c r="H762" s="53"/>
      <c r="R762" s="40"/>
      <c r="S762" s="40"/>
      <c r="U762" s="40"/>
      <c r="V762" s="40"/>
      <c r="W762" s="40"/>
      <c r="Y762" s="40"/>
      <c r="Z762" s="40"/>
      <c r="AA762" s="41"/>
      <c r="AB762" s="41"/>
      <c r="AC762" s="41"/>
      <c r="AD762" s="41"/>
      <c r="AE762" s="41"/>
      <c r="AF762" s="40"/>
      <c r="AG762" s="40"/>
      <c r="AH762" s="5"/>
      <c r="AI762" s="5"/>
      <c r="AJ762" s="40"/>
      <c r="AK762" s="40"/>
      <c r="AL762" s="40"/>
      <c r="AM762" s="40"/>
      <c r="AN762" s="40"/>
      <c r="AP762" s="40"/>
      <c r="AR762" s="40"/>
    </row>
    <row r="763" spans="2:44" ht="12.75" customHeight="1" x14ac:dyDescent="0.15">
      <c r="B763" s="40"/>
      <c r="C763" s="40"/>
      <c r="D763" s="40"/>
      <c r="E763" s="185"/>
      <c r="F763" s="40"/>
      <c r="G763" s="40"/>
      <c r="H763" s="53"/>
      <c r="R763" s="40"/>
      <c r="S763" s="40"/>
      <c r="U763" s="40"/>
      <c r="V763" s="40"/>
      <c r="W763" s="40"/>
      <c r="Y763" s="40"/>
      <c r="Z763" s="40"/>
      <c r="AA763" s="41"/>
      <c r="AB763" s="41"/>
      <c r="AC763" s="41"/>
      <c r="AD763" s="41"/>
      <c r="AE763" s="41"/>
      <c r="AF763" s="40"/>
      <c r="AG763" s="40"/>
      <c r="AH763" s="5"/>
      <c r="AI763" s="5"/>
      <c r="AJ763" s="40"/>
      <c r="AK763" s="40"/>
      <c r="AL763" s="40"/>
      <c r="AM763" s="40"/>
      <c r="AN763" s="40"/>
      <c r="AP763" s="40"/>
      <c r="AR763" s="40"/>
    </row>
    <row r="764" spans="2:44" ht="12.75" customHeight="1" x14ac:dyDescent="0.15">
      <c r="B764" s="40"/>
      <c r="C764" s="40"/>
      <c r="D764" s="40"/>
      <c r="E764" s="185"/>
      <c r="F764" s="40"/>
      <c r="G764" s="40"/>
      <c r="H764" s="53"/>
      <c r="R764" s="40"/>
      <c r="S764" s="40"/>
      <c r="U764" s="40"/>
      <c r="V764" s="40"/>
      <c r="W764" s="40"/>
      <c r="Y764" s="40"/>
      <c r="Z764" s="40"/>
      <c r="AA764" s="41"/>
      <c r="AB764" s="41"/>
      <c r="AC764" s="41"/>
      <c r="AD764" s="41"/>
      <c r="AE764" s="41"/>
      <c r="AF764" s="40"/>
      <c r="AG764" s="40"/>
      <c r="AH764" s="5"/>
      <c r="AI764" s="5"/>
      <c r="AJ764" s="40"/>
      <c r="AK764" s="40"/>
      <c r="AL764" s="40"/>
      <c r="AM764" s="40"/>
      <c r="AN764" s="40"/>
      <c r="AP764" s="40"/>
      <c r="AR764" s="40"/>
    </row>
    <row r="765" spans="2:44" ht="12.75" customHeight="1" x14ac:dyDescent="0.15">
      <c r="B765" s="40"/>
      <c r="C765" s="40"/>
      <c r="D765" s="40"/>
      <c r="E765" s="185"/>
      <c r="F765" s="40"/>
      <c r="G765" s="40"/>
      <c r="H765" s="53"/>
      <c r="R765" s="40"/>
      <c r="S765" s="40"/>
      <c r="U765" s="40"/>
      <c r="V765" s="40"/>
      <c r="W765" s="40"/>
      <c r="Y765" s="40"/>
      <c r="Z765" s="40"/>
      <c r="AA765" s="41"/>
      <c r="AB765" s="41"/>
      <c r="AC765" s="41"/>
      <c r="AD765" s="41"/>
      <c r="AE765" s="41"/>
      <c r="AF765" s="40"/>
      <c r="AG765" s="40"/>
      <c r="AH765" s="5"/>
      <c r="AI765" s="5"/>
      <c r="AJ765" s="40"/>
      <c r="AK765" s="40"/>
      <c r="AL765" s="40"/>
      <c r="AM765" s="40"/>
      <c r="AN765" s="40"/>
      <c r="AP765" s="40"/>
      <c r="AR765" s="40"/>
    </row>
    <row r="766" spans="2:44" ht="12.75" customHeight="1" x14ac:dyDescent="0.15">
      <c r="B766" s="40"/>
      <c r="C766" s="40"/>
      <c r="D766" s="40"/>
      <c r="E766" s="185"/>
      <c r="F766" s="40"/>
      <c r="G766" s="40"/>
      <c r="H766" s="53"/>
      <c r="R766" s="40"/>
      <c r="S766" s="40"/>
      <c r="U766" s="40"/>
      <c r="V766" s="40"/>
      <c r="W766" s="40"/>
      <c r="Y766" s="40"/>
      <c r="Z766" s="40"/>
      <c r="AA766" s="41"/>
      <c r="AB766" s="41"/>
      <c r="AC766" s="41"/>
      <c r="AD766" s="41"/>
      <c r="AE766" s="41"/>
      <c r="AF766" s="40"/>
      <c r="AG766" s="40"/>
      <c r="AH766" s="5"/>
      <c r="AI766" s="5"/>
      <c r="AJ766" s="40"/>
      <c r="AK766" s="40"/>
      <c r="AL766" s="40"/>
      <c r="AM766" s="40"/>
      <c r="AN766" s="40"/>
      <c r="AP766" s="40"/>
      <c r="AR766" s="40"/>
    </row>
    <row r="767" spans="2:44" ht="12.75" customHeight="1" x14ac:dyDescent="0.15">
      <c r="B767" s="40"/>
      <c r="C767" s="40"/>
      <c r="D767" s="40"/>
      <c r="E767" s="185"/>
      <c r="F767" s="40"/>
      <c r="G767" s="40"/>
      <c r="H767" s="53"/>
      <c r="R767" s="40"/>
      <c r="S767" s="40"/>
      <c r="U767" s="40"/>
      <c r="V767" s="40"/>
      <c r="W767" s="40"/>
      <c r="Y767" s="40"/>
      <c r="Z767" s="40"/>
      <c r="AA767" s="41"/>
      <c r="AB767" s="41"/>
      <c r="AC767" s="41"/>
      <c r="AD767" s="41"/>
      <c r="AE767" s="41"/>
      <c r="AF767" s="40"/>
      <c r="AG767" s="40"/>
      <c r="AH767" s="5"/>
      <c r="AI767" s="5"/>
      <c r="AJ767" s="40"/>
      <c r="AK767" s="40"/>
      <c r="AL767" s="40"/>
      <c r="AM767" s="40"/>
      <c r="AN767" s="40"/>
      <c r="AP767" s="40"/>
      <c r="AR767" s="40"/>
    </row>
    <row r="768" spans="2:44" ht="12.75" customHeight="1" x14ac:dyDescent="0.15">
      <c r="B768" s="40"/>
      <c r="C768" s="40"/>
      <c r="D768" s="40"/>
      <c r="E768" s="185"/>
      <c r="F768" s="40"/>
      <c r="G768" s="40"/>
      <c r="H768" s="53"/>
      <c r="R768" s="40"/>
      <c r="S768" s="40"/>
      <c r="U768" s="40"/>
      <c r="V768" s="40"/>
      <c r="W768" s="40"/>
      <c r="Y768" s="40"/>
      <c r="Z768" s="40"/>
      <c r="AA768" s="41"/>
      <c r="AB768" s="41"/>
      <c r="AC768" s="41"/>
      <c r="AD768" s="41"/>
      <c r="AE768" s="41"/>
      <c r="AF768" s="40"/>
      <c r="AG768" s="40"/>
      <c r="AH768" s="5"/>
      <c r="AI768" s="5"/>
      <c r="AJ768" s="40"/>
      <c r="AK768" s="40"/>
      <c r="AL768" s="40"/>
      <c r="AM768" s="40"/>
      <c r="AN768" s="40"/>
      <c r="AP768" s="40"/>
      <c r="AR768" s="40"/>
    </row>
    <row r="769" spans="2:44" ht="12.75" customHeight="1" x14ac:dyDescent="0.15">
      <c r="B769" s="40"/>
      <c r="C769" s="40"/>
      <c r="D769" s="40"/>
      <c r="E769" s="185"/>
      <c r="F769" s="40"/>
      <c r="G769" s="40"/>
      <c r="H769" s="53"/>
      <c r="R769" s="40"/>
      <c r="S769" s="40"/>
      <c r="U769" s="40"/>
      <c r="V769" s="40"/>
      <c r="W769" s="40"/>
      <c r="Y769" s="40"/>
      <c r="Z769" s="40"/>
      <c r="AA769" s="41"/>
      <c r="AB769" s="41"/>
      <c r="AC769" s="41"/>
      <c r="AD769" s="41"/>
      <c r="AE769" s="41"/>
      <c r="AF769" s="40"/>
      <c r="AG769" s="40"/>
      <c r="AH769" s="5"/>
      <c r="AI769" s="5"/>
      <c r="AJ769" s="40"/>
      <c r="AK769" s="40"/>
      <c r="AL769" s="40"/>
      <c r="AM769" s="40"/>
      <c r="AN769" s="40"/>
      <c r="AP769" s="40"/>
      <c r="AR769" s="40"/>
    </row>
    <row r="770" spans="2:44" ht="12.75" customHeight="1" x14ac:dyDescent="0.15">
      <c r="B770" s="40"/>
      <c r="C770" s="40"/>
      <c r="D770" s="40"/>
      <c r="E770" s="185"/>
      <c r="F770" s="40"/>
      <c r="G770" s="40"/>
      <c r="H770" s="53"/>
      <c r="R770" s="40"/>
      <c r="S770" s="40"/>
      <c r="U770" s="40"/>
      <c r="V770" s="40"/>
      <c r="W770" s="40"/>
      <c r="Y770" s="40"/>
      <c r="Z770" s="40"/>
      <c r="AA770" s="41"/>
      <c r="AB770" s="41"/>
      <c r="AC770" s="41"/>
      <c r="AD770" s="41"/>
      <c r="AE770" s="41"/>
      <c r="AF770" s="40"/>
      <c r="AG770" s="40"/>
      <c r="AH770" s="5"/>
      <c r="AI770" s="5"/>
      <c r="AJ770" s="40"/>
      <c r="AK770" s="40"/>
      <c r="AL770" s="40"/>
      <c r="AM770" s="40"/>
      <c r="AN770" s="40"/>
      <c r="AP770" s="40"/>
      <c r="AR770" s="40"/>
    </row>
    <row r="771" spans="2:44" ht="12.75" customHeight="1" x14ac:dyDescent="0.15">
      <c r="B771" s="40"/>
      <c r="C771" s="40"/>
      <c r="D771" s="40"/>
      <c r="E771" s="185"/>
      <c r="F771" s="40"/>
      <c r="G771" s="40"/>
      <c r="H771" s="53"/>
      <c r="R771" s="40"/>
      <c r="S771" s="40"/>
      <c r="U771" s="40"/>
      <c r="V771" s="40"/>
      <c r="W771" s="40"/>
      <c r="Y771" s="40"/>
      <c r="Z771" s="40"/>
      <c r="AA771" s="41"/>
      <c r="AB771" s="41"/>
      <c r="AC771" s="41"/>
      <c r="AD771" s="41"/>
      <c r="AE771" s="41"/>
      <c r="AF771" s="40"/>
      <c r="AG771" s="40"/>
      <c r="AH771" s="5"/>
      <c r="AI771" s="5"/>
      <c r="AJ771" s="40"/>
      <c r="AK771" s="40"/>
      <c r="AL771" s="40"/>
      <c r="AM771" s="40"/>
      <c r="AN771" s="40"/>
      <c r="AP771" s="40"/>
      <c r="AR771" s="40"/>
    </row>
    <row r="772" spans="2:44" ht="12.75" customHeight="1" x14ac:dyDescent="0.15">
      <c r="B772" s="40"/>
      <c r="C772" s="40"/>
      <c r="D772" s="40"/>
      <c r="E772" s="185"/>
      <c r="F772" s="40"/>
      <c r="G772" s="40"/>
      <c r="H772" s="53"/>
      <c r="R772" s="40"/>
      <c r="S772" s="40"/>
      <c r="U772" s="40"/>
      <c r="V772" s="40"/>
      <c r="W772" s="40"/>
      <c r="Y772" s="40"/>
      <c r="Z772" s="40"/>
      <c r="AA772" s="41"/>
      <c r="AB772" s="41"/>
      <c r="AC772" s="41"/>
      <c r="AD772" s="41"/>
      <c r="AE772" s="41"/>
      <c r="AF772" s="40"/>
      <c r="AG772" s="40"/>
      <c r="AH772" s="5"/>
      <c r="AI772" s="5"/>
      <c r="AJ772" s="40"/>
      <c r="AK772" s="40"/>
      <c r="AL772" s="40"/>
      <c r="AM772" s="40"/>
      <c r="AN772" s="40"/>
      <c r="AP772" s="40"/>
      <c r="AR772" s="40"/>
    </row>
    <row r="773" spans="2:44" ht="12.75" customHeight="1" x14ac:dyDescent="0.15">
      <c r="B773" s="40"/>
      <c r="C773" s="40"/>
      <c r="D773" s="40"/>
      <c r="E773" s="185"/>
      <c r="F773" s="40"/>
      <c r="G773" s="40"/>
      <c r="H773" s="53"/>
      <c r="R773" s="40"/>
      <c r="S773" s="40"/>
      <c r="U773" s="40"/>
      <c r="V773" s="40"/>
      <c r="W773" s="40"/>
      <c r="Y773" s="40"/>
      <c r="Z773" s="40"/>
      <c r="AA773" s="41"/>
      <c r="AB773" s="41"/>
      <c r="AC773" s="41"/>
      <c r="AD773" s="41"/>
      <c r="AE773" s="41"/>
      <c r="AF773" s="40"/>
      <c r="AG773" s="40"/>
      <c r="AH773" s="5"/>
      <c r="AI773" s="5"/>
      <c r="AJ773" s="40"/>
      <c r="AK773" s="40"/>
      <c r="AL773" s="40"/>
      <c r="AM773" s="40"/>
      <c r="AN773" s="40"/>
      <c r="AP773" s="40"/>
      <c r="AR773" s="40"/>
    </row>
    <row r="774" spans="2:44" ht="12.75" customHeight="1" x14ac:dyDescent="0.15">
      <c r="B774" s="40"/>
      <c r="C774" s="40"/>
      <c r="D774" s="40"/>
      <c r="E774" s="185"/>
      <c r="F774" s="40"/>
      <c r="G774" s="40"/>
      <c r="H774" s="53"/>
      <c r="R774" s="40"/>
      <c r="S774" s="40"/>
      <c r="U774" s="40"/>
      <c r="V774" s="40"/>
      <c r="W774" s="40"/>
      <c r="Y774" s="40"/>
      <c r="Z774" s="40"/>
      <c r="AA774" s="41"/>
      <c r="AB774" s="41"/>
      <c r="AC774" s="41"/>
      <c r="AD774" s="41"/>
      <c r="AE774" s="41"/>
      <c r="AF774" s="40"/>
      <c r="AG774" s="40"/>
      <c r="AH774" s="5"/>
      <c r="AI774" s="5"/>
      <c r="AJ774" s="40"/>
      <c r="AK774" s="40"/>
      <c r="AL774" s="40"/>
      <c r="AM774" s="40"/>
      <c r="AN774" s="40"/>
      <c r="AP774" s="40"/>
      <c r="AR774" s="40"/>
    </row>
    <row r="775" spans="2:44" ht="12.75" customHeight="1" x14ac:dyDescent="0.15">
      <c r="B775" s="40"/>
      <c r="C775" s="40"/>
      <c r="D775" s="40"/>
      <c r="E775" s="185"/>
      <c r="F775" s="40"/>
      <c r="G775" s="40"/>
      <c r="H775" s="53"/>
      <c r="R775" s="40"/>
      <c r="S775" s="40"/>
      <c r="U775" s="40"/>
      <c r="V775" s="40"/>
      <c r="W775" s="40"/>
      <c r="Y775" s="40"/>
      <c r="Z775" s="40"/>
      <c r="AA775" s="41"/>
      <c r="AB775" s="41"/>
      <c r="AC775" s="41"/>
      <c r="AD775" s="41"/>
      <c r="AE775" s="41"/>
      <c r="AF775" s="40"/>
      <c r="AG775" s="40"/>
      <c r="AH775" s="5"/>
      <c r="AI775" s="5"/>
      <c r="AJ775" s="40"/>
      <c r="AK775" s="40"/>
      <c r="AL775" s="40"/>
      <c r="AM775" s="40"/>
      <c r="AN775" s="40"/>
      <c r="AP775" s="40"/>
      <c r="AR775" s="40"/>
    </row>
    <row r="776" spans="2:44" ht="12.75" customHeight="1" x14ac:dyDescent="0.15">
      <c r="B776" s="40"/>
      <c r="C776" s="40"/>
      <c r="D776" s="40"/>
      <c r="E776" s="185"/>
      <c r="F776" s="40"/>
      <c r="G776" s="40"/>
      <c r="H776" s="53"/>
      <c r="R776" s="40"/>
      <c r="S776" s="40"/>
      <c r="U776" s="40"/>
      <c r="V776" s="40"/>
      <c r="W776" s="40"/>
      <c r="Y776" s="40"/>
      <c r="Z776" s="40"/>
      <c r="AA776" s="41"/>
      <c r="AB776" s="41"/>
      <c r="AC776" s="41"/>
      <c r="AD776" s="41"/>
      <c r="AE776" s="41"/>
      <c r="AF776" s="40"/>
      <c r="AG776" s="40"/>
      <c r="AH776" s="5"/>
      <c r="AI776" s="5"/>
      <c r="AJ776" s="40"/>
      <c r="AK776" s="40"/>
      <c r="AL776" s="40"/>
      <c r="AM776" s="40"/>
      <c r="AN776" s="40"/>
      <c r="AP776" s="40"/>
      <c r="AR776" s="40"/>
    </row>
    <row r="777" spans="2:44" ht="12.75" customHeight="1" x14ac:dyDescent="0.15">
      <c r="B777" s="40"/>
      <c r="C777" s="40"/>
      <c r="D777" s="40"/>
      <c r="E777" s="185"/>
      <c r="F777" s="40"/>
      <c r="G777" s="40"/>
      <c r="H777" s="53"/>
      <c r="R777" s="40"/>
      <c r="S777" s="40"/>
      <c r="U777" s="40"/>
      <c r="V777" s="40"/>
      <c r="W777" s="40"/>
      <c r="Y777" s="40"/>
      <c r="Z777" s="40"/>
      <c r="AA777" s="41"/>
      <c r="AB777" s="41"/>
      <c r="AC777" s="41"/>
      <c r="AD777" s="41"/>
      <c r="AE777" s="41"/>
      <c r="AF777" s="40"/>
      <c r="AG777" s="40"/>
      <c r="AH777" s="5"/>
      <c r="AI777" s="5"/>
      <c r="AJ777" s="40"/>
      <c r="AK777" s="40"/>
      <c r="AL777" s="40"/>
      <c r="AM777" s="40"/>
      <c r="AN777" s="40"/>
      <c r="AP777" s="40"/>
      <c r="AR777" s="40"/>
    </row>
    <row r="778" spans="2:44" ht="12.75" customHeight="1" x14ac:dyDescent="0.15">
      <c r="B778" s="40"/>
      <c r="C778" s="40"/>
      <c r="D778" s="40"/>
      <c r="E778" s="185"/>
      <c r="F778" s="40"/>
      <c r="G778" s="40"/>
      <c r="H778" s="53"/>
      <c r="R778" s="40"/>
      <c r="S778" s="40"/>
      <c r="U778" s="40"/>
      <c r="V778" s="40"/>
      <c r="W778" s="40"/>
      <c r="Y778" s="40"/>
      <c r="Z778" s="40"/>
      <c r="AA778" s="41"/>
      <c r="AB778" s="41"/>
      <c r="AC778" s="41"/>
      <c r="AD778" s="41"/>
      <c r="AE778" s="41"/>
      <c r="AF778" s="40"/>
      <c r="AG778" s="40"/>
      <c r="AH778" s="5"/>
      <c r="AI778" s="5"/>
      <c r="AJ778" s="40"/>
      <c r="AK778" s="40"/>
      <c r="AL778" s="40"/>
      <c r="AM778" s="40"/>
      <c r="AN778" s="40"/>
      <c r="AP778" s="40"/>
      <c r="AR778" s="40"/>
    </row>
    <row r="779" spans="2:44" ht="12.75" customHeight="1" x14ac:dyDescent="0.15">
      <c r="B779" s="40"/>
      <c r="C779" s="40"/>
      <c r="D779" s="40"/>
      <c r="E779" s="185"/>
      <c r="F779" s="40"/>
      <c r="G779" s="40"/>
      <c r="H779" s="53"/>
      <c r="R779" s="40"/>
      <c r="S779" s="40"/>
      <c r="U779" s="40"/>
      <c r="V779" s="40"/>
      <c r="W779" s="40"/>
      <c r="Y779" s="40"/>
      <c r="Z779" s="40"/>
      <c r="AA779" s="41"/>
      <c r="AB779" s="41"/>
      <c r="AC779" s="41"/>
      <c r="AD779" s="41"/>
      <c r="AE779" s="41"/>
      <c r="AF779" s="40"/>
      <c r="AG779" s="40"/>
      <c r="AH779" s="5"/>
      <c r="AI779" s="5"/>
      <c r="AJ779" s="40"/>
      <c r="AK779" s="40"/>
      <c r="AL779" s="40"/>
      <c r="AM779" s="40"/>
      <c r="AN779" s="40"/>
      <c r="AP779" s="40"/>
      <c r="AR779" s="40"/>
    </row>
    <row r="780" spans="2:44" ht="12.75" customHeight="1" x14ac:dyDescent="0.15">
      <c r="B780" s="40"/>
      <c r="C780" s="40"/>
      <c r="D780" s="40"/>
      <c r="E780" s="185"/>
      <c r="F780" s="40"/>
      <c r="G780" s="40"/>
      <c r="H780" s="53"/>
      <c r="R780" s="40"/>
      <c r="S780" s="40"/>
      <c r="U780" s="40"/>
      <c r="V780" s="40"/>
      <c r="W780" s="40"/>
      <c r="Y780" s="40"/>
      <c r="Z780" s="40"/>
      <c r="AA780" s="41"/>
      <c r="AB780" s="41"/>
      <c r="AC780" s="41"/>
      <c r="AD780" s="41"/>
      <c r="AE780" s="41"/>
      <c r="AF780" s="40"/>
      <c r="AG780" s="40"/>
      <c r="AH780" s="5"/>
      <c r="AI780" s="5"/>
      <c r="AJ780" s="40"/>
      <c r="AK780" s="40"/>
      <c r="AL780" s="40"/>
      <c r="AM780" s="40"/>
      <c r="AN780" s="40"/>
      <c r="AP780" s="40"/>
      <c r="AR780" s="40"/>
    </row>
    <row r="781" spans="2:44" ht="12.75" customHeight="1" x14ac:dyDescent="0.15">
      <c r="B781" s="40"/>
      <c r="C781" s="40"/>
      <c r="D781" s="40"/>
      <c r="E781" s="185"/>
      <c r="F781" s="40"/>
      <c r="G781" s="40"/>
      <c r="H781" s="53"/>
      <c r="R781" s="40"/>
      <c r="S781" s="40"/>
      <c r="U781" s="40"/>
      <c r="V781" s="40"/>
      <c r="W781" s="40"/>
      <c r="Y781" s="40"/>
      <c r="Z781" s="40"/>
      <c r="AA781" s="41"/>
      <c r="AB781" s="41"/>
      <c r="AC781" s="41"/>
      <c r="AD781" s="41"/>
      <c r="AE781" s="41"/>
      <c r="AF781" s="40"/>
      <c r="AG781" s="40"/>
      <c r="AH781" s="5"/>
      <c r="AI781" s="5"/>
      <c r="AJ781" s="40"/>
      <c r="AK781" s="40"/>
      <c r="AL781" s="40"/>
      <c r="AM781" s="40"/>
      <c r="AN781" s="40"/>
      <c r="AP781" s="40"/>
      <c r="AR781" s="40"/>
    </row>
    <row r="782" spans="2:44" ht="12.75" customHeight="1" x14ac:dyDescent="0.15">
      <c r="B782" s="40"/>
      <c r="C782" s="40"/>
      <c r="D782" s="40"/>
      <c r="E782" s="185"/>
      <c r="F782" s="40"/>
      <c r="G782" s="40"/>
      <c r="H782" s="53"/>
      <c r="R782" s="40"/>
      <c r="S782" s="40"/>
      <c r="U782" s="40"/>
      <c r="V782" s="40"/>
      <c r="W782" s="40"/>
      <c r="Y782" s="40"/>
      <c r="Z782" s="40"/>
      <c r="AA782" s="41"/>
      <c r="AB782" s="41"/>
      <c r="AC782" s="41"/>
      <c r="AD782" s="41"/>
      <c r="AE782" s="41"/>
      <c r="AF782" s="40"/>
      <c r="AG782" s="40"/>
      <c r="AH782" s="5"/>
      <c r="AI782" s="5"/>
      <c r="AJ782" s="40"/>
      <c r="AK782" s="40"/>
      <c r="AL782" s="40"/>
      <c r="AM782" s="40"/>
      <c r="AN782" s="40"/>
      <c r="AP782" s="40"/>
      <c r="AR782" s="40"/>
    </row>
    <row r="783" spans="2:44" ht="12.75" customHeight="1" x14ac:dyDescent="0.15">
      <c r="B783" s="40"/>
      <c r="C783" s="40"/>
      <c r="D783" s="40"/>
      <c r="E783" s="185"/>
      <c r="F783" s="40"/>
      <c r="G783" s="40"/>
      <c r="H783" s="53"/>
      <c r="R783" s="40"/>
      <c r="S783" s="40"/>
      <c r="U783" s="40"/>
      <c r="V783" s="40"/>
      <c r="W783" s="40"/>
      <c r="Y783" s="40"/>
      <c r="Z783" s="40"/>
      <c r="AA783" s="41"/>
      <c r="AB783" s="41"/>
      <c r="AC783" s="41"/>
      <c r="AD783" s="41"/>
      <c r="AE783" s="41"/>
      <c r="AF783" s="40"/>
      <c r="AG783" s="40"/>
      <c r="AH783" s="5"/>
      <c r="AI783" s="5"/>
      <c r="AJ783" s="40"/>
      <c r="AK783" s="40"/>
      <c r="AL783" s="40"/>
      <c r="AM783" s="40"/>
      <c r="AN783" s="40"/>
      <c r="AP783" s="40"/>
      <c r="AR783" s="40"/>
    </row>
    <row r="784" spans="2:44" ht="12.75" customHeight="1" x14ac:dyDescent="0.15">
      <c r="B784" s="40"/>
      <c r="C784" s="40"/>
      <c r="D784" s="40"/>
      <c r="E784" s="185"/>
      <c r="F784" s="40"/>
      <c r="G784" s="40"/>
      <c r="H784" s="53"/>
      <c r="R784" s="40"/>
      <c r="S784" s="40"/>
      <c r="U784" s="40"/>
      <c r="V784" s="40"/>
      <c r="W784" s="40"/>
      <c r="Y784" s="40"/>
      <c r="Z784" s="40"/>
      <c r="AA784" s="41"/>
      <c r="AB784" s="41"/>
      <c r="AC784" s="41"/>
      <c r="AD784" s="41"/>
      <c r="AE784" s="41"/>
      <c r="AF784" s="40"/>
      <c r="AG784" s="40"/>
      <c r="AH784" s="5"/>
      <c r="AI784" s="5"/>
      <c r="AJ784" s="40"/>
      <c r="AK784" s="40"/>
      <c r="AL784" s="40"/>
      <c r="AM784" s="40"/>
      <c r="AN784" s="40"/>
      <c r="AP784" s="40"/>
      <c r="AR784" s="40"/>
    </row>
    <row r="785" spans="2:44" ht="12.75" customHeight="1" x14ac:dyDescent="0.15">
      <c r="B785" s="40"/>
      <c r="C785" s="40"/>
      <c r="D785" s="40"/>
      <c r="E785" s="185"/>
      <c r="F785" s="40"/>
      <c r="G785" s="40"/>
      <c r="H785" s="53"/>
      <c r="R785" s="40"/>
      <c r="S785" s="40"/>
      <c r="U785" s="40"/>
      <c r="V785" s="40"/>
      <c r="W785" s="40"/>
      <c r="Y785" s="40"/>
      <c r="Z785" s="40"/>
      <c r="AA785" s="41"/>
      <c r="AB785" s="41"/>
      <c r="AC785" s="41"/>
      <c r="AD785" s="41"/>
      <c r="AE785" s="41"/>
      <c r="AF785" s="40"/>
      <c r="AG785" s="40"/>
      <c r="AH785" s="5"/>
      <c r="AI785" s="5"/>
      <c r="AJ785" s="40"/>
      <c r="AK785" s="40"/>
      <c r="AL785" s="40"/>
      <c r="AM785" s="40"/>
      <c r="AN785" s="40"/>
      <c r="AP785" s="40"/>
      <c r="AR785" s="40"/>
    </row>
    <row r="786" spans="2:44" ht="12.75" customHeight="1" x14ac:dyDescent="0.15">
      <c r="B786" s="40"/>
      <c r="C786" s="40"/>
      <c r="D786" s="40"/>
      <c r="E786" s="185"/>
      <c r="F786" s="40"/>
      <c r="G786" s="40"/>
      <c r="H786" s="53"/>
      <c r="R786" s="40"/>
      <c r="S786" s="40"/>
      <c r="U786" s="40"/>
      <c r="V786" s="40"/>
      <c r="W786" s="40"/>
      <c r="Y786" s="40"/>
      <c r="Z786" s="40"/>
      <c r="AA786" s="41"/>
      <c r="AB786" s="41"/>
      <c r="AC786" s="41"/>
      <c r="AD786" s="41"/>
      <c r="AE786" s="41"/>
      <c r="AF786" s="40"/>
      <c r="AG786" s="40"/>
      <c r="AH786" s="5"/>
      <c r="AI786" s="5"/>
      <c r="AJ786" s="40"/>
      <c r="AK786" s="40"/>
      <c r="AL786" s="40"/>
      <c r="AM786" s="40"/>
      <c r="AN786" s="40"/>
      <c r="AP786" s="40"/>
      <c r="AR786" s="40"/>
    </row>
    <row r="787" spans="2:44" ht="12.75" customHeight="1" x14ac:dyDescent="0.15">
      <c r="B787" s="40"/>
      <c r="C787" s="40"/>
      <c r="D787" s="40"/>
      <c r="E787" s="185"/>
      <c r="F787" s="40"/>
      <c r="G787" s="40"/>
      <c r="H787" s="53"/>
      <c r="R787" s="40"/>
      <c r="S787" s="40"/>
      <c r="U787" s="40"/>
      <c r="V787" s="40"/>
      <c r="W787" s="40"/>
      <c r="Y787" s="40"/>
      <c r="Z787" s="40"/>
      <c r="AA787" s="41"/>
      <c r="AB787" s="41"/>
      <c r="AC787" s="41"/>
      <c r="AD787" s="41"/>
      <c r="AE787" s="41"/>
      <c r="AF787" s="40"/>
      <c r="AG787" s="40"/>
      <c r="AH787" s="5"/>
      <c r="AI787" s="5"/>
      <c r="AJ787" s="40"/>
      <c r="AK787" s="40"/>
      <c r="AL787" s="40"/>
      <c r="AM787" s="40"/>
      <c r="AN787" s="40"/>
      <c r="AP787" s="40"/>
      <c r="AR787" s="40"/>
    </row>
    <row r="788" spans="2:44" ht="12.75" customHeight="1" x14ac:dyDescent="0.15">
      <c r="B788" s="40"/>
      <c r="C788" s="40"/>
      <c r="D788" s="40"/>
      <c r="E788" s="185"/>
      <c r="F788" s="40"/>
      <c r="G788" s="40"/>
      <c r="H788" s="53"/>
      <c r="R788" s="40"/>
      <c r="S788" s="40"/>
      <c r="U788" s="40"/>
      <c r="V788" s="40"/>
      <c r="W788" s="40"/>
      <c r="Y788" s="40"/>
      <c r="Z788" s="40"/>
      <c r="AA788" s="41"/>
      <c r="AB788" s="41"/>
      <c r="AC788" s="41"/>
      <c r="AD788" s="41"/>
      <c r="AE788" s="41"/>
      <c r="AF788" s="40"/>
      <c r="AG788" s="40"/>
      <c r="AH788" s="5"/>
      <c r="AI788" s="5"/>
      <c r="AJ788" s="40"/>
      <c r="AK788" s="40"/>
      <c r="AL788" s="40"/>
      <c r="AM788" s="40"/>
      <c r="AN788" s="40"/>
      <c r="AP788" s="40"/>
      <c r="AR788" s="40"/>
    </row>
    <row r="789" spans="2:44" ht="12.75" customHeight="1" x14ac:dyDescent="0.15">
      <c r="B789" s="40"/>
      <c r="C789" s="40"/>
      <c r="D789" s="40"/>
      <c r="E789" s="185"/>
      <c r="F789" s="40"/>
      <c r="G789" s="40"/>
      <c r="H789" s="53"/>
      <c r="R789" s="40"/>
      <c r="S789" s="40"/>
      <c r="U789" s="40"/>
      <c r="V789" s="40"/>
      <c r="W789" s="40"/>
      <c r="Y789" s="40"/>
      <c r="Z789" s="40"/>
      <c r="AA789" s="41"/>
      <c r="AB789" s="41"/>
      <c r="AC789" s="41"/>
      <c r="AD789" s="41"/>
      <c r="AE789" s="41"/>
      <c r="AF789" s="40"/>
      <c r="AG789" s="40"/>
      <c r="AH789" s="5"/>
      <c r="AI789" s="5"/>
      <c r="AJ789" s="40"/>
      <c r="AK789" s="40"/>
      <c r="AL789" s="40"/>
      <c r="AM789" s="40"/>
      <c r="AN789" s="40"/>
      <c r="AP789" s="40"/>
      <c r="AR789" s="40"/>
    </row>
    <row r="790" spans="2:44" ht="12.75" customHeight="1" x14ac:dyDescent="0.15">
      <c r="B790" s="40"/>
      <c r="C790" s="40"/>
      <c r="D790" s="40"/>
      <c r="E790" s="185"/>
      <c r="F790" s="40"/>
      <c r="G790" s="40"/>
      <c r="H790" s="53"/>
      <c r="R790" s="40"/>
      <c r="S790" s="40"/>
      <c r="U790" s="40"/>
      <c r="V790" s="40"/>
      <c r="W790" s="40"/>
      <c r="Y790" s="40"/>
      <c r="Z790" s="40"/>
      <c r="AA790" s="41"/>
      <c r="AB790" s="41"/>
      <c r="AC790" s="41"/>
      <c r="AD790" s="41"/>
      <c r="AE790" s="41"/>
      <c r="AF790" s="40"/>
      <c r="AG790" s="40"/>
      <c r="AH790" s="5"/>
      <c r="AI790" s="5"/>
      <c r="AJ790" s="40"/>
      <c r="AK790" s="40"/>
      <c r="AL790" s="40"/>
      <c r="AM790" s="40"/>
      <c r="AN790" s="40"/>
      <c r="AP790" s="40"/>
      <c r="AR790" s="40"/>
    </row>
    <row r="791" spans="2:44" ht="12.75" customHeight="1" x14ac:dyDescent="0.15">
      <c r="B791" s="40"/>
      <c r="C791" s="40"/>
      <c r="D791" s="40"/>
      <c r="E791" s="185"/>
      <c r="F791" s="40"/>
      <c r="G791" s="40"/>
      <c r="H791" s="53"/>
      <c r="R791" s="40"/>
      <c r="S791" s="40"/>
      <c r="U791" s="40"/>
      <c r="V791" s="40"/>
      <c r="W791" s="40"/>
      <c r="Y791" s="40"/>
      <c r="Z791" s="40"/>
      <c r="AA791" s="41"/>
      <c r="AB791" s="41"/>
      <c r="AC791" s="41"/>
      <c r="AD791" s="41"/>
      <c r="AE791" s="41"/>
      <c r="AF791" s="40"/>
      <c r="AG791" s="40"/>
      <c r="AH791" s="5"/>
      <c r="AI791" s="5"/>
      <c r="AJ791" s="40"/>
      <c r="AK791" s="40"/>
      <c r="AL791" s="40"/>
      <c r="AM791" s="40"/>
      <c r="AN791" s="40"/>
      <c r="AP791" s="40"/>
      <c r="AR791" s="40"/>
    </row>
    <row r="792" spans="2:44" ht="12.75" customHeight="1" x14ac:dyDescent="0.15">
      <c r="B792" s="40"/>
      <c r="C792" s="40"/>
      <c r="D792" s="40"/>
      <c r="E792" s="185"/>
      <c r="F792" s="40"/>
      <c r="G792" s="40"/>
      <c r="H792" s="53"/>
      <c r="R792" s="40"/>
      <c r="S792" s="40"/>
      <c r="U792" s="40"/>
      <c r="V792" s="40"/>
      <c r="W792" s="40"/>
      <c r="Y792" s="40"/>
      <c r="Z792" s="40"/>
      <c r="AA792" s="41"/>
      <c r="AB792" s="41"/>
      <c r="AC792" s="41"/>
      <c r="AD792" s="41"/>
      <c r="AE792" s="41"/>
      <c r="AF792" s="40"/>
      <c r="AG792" s="40"/>
      <c r="AH792" s="5"/>
      <c r="AI792" s="5"/>
      <c r="AJ792" s="40"/>
      <c r="AK792" s="40"/>
      <c r="AL792" s="40"/>
      <c r="AM792" s="40"/>
      <c r="AN792" s="40"/>
      <c r="AP792" s="40"/>
      <c r="AR792" s="40"/>
    </row>
    <row r="793" spans="2:44" ht="12.75" customHeight="1" x14ac:dyDescent="0.15">
      <c r="B793" s="40"/>
      <c r="C793" s="40"/>
      <c r="D793" s="40"/>
      <c r="E793" s="185"/>
      <c r="F793" s="40"/>
      <c r="G793" s="40"/>
      <c r="H793" s="53"/>
      <c r="R793" s="40"/>
      <c r="S793" s="40"/>
      <c r="U793" s="40"/>
      <c r="V793" s="40"/>
      <c r="W793" s="40"/>
      <c r="Y793" s="40"/>
      <c r="Z793" s="40"/>
      <c r="AA793" s="41"/>
      <c r="AB793" s="41"/>
      <c r="AC793" s="41"/>
      <c r="AD793" s="41"/>
      <c r="AE793" s="41"/>
      <c r="AF793" s="40"/>
      <c r="AG793" s="40"/>
      <c r="AH793" s="5"/>
      <c r="AI793" s="5"/>
      <c r="AJ793" s="40"/>
      <c r="AK793" s="40"/>
      <c r="AL793" s="40"/>
      <c r="AM793" s="40"/>
      <c r="AN793" s="40"/>
      <c r="AP793" s="40"/>
      <c r="AR793" s="40"/>
    </row>
    <row r="794" spans="2:44" ht="12.75" customHeight="1" x14ac:dyDescent="0.15">
      <c r="B794" s="40"/>
      <c r="C794" s="40"/>
      <c r="D794" s="40"/>
      <c r="E794" s="185"/>
      <c r="F794" s="40"/>
      <c r="G794" s="40"/>
      <c r="H794" s="53"/>
      <c r="R794" s="40"/>
      <c r="S794" s="40"/>
      <c r="U794" s="40"/>
      <c r="V794" s="40"/>
      <c r="W794" s="40"/>
      <c r="Y794" s="40"/>
      <c r="Z794" s="40"/>
      <c r="AA794" s="41"/>
      <c r="AB794" s="41"/>
      <c r="AC794" s="41"/>
      <c r="AD794" s="41"/>
      <c r="AE794" s="41"/>
      <c r="AF794" s="40"/>
      <c r="AG794" s="40"/>
      <c r="AH794" s="5"/>
      <c r="AI794" s="5"/>
      <c r="AJ794" s="40"/>
      <c r="AK794" s="40"/>
      <c r="AL794" s="40"/>
      <c r="AM794" s="40"/>
      <c r="AN794" s="40"/>
      <c r="AP794" s="40"/>
      <c r="AR794" s="40"/>
    </row>
    <row r="795" spans="2:44" ht="12.75" customHeight="1" x14ac:dyDescent="0.15">
      <c r="B795" s="40"/>
      <c r="C795" s="40"/>
      <c r="D795" s="40"/>
      <c r="E795" s="185"/>
      <c r="F795" s="40"/>
      <c r="G795" s="40"/>
      <c r="H795" s="53"/>
      <c r="R795" s="40"/>
      <c r="S795" s="40"/>
      <c r="U795" s="40"/>
      <c r="V795" s="40"/>
      <c r="W795" s="40"/>
      <c r="Y795" s="40"/>
      <c r="Z795" s="40"/>
      <c r="AA795" s="41"/>
      <c r="AB795" s="41"/>
      <c r="AC795" s="41"/>
      <c r="AD795" s="41"/>
      <c r="AE795" s="41"/>
      <c r="AF795" s="40"/>
      <c r="AG795" s="40"/>
      <c r="AH795" s="5"/>
      <c r="AI795" s="5"/>
      <c r="AJ795" s="40"/>
      <c r="AK795" s="40"/>
      <c r="AL795" s="40"/>
      <c r="AM795" s="40"/>
      <c r="AN795" s="40"/>
      <c r="AP795" s="40"/>
      <c r="AR795" s="40"/>
    </row>
    <row r="796" spans="2:44" ht="12.75" customHeight="1" x14ac:dyDescent="0.15">
      <c r="B796" s="40"/>
      <c r="C796" s="40"/>
      <c r="D796" s="40"/>
      <c r="E796" s="185"/>
      <c r="F796" s="40"/>
      <c r="G796" s="40"/>
      <c r="H796" s="53"/>
      <c r="R796" s="40"/>
      <c r="S796" s="40"/>
      <c r="U796" s="40"/>
      <c r="V796" s="40"/>
      <c r="W796" s="40"/>
      <c r="Y796" s="40"/>
      <c r="Z796" s="40"/>
      <c r="AA796" s="41"/>
      <c r="AB796" s="41"/>
      <c r="AC796" s="41"/>
      <c r="AD796" s="41"/>
      <c r="AE796" s="41"/>
      <c r="AF796" s="40"/>
      <c r="AG796" s="40"/>
      <c r="AH796" s="5"/>
      <c r="AI796" s="5"/>
      <c r="AJ796" s="40"/>
      <c r="AK796" s="40"/>
      <c r="AL796" s="40"/>
      <c r="AM796" s="40"/>
      <c r="AN796" s="40"/>
      <c r="AP796" s="40"/>
      <c r="AR796" s="40"/>
    </row>
    <row r="797" spans="2:44" ht="12.75" customHeight="1" x14ac:dyDescent="0.15">
      <c r="B797" s="40"/>
      <c r="C797" s="40"/>
      <c r="D797" s="40"/>
      <c r="E797" s="185"/>
      <c r="F797" s="40"/>
      <c r="G797" s="40"/>
      <c r="H797" s="53"/>
      <c r="R797" s="40"/>
      <c r="S797" s="40"/>
      <c r="U797" s="40"/>
      <c r="V797" s="40"/>
      <c r="W797" s="40"/>
      <c r="Y797" s="40"/>
      <c r="Z797" s="40"/>
      <c r="AA797" s="41"/>
      <c r="AB797" s="41"/>
      <c r="AC797" s="41"/>
      <c r="AD797" s="41"/>
      <c r="AE797" s="41"/>
      <c r="AF797" s="40"/>
      <c r="AG797" s="40"/>
      <c r="AH797" s="5"/>
      <c r="AI797" s="5"/>
      <c r="AJ797" s="40"/>
      <c r="AK797" s="40"/>
      <c r="AL797" s="40"/>
      <c r="AM797" s="40"/>
      <c r="AN797" s="40"/>
      <c r="AP797" s="40"/>
      <c r="AR797" s="40"/>
    </row>
    <row r="798" spans="2:44" ht="12.75" customHeight="1" x14ac:dyDescent="0.15">
      <c r="B798" s="40"/>
      <c r="C798" s="40"/>
      <c r="D798" s="40"/>
      <c r="E798" s="185"/>
      <c r="F798" s="40"/>
      <c r="G798" s="40"/>
      <c r="H798" s="53"/>
      <c r="R798" s="40"/>
      <c r="S798" s="40"/>
      <c r="U798" s="40"/>
      <c r="V798" s="40"/>
      <c r="W798" s="40"/>
      <c r="Y798" s="40"/>
      <c r="Z798" s="40"/>
      <c r="AA798" s="41"/>
      <c r="AB798" s="41"/>
      <c r="AC798" s="41"/>
      <c r="AD798" s="41"/>
      <c r="AE798" s="41"/>
      <c r="AF798" s="40"/>
      <c r="AG798" s="40"/>
      <c r="AH798" s="5"/>
      <c r="AI798" s="5"/>
      <c r="AJ798" s="40"/>
      <c r="AK798" s="40"/>
      <c r="AL798" s="40"/>
      <c r="AM798" s="40"/>
      <c r="AN798" s="40"/>
      <c r="AP798" s="40"/>
      <c r="AR798" s="40"/>
    </row>
    <row r="799" spans="2:44" ht="12.75" customHeight="1" x14ac:dyDescent="0.15">
      <c r="B799" s="40"/>
      <c r="C799" s="40"/>
      <c r="D799" s="40"/>
      <c r="E799" s="185"/>
      <c r="F799" s="40"/>
      <c r="G799" s="40"/>
      <c r="H799" s="53"/>
      <c r="R799" s="40"/>
      <c r="S799" s="40"/>
      <c r="U799" s="40"/>
      <c r="V799" s="40"/>
      <c r="W799" s="40"/>
      <c r="Y799" s="40"/>
      <c r="Z799" s="40"/>
      <c r="AA799" s="41"/>
      <c r="AB799" s="41"/>
      <c r="AC799" s="41"/>
      <c r="AD799" s="41"/>
      <c r="AE799" s="41"/>
      <c r="AF799" s="40"/>
      <c r="AG799" s="40"/>
      <c r="AH799" s="5"/>
      <c r="AI799" s="5"/>
      <c r="AJ799" s="40"/>
      <c r="AK799" s="40"/>
      <c r="AL799" s="40"/>
      <c r="AM799" s="40"/>
      <c r="AN799" s="40"/>
      <c r="AP799" s="40"/>
      <c r="AR799" s="40"/>
    </row>
    <row r="800" spans="2:44" ht="12.75" customHeight="1" x14ac:dyDescent="0.15">
      <c r="B800" s="40"/>
      <c r="C800" s="40"/>
      <c r="D800" s="40"/>
      <c r="E800" s="185"/>
      <c r="F800" s="40"/>
      <c r="G800" s="40"/>
      <c r="H800" s="53"/>
      <c r="R800" s="40"/>
      <c r="S800" s="40"/>
      <c r="U800" s="40"/>
      <c r="V800" s="40"/>
      <c r="W800" s="40"/>
      <c r="Y800" s="40"/>
      <c r="Z800" s="40"/>
      <c r="AA800" s="41"/>
      <c r="AB800" s="41"/>
      <c r="AC800" s="41"/>
      <c r="AD800" s="41"/>
      <c r="AE800" s="41"/>
      <c r="AF800" s="40"/>
      <c r="AG800" s="40"/>
      <c r="AH800" s="5"/>
      <c r="AI800" s="5"/>
      <c r="AJ800" s="40"/>
      <c r="AK800" s="40"/>
      <c r="AL800" s="40"/>
      <c r="AM800" s="40"/>
      <c r="AN800" s="40"/>
      <c r="AP800" s="40"/>
      <c r="AR800" s="40"/>
    </row>
    <row r="801" spans="2:44" ht="12.75" customHeight="1" x14ac:dyDescent="0.15">
      <c r="B801" s="40"/>
      <c r="C801" s="40"/>
      <c r="D801" s="40"/>
      <c r="E801" s="185"/>
      <c r="F801" s="40"/>
      <c r="G801" s="40"/>
      <c r="H801" s="53"/>
      <c r="R801" s="40"/>
      <c r="S801" s="40"/>
      <c r="U801" s="40"/>
      <c r="V801" s="40"/>
      <c r="W801" s="40"/>
      <c r="Y801" s="40"/>
      <c r="Z801" s="40"/>
      <c r="AA801" s="41"/>
      <c r="AB801" s="41"/>
      <c r="AC801" s="41"/>
      <c r="AD801" s="41"/>
      <c r="AE801" s="41"/>
      <c r="AF801" s="40"/>
      <c r="AG801" s="40"/>
      <c r="AH801" s="5"/>
      <c r="AI801" s="5"/>
      <c r="AJ801" s="40"/>
      <c r="AK801" s="40"/>
      <c r="AL801" s="40"/>
      <c r="AM801" s="40"/>
      <c r="AN801" s="40"/>
      <c r="AP801" s="40"/>
      <c r="AR801" s="40"/>
    </row>
    <row r="802" spans="2:44" ht="12.75" customHeight="1" x14ac:dyDescent="0.15">
      <c r="B802" s="40"/>
      <c r="C802" s="40"/>
      <c r="D802" s="40"/>
      <c r="E802" s="185"/>
      <c r="F802" s="40"/>
      <c r="G802" s="40"/>
      <c r="H802" s="53"/>
      <c r="R802" s="40"/>
      <c r="S802" s="40"/>
      <c r="U802" s="40"/>
      <c r="V802" s="40"/>
      <c r="W802" s="40"/>
      <c r="Y802" s="40"/>
      <c r="Z802" s="40"/>
      <c r="AA802" s="41"/>
      <c r="AB802" s="41"/>
      <c r="AC802" s="41"/>
      <c r="AD802" s="41"/>
      <c r="AE802" s="41"/>
      <c r="AF802" s="40"/>
      <c r="AG802" s="40"/>
      <c r="AH802" s="5"/>
      <c r="AI802" s="5"/>
      <c r="AJ802" s="40"/>
      <c r="AK802" s="40"/>
      <c r="AL802" s="40"/>
      <c r="AM802" s="40"/>
      <c r="AN802" s="40"/>
      <c r="AP802" s="40"/>
      <c r="AR802" s="40"/>
    </row>
    <row r="803" spans="2:44" ht="12.75" customHeight="1" x14ac:dyDescent="0.15">
      <c r="B803" s="40"/>
      <c r="C803" s="40"/>
      <c r="D803" s="40"/>
      <c r="E803" s="185"/>
      <c r="F803" s="40"/>
      <c r="G803" s="40"/>
      <c r="H803" s="53"/>
      <c r="R803" s="40"/>
      <c r="S803" s="40"/>
      <c r="U803" s="40"/>
      <c r="V803" s="40"/>
      <c r="W803" s="40"/>
      <c r="Y803" s="40"/>
      <c r="Z803" s="40"/>
      <c r="AA803" s="41"/>
      <c r="AB803" s="41"/>
      <c r="AC803" s="41"/>
      <c r="AD803" s="41"/>
      <c r="AE803" s="41"/>
      <c r="AF803" s="40"/>
      <c r="AG803" s="40"/>
      <c r="AH803" s="5"/>
      <c r="AI803" s="5"/>
      <c r="AJ803" s="40"/>
      <c r="AK803" s="40"/>
      <c r="AL803" s="40"/>
      <c r="AM803" s="40"/>
      <c r="AN803" s="40"/>
      <c r="AP803" s="40"/>
      <c r="AR803" s="40"/>
    </row>
    <row r="804" spans="2:44" ht="12.75" customHeight="1" x14ac:dyDescent="0.15">
      <c r="B804" s="40"/>
      <c r="C804" s="40"/>
      <c r="D804" s="40"/>
      <c r="E804" s="185"/>
      <c r="F804" s="40"/>
      <c r="G804" s="40"/>
      <c r="H804" s="53"/>
      <c r="R804" s="40"/>
      <c r="S804" s="40"/>
      <c r="U804" s="40"/>
      <c r="V804" s="40"/>
      <c r="W804" s="40"/>
      <c r="Y804" s="40"/>
      <c r="Z804" s="40"/>
      <c r="AA804" s="41"/>
      <c r="AB804" s="41"/>
      <c r="AC804" s="41"/>
      <c r="AD804" s="41"/>
      <c r="AE804" s="41"/>
      <c r="AF804" s="40"/>
      <c r="AG804" s="40"/>
      <c r="AH804" s="5"/>
      <c r="AI804" s="5"/>
      <c r="AJ804" s="40"/>
      <c r="AK804" s="40"/>
      <c r="AL804" s="40"/>
      <c r="AM804" s="40"/>
      <c r="AN804" s="40"/>
      <c r="AP804" s="40"/>
      <c r="AR804" s="40"/>
    </row>
    <row r="805" spans="2:44" ht="12.75" customHeight="1" x14ac:dyDescent="0.15">
      <c r="B805" s="40"/>
      <c r="C805" s="40"/>
      <c r="D805" s="40"/>
      <c r="E805" s="185"/>
      <c r="F805" s="40"/>
      <c r="G805" s="40"/>
      <c r="H805" s="53"/>
      <c r="R805" s="40"/>
      <c r="S805" s="40"/>
      <c r="U805" s="40"/>
      <c r="V805" s="40"/>
      <c r="W805" s="40"/>
      <c r="Y805" s="40"/>
      <c r="Z805" s="40"/>
      <c r="AA805" s="41"/>
      <c r="AB805" s="41"/>
      <c r="AC805" s="41"/>
      <c r="AD805" s="41"/>
      <c r="AE805" s="41"/>
      <c r="AF805" s="40"/>
      <c r="AG805" s="40"/>
      <c r="AH805" s="5"/>
      <c r="AI805" s="5"/>
      <c r="AJ805" s="40"/>
      <c r="AK805" s="40"/>
      <c r="AL805" s="40"/>
      <c r="AM805" s="40"/>
      <c r="AN805" s="40"/>
      <c r="AP805" s="40"/>
      <c r="AR805" s="40"/>
    </row>
    <row r="806" spans="2:44" ht="12.75" customHeight="1" x14ac:dyDescent="0.15">
      <c r="B806" s="40"/>
      <c r="C806" s="40"/>
      <c r="D806" s="40"/>
      <c r="E806" s="185"/>
      <c r="F806" s="40"/>
      <c r="G806" s="40"/>
      <c r="H806" s="53"/>
      <c r="R806" s="40"/>
      <c r="S806" s="40"/>
      <c r="U806" s="40"/>
      <c r="V806" s="40"/>
      <c r="W806" s="40"/>
      <c r="Y806" s="40"/>
      <c r="Z806" s="40"/>
      <c r="AA806" s="41"/>
      <c r="AB806" s="41"/>
      <c r="AC806" s="41"/>
      <c r="AD806" s="41"/>
      <c r="AE806" s="41"/>
      <c r="AF806" s="40"/>
      <c r="AG806" s="40"/>
      <c r="AH806" s="5"/>
      <c r="AI806" s="5"/>
      <c r="AJ806" s="40"/>
      <c r="AK806" s="40"/>
      <c r="AL806" s="40"/>
      <c r="AM806" s="40"/>
      <c r="AN806" s="40"/>
      <c r="AP806" s="40"/>
      <c r="AR806" s="40"/>
    </row>
    <row r="807" spans="2:44" ht="12.75" customHeight="1" x14ac:dyDescent="0.15">
      <c r="B807" s="40"/>
      <c r="C807" s="40"/>
      <c r="D807" s="40"/>
      <c r="E807" s="185"/>
      <c r="F807" s="40"/>
      <c r="G807" s="40"/>
      <c r="H807" s="53"/>
      <c r="R807" s="40"/>
      <c r="S807" s="40"/>
      <c r="U807" s="40"/>
      <c r="V807" s="40"/>
      <c r="W807" s="40"/>
      <c r="Y807" s="40"/>
      <c r="Z807" s="40"/>
      <c r="AA807" s="41"/>
      <c r="AB807" s="41"/>
      <c r="AC807" s="41"/>
      <c r="AD807" s="41"/>
      <c r="AE807" s="41"/>
      <c r="AF807" s="40"/>
      <c r="AG807" s="40"/>
      <c r="AH807" s="5"/>
      <c r="AI807" s="5"/>
      <c r="AJ807" s="40"/>
      <c r="AK807" s="40"/>
      <c r="AL807" s="40"/>
      <c r="AM807" s="40"/>
      <c r="AN807" s="40"/>
      <c r="AP807" s="40"/>
      <c r="AR807" s="40"/>
    </row>
    <row r="808" spans="2:44" ht="12.75" customHeight="1" x14ac:dyDescent="0.15">
      <c r="B808" s="40"/>
      <c r="C808" s="40"/>
      <c r="D808" s="40"/>
      <c r="E808" s="185"/>
      <c r="F808" s="40"/>
      <c r="G808" s="40"/>
      <c r="H808" s="53"/>
      <c r="R808" s="40"/>
      <c r="S808" s="40"/>
      <c r="U808" s="40"/>
      <c r="V808" s="40"/>
      <c r="W808" s="40"/>
      <c r="Y808" s="40"/>
      <c r="Z808" s="40"/>
      <c r="AA808" s="41"/>
      <c r="AB808" s="41"/>
      <c r="AC808" s="41"/>
      <c r="AD808" s="41"/>
      <c r="AE808" s="41"/>
      <c r="AF808" s="40"/>
      <c r="AG808" s="40"/>
      <c r="AH808" s="5"/>
      <c r="AI808" s="5"/>
      <c r="AJ808" s="40"/>
      <c r="AK808" s="40"/>
      <c r="AL808" s="40"/>
      <c r="AM808" s="40"/>
      <c r="AN808" s="40"/>
      <c r="AP808" s="40"/>
      <c r="AR808" s="40"/>
    </row>
    <row r="809" spans="2:44" ht="12.75" customHeight="1" x14ac:dyDescent="0.15">
      <c r="B809" s="40"/>
      <c r="C809" s="40"/>
      <c r="D809" s="40"/>
      <c r="E809" s="185"/>
      <c r="F809" s="40"/>
      <c r="G809" s="40"/>
      <c r="H809" s="53"/>
      <c r="R809" s="40"/>
      <c r="S809" s="40"/>
      <c r="U809" s="40"/>
      <c r="V809" s="40"/>
      <c r="W809" s="40"/>
      <c r="Y809" s="40"/>
      <c r="Z809" s="40"/>
      <c r="AA809" s="41"/>
      <c r="AB809" s="41"/>
      <c r="AC809" s="41"/>
      <c r="AD809" s="41"/>
      <c r="AE809" s="41"/>
      <c r="AF809" s="40"/>
      <c r="AG809" s="40"/>
      <c r="AH809" s="5"/>
      <c r="AI809" s="5"/>
      <c r="AJ809" s="40"/>
      <c r="AK809" s="40"/>
      <c r="AL809" s="40"/>
      <c r="AM809" s="40"/>
      <c r="AN809" s="40"/>
      <c r="AP809" s="40"/>
      <c r="AR809" s="40"/>
    </row>
    <row r="810" spans="2:44" ht="12.75" customHeight="1" x14ac:dyDescent="0.15">
      <c r="B810" s="40"/>
      <c r="C810" s="40"/>
      <c r="D810" s="40"/>
      <c r="E810" s="185"/>
      <c r="F810" s="40"/>
      <c r="G810" s="40"/>
      <c r="H810" s="53"/>
      <c r="R810" s="40"/>
      <c r="S810" s="40"/>
      <c r="U810" s="40"/>
      <c r="V810" s="40"/>
      <c r="W810" s="40"/>
      <c r="Y810" s="40"/>
      <c r="Z810" s="40"/>
      <c r="AA810" s="41"/>
      <c r="AB810" s="41"/>
      <c r="AC810" s="41"/>
      <c r="AD810" s="41"/>
      <c r="AE810" s="41"/>
      <c r="AF810" s="40"/>
      <c r="AG810" s="40"/>
      <c r="AH810" s="5"/>
      <c r="AI810" s="5"/>
      <c r="AJ810" s="40"/>
      <c r="AK810" s="40"/>
      <c r="AL810" s="40"/>
      <c r="AM810" s="40"/>
      <c r="AN810" s="40"/>
      <c r="AP810" s="40"/>
      <c r="AR810" s="40"/>
    </row>
    <row r="811" spans="2:44" ht="12.75" customHeight="1" x14ac:dyDescent="0.15">
      <c r="B811" s="40"/>
      <c r="C811" s="40"/>
      <c r="D811" s="40"/>
      <c r="E811" s="185"/>
      <c r="F811" s="40"/>
      <c r="G811" s="40"/>
      <c r="H811" s="53"/>
      <c r="R811" s="40"/>
      <c r="S811" s="40"/>
      <c r="U811" s="40"/>
      <c r="V811" s="40"/>
      <c r="W811" s="40"/>
      <c r="Y811" s="40"/>
      <c r="Z811" s="40"/>
      <c r="AA811" s="41"/>
      <c r="AB811" s="41"/>
      <c r="AC811" s="41"/>
      <c r="AD811" s="41"/>
      <c r="AE811" s="41"/>
      <c r="AF811" s="40"/>
      <c r="AG811" s="40"/>
      <c r="AH811" s="5"/>
      <c r="AI811" s="5"/>
      <c r="AJ811" s="40"/>
      <c r="AK811" s="40"/>
      <c r="AL811" s="40"/>
      <c r="AM811" s="40"/>
      <c r="AN811" s="40"/>
      <c r="AP811" s="40"/>
      <c r="AR811" s="40"/>
    </row>
    <row r="812" spans="2:44" ht="12.75" customHeight="1" x14ac:dyDescent="0.15">
      <c r="B812" s="40"/>
      <c r="C812" s="40"/>
      <c r="D812" s="40"/>
      <c r="E812" s="185"/>
      <c r="F812" s="40"/>
      <c r="G812" s="40"/>
      <c r="H812" s="53"/>
      <c r="R812" s="40"/>
      <c r="S812" s="40"/>
      <c r="U812" s="40"/>
      <c r="V812" s="40"/>
      <c r="W812" s="40"/>
      <c r="Y812" s="40"/>
      <c r="Z812" s="40"/>
      <c r="AA812" s="41"/>
      <c r="AB812" s="41"/>
      <c r="AC812" s="41"/>
      <c r="AD812" s="41"/>
      <c r="AE812" s="41"/>
      <c r="AF812" s="40"/>
      <c r="AG812" s="40"/>
      <c r="AH812" s="5"/>
      <c r="AI812" s="5"/>
      <c r="AJ812" s="40"/>
      <c r="AK812" s="40"/>
      <c r="AL812" s="40"/>
      <c r="AM812" s="40"/>
      <c r="AN812" s="40"/>
      <c r="AP812" s="40"/>
      <c r="AR812" s="40"/>
    </row>
    <row r="813" spans="2:44" ht="12.75" customHeight="1" x14ac:dyDescent="0.15">
      <c r="B813" s="40"/>
      <c r="C813" s="40"/>
      <c r="D813" s="40"/>
      <c r="E813" s="185"/>
      <c r="F813" s="40"/>
      <c r="G813" s="40"/>
      <c r="H813" s="53"/>
      <c r="R813" s="40"/>
      <c r="S813" s="40"/>
      <c r="U813" s="40"/>
      <c r="V813" s="40"/>
      <c r="W813" s="40"/>
      <c r="Y813" s="40"/>
      <c r="Z813" s="40"/>
      <c r="AA813" s="41"/>
      <c r="AB813" s="41"/>
      <c r="AC813" s="41"/>
      <c r="AD813" s="41"/>
      <c r="AE813" s="41"/>
      <c r="AF813" s="40"/>
      <c r="AG813" s="40"/>
      <c r="AH813" s="5"/>
      <c r="AI813" s="5"/>
      <c r="AJ813" s="40"/>
      <c r="AK813" s="40"/>
      <c r="AL813" s="40"/>
      <c r="AM813" s="40"/>
      <c r="AN813" s="40"/>
      <c r="AP813" s="40"/>
      <c r="AR813" s="40"/>
    </row>
    <row r="814" spans="2:44" ht="12.75" customHeight="1" x14ac:dyDescent="0.15">
      <c r="B814" s="40"/>
      <c r="C814" s="40"/>
      <c r="D814" s="40"/>
      <c r="E814" s="185"/>
      <c r="F814" s="40"/>
      <c r="G814" s="40"/>
      <c r="H814" s="53"/>
      <c r="R814" s="40"/>
      <c r="S814" s="40"/>
      <c r="U814" s="40"/>
      <c r="V814" s="40"/>
      <c r="W814" s="40"/>
      <c r="Y814" s="40"/>
      <c r="Z814" s="40"/>
      <c r="AA814" s="41"/>
      <c r="AB814" s="41"/>
      <c r="AC814" s="41"/>
      <c r="AD814" s="41"/>
      <c r="AE814" s="41"/>
      <c r="AF814" s="40"/>
      <c r="AG814" s="40"/>
      <c r="AH814" s="5"/>
      <c r="AI814" s="5"/>
      <c r="AJ814" s="40"/>
      <c r="AK814" s="40"/>
      <c r="AL814" s="40"/>
      <c r="AM814" s="40"/>
      <c r="AN814" s="40"/>
      <c r="AP814" s="40"/>
      <c r="AR814" s="40"/>
    </row>
    <row r="815" spans="2:44" ht="12.75" customHeight="1" x14ac:dyDescent="0.15">
      <c r="B815" s="40"/>
      <c r="C815" s="40"/>
      <c r="D815" s="40"/>
      <c r="E815" s="185"/>
      <c r="F815" s="40"/>
      <c r="G815" s="40"/>
      <c r="H815" s="53"/>
      <c r="R815" s="40"/>
      <c r="S815" s="40"/>
      <c r="U815" s="40"/>
      <c r="V815" s="40"/>
      <c r="W815" s="40"/>
      <c r="Y815" s="40"/>
      <c r="Z815" s="40"/>
      <c r="AA815" s="41"/>
      <c r="AB815" s="41"/>
      <c r="AC815" s="41"/>
      <c r="AD815" s="41"/>
      <c r="AE815" s="41"/>
      <c r="AF815" s="40"/>
      <c r="AG815" s="40"/>
      <c r="AH815" s="5"/>
      <c r="AI815" s="5"/>
      <c r="AJ815" s="40"/>
      <c r="AK815" s="40"/>
      <c r="AL815" s="40"/>
      <c r="AM815" s="40"/>
      <c r="AN815" s="40"/>
      <c r="AP815" s="40"/>
      <c r="AR815" s="40"/>
    </row>
    <row r="816" spans="2:44" ht="12.75" customHeight="1" x14ac:dyDescent="0.15">
      <c r="B816" s="40"/>
      <c r="C816" s="40"/>
      <c r="D816" s="40"/>
      <c r="E816" s="185"/>
      <c r="F816" s="40"/>
      <c r="G816" s="40"/>
      <c r="H816" s="53"/>
      <c r="R816" s="40"/>
      <c r="S816" s="40"/>
      <c r="U816" s="40"/>
      <c r="V816" s="40"/>
      <c r="W816" s="40"/>
      <c r="Y816" s="40"/>
      <c r="Z816" s="40"/>
      <c r="AA816" s="41"/>
      <c r="AB816" s="41"/>
      <c r="AC816" s="41"/>
      <c r="AD816" s="41"/>
      <c r="AE816" s="41"/>
      <c r="AF816" s="40"/>
      <c r="AG816" s="40"/>
      <c r="AH816" s="5"/>
      <c r="AI816" s="5"/>
      <c r="AJ816" s="40"/>
      <c r="AK816" s="40"/>
      <c r="AL816" s="40"/>
      <c r="AM816" s="40"/>
      <c r="AN816" s="40"/>
      <c r="AP816" s="40"/>
      <c r="AR816" s="40"/>
    </row>
    <row r="817" spans="2:44" ht="12.75" customHeight="1" x14ac:dyDescent="0.15">
      <c r="B817" s="40"/>
      <c r="C817" s="40"/>
      <c r="D817" s="40"/>
      <c r="E817" s="185"/>
      <c r="F817" s="40"/>
      <c r="G817" s="40"/>
      <c r="H817" s="53"/>
      <c r="R817" s="40"/>
      <c r="S817" s="40"/>
      <c r="U817" s="40"/>
      <c r="V817" s="40"/>
      <c r="W817" s="40"/>
      <c r="Y817" s="40"/>
      <c r="Z817" s="40"/>
      <c r="AA817" s="41"/>
      <c r="AB817" s="41"/>
      <c r="AC817" s="41"/>
      <c r="AD817" s="41"/>
      <c r="AE817" s="41"/>
      <c r="AF817" s="40"/>
      <c r="AG817" s="40"/>
      <c r="AH817" s="5"/>
      <c r="AI817" s="5"/>
      <c r="AJ817" s="40"/>
      <c r="AK817" s="40"/>
      <c r="AL817" s="40"/>
      <c r="AM817" s="40"/>
      <c r="AN817" s="40"/>
      <c r="AP817" s="40"/>
      <c r="AR817" s="40"/>
    </row>
    <row r="818" spans="2:44" ht="12.75" customHeight="1" x14ac:dyDescent="0.15">
      <c r="B818" s="40"/>
      <c r="C818" s="40"/>
      <c r="D818" s="40"/>
      <c r="E818" s="185"/>
      <c r="F818" s="40"/>
      <c r="G818" s="40"/>
      <c r="H818" s="53"/>
      <c r="R818" s="40"/>
      <c r="S818" s="40"/>
      <c r="U818" s="40"/>
      <c r="V818" s="40"/>
      <c r="W818" s="40"/>
      <c r="Y818" s="40"/>
      <c r="Z818" s="40"/>
      <c r="AA818" s="41"/>
      <c r="AB818" s="41"/>
      <c r="AC818" s="41"/>
      <c r="AD818" s="41"/>
      <c r="AE818" s="41"/>
      <c r="AF818" s="40"/>
      <c r="AG818" s="40"/>
      <c r="AH818" s="5"/>
      <c r="AI818" s="5"/>
      <c r="AJ818" s="40"/>
      <c r="AK818" s="40"/>
      <c r="AL818" s="40"/>
      <c r="AM818" s="40"/>
      <c r="AN818" s="40"/>
      <c r="AP818" s="40"/>
      <c r="AR818" s="40"/>
    </row>
    <row r="819" spans="2:44" ht="12.75" customHeight="1" x14ac:dyDescent="0.15">
      <c r="B819" s="40"/>
      <c r="C819" s="40"/>
      <c r="D819" s="40"/>
      <c r="E819" s="185"/>
      <c r="F819" s="40"/>
      <c r="G819" s="40"/>
      <c r="H819" s="53"/>
      <c r="R819" s="40"/>
      <c r="S819" s="40"/>
      <c r="U819" s="40"/>
      <c r="V819" s="40"/>
      <c r="W819" s="40"/>
      <c r="Y819" s="40"/>
      <c r="Z819" s="40"/>
      <c r="AA819" s="41"/>
      <c r="AB819" s="41"/>
      <c r="AC819" s="41"/>
      <c r="AD819" s="41"/>
      <c r="AE819" s="41"/>
      <c r="AF819" s="40"/>
      <c r="AG819" s="40"/>
      <c r="AH819" s="5"/>
      <c r="AI819" s="5"/>
      <c r="AJ819" s="40"/>
      <c r="AK819" s="40"/>
      <c r="AL819" s="40"/>
      <c r="AM819" s="40"/>
      <c r="AN819" s="40"/>
      <c r="AP819" s="40"/>
      <c r="AR819" s="40"/>
    </row>
    <row r="820" spans="2:44" ht="12.75" customHeight="1" x14ac:dyDescent="0.15">
      <c r="B820" s="40"/>
      <c r="C820" s="40"/>
      <c r="D820" s="40"/>
      <c r="E820" s="185"/>
      <c r="F820" s="40"/>
      <c r="G820" s="40"/>
      <c r="H820" s="53"/>
      <c r="R820" s="40"/>
      <c r="S820" s="40"/>
      <c r="U820" s="40"/>
      <c r="V820" s="40"/>
      <c r="W820" s="40"/>
      <c r="Y820" s="40"/>
      <c r="Z820" s="40"/>
      <c r="AA820" s="41"/>
      <c r="AB820" s="41"/>
      <c r="AC820" s="41"/>
      <c r="AD820" s="41"/>
      <c r="AE820" s="41"/>
      <c r="AF820" s="40"/>
      <c r="AG820" s="40"/>
      <c r="AH820" s="5"/>
      <c r="AI820" s="5"/>
      <c r="AJ820" s="40"/>
      <c r="AK820" s="40"/>
      <c r="AL820" s="40"/>
      <c r="AM820" s="40"/>
      <c r="AN820" s="40"/>
      <c r="AP820" s="40"/>
      <c r="AR820" s="40"/>
    </row>
    <row r="821" spans="2:44" ht="12.75" customHeight="1" x14ac:dyDescent="0.15">
      <c r="B821" s="40"/>
      <c r="C821" s="40"/>
      <c r="D821" s="40"/>
      <c r="E821" s="185"/>
      <c r="F821" s="40"/>
      <c r="G821" s="40"/>
      <c r="H821" s="53"/>
      <c r="R821" s="40"/>
      <c r="S821" s="40"/>
      <c r="U821" s="40"/>
      <c r="V821" s="40"/>
      <c r="W821" s="40"/>
      <c r="Y821" s="40"/>
      <c r="Z821" s="40"/>
      <c r="AA821" s="41"/>
      <c r="AB821" s="41"/>
      <c r="AC821" s="41"/>
      <c r="AD821" s="41"/>
      <c r="AE821" s="41"/>
      <c r="AF821" s="40"/>
      <c r="AG821" s="40"/>
      <c r="AH821" s="5"/>
      <c r="AI821" s="5"/>
      <c r="AJ821" s="40"/>
      <c r="AK821" s="40"/>
      <c r="AL821" s="40"/>
      <c r="AM821" s="40"/>
      <c r="AN821" s="40"/>
      <c r="AP821" s="40"/>
      <c r="AR821" s="40"/>
    </row>
    <row r="822" spans="2:44" ht="12.75" customHeight="1" x14ac:dyDescent="0.15">
      <c r="B822" s="40"/>
      <c r="C822" s="40"/>
      <c r="D822" s="40"/>
      <c r="E822" s="185"/>
      <c r="F822" s="40"/>
      <c r="G822" s="40"/>
      <c r="H822" s="53"/>
      <c r="R822" s="40"/>
      <c r="S822" s="40"/>
      <c r="U822" s="40"/>
      <c r="V822" s="40"/>
      <c r="W822" s="40"/>
      <c r="Y822" s="40"/>
      <c r="Z822" s="40"/>
      <c r="AA822" s="41"/>
      <c r="AB822" s="41"/>
      <c r="AC822" s="41"/>
      <c r="AD822" s="41"/>
      <c r="AE822" s="41"/>
      <c r="AF822" s="40"/>
      <c r="AG822" s="40"/>
      <c r="AH822" s="5"/>
      <c r="AI822" s="5"/>
      <c r="AJ822" s="40"/>
      <c r="AK822" s="40"/>
      <c r="AL822" s="40"/>
      <c r="AM822" s="40"/>
      <c r="AN822" s="40"/>
      <c r="AP822" s="40"/>
      <c r="AR822" s="40"/>
    </row>
    <row r="823" spans="2:44" ht="12.75" customHeight="1" x14ac:dyDescent="0.15">
      <c r="B823" s="40"/>
      <c r="C823" s="40"/>
      <c r="D823" s="40"/>
      <c r="E823" s="185"/>
      <c r="F823" s="40"/>
      <c r="G823" s="40"/>
      <c r="H823" s="53"/>
      <c r="R823" s="40"/>
      <c r="S823" s="40"/>
      <c r="U823" s="40"/>
      <c r="V823" s="40"/>
      <c r="W823" s="40"/>
      <c r="Y823" s="40"/>
      <c r="Z823" s="40"/>
      <c r="AA823" s="41"/>
      <c r="AB823" s="41"/>
      <c r="AC823" s="41"/>
      <c r="AD823" s="41"/>
      <c r="AE823" s="41"/>
      <c r="AF823" s="40"/>
      <c r="AG823" s="40"/>
      <c r="AH823" s="5"/>
      <c r="AI823" s="5"/>
      <c r="AJ823" s="40"/>
      <c r="AK823" s="40"/>
      <c r="AL823" s="40"/>
      <c r="AM823" s="40"/>
      <c r="AN823" s="40"/>
      <c r="AP823" s="40"/>
      <c r="AR823" s="40"/>
    </row>
    <row r="824" spans="2:44" ht="12.75" customHeight="1" x14ac:dyDescent="0.15">
      <c r="B824" s="40"/>
      <c r="C824" s="40"/>
      <c r="D824" s="40"/>
      <c r="E824" s="185"/>
      <c r="F824" s="40"/>
      <c r="G824" s="40"/>
      <c r="H824" s="53"/>
      <c r="R824" s="40"/>
      <c r="S824" s="40"/>
      <c r="U824" s="40"/>
      <c r="V824" s="40"/>
      <c r="W824" s="40"/>
      <c r="Y824" s="40"/>
      <c r="Z824" s="40"/>
      <c r="AA824" s="41"/>
      <c r="AB824" s="41"/>
      <c r="AC824" s="41"/>
      <c r="AD824" s="41"/>
      <c r="AE824" s="41"/>
      <c r="AF824" s="40"/>
      <c r="AG824" s="40"/>
      <c r="AH824" s="5"/>
      <c r="AI824" s="5"/>
      <c r="AJ824" s="40"/>
      <c r="AK824" s="40"/>
      <c r="AL824" s="40"/>
      <c r="AM824" s="40"/>
      <c r="AN824" s="40"/>
      <c r="AP824" s="40"/>
      <c r="AR824" s="40"/>
    </row>
    <row r="825" spans="2:44" ht="12.75" customHeight="1" x14ac:dyDescent="0.15">
      <c r="B825" s="40"/>
      <c r="C825" s="40"/>
      <c r="D825" s="40"/>
      <c r="E825" s="185"/>
      <c r="F825" s="40"/>
      <c r="G825" s="40"/>
      <c r="H825" s="53"/>
      <c r="R825" s="40"/>
      <c r="S825" s="40"/>
      <c r="U825" s="40"/>
      <c r="V825" s="40"/>
      <c r="W825" s="40"/>
      <c r="Y825" s="40"/>
      <c r="Z825" s="40"/>
      <c r="AA825" s="41"/>
      <c r="AB825" s="41"/>
      <c r="AC825" s="41"/>
      <c r="AD825" s="41"/>
      <c r="AE825" s="41"/>
      <c r="AF825" s="40"/>
      <c r="AG825" s="40"/>
      <c r="AH825" s="5"/>
      <c r="AI825" s="5"/>
      <c r="AJ825" s="40"/>
      <c r="AK825" s="40"/>
      <c r="AL825" s="40"/>
      <c r="AM825" s="40"/>
      <c r="AN825" s="40"/>
      <c r="AP825" s="40"/>
      <c r="AR825" s="40"/>
    </row>
    <row r="826" spans="2:44" ht="12.75" customHeight="1" x14ac:dyDescent="0.15">
      <c r="B826" s="40"/>
      <c r="C826" s="40"/>
      <c r="D826" s="40"/>
      <c r="E826" s="185"/>
      <c r="F826" s="40"/>
      <c r="G826" s="40"/>
      <c r="H826" s="53"/>
      <c r="R826" s="40"/>
      <c r="S826" s="40"/>
      <c r="U826" s="40"/>
      <c r="V826" s="40"/>
      <c r="W826" s="40"/>
      <c r="Y826" s="40"/>
      <c r="Z826" s="40"/>
      <c r="AA826" s="41"/>
      <c r="AB826" s="41"/>
      <c r="AC826" s="41"/>
      <c r="AD826" s="41"/>
      <c r="AE826" s="41"/>
      <c r="AF826" s="40"/>
      <c r="AG826" s="40"/>
      <c r="AH826" s="5"/>
      <c r="AI826" s="5"/>
      <c r="AJ826" s="40"/>
      <c r="AK826" s="40"/>
      <c r="AL826" s="40"/>
      <c r="AM826" s="40"/>
      <c r="AN826" s="40"/>
      <c r="AP826" s="40"/>
      <c r="AR826" s="40"/>
    </row>
    <row r="827" spans="2:44" ht="12.75" customHeight="1" x14ac:dyDescent="0.15">
      <c r="B827" s="40"/>
      <c r="C827" s="40"/>
      <c r="D827" s="40"/>
      <c r="E827" s="185"/>
      <c r="F827" s="40"/>
      <c r="G827" s="40"/>
      <c r="H827" s="53"/>
      <c r="R827" s="40"/>
      <c r="S827" s="40"/>
      <c r="U827" s="40"/>
      <c r="V827" s="40"/>
      <c r="W827" s="40"/>
      <c r="Y827" s="40"/>
      <c r="Z827" s="40"/>
      <c r="AA827" s="41"/>
      <c r="AB827" s="41"/>
      <c r="AC827" s="41"/>
      <c r="AD827" s="41"/>
      <c r="AE827" s="41"/>
      <c r="AF827" s="40"/>
      <c r="AG827" s="40"/>
      <c r="AH827" s="5"/>
      <c r="AI827" s="5"/>
      <c r="AJ827" s="40"/>
      <c r="AK827" s="40"/>
      <c r="AL827" s="40"/>
      <c r="AM827" s="40"/>
      <c r="AN827" s="40"/>
      <c r="AP827" s="40"/>
      <c r="AR827" s="40"/>
    </row>
    <row r="828" spans="2:44" ht="12.75" customHeight="1" x14ac:dyDescent="0.15">
      <c r="B828" s="40"/>
      <c r="C828" s="40"/>
      <c r="D828" s="40"/>
      <c r="E828" s="185"/>
      <c r="F828" s="40"/>
      <c r="G828" s="40"/>
      <c r="H828" s="53"/>
      <c r="R828" s="40"/>
      <c r="S828" s="40"/>
      <c r="U828" s="40"/>
      <c r="V828" s="40"/>
      <c r="W828" s="40"/>
      <c r="Y828" s="40"/>
      <c r="Z828" s="40"/>
      <c r="AA828" s="41"/>
      <c r="AB828" s="41"/>
      <c r="AC828" s="41"/>
      <c r="AD828" s="41"/>
      <c r="AE828" s="41"/>
      <c r="AF828" s="40"/>
      <c r="AG828" s="40"/>
      <c r="AH828" s="5"/>
      <c r="AI828" s="5"/>
      <c r="AJ828" s="40"/>
      <c r="AK828" s="40"/>
      <c r="AL828" s="40"/>
      <c r="AM828" s="40"/>
      <c r="AN828" s="40"/>
      <c r="AP828" s="40"/>
      <c r="AR828" s="40"/>
    </row>
    <row r="829" spans="2:44" ht="12.75" customHeight="1" x14ac:dyDescent="0.15">
      <c r="B829" s="40"/>
      <c r="C829" s="40"/>
      <c r="D829" s="40"/>
      <c r="E829" s="185"/>
      <c r="F829" s="40"/>
      <c r="G829" s="40"/>
      <c r="H829" s="53"/>
      <c r="R829" s="40"/>
      <c r="S829" s="40"/>
      <c r="U829" s="40"/>
      <c r="V829" s="40"/>
      <c r="W829" s="40"/>
      <c r="Y829" s="40"/>
      <c r="Z829" s="40"/>
      <c r="AA829" s="41"/>
      <c r="AB829" s="41"/>
      <c r="AC829" s="41"/>
      <c r="AD829" s="41"/>
      <c r="AE829" s="41"/>
      <c r="AF829" s="40"/>
      <c r="AG829" s="40"/>
      <c r="AH829" s="5"/>
      <c r="AI829" s="5"/>
      <c r="AJ829" s="40"/>
      <c r="AK829" s="40"/>
      <c r="AL829" s="40"/>
      <c r="AM829" s="40"/>
      <c r="AN829" s="40"/>
      <c r="AP829" s="40"/>
      <c r="AR829" s="40"/>
    </row>
    <row r="830" spans="2:44" ht="12.75" customHeight="1" x14ac:dyDescent="0.15">
      <c r="B830" s="40"/>
      <c r="C830" s="40"/>
      <c r="D830" s="40"/>
      <c r="E830" s="185"/>
      <c r="F830" s="40"/>
      <c r="G830" s="40"/>
      <c r="H830" s="53"/>
      <c r="R830" s="40"/>
      <c r="S830" s="40"/>
      <c r="U830" s="40"/>
      <c r="V830" s="40"/>
      <c r="W830" s="40"/>
      <c r="Y830" s="40"/>
      <c r="Z830" s="40"/>
      <c r="AA830" s="41"/>
      <c r="AB830" s="41"/>
      <c r="AC830" s="41"/>
      <c r="AD830" s="41"/>
      <c r="AE830" s="41"/>
      <c r="AF830" s="40"/>
      <c r="AG830" s="40"/>
      <c r="AH830" s="5"/>
      <c r="AI830" s="5"/>
      <c r="AJ830" s="40"/>
      <c r="AK830" s="40"/>
      <c r="AL830" s="40"/>
      <c r="AM830" s="40"/>
      <c r="AN830" s="40"/>
      <c r="AP830" s="40"/>
      <c r="AR830" s="40"/>
    </row>
    <row r="831" spans="2:44" ht="12.75" customHeight="1" x14ac:dyDescent="0.15">
      <c r="B831" s="40"/>
      <c r="C831" s="40"/>
      <c r="D831" s="40"/>
      <c r="E831" s="185"/>
      <c r="F831" s="40"/>
      <c r="G831" s="40"/>
      <c r="H831" s="53"/>
      <c r="R831" s="40"/>
      <c r="S831" s="40"/>
      <c r="U831" s="40"/>
      <c r="V831" s="40"/>
      <c r="W831" s="40"/>
      <c r="Y831" s="40"/>
      <c r="Z831" s="40"/>
      <c r="AA831" s="41"/>
      <c r="AB831" s="41"/>
      <c r="AC831" s="41"/>
      <c r="AD831" s="41"/>
      <c r="AE831" s="41"/>
      <c r="AF831" s="40"/>
      <c r="AG831" s="40"/>
      <c r="AH831" s="5"/>
      <c r="AI831" s="5"/>
      <c r="AJ831" s="40"/>
      <c r="AK831" s="40"/>
      <c r="AL831" s="40"/>
      <c r="AM831" s="40"/>
      <c r="AN831" s="40"/>
      <c r="AP831" s="40"/>
      <c r="AR831" s="40"/>
    </row>
    <row r="832" spans="2:44" ht="12.75" customHeight="1" x14ac:dyDescent="0.15">
      <c r="B832" s="40"/>
      <c r="C832" s="40"/>
      <c r="D832" s="40"/>
      <c r="E832" s="185"/>
      <c r="F832" s="40"/>
      <c r="G832" s="40"/>
      <c r="H832" s="53"/>
      <c r="R832" s="40"/>
      <c r="S832" s="40"/>
      <c r="U832" s="40"/>
      <c r="V832" s="40"/>
      <c r="W832" s="40"/>
      <c r="Y832" s="40"/>
      <c r="Z832" s="40"/>
      <c r="AA832" s="41"/>
      <c r="AB832" s="41"/>
      <c r="AC832" s="41"/>
      <c r="AD832" s="41"/>
      <c r="AE832" s="41"/>
      <c r="AF832" s="40"/>
      <c r="AG832" s="40"/>
      <c r="AH832" s="5"/>
      <c r="AI832" s="5"/>
      <c r="AJ832" s="40"/>
      <c r="AK832" s="40"/>
      <c r="AL832" s="40"/>
      <c r="AM832" s="40"/>
      <c r="AN832" s="40"/>
      <c r="AP832" s="40"/>
      <c r="AR832" s="40"/>
    </row>
    <row r="833" spans="2:44" ht="12.75" customHeight="1" x14ac:dyDescent="0.15">
      <c r="B833" s="40"/>
      <c r="C833" s="40"/>
      <c r="D833" s="40"/>
      <c r="E833" s="185"/>
      <c r="F833" s="40"/>
      <c r="G833" s="40"/>
      <c r="H833" s="53"/>
      <c r="R833" s="40"/>
      <c r="S833" s="40"/>
      <c r="U833" s="40"/>
      <c r="V833" s="40"/>
      <c r="W833" s="40"/>
      <c r="Y833" s="40"/>
      <c r="Z833" s="40"/>
      <c r="AA833" s="41"/>
      <c r="AB833" s="41"/>
      <c r="AC833" s="41"/>
      <c r="AD833" s="41"/>
      <c r="AE833" s="41"/>
      <c r="AF833" s="40"/>
      <c r="AG833" s="40"/>
      <c r="AH833" s="5"/>
      <c r="AI833" s="5"/>
      <c r="AJ833" s="40"/>
      <c r="AK833" s="40"/>
      <c r="AL833" s="40"/>
      <c r="AM833" s="40"/>
      <c r="AN833" s="40"/>
      <c r="AP833" s="40"/>
      <c r="AR833" s="40"/>
    </row>
    <row r="834" spans="2:44" ht="12.75" customHeight="1" x14ac:dyDescent="0.15">
      <c r="B834" s="40"/>
      <c r="C834" s="40"/>
      <c r="D834" s="40"/>
      <c r="E834" s="185"/>
      <c r="F834" s="40"/>
      <c r="G834" s="40"/>
      <c r="H834" s="53"/>
      <c r="R834" s="40"/>
      <c r="S834" s="40"/>
      <c r="U834" s="40"/>
      <c r="V834" s="40"/>
      <c r="W834" s="40"/>
      <c r="Y834" s="40"/>
      <c r="Z834" s="40"/>
      <c r="AA834" s="41"/>
      <c r="AB834" s="41"/>
      <c r="AC834" s="41"/>
      <c r="AD834" s="41"/>
      <c r="AE834" s="41"/>
      <c r="AF834" s="40"/>
      <c r="AG834" s="40"/>
      <c r="AH834" s="5"/>
      <c r="AI834" s="5"/>
      <c r="AJ834" s="40"/>
      <c r="AK834" s="40"/>
      <c r="AL834" s="40"/>
      <c r="AM834" s="40"/>
      <c r="AN834" s="40"/>
      <c r="AP834" s="40"/>
      <c r="AR834" s="40"/>
    </row>
    <row r="835" spans="2:44" ht="12.75" customHeight="1" x14ac:dyDescent="0.15">
      <c r="B835" s="40"/>
      <c r="C835" s="40"/>
      <c r="D835" s="40"/>
      <c r="E835" s="185"/>
      <c r="F835" s="40"/>
      <c r="G835" s="40"/>
      <c r="H835" s="53"/>
      <c r="R835" s="40"/>
      <c r="S835" s="40"/>
      <c r="U835" s="40"/>
      <c r="V835" s="40"/>
      <c r="W835" s="40"/>
      <c r="Y835" s="40"/>
      <c r="Z835" s="40"/>
      <c r="AA835" s="41"/>
      <c r="AB835" s="41"/>
      <c r="AC835" s="41"/>
      <c r="AD835" s="41"/>
      <c r="AE835" s="41"/>
      <c r="AF835" s="40"/>
      <c r="AG835" s="40"/>
      <c r="AH835" s="5"/>
      <c r="AI835" s="5"/>
      <c r="AJ835" s="40"/>
      <c r="AK835" s="40"/>
      <c r="AL835" s="40"/>
      <c r="AM835" s="40"/>
      <c r="AN835" s="40"/>
      <c r="AP835" s="40"/>
      <c r="AR835" s="40"/>
    </row>
    <row r="836" spans="2:44" ht="12.75" customHeight="1" x14ac:dyDescent="0.15">
      <c r="B836" s="40"/>
      <c r="C836" s="40"/>
      <c r="D836" s="40"/>
      <c r="E836" s="185"/>
      <c r="F836" s="40"/>
      <c r="G836" s="40"/>
      <c r="H836" s="53"/>
      <c r="R836" s="40"/>
      <c r="S836" s="40"/>
      <c r="U836" s="40"/>
      <c r="V836" s="40"/>
      <c r="W836" s="40"/>
      <c r="Y836" s="40"/>
      <c r="Z836" s="40"/>
      <c r="AA836" s="41"/>
      <c r="AB836" s="41"/>
      <c r="AC836" s="41"/>
      <c r="AD836" s="41"/>
      <c r="AE836" s="41"/>
      <c r="AF836" s="40"/>
      <c r="AG836" s="40"/>
      <c r="AH836" s="5"/>
      <c r="AI836" s="5"/>
      <c r="AJ836" s="40"/>
      <c r="AK836" s="40"/>
      <c r="AL836" s="40"/>
      <c r="AM836" s="40"/>
      <c r="AN836" s="40"/>
      <c r="AP836" s="40"/>
      <c r="AR836" s="40"/>
    </row>
    <row r="837" spans="2:44" ht="12.75" customHeight="1" x14ac:dyDescent="0.15">
      <c r="B837" s="40"/>
      <c r="C837" s="40"/>
      <c r="D837" s="40"/>
      <c r="E837" s="185"/>
      <c r="F837" s="40"/>
      <c r="G837" s="40"/>
      <c r="H837" s="53"/>
      <c r="R837" s="40"/>
      <c r="S837" s="40"/>
      <c r="U837" s="40"/>
      <c r="V837" s="40"/>
      <c r="W837" s="40"/>
      <c r="Y837" s="40"/>
      <c r="Z837" s="40"/>
      <c r="AA837" s="41"/>
      <c r="AB837" s="41"/>
      <c r="AC837" s="41"/>
      <c r="AD837" s="41"/>
      <c r="AE837" s="41"/>
      <c r="AF837" s="40"/>
      <c r="AG837" s="40"/>
      <c r="AH837" s="5"/>
      <c r="AI837" s="5"/>
      <c r="AJ837" s="40"/>
      <c r="AK837" s="40"/>
      <c r="AL837" s="40"/>
      <c r="AM837" s="40"/>
      <c r="AN837" s="40"/>
      <c r="AP837" s="40"/>
      <c r="AR837" s="40"/>
    </row>
    <row r="838" spans="2:44" ht="12.75" customHeight="1" x14ac:dyDescent="0.15">
      <c r="B838" s="40"/>
      <c r="C838" s="40"/>
      <c r="D838" s="40"/>
      <c r="E838" s="185"/>
      <c r="F838" s="40"/>
      <c r="G838" s="40"/>
      <c r="H838" s="53"/>
      <c r="R838" s="40"/>
      <c r="S838" s="40"/>
      <c r="U838" s="40"/>
      <c r="V838" s="40"/>
      <c r="W838" s="40"/>
      <c r="Y838" s="40"/>
      <c r="Z838" s="40"/>
      <c r="AA838" s="41"/>
      <c r="AB838" s="41"/>
      <c r="AC838" s="41"/>
      <c r="AD838" s="41"/>
      <c r="AE838" s="41"/>
      <c r="AF838" s="40"/>
      <c r="AG838" s="40"/>
      <c r="AH838" s="5"/>
      <c r="AI838" s="5"/>
      <c r="AJ838" s="40"/>
      <c r="AK838" s="40"/>
      <c r="AL838" s="40"/>
      <c r="AM838" s="40"/>
      <c r="AN838" s="40"/>
      <c r="AP838" s="40"/>
      <c r="AR838" s="40"/>
    </row>
    <row r="839" spans="2:44" ht="12.75" customHeight="1" x14ac:dyDescent="0.15">
      <c r="B839" s="40"/>
      <c r="C839" s="40"/>
      <c r="D839" s="40"/>
      <c r="E839" s="185"/>
      <c r="F839" s="40"/>
      <c r="G839" s="40"/>
      <c r="H839" s="53"/>
      <c r="R839" s="40"/>
      <c r="S839" s="40"/>
      <c r="U839" s="40"/>
      <c r="V839" s="40"/>
      <c r="W839" s="40"/>
      <c r="Y839" s="40"/>
      <c r="Z839" s="40"/>
      <c r="AA839" s="41"/>
      <c r="AB839" s="41"/>
      <c r="AC839" s="41"/>
      <c r="AD839" s="41"/>
      <c r="AE839" s="41"/>
      <c r="AF839" s="40"/>
      <c r="AG839" s="40"/>
      <c r="AH839" s="5"/>
      <c r="AI839" s="5"/>
      <c r="AJ839" s="40"/>
      <c r="AK839" s="40"/>
      <c r="AL839" s="40"/>
      <c r="AM839" s="40"/>
      <c r="AN839" s="40"/>
      <c r="AP839" s="40"/>
      <c r="AR839" s="40"/>
    </row>
    <row r="840" spans="2:44" ht="12.75" customHeight="1" x14ac:dyDescent="0.15">
      <c r="B840" s="40"/>
      <c r="C840" s="40"/>
      <c r="D840" s="40"/>
      <c r="E840" s="185"/>
      <c r="F840" s="40"/>
      <c r="G840" s="40"/>
      <c r="H840" s="53"/>
      <c r="R840" s="40"/>
      <c r="S840" s="40"/>
      <c r="U840" s="40"/>
      <c r="V840" s="40"/>
      <c r="W840" s="40"/>
      <c r="Y840" s="40"/>
      <c r="Z840" s="40"/>
      <c r="AA840" s="41"/>
      <c r="AB840" s="41"/>
      <c r="AC840" s="41"/>
      <c r="AD840" s="41"/>
      <c r="AE840" s="41"/>
      <c r="AF840" s="40"/>
      <c r="AG840" s="40"/>
      <c r="AH840" s="5"/>
      <c r="AI840" s="5"/>
      <c r="AJ840" s="40"/>
      <c r="AK840" s="40"/>
      <c r="AL840" s="40"/>
      <c r="AM840" s="40"/>
      <c r="AN840" s="40"/>
      <c r="AP840" s="40"/>
      <c r="AR840" s="40"/>
    </row>
    <row r="841" spans="2:44" ht="12.75" customHeight="1" x14ac:dyDescent="0.15">
      <c r="B841" s="40"/>
      <c r="C841" s="40"/>
      <c r="D841" s="40"/>
      <c r="E841" s="185"/>
      <c r="F841" s="40"/>
      <c r="G841" s="40"/>
      <c r="H841" s="53"/>
      <c r="R841" s="40"/>
      <c r="S841" s="40"/>
      <c r="U841" s="40"/>
      <c r="V841" s="40"/>
      <c r="W841" s="40"/>
      <c r="Y841" s="40"/>
      <c r="Z841" s="40"/>
      <c r="AA841" s="41"/>
      <c r="AB841" s="41"/>
      <c r="AC841" s="41"/>
      <c r="AD841" s="41"/>
      <c r="AE841" s="41"/>
      <c r="AF841" s="40"/>
      <c r="AG841" s="40"/>
      <c r="AH841" s="5"/>
      <c r="AI841" s="5"/>
      <c r="AJ841" s="40"/>
      <c r="AK841" s="40"/>
      <c r="AL841" s="40"/>
      <c r="AM841" s="40"/>
      <c r="AN841" s="40"/>
      <c r="AP841" s="40"/>
      <c r="AR841" s="40"/>
    </row>
    <row r="842" spans="2:44" ht="12.75" customHeight="1" x14ac:dyDescent="0.15">
      <c r="B842" s="40"/>
      <c r="C842" s="40"/>
      <c r="D842" s="40"/>
      <c r="E842" s="185"/>
      <c r="F842" s="40"/>
      <c r="G842" s="40"/>
      <c r="H842" s="53"/>
      <c r="R842" s="40"/>
      <c r="S842" s="40"/>
      <c r="U842" s="40"/>
      <c r="V842" s="40"/>
      <c r="W842" s="40"/>
      <c r="Y842" s="40"/>
      <c r="Z842" s="40"/>
      <c r="AA842" s="41"/>
      <c r="AB842" s="41"/>
      <c r="AC842" s="41"/>
      <c r="AD842" s="41"/>
      <c r="AE842" s="41"/>
      <c r="AF842" s="40"/>
      <c r="AG842" s="40"/>
      <c r="AH842" s="5"/>
      <c r="AI842" s="5"/>
      <c r="AJ842" s="40"/>
      <c r="AK842" s="40"/>
      <c r="AL842" s="40"/>
      <c r="AM842" s="40"/>
      <c r="AN842" s="40"/>
      <c r="AP842" s="40"/>
      <c r="AR842" s="40"/>
    </row>
    <row r="843" spans="2:44" ht="12.75" customHeight="1" x14ac:dyDescent="0.15">
      <c r="B843" s="40"/>
      <c r="C843" s="40"/>
      <c r="D843" s="40"/>
      <c r="E843" s="185"/>
      <c r="F843" s="40"/>
      <c r="G843" s="40"/>
      <c r="H843" s="53"/>
      <c r="R843" s="40"/>
      <c r="S843" s="40"/>
      <c r="U843" s="40"/>
      <c r="V843" s="40"/>
      <c r="W843" s="40"/>
      <c r="Y843" s="40"/>
      <c r="Z843" s="40"/>
      <c r="AA843" s="41"/>
      <c r="AB843" s="41"/>
      <c r="AC843" s="41"/>
      <c r="AD843" s="41"/>
      <c r="AE843" s="41"/>
      <c r="AF843" s="40"/>
      <c r="AG843" s="40"/>
      <c r="AH843" s="5"/>
      <c r="AI843" s="5"/>
      <c r="AJ843" s="40"/>
      <c r="AK843" s="40"/>
      <c r="AL843" s="40"/>
      <c r="AM843" s="40"/>
      <c r="AN843" s="40"/>
      <c r="AP843" s="40"/>
      <c r="AR843" s="40"/>
    </row>
    <row r="844" spans="2:44" ht="12.75" customHeight="1" x14ac:dyDescent="0.15">
      <c r="B844" s="40"/>
      <c r="C844" s="40"/>
      <c r="D844" s="40"/>
      <c r="E844" s="185"/>
      <c r="F844" s="40"/>
      <c r="G844" s="40"/>
      <c r="H844" s="53"/>
      <c r="R844" s="40"/>
      <c r="S844" s="40"/>
      <c r="U844" s="40"/>
      <c r="V844" s="40"/>
      <c r="W844" s="40"/>
      <c r="Y844" s="40"/>
      <c r="Z844" s="40"/>
      <c r="AA844" s="41"/>
      <c r="AB844" s="41"/>
      <c r="AC844" s="41"/>
      <c r="AD844" s="41"/>
      <c r="AE844" s="41"/>
      <c r="AF844" s="40"/>
      <c r="AG844" s="40"/>
      <c r="AH844" s="5"/>
      <c r="AI844" s="5"/>
      <c r="AJ844" s="40"/>
      <c r="AK844" s="40"/>
      <c r="AL844" s="40"/>
      <c r="AM844" s="40"/>
      <c r="AN844" s="40"/>
      <c r="AP844" s="40"/>
      <c r="AR844" s="40"/>
    </row>
    <row r="845" spans="2:44" ht="12.75" customHeight="1" x14ac:dyDescent="0.15">
      <c r="B845" s="40"/>
      <c r="C845" s="40"/>
      <c r="D845" s="40"/>
      <c r="E845" s="185"/>
      <c r="F845" s="40"/>
      <c r="G845" s="40"/>
      <c r="H845" s="53"/>
      <c r="R845" s="40"/>
      <c r="S845" s="40"/>
      <c r="U845" s="40"/>
      <c r="V845" s="40"/>
      <c r="W845" s="40"/>
      <c r="Y845" s="40"/>
      <c r="Z845" s="40"/>
      <c r="AA845" s="41"/>
      <c r="AB845" s="41"/>
      <c r="AC845" s="41"/>
      <c r="AD845" s="41"/>
      <c r="AE845" s="41"/>
      <c r="AF845" s="40"/>
      <c r="AG845" s="40"/>
      <c r="AH845" s="5"/>
      <c r="AI845" s="5"/>
      <c r="AJ845" s="40"/>
      <c r="AK845" s="40"/>
      <c r="AL845" s="40"/>
      <c r="AM845" s="40"/>
      <c r="AN845" s="40"/>
      <c r="AP845" s="40"/>
      <c r="AR845" s="40"/>
    </row>
    <row r="846" spans="2:44" ht="12.75" customHeight="1" x14ac:dyDescent="0.15">
      <c r="B846" s="40"/>
      <c r="C846" s="40"/>
      <c r="D846" s="40"/>
      <c r="E846" s="185"/>
      <c r="F846" s="40"/>
      <c r="G846" s="40"/>
      <c r="H846" s="53"/>
      <c r="R846" s="40"/>
      <c r="S846" s="40"/>
      <c r="U846" s="40"/>
      <c r="V846" s="40"/>
      <c r="W846" s="40"/>
      <c r="Y846" s="40"/>
      <c r="Z846" s="40"/>
      <c r="AA846" s="41"/>
      <c r="AB846" s="41"/>
      <c r="AC846" s="41"/>
      <c r="AD846" s="41"/>
      <c r="AE846" s="41"/>
      <c r="AF846" s="40"/>
      <c r="AG846" s="40"/>
      <c r="AH846" s="5"/>
      <c r="AI846" s="5"/>
      <c r="AJ846" s="40"/>
      <c r="AK846" s="40"/>
      <c r="AL846" s="40"/>
      <c r="AM846" s="40"/>
      <c r="AN846" s="40"/>
      <c r="AP846" s="40"/>
      <c r="AR846" s="40"/>
    </row>
    <row r="847" spans="2:44" ht="12.75" customHeight="1" x14ac:dyDescent="0.15">
      <c r="B847" s="40"/>
      <c r="C847" s="40"/>
      <c r="D847" s="40"/>
      <c r="E847" s="185"/>
      <c r="F847" s="40"/>
      <c r="G847" s="40"/>
      <c r="H847" s="53"/>
      <c r="R847" s="40"/>
      <c r="S847" s="40"/>
      <c r="U847" s="40"/>
      <c r="V847" s="40"/>
      <c r="W847" s="40"/>
      <c r="Y847" s="40"/>
      <c r="Z847" s="40"/>
      <c r="AA847" s="41"/>
      <c r="AB847" s="41"/>
      <c r="AC847" s="41"/>
      <c r="AD847" s="41"/>
      <c r="AE847" s="41"/>
      <c r="AF847" s="40"/>
      <c r="AG847" s="40"/>
      <c r="AH847" s="5"/>
      <c r="AI847" s="5"/>
      <c r="AJ847" s="40"/>
      <c r="AK847" s="40"/>
      <c r="AL847" s="40"/>
      <c r="AM847" s="40"/>
      <c r="AN847" s="40"/>
      <c r="AP847" s="40"/>
      <c r="AR847" s="40"/>
    </row>
    <row r="848" spans="2:44" ht="12.75" customHeight="1" x14ac:dyDescent="0.15">
      <c r="B848" s="40"/>
      <c r="C848" s="40"/>
      <c r="D848" s="40"/>
      <c r="E848" s="185"/>
      <c r="F848" s="40"/>
      <c r="G848" s="40"/>
      <c r="H848" s="53"/>
      <c r="R848" s="40"/>
      <c r="S848" s="40"/>
      <c r="U848" s="40"/>
      <c r="V848" s="40"/>
      <c r="W848" s="40"/>
      <c r="Y848" s="40"/>
      <c r="Z848" s="40"/>
      <c r="AA848" s="41"/>
      <c r="AB848" s="41"/>
      <c r="AC848" s="41"/>
      <c r="AD848" s="41"/>
      <c r="AE848" s="41"/>
      <c r="AF848" s="40"/>
      <c r="AG848" s="40"/>
      <c r="AH848" s="5"/>
      <c r="AI848" s="5"/>
      <c r="AJ848" s="40"/>
      <c r="AK848" s="40"/>
      <c r="AL848" s="40"/>
      <c r="AM848" s="40"/>
      <c r="AN848" s="40"/>
      <c r="AP848" s="40"/>
      <c r="AR848" s="40"/>
    </row>
    <row r="849" spans="2:44" ht="12.75" customHeight="1" x14ac:dyDescent="0.15">
      <c r="B849" s="40"/>
      <c r="C849" s="40"/>
      <c r="D849" s="40"/>
      <c r="E849" s="185"/>
      <c r="F849" s="40"/>
      <c r="G849" s="40"/>
      <c r="H849" s="53"/>
      <c r="R849" s="40"/>
      <c r="S849" s="40"/>
      <c r="U849" s="40"/>
      <c r="V849" s="40"/>
      <c r="W849" s="40"/>
      <c r="Y849" s="40"/>
      <c r="Z849" s="40"/>
      <c r="AA849" s="41"/>
      <c r="AB849" s="41"/>
      <c r="AC849" s="41"/>
      <c r="AD849" s="41"/>
      <c r="AE849" s="41"/>
      <c r="AF849" s="40"/>
      <c r="AG849" s="40"/>
      <c r="AH849" s="5"/>
      <c r="AI849" s="5"/>
      <c r="AJ849" s="40"/>
      <c r="AK849" s="40"/>
      <c r="AL849" s="40"/>
      <c r="AM849" s="40"/>
      <c r="AN849" s="40"/>
      <c r="AP849" s="40"/>
      <c r="AR849" s="40"/>
    </row>
    <row r="850" spans="2:44" ht="12.75" customHeight="1" x14ac:dyDescent="0.15">
      <c r="B850" s="40"/>
      <c r="C850" s="40"/>
      <c r="D850" s="40"/>
      <c r="E850" s="185"/>
      <c r="F850" s="40"/>
      <c r="G850" s="40"/>
      <c r="H850" s="53"/>
      <c r="R850" s="40"/>
      <c r="S850" s="40"/>
      <c r="U850" s="40"/>
      <c r="V850" s="40"/>
      <c r="W850" s="40"/>
      <c r="Y850" s="40"/>
      <c r="Z850" s="40"/>
      <c r="AA850" s="41"/>
      <c r="AB850" s="41"/>
      <c r="AC850" s="41"/>
      <c r="AD850" s="41"/>
      <c r="AE850" s="41"/>
      <c r="AF850" s="40"/>
      <c r="AG850" s="40"/>
      <c r="AH850" s="5"/>
      <c r="AI850" s="5"/>
      <c r="AJ850" s="40"/>
      <c r="AK850" s="40"/>
      <c r="AL850" s="40"/>
      <c r="AM850" s="40"/>
      <c r="AN850" s="40"/>
      <c r="AP850" s="40"/>
      <c r="AR850" s="40"/>
    </row>
    <row r="851" spans="2:44" ht="12.75" customHeight="1" x14ac:dyDescent="0.15">
      <c r="B851" s="40"/>
      <c r="C851" s="40"/>
      <c r="D851" s="40"/>
      <c r="E851" s="185"/>
      <c r="F851" s="40"/>
      <c r="G851" s="40"/>
      <c r="H851" s="53"/>
      <c r="R851" s="40"/>
      <c r="S851" s="40"/>
      <c r="U851" s="40"/>
      <c r="V851" s="40"/>
      <c r="W851" s="40"/>
      <c r="Y851" s="40"/>
      <c r="Z851" s="40"/>
      <c r="AA851" s="41"/>
      <c r="AB851" s="41"/>
      <c r="AC851" s="41"/>
      <c r="AD851" s="41"/>
      <c r="AE851" s="41"/>
      <c r="AF851" s="40"/>
      <c r="AG851" s="40"/>
      <c r="AH851" s="5"/>
      <c r="AI851" s="5"/>
      <c r="AJ851" s="40"/>
      <c r="AK851" s="40"/>
      <c r="AL851" s="40"/>
      <c r="AM851" s="40"/>
      <c r="AN851" s="40"/>
      <c r="AP851" s="40"/>
      <c r="AR851" s="40"/>
    </row>
    <row r="852" spans="2:44" ht="12.75" customHeight="1" x14ac:dyDescent="0.15">
      <c r="B852" s="40"/>
      <c r="C852" s="40"/>
      <c r="D852" s="40"/>
      <c r="E852" s="185"/>
      <c r="F852" s="40"/>
      <c r="G852" s="40"/>
      <c r="H852" s="53"/>
      <c r="R852" s="40"/>
      <c r="S852" s="40"/>
      <c r="U852" s="40"/>
      <c r="V852" s="40"/>
      <c r="W852" s="40"/>
      <c r="Y852" s="40"/>
      <c r="Z852" s="40"/>
      <c r="AA852" s="41"/>
      <c r="AB852" s="41"/>
      <c r="AC852" s="41"/>
      <c r="AD852" s="41"/>
      <c r="AE852" s="41"/>
      <c r="AF852" s="40"/>
      <c r="AG852" s="40"/>
      <c r="AH852" s="5"/>
      <c r="AI852" s="5"/>
      <c r="AJ852" s="40"/>
      <c r="AK852" s="40"/>
      <c r="AL852" s="40"/>
      <c r="AM852" s="40"/>
      <c r="AN852" s="40"/>
      <c r="AP852" s="40"/>
      <c r="AR852" s="40"/>
    </row>
    <row r="853" spans="2:44" ht="12.75" customHeight="1" x14ac:dyDescent="0.15">
      <c r="B853" s="40"/>
      <c r="C853" s="40"/>
      <c r="D853" s="40"/>
      <c r="E853" s="185"/>
      <c r="F853" s="40"/>
      <c r="G853" s="40"/>
      <c r="H853" s="53"/>
      <c r="R853" s="40"/>
      <c r="S853" s="40"/>
      <c r="U853" s="40"/>
      <c r="V853" s="40"/>
      <c r="W853" s="40"/>
      <c r="Y853" s="40"/>
      <c r="Z853" s="40"/>
      <c r="AA853" s="41"/>
      <c r="AB853" s="41"/>
      <c r="AC853" s="41"/>
      <c r="AD853" s="41"/>
      <c r="AE853" s="41"/>
      <c r="AF853" s="40"/>
      <c r="AG853" s="40"/>
      <c r="AH853" s="5"/>
      <c r="AI853" s="5"/>
      <c r="AJ853" s="40"/>
      <c r="AK853" s="40"/>
      <c r="AL853" s="40"/>
      <c r="AM853" s="40"/>
      <c r="AN853" s="40"/>
      <c r="AP853" s="40"/>
      <c r="AR853" s="40"/>
    </row>
    <row r="854" spans="2:44" ht="12.75" customHeight="1" x14ac:dyDescent="0.15">
      <c r="B854" s="40"/>
      <c r="C854" s="40"/>
      <c r="D854" s="40"/>
      <c r="E854" s="185"/>
      <c r="F854" s="40"/>
      <c r="G854" s="40"/>
      <c r="H854" s="53"/>
      <c r="R854" s="40"/>
      <c r="S854" s="40"/>
      <c r="U854" s="40"/>
      <c r="V854" s="40"/>
      <c r="W854" s="40"/>
      <c r="Y854" s="40"/>
      <c r="Z854" s="40"/>
      <c r="AA854" s="41"/>
      <c r="AB854" s="41"/>
      <c r="AC854" s="41"/>
      <c r="AD854" s="41"/>
      <c r="AE854" s="41"/>
      <c r="AF854" s="40"/>
      <c r="AG854" s="40"/>
      <c r="AH854" s="5"/>
      <c r="AI854" s="5"/>
      <c r="AJ854" s="40"/>
      <c r="AK854" s="40"/>
      <c r="AL854" s="40"/>
      <c r="AM854" s="40"/>
      <c r="AN854" s="40"/>
      <c r="AP854" s="40"/>
      <c r="AR854" s="40"/>
    </row>
    <row r="855" spans="2:44" ht="12.75" customHeight="1" x14ac:dyDescent="0.15">
      <c r="B855" s="40"/>
      <c r="C855" s="40"/>
      <c r="D855" s="40"/>
      <c r="E855" s="185"/>
      <c r="F855" s="40"/>
      <c r="G855" s="40"/>
      <c r="H855" s="53"/>
      <c r="R855" s="40"/>
      <c r="S855" s="40"/>
      <c r="U855" s="40"/>
      <c r="V855" s="40"/>
      <c r="W855" s="40"/>
      <c r="Y855" s="40"/>
      <c r="Z855" s="40"/>
      <c r="AA855" s="41"/>
      <c r="AB855" s="41"/>
      <c r="AC855" s="41"/>
      <c r="AD855" s="41"/>
      <c r="AE855" s="41"/>
      <c r="AF855" s="40"/>
      <c r="AG855" s="40"/>
      <c r="AH855" s="5"/>
      <c r="AI855" s="5"/>
      <c r="AJ855" s="40"/>
      <c r="AK855" s="40"/>
      <c r="AL855" s="40"/>
      <c r="AM855" s="40"/>
      <c r="AN855" s="40"/>
      <c r="AP855" s="40"/>
      <c r="AR855" s="40"/>
    </row>
    <row r="856" spans="2:44" ht="12.75" customHeight="1" x14ac:dyDescent="0.15">
      <c r="B856" s="40"/>
      <c r="C856" s="40"/>
      <c r="D856" s="40"/>
      <c r="E856" s="185"/>
      <c r="F856" s="40"/>
      <c r="G856" s="40"/>
      <c r="H856" s="53"/>
      <c r="R856" s="40"/>
      <c r="S856" s="40"/>
      <c r="U856" s="40"/>
      <c r="V856" s="40"/>
      <c r="W856" s="40"/>
      <c r="Y856" s="40"/>
      <c r="Z856" s="40"/>
      <c r="AA856" s="41"/>
      <c r="AB856" s="41"/>
      <c r="AC856" s="41"/>
      <c r="AD856" s="41"/>
      <c r="AE856" s="41"/>
      <c r="AF856" s="40"/>
      <c r="AG856" s="40"/>
      <c r="AH856" s="5"/>
      <c r="AI856" s="5"/>
      <c r="AJ856" s="40"/>
      <c r="AK856" s="40"/>
      <c r="AL856" s="40"/>
      <c r="AM856" s="40"/>
      <c r="AN856" s="40"/>
      <c r="AP856" s="40"/>
      <c r="AR856" s="40"/>
    </row>
    <row r="857" spans="2:44" ht="12.75" customHeight="1" x14ac:dyDescent="0.15">
      <c r="B857" s="40"/>
      <c r="C857" s="40"/>
      <c r="D857" s="40"/>
      <c r="E857" s="185"/>
      <c r="F857" s="40"/>
      <c r="G857" s="40"/>
      <c r="H857" s="53"/>
      <c r="R857" s="40"/>
      <c r="S857" s="40"/>
      <c r="U857" s="40"/>
      <c r="V857" s="40"/>
      <c r="W857" s="40"/>
      <c r="Y857" s="40"/>
      <c r="Z857" s="40"/>
      <c r="AA857" s="41"/>
      <c r="AB857" s="41"/>
      <c r="AC857" s="41"/>
      <c r="AD857" s="41"/>
      <c r="AE857" s="41"/>
      <c r="AF857" s="40"/>
      <c r="AG857" s="40"/>
      <c r="AH857" s="5"/>
      <c r="AI857" s="5"/>
      <c r="AJ857" s="40"/>
      <c r="AK857" s="40"/>
      <c r="AL857" s="40"/>
      <c r="AM857" s="40"/>
      <c r="AN857" s="40"/>
      <c r="AP857" s="40"/>
      <c r="AR857" s="40"/>
    </row>
    <row r="858" spans="2:44" ht="12.75" customHeight="1" x14ac:dyDescent="0.15">
      <c r="B858" s="40"/>
      <c r="C858" s="40"/>
      <c r="D858" s="40"/>
      <c r="E858" s="185"/>
      <c r="F858" s="40"/>
      <c r="G858" s="40"/>
      <c r="H858" s="53"/>
      <c r="R858" s="40"/>
      <c r="S858" s="40"/>
      <c r="U858" s="40"/>
      <c r="V858" s="40"/>
      <c r="W858" s="40"/>
      <c r="Y858" s="40"/>
      <c r="Z858" s="40"/>
      <c r="AA858" s="41"/>
      <c r="AB858" s="41"/>
      <c r="AC858" s="41"/>
      <c r="AD858" s="41"/>
      <c r="AE858" s="41"/>
      <c r="AF858" s="40"/>
      <c r="AG858" s="40"/>
      <c r="AH858" s="5"/>
      <c r="AI858" s="5"/>
      <c r="AJ858" s="40"/>
      <c r="AK858" s="40"/>
      <c r="AL858" s="40"/>
      <c r="AM858" s="40"/>
      <c r="AN858" s="40"/>
      <c r="AP858" s="40"/>
      <c r="AR858" s="40"/>
    </row>
    <row r="859" spans="2:44" ht="12.75" customHeight="1" x14ac:dyDescent="0.15">
      <c r="B859" s="40"/>
      <c r="C859" s="40"/>
      <c r="D859" s="40"/>
      <c r="E859" s="185"/>
      <c r="F859" s="40"/>
      <c r="G859" s="40"/>
      <c r="H859" s="53"/>
      <c r="R859" s="40"/>
      <c r="S859" s="40"/>
      <c r="U859" s="40"/>
      <c r="V859" s="40"/>
      <c r="W859" s="40"/>
      <c r="Y859" s="40"/>
      <c r="Z859" s="40"/>
      <c r="AA859" s="41"/>
      <c r="AB859" s="41"/>
      <c r="AC859" s="41"/>
      <c r="AD859" s="41"/>
      <c r="AE859" s="41"/>
      <c r="AF859" s="40"/>
      <c r="AG859" s="40"/>
      <c r="AH859" s="5"/>
      <c r="AI859" s="5"/>
      <c r="AJ859" s="40"/>
      <c r="AK859" s="40"/>
      <c r="AL859" s="40"/>
      <c r="AM859" s="40"/>
      <c r="AN859" s="40"/>
      <c r="AP859" s="40"/>
      <c r="AR859" s="40"/>
    </row>
    <row r="860" spans="2:44" ht="12.75" customHeight="1" x14ac:dyDescent="0.15">
      <c r="B860" s="40"/>
      <c r="C860" s="40"/>
      <c r="D860" s="40"/>
      <c r="E860" s="185"/>
      <c r="F860" s="40"/>
      <c r="G860" s="40"/>
      <c r="H860" s="53"/>
      <c r="R860" s="40"/>
      <c r="S860" s="40"/>
      <c r="U860" s="40"/>
      <c r="V860" s="40"/>
      <c r="W860" s="40"/>
      <c r="Y860" s="40"/>
      <c r="Z860" s="40"/>
      <c r="AA860" s="41"/>
      <c r="AB860" s="41"/>
      <c r="AC860" s="41"/>
      <c r="AD860" s="41"/>
      <c r="AE860" s="41"/>
      <c r="AF860" s="40"/>
      <c r="AG860" s="40"/>
      <c r="AH860" s="5"/>
      <c r="AI860" s="5"/>
      <c r="AJ860" s="40"/>
      <c r="AK860" s="40"/>
      <c r="AL860" s="40"/>
      <c r="AM860" s="40"/>
      <c r="AN860" s="40"/>
      <c r="AP860" s="40"/>
      <c r="AR860" s="40"/>
    </row>
    <row r="861" spans="2:44" ht="12.75" customHeight="1" x14ac:dyDescent="0.15">
      <c r="B861" s="40"/>
      <c r="C861" s="40"/>
      <c r="D861" s="40"/>
      <c r="E861" s="185"/>
      <c r="F861" s="40"/>
      <c r="G861" s="40"/>
      <c r="H861" s="53"/>
      <c r="R861" s="40"/>
      <c r="S861" s="40"/>
      <c r="U861" s="40"/>
      <c r="V861" s="40"/>
      <c r="W861" s="40"/>
      <c r="Y861" s="40"/>
      <c r="Z861" s="40"/>
      <c r="AA861" s="41"/>
      <c r="AB861" s="41"/>
      <c r="AC861" s="41"/>
      <c r="AD861" s="41"/>
      <c r="AE861" s="41"/>
      <c r="AF861" s="40"/>
      <c r="AG861" s="40"/>
      <c r="AH861" s="5"/>
      <c r="AI861" s="5"/>
      <c r="AJ861" s="40"/>
      <c r="AK861" s="40"/>
      <c r="AL861" s="40"/>
      <c r="AM861" s="40"/>
      <c r="AN861" s="40"/>
      <c r="AP861" s="40"/>
      <c r="AR861" s="40"/>
    </row>
    <row r="862" spans="2:44" ht="12.75" customHeight="1" x14ac:dyDescent="0.15">
      <c r="B862" s="40"/>
      <c r="C862" s="40"/>
      <c r="D862" s="40"/>
      <c r="E862" s="185"/>
      <c r="F862" s="40"/>
      <c r="G862" s="40"/>
      <c r="H862" s="53"/>
      <c r="R862" s="40"/>
      <c r="S862" s="40"/>
      <c r="U862" s="40"/>
      <c r="V862" s="40"/>
      <c r="W862" s="40"/>
      <c r="Y862" s="40"/>
      <c r="Z862" s="40"/>
      <c r="AA862" s="41"/>
      <c r="AB862" s="41"/>
      <c r="AC862" s="41"/>
      <c r="AD862" s="41"/>
      <c r="AE862" s="41"/>
      <c r="AF862" s="40"/>
      <c r="AG862" s="40"/>
      <c r="AH862" s="5"/>
      <c r="AI862" s="5"/>
      <c r="AJ862" s="40"/>
      <c r="AK862" s="40"/>
      <c r="AL862" s="40"/>
      <c r="AM862" s="40"/>
      <c r="AN862" s="40"/>
      <c r="AP862" s="40"/>
      <c r="AR862" s="40"/>
    </row>
    <row r="863" spans="2:44" ht="12.75" customHeight="1" x14ac:dyDescent="0.15">
      <c r="B863" s="40"/>
      <c r="C863" s="40"/>
      <c r="D863" s="40"/>
      <c r="E863" s="185"/>
      <c r="F863" s="40"/>
      <c r="G863" s="40"/>
      <c r="H863" s="53"/>
      <c r="R863" s="40"/>
      <c r="S863" s="40"/>
      <c r="U863" s="40"/>
      <c r="V863" s="40"/>
      <c r="W863" s="40"/>
      <c r="Y863" s="40"/>
      <c r="Z863" s="40"/>
      <c r="AA863" s="41"/>
      <c r="AB863" s="41"/>
      <c r="AC863" s="41"/>
      <c r="AD863" s="41"/>
      <c r="AE863" s="41"/>
      <c r="AF863" s="40"/>
      <c r="AG863" s="40"/>
      <c r="AH863" s="5"/>
      <c r="AI863" s="5"/>
      <c r="AJ863" s="40"/>
      <c r="AK863" s="40"/>
      <c r="AL863" s="40"/>
      <c r="AM863" s="40"/>
      <c r="AN863" s="40"/>
      <c r="AP863" s="40"/>
      <c r="AR863" s="40"/>
    </row>
    <row r="864" spans="2:44" ht="12.75" customHeight="1" x14ac:dyDescent="0.15">
      <c r="B864" s="40"/>
      <c r="C864" s="40"/>
      <c r="D864" s="40"/>
      <c r="E864" s="185"/>
      <c r="F864" s="40"/>
      <c r="G864" s="40"/>
      <c r="H864" s="53"/>
      <c r="R864" s="40"/>
      <c r="S864" s="40"/>
      <c r="U864" s="40"/>
      <c r="V864" s="40"/>
      <c r="W864" s="40"/>
      <c r="Y864" s="40"/>
      <c r="Z864" s="40"/>
      <c r="AA864" s="41"/>
      <c r="AB864" s="41"/>
      <c r="AC864" s="41"/>
      <c r="AD864" s="41"/>
      <c r="AE864" s="41"/>
      <c r="AF864" s="40"/>
      <c r="AG864" s="40"/>
      <c r="AH864" s="5"/>
      <c r="AI864" s="5"/>
      <c r="AJ864" s="40"/>
      <c r="AK864" s="40"/>
      <c r="AL864" s="40"/>
      <c r="AM864" s="40"/>
      <c r="AN864" s="40"/>
      <c r="AP864" s="40"/>
      <c r="AR864" s="40"/>
    </row>
    <row r="865" spans="2:44" ht="12.75" customHeight="1" x14ac:dyDescent="0.15">
      <c r="B865" s="40"/>
      <c r="C865" s="40"/>
      <c r="D865" s="40"/>
      <c r="E865" s="185"/>
      <c r="F865" s="40"/>
      <c r="G865" s="40"/>
      <c r="H865" s="53"/>
      <c r="R865" s="40"/>
      <c r="S865" s="40"/>
      <c r="U865" s="40"/>
      <c r="V865" s="40"/>
      <c r="W865" s="40"/>
      <c r="Y865" s="40"/>
      <c r="Z865" s="40"/>
      <c r="AA865" s="41"/>
      <c r="AB865" s="41"/>
      <c r="AC865" s="41"/>
      <c r="AD865" s="41"/>
      <c r="AE865" s="41"/>
      <c r="AF865" s="40"/>
      <c r="AG865" s="40"/>
      <c r="AH865" s="5"/>
      <c r="AI865" s="5"/>
      <c r="AJ865" s="40"/>
      <c r="AK865" s="40"/>
      <c r="AL865" s="40"/>
      <c r="AM865" s="40"/>
      <c r="AN865" s="40"/>
      <c r="AP865" s="40"/>
      <c r="AR865" s="40"/>
    </row>
    <row r="866" spans="2:44" ht="12.75" customHeight="1" x14ac:dyDescent="0.15">
      <c r="B866" s="40"/>
      <c r="C866" s="40"/>
      <c r="D866" s="40"/>
      <c r="E866" s="185"/>
      <c r="F866" s="40"/>
      <c r="G866" s="40"/>
      <c r="H866" s="53"/>
      <c r="R866" s="40"/>
      <c r="S866" s="40"/>
      <c r="U866" s="40"/>
      <c r="V866" s="40"/>
      <c r="W866" s="40"/>
      <c r="Y866" s="40"/>
      <c r="Z866" s="40"/>
      <c r="AA866" s="41"/>
      <c r="AB866" s="41"/>
      <c r="AC866" s="41"/>
      <c r="AD866" s="41"/>
      <c r="AE866" s="41"/>
      <c r="AF866" s="40"/>
      <c r="AG866" s="40"/>
      <c r="AH866" s="5"/>
      <c r="AI866" s="5"/>
      <c r="AJ866" s="40"/>
      <c r="AK866" s="40"/>
      <c r="AL866" s="40"/>
      <c r="AM866" s="40"/>
      <c r="AN866" s="40"/>
      <c r="AP866" s="40"/>
      <c r="AR866" s="40"/>
    </row>
    <row r="867" spans="2:44" ht="12.75" customHeight="1" x14ac:dyDescent="0.15">
      <c r="B867" s="40"/>
      <c r="C867" s="40"/>
      <c r="D867" s="40"/>
      <c r="E867" s="185"/>
      <c r="F867" s="40"/>
      <c r="G867" s="40"/>
      <c r="H867" s="53"/>
      <c r="R867" s="40"/>
      <c r="S867" s="40"/>
      <c r="U867" s="40"/>
      <c r="V867" s="40"/>
      <c r="W867" s="40"/>
      <c r="Y867" s="40"/>
      <c r="Z867" s="40"/>
      <c r="AA867" s="41"/>
      <c r="AB867" s="41"/>
      <c r="AC867" s="41"/>
      <c r="AD867" s="41"/>
      <c r="AE867" s="41"/>
      <c r="AF867" s="40"/>
      <c r="AG867" s="40"/>
      <c r="AH867" s="5"/>
      <c r="AI867" s="5"/>
      <c r="AJ867" s="40"/>
      <c r="AK867" s="40"/>
      <c r="AL867" s="40"/>
      <c r="AM867" s="40"/>
      <c r="AN867" s="40"/>
      <c r="AP867" s="40"/>
      <c r="AR867" s="40"/>
    </row>
    <row r="868" spans="2:44" ht="12.75" customHeight="1" x14ac:dyDescent="0.15">
      <c r="B868" s="40"/>
      <c r="C868" s="40"/>
      <c r="D868" s="40"/>
      <c r="E868" s="185"/>
      <c r="F868" s="40"/>
      <c r="G868" s="40"/>
      <c r="H868" s="53"/>
      <c r="R868" s="40"/>
      <c r="S868" s="40"/>
      <c r="U868" s="40"/>
      <c r="V868" s="40"/>
      <c r="W868" s="40"/>
      <c r="Y868" s="40"/>
      <c r="Z868" s="40"/>
      <c r="AA868" s="41"/>
      <c r="AB868" s="41"/>
      <c r="AC868" s="41"/>
      <c r="AD868" s="41"/>
      <c r="AE868" s="41"/>
      <c r="AF868" s="40"/>
      <c r="AG868" s="40"/>
      <c r="AH868" s="5"/>
      <c r="AI868" s="5"/>
      <c r="AJ868" s="40"/>
      <c r="AK868" s="40"/>
      <c r="AL868" s="40"/>
      <c r="AM868" s="40"/>
      <c r="AN868" s="40"/>
      <c r="AP868" s="40"/>
      <c r="AR868" s="40"/>
    </row>
    <row r="869" spans="2:44" ht="12.75" customHeight="1" x14ac:dyDescent="0.15">
      <c r="B869" s="40"/>
      <c r="C869" s="40"/>
      <c r="D869" s="40"/>
      <c r="E869" s="185"/>
      <c r="F869" s="40"/>
      <c r="G869" s="40"/>
      <c r="H869" s="53"/>
      <c r="R869" s="40"/>
      <c r="S869" s="40"/>
      <c r="U869" s="40"/>
      <c r="V869" s="40"/>
      <c r="W869" s="40"/>
      <c r="Y869" s="40"/>
      <c r="Z869" s="40"/>
      <c r="AA869" s="41"/>
      <c r="AB869" s="41"/>
      <c r="AC869" s="41"/>
      <c r="AD869" s="41"/>
      <c r="AE869" s="41"/>
      <c r="AF869" s="40"/>
      <c r="AG869" s="40"/>
      <c r="AH869" s="5"/>
      <c r="AI869" s="5"/>
      <c r="AJ869" s="40"/>
      <c r="AK869" s="40"/>
      <c r="AL869" s="40"/>
      <c r="AM869" s="40"/>
      <c r="AN869" s="40"/>
      <c r="AP869" s="40"/>
      <c r="AR869" s="40"/>
    </row>
    <row r="870" spans="2:44" ht="12.75" customHeight="1" x14ac:dyDescent="0.15">
      <c r="B870" s="40"/>
      <c r="C870" s="40"/>
      <c r="D870" s="40"/>
      <c r="E870" s="185"/>
      <c r="F870" s="40"/>
      <c r="G870" s="40"/>
      <c r="H870" s="53"/>
      <c r="R870" s="40"/>
      <c r="S870" s="40"/>
      <c r="U870" s="40"/>
      <c r="V870" s="40"/>
      <c r="W870" s="40"/>
      <c r="Y870" s="40"/>
      <c r="Z870" s="40"/>
      <c r="AA870" s="41"/>
      <c r="AB870" s="41"/>
      <c r="AC870" s="41"/>
      <c r="AD870" s="41"/>
      <c r="AE870" s="41"/>
      <c r="AF870" s="40"/>
      <c r="AG870" s="40"/>
      <c r="AH870" s="5"/>
      <c r="AI870" s="5"/>
      <c r="AJ870" s="40"/>
      <c r="AK870" s="40"/>
      <c r="AL870" s="40"/>
      <c r="AM870" s="40"/>
      <c r="AN870" s="40"/>
      <c r="AP870" s="40"/>
      <c r="AR870" s="40"/>
    </row>
    <row r="871" spans="2:44" ht="12.75" customHeight="1" x14ac:dyDescent="0.15">
      <c r="B871" s="40"/>
      <c r="C871" s="40"/>
      <c r="D871" s="40"/>
      <c r="E871" s="185"/>
      <c r="F871" s="40"/>
      <c r="G871" s="40"/>
      <c r="H871" s="53"/>
      <c r="R871" s="40"/>
      <c r="S871" s="40"/>
      <c r="U871" s="40"/>
      <c r="V871" s="40"/>
      <c r="W871" s="40"/>
      <c r="Y871" s="40"/>
      <c r="Z871" s="40"/>
      <c r="AA871" s="41"/>
      <c r="AB871" s="41"/>
      <c r="AC871" s="41"/>
      <c r="AD871" s="41"/>
      <c r="AE871" s="41"/>
      <c r="AF871" s="40"/>
      <c r="AG871" s="40"/>
      <c r="AH871" s="5"/>
      <c r="AI871" s="5"/>
      <c r="AJ871" s="40"/>
      <c r="AK871" s="40"/>
      <c r="AL871" s="40"/>
      <c r="AM871" s="40"/>
      <c r="AN871" s="40"/>
      <c r="AP871" s="40"/>
      <c r="AR871" s="40"/>
    </row>
    <row r="872" spans="2:44" ht="12.75" customHeight="1" x14ac:dyDescent="0.15">
      <c r="B872" s="40"/>
      <c r="C872" s="40"/>
      <c r="D872" s="40"/>
      <c r="E872" s="185"/>
      <c r="F872" s="40"/>
      <c r="G872" s="40"/>
      <c r="H872" s="53"/>
      <c r="R872" s="40"/>
      <c r="S872" s="40"/>
      <c r="U872" s="40"/>
      <c r="V872" s="40"/>
      <c r="W872" s="40"/>
      <c r="Y872" s="40"/>
      <c r="Z872" s="40"/>
      <c r="AA872" s="41"/>
      <c r="AB872" s="41"/>
      <c r="AC872" s="41"/>
      <c r="AD872" s="41"/>
      <c r="AE872" s="41"/>
      <c r="AF872" s="40"/>
      <c r="AG872" s="40"/>
      <c r="AH872" s="5"/>
      <c r="AI872" s="5"/>
      <c r="AJ872" s="40"/>
      <c r="AK872" s="40"/>
      <c r="AL872" s="40"/>
      <c r="AM872" s="40"/>
      <c r="AN872" s="40"/>
      <c r="AP872" s="40"/>
      <c r="AR872" s="40"/>
    </row>
    <row r="873" spans="2:44" ht="12.75" customHeight="1" x14ac:dyDescent="0.15">
      <c r="B873" s="40"/>
      <c r="C873" s="40"/>
      <c r="D873" s="40"/>
      <c r="E873" s="185"/>
      <c r="F873" s="40"/>
      <c r="G873" s="40"/>
      <c r="H873" s="53"/>
      <c r="R873" s="40"/>
      <c r="S873" s="40"/>
      <c r="U873" s="40"/>
      <c r="V873" s="40"/>
      <c r="W873" s="40"/>
      <c r="Y873" s="40"/>
      <c r="Z873" s="40"/>
      <c r="AA873" s="41"/>
      <c r="AB873" s="41"/>
      <c r="AC873" s="41"/>
      <c r="AD873" s="41"/>
      <c r="AE873" s="41"/>
      <c r="AF873" s="40"/>
      <c r="AG873" s="40"/>
      <c r="AH873" s="5"/>
      <c r="AI873" s="5"/>
      <c r="AJ873" s="40"/>
      <c r="AK873" s="40"/>
      <c r="AL873" s="40"/>
      <c r="AM873" s="40"/>
      <c r="AN873" s="40"/>
      <c r="AP873" s="40"/>
      <c r="AR873" s="40"/>
    </row>
    <row r="874" spans="2:44" ht="12.75" customHeight="1" x14ac:dyDescent="0.15">
      <c r="B874" s="40"/>
      <c r="C874" s="40"/>
      <c r="D874" s="40"/>
      <c r="E874" s="185"/>
      <c r="F874" s="40"/>
      <c r="G874" s="40"/>
      <c r="H874" s="53"/>
      <c r="R874" s="40"/>
      <c r="S874" s="40"/>
      <c r="U874" s="40"/>
      <c r="V874" s="40"/>
      <c r="W874" s="40"/>
      <c r="Y874" s="40"/>
      <c r="Z874" s="40"/>
      <c r="AA874" s="41"/>
      <c r="AB874" s="41"/>
      <c r="AC874" s="41"/>
      <c r="AD874" s="41"/>
      <c r="AE874" s="41"/>
      <c r="AF874" s="40"/>
      <c r="AG874" s="40"/>
      <c r="AH874" s="5"/>
      <c r="AI874" s="5"/>
      <c r="AJ874" s="40"/>
      <c r="AK874" s="40"/>
      <c r="AL874" s="40"/>
      <c r="AM874" s="40"/>
      <c r="AN874" s="40"/>
      <c r="AP874" s="40"/>
      <c r="AR874" s="40"/>
    </row>
    <row r="875" spans="2:44" ht="12.75" customHeight="1" x14ac:dyDescent="0.15">
      <c r="B875" s="40"/>
      <c r="C875" s="40"/>
      <c r="D875" s="40"/>
      <c r="E875" s="185"/>
      <c r="F875" s="40"/>
      <c r="G875" s="40"/>
      <c r="H875" s="53"/>
      <c r="R875" s="40"/>
      <c r="S875" s="40"/>
      <c r="U875" s="40"/>
      <c r="V875" s="40"/>
      <c r="W875" s="40"/>
      <c r="Y875" s="40"/>
      <c r="Z875" s="40"/>
      <c r="AA875" s="41"/>
      <c r="AB875" s="41"/>
      <c r="AC875" s="41"/>
      <c r="AD875" s="41"/>
      <c r="AE875" s="41"/>
      <c r="AF875" s="40"/>
      <c r="AG875" s="40"/>
      <c r="AH875" s="5"/>
      <c r="AI875" s="5"/>
      <c r="AJ875" s="40"/>
      <c r="AK875" s="40"/>
      <c r="AL875" s="40"/>
      <c r="AM875" s="40"/>
      <c r="AN875" s="40"/>
      <c r="AP875" s="40"/>
      <c r="AR875" s="40"/>
    </row>
    <row r="876" spans="2:44" ht="12.75" customHeight="1" x14ac:dyDescent="0.15">
      <c r="B876" s="40"/>
      <c r="C876" s="40"/>
      <c r="D876" s="40"/>
      <c r="E876" s="185"/>
      <c r="F876" s="40"/>
      <c r="G876" s="40"/>
      <c r="H876" s="53"/>
      <c r="R876" s="40"/>
      <c r="S876" s="40"/>
      <c r="U876" s="40"/>
      <c r="V876" s="40"/>
      <c r="W876" s="40"/>
      <c r="Y876" s="40"/>
      <c r="Z876" s="40"/>
      <c r="AA876" s="41"/>
      <c r="AB876" s="41"/>
      <c r="AC876" s="41"/>
      <c r="AD876" s="41"/>
      <c r="AE876" s="41"/>
      <c r="AF876" s="40"/>
      <c r="AG876" s="40"/>
      <c r="AH876" s="5"/>
      <c r="AI876" s="5"/>
      <c r="AJ876" s="40"/>
      <c r="AK876" s="40"/>
      <c r="AL876" s="40"/>
      <c r="AM876" s="40"/>
      <c r="AN876" s="40"/>
      <c r="AP876" s="40"/>
      <c r="AR876" s="40"/>
    </row>
    <row r="877" spans="2:44" ht="12.75" customHeight="1" x14ac:dyDescent="0.15">
      <c r="B877" s="40"/>
      <c r="C877" s="40"/>
      <c r="D877" s="40"/>
      <c r="E877" s="185"/>
      <c r="F877" s="40"/>
      <c r="G877" s="40"/>
      <c r="H877" s="53"/>
      <c r="R877" s="40"/>
      <c r="S877" s="40"/>
      <c r="U877" s="40"/>
      <c r="V877" s="40"/>
      <c r="W877" s="40"/>
      <c r="Y877" s="40"/>
      <c r="Z877" s="40"/>
      <c r="AA877" s="41"/>
      <c r="AB877" s="41"/>
      <c r="AC877" s="41"/>
      <c r="AD877" s="41"/>
      <c r="AE877" s="41"/>
      <c r="AF877" s="40"/>
      <c r="AG877" s="40"/>
      <c r="AH877" s="5"/>
      <c r="AI877" s="5"/>
      <c r="AJ877" s="40"/>
      <c r="AK877" s="40"/>
      <c r="AL877" s="40"/>
      <c r="AM877" s="40"/>
      <c r="AN877" s="40"/>
      <c r="AP877" s="40"/>
      <c r="AR877" s="40"/>
    </row>
    <row r="878" spans="2:44" ht="12.75" customHeight="1" x14ac:dyDescent="0.15">
      <c r="B878" s="40"/>
      <c r="C878" s="40"/>
      <c r="D878" s="40"/>
      <c r="E878" s="185"/>
      <c r="F878" s="40"/>
      <c r="G878" s="40"/>
      <c r="H878" s="53"/>
      <c r="R878" s="40"/>
      <c r="S878" s="40"/>
      <c r="U878" s="40"/>
      <c r="V878" s="40"/>
      <c r="W878" s="40"/>
      <c r="Y878" s="40"/>
      <c r="Z878" s="40"/>
      <c r="AA878" s="41"/>
      <c r="AB878" s="41"/>
      <c r="AC878" s="41"/>
      <c r="AD878" s="41"/>
      <c r="AE878" s="41"/>
      <c r="AF878" s="40"/>
      <c r="AG878" s="40"/>
      <c r="AH878" s="5"/>
      <c r="AI878" s="5"/>
      <c r="AJ878" s="40"/>
      <c r="AK878" s="40"/>
      <c r="AL878" s="40"/>
      <c r="AM878" s="40"/>
      <c r="AN878" s="40"/>
      <c r="AP878" s="40"/>
      <c r="AR878" s="40"/>
    </row>
    <row r="879" spans="2:44" ht="12.75" customHeight="1" x14ac:dyDescent="0.15">
      <c r="B879" s="40"/>
      <c r="C879" s="40"/>
      <c r="D879" s="40"/>
      <c r="E879" s="185"/>
      <c r="F879" s="40"/>
      <c r="G879" s="40"/>
      <c r="H879" s="53"/>
      <c r="R879" s="40"/>
      <c r="S879" s="40"/>
      <c r="U879" s="40"/>
      <c r="V879" s="40"/>
      <c r="W879" s="40"/>
      <c r="Y879" s="40"/>
      <c r="Z879" s="40"/>
      <c r="AA879" s="41"/>
      <c r="AB879" s="41"/>
      <c r="AC879" s="41"/>
      <c r="AD879" s="41"/>
      <c r="AE879" s="41"/>
      <c r="AF879" s="40"/>
      <c r="AG879" s="40"/>
      <c r="AH879" s="5"/>
      <c r="AI879" s="5"/>
      <c r="AJ879" s="40"/>
      <c r="AK879" s="40"/>
      <c r="AL879" s="40"/>
      <c r="AM879" s="40"/>
      <c r="AN879" s="40"/>
      <c r="AP879" s="40"/>
      <c r="AR879" s="40"/>
    </row>
    <row r="880" spans="2:44" ht="12.75" customHeight="1" x14ac:dyDescent="0.15">
      <c r="B880" s="40"/>
      <c r="C880" s="40"/>
      <c r="D880" s="40"/>
      <c r="E880" s="185"/>
      <c r="F880" s="40"/>
      <c r="G880" s="40"/>
      <c r="H880" s="53"/>
      <c r="R880" s="40"/>
      <c r="S880" s="40"/>
      <c r="U880" s="40"/>
      <c r="V880" s="40"/>
      <c r="W880" s="40"/>
      <c r="Y880" s="40"/>
      <c r="Z880" s="40"/>
      <c r="AA880" s="41"/>
      <c r="AB880" s="41"/>
      <c r="AC880" s="41"/>
      <c r="AD880" s="41"/>
      <c r="AE880" s="41"/>
      <c r="AF880" s="40"/>
      <c r="AG880" s="40"/>
      <c r="AH880" s="5"/>
      <c r="AI880" s="5"/>
      <c r="AJ880" s="40"/>
      <c r="AK880" s="40"/>
      <c r="AL880" s="40"/>
      <c r="AM880" s="40"/>
      <c r="AN880" s="40"/>
      <c r="AP880" s="40"/>
      <c r="AR880" s="40"/>
    </row>
    <row r="881" spans="2:44" ht="12.75" customHeight="1" x14ac:dyDescent="0.15">
      <c r="B881" s="40"/>
      <c r="C881" s="40"/>
      <c r="D881" s="40"/>
      <c r="E881" s="185"/>
      <c r="F881" s="40"/>
      <c r="G881" s="40"/>
      <c r="H881" s="53"/>
      <c r="R881" s="40"/>
      <c r="S881" s="40"/>
      <c r="U881" s="40"/>
      <c r="V881" s="40"/>
      <c r="W881" s="40"/>
      <c r="Y881" s="40"/>
      <c r="Z881" s="40"/>
      <c r="AA881" s="41"/>
      <c r="AB881" s="41"/>
      <c r="AC881" s="41"/>
      <c r="AD881" s="41"/>
      <c r="AE881" s="41"/>
      <c r="AF881" s="40"/>
      <c r="AG881" s="40"/>
      <c r="AH881" s="5"/>
      <c r="AI881" s="5"/>
      <c r="AJ881" s="40"/>
      <c r="AK881" s="40"/>
      <c r="AL881" s="40"/>
      <c r="AM881" s="40"/>
      <c r="AN881" s="40"/>
      <c r="AP881" s="40"/>
      <c r="AR881" s="40"/>
    </row>
    <row r="882" spans="2:44" ht="12.75" customHeight="1" x14ac:dyDescent="0.15">
      <c r="B882" s="40"/>
      <c r="C882" s="40"/>
      <c r="D882" s="40"/>
      <c r="E882" s="185"/>
      <c r="F882" s="40"/>
      <c r="G882" s="40"/>
      <c r="H882" s="53"/>
      <c r="R882" s="40"/>
      <c r="S882" s="40"/>
      <c r="U882" s="40"/>
      <c r="V882" s="40"/>
      <c r="W882" s="40"/>
      <c r="Y882" s="40"/>
      <c r="Z882" s="40"/>
      <c r="AA882" s="41"/>
      <c r="AB882" s="41"/>
      <c r="AC882" s="41"/>
      <c r="AD882" s="41"/>
      <c r="AE882" s="41"/>
      <c r="AF882" s="40"/>
      <c r="AG882" s="40"/>
      <c r="AH882" s="5"/>
      <c r="AI882" s="5"/>
      <c r="AJ882" s="40"/>
      <c r="AK882" s="40"/>
      <c r="AL882" s="40"/>
      <c r="AM882" s="40"/>
      <c r="AN882" s="40"/>
      <c r="AP882" s="40"/>
      <c r="AR882" s="40"/>
    </row>
    <row r="883" spans="2:44" ht="12.75" customHeight="1" x14ac:dyDescent="0.15">
      <c r="B883" s="40"/>
      <c r="C883" s="40"/>
      <c r="D883" s="40"/>
      <c r="E883" s="185"/>
      <c r="F883" s="40"/>
      <c r="G883" s="40"/>
      <c r="H883" s="53"/>
      <c r="R883" s="40"/>
      <c r="S883" s="40"/>
      <c r="U883" s="40"/>
      <c r="V883" s="40"/>
      <c r="W883" s="40"/>
      <c r="Y883" s="40"/>
      <c r="Z883" s="40"/>
      <c r="AA883" s="41"/>
      <c r="AB883" s="41"/>
      <c r="AC883" s="41"/>
      <c r="AD883" s="41"/>
      <c r="AE883" s="41"/>
      <c r="AF883" s="40"/>
      <c r="AG883" s="40"/>
      <c r="AH883" s="5"/>
      <c r="AI883" s="5"/>
      <c r="AJ883" s="40"/>
      <c r="AK883" s="40"/>
      <c r="AL883" s="40"/>
      <c r="AM883" s="40"/>
      <c r="AN883" s="40"/>
      <c r="AP883" s="40"/>
      <c r="AR883" s="40"/>
    </row>
    <row r="884" spans="2:44" ht="12.75" customHeight="1" x14ac:dyDescent="0.15">
      <c r="B884" s="40"/>
      <c r="C884" s="40"/>
      <c r="D884" s="40"/>
      <c r="E884" s="185"/>
      <c r="F884" s="40"/>
      <c r="G884" s="40"/>
      <c r="H884" s="53"/>
      <c r="R884" s="40"/>
      <c r="S884" s="40"/>
      <c r="U884" s="40"/>
      <c r="V884" s="40"/>
      <c r="W884" s="40"/>
      <c r="Y884" s="40"/>
      <c r="Z884" s="40"/>
      <c r="AA884" s="41"/>
      <c r="AB884" s="41"/>
      <c r="AC884" s="41"/>
      <c r="AD884" s="41"/>
      <c r="AE884" s="41"/>
      <c r="AF884" s="40"/>
      <c r="AG884" s="40"/>
      <c r="AH884" s="5"/>
      <c r="AI884" s="5"/>
      <c r="AJ884" s="40"/>
      <c r="AK884" s="40"/>
      <c r="AL884" s="40"/>
      <c r="AM884" s="40"/>
      <c r="AN884" s="40"/>
      <c r="AP884" s="40"/>
      <c r="AR884" s="40"/>
    </row>
    <row r="885" spans="2:44" ht="12.75" customHeight="1" x14ac:dyDescent="0.15">
      <c r="B885" s="40"/>
      <c r="C885" s="40"/>
      <c r="D885" s="40"/>
      <c r="E885" s="185"/>
      <c r="F885" s="40"/>
      <c r="G885" s="40"/>
      <c r="H885" s="53"/>
      <c r="R885" s="40"/>
      <c r="S885" s="40"/>
      <c r="U885" s="40"/>
      <c r="V885" s="40"/>
      <c r="W885" s="40"/>
      <c r="Y885" s="40"/>
      <c r="Z885" s="40"/>
      <c r="AA885" s="41"/>
      <c r="AB885" s="41"/>
      <c r="AC885" s="41"/>
      <c r="AD885" s="41"/>
      <c r="AE885" s="41"/>
      <c r="AF885" s="40"/>
      <c r="AG885" s="40"/>
      <c r="AH885" s="5"/>
      <c r="AI885" s="5"/>
      <c r="AJ885" s="40"/>
      <c r="AK885" s="40"/>
      <c r="AL885" s="40"/>
      <c r="AM885" s="40"/>
      <c r="AN885" s="40"/>
      <c r="AP885" s="40"/>
      <c r="AR885" s="40"/>
    </row>
    <row r="886" spans="2:44" ht="12.75" customHeight="1" x14ac:dyDescent="0.15">
      <c r="B886" s="40"/>
      <c r="C886" s="40"/>
      <c r="D886" s="40"/>
      <c r="E886" s="185"/>
      <c r="F886" s="40"/>
      <c r="G886" s="40"/>
      <c r="H886" s="53"/>
      <c r="R886" s="40"/>
      <c r="S886" s="40"/>
      <c r="U886" s="40"/>
      <c r="V886" s="40"/>
      <c r="W886" s="40"/>
      <c r="Y886" s="40"/>
      <c r="Z886" s="40"/>
      <c r="AA886" s="41"/>
      <c r="AB886" s="41"/>
      <c r="AC886" s="41"/>
      <c r="AD886" s="41"/>
      <c r="AE886" s="41"/>
      <c r="AF886" s="40"/>
      <c r="AG886" s="40"/>
      <c r="AH886" s="5"/>
      <c r="AI886" s="5"/>
      <c r="AJ886" s="40"/>
      <c r="AK886" s="40"/>
      <c r="AL886" s="40"/>
      <c r="AM886" s="40"/>
      <c r="AN886" s="40"/>
      <c r="AP886" s="40"/>
      <c r="AR886" s="40"/>
    </row>
    <row r="887" spans="2:44" ht="12.75" customHeight="1" x14ac:dyDescent="0.15">
      <c r="B887" s="40"/>
      <c r="C887" s="40"/>
      <c r="D887" s="40"/>
      <c r="E887" s="185"/>
      <c r="F887" s="40"/>
      <c r="G887" s="40"/>
      <c r="H887" s="53"/>
      <c r="R887" s="40"/>
      <c r="S887" s="40"/>
      <c r="U887" s="40"/>
      <c r="V887" s="40"/>
      <c r="W887" s="40"/>
      <c r="Y887" s="40"/>
      <c r="Z887" s="40"/>
      <c r="AA887" s="41"/>
      <c r="AB887" s="41"/>
      <c r="AC887" s="41"/>
      <c r="AD887" s="41"/>
      <c r="AE887" s="41"/>
      <c r="AF887" s="40"/>
      <c r="AG887" s="40"/>
      <c r="AH887" s="5"/>
      <c r="AI887" s="5"/>
      <c r="AJ887" s="40"/>
      <c r="AK887" s="40"/>
      <c r="AL887" s="40"/>
      <c r="AM887" s="40"/>
      <c r="AN887" s="40"/>
      <c r="AP887" s="40"/>
      <c r="AR887" s="40"/>
    </row>
    <row r="888" spans="2:44" ht="12.75" customHeight="1" x14ac:dyDescent="0.15">
      <c r="B888" s="40"/>
      <c r="C888" s="40"/>
      <c r="D888" s="40"/>
      <c r="E888" s="185"/>
      <c r="F888" s="40"/>
      <c r="G888" s="40"/>
      <c r="H888" s="53"/>
      <c r="R888" s="40"/>
      <c r="S888" s="40"/>
      <c r="U888" s="40"/>
      <c r="V888" s="40"/>
      <c r="W888" s="40"/>
      <c r="Y888" s="40"/>
      <c r="Z888" s="40"/>
      <c r="AA888" s="41"/>
      <c r="AB888" s="41"/>
      <c r="AC888" s="41"/>
      <c r="AD888" s="41"/>
      <c r="AE888" s="41"/>
      <c r="AF888" s="40"/>
      <c r="AG888" s="40"/>
      <c r="AH888" s="5"/>
      <c r="AI888" s="5"/>
      <c r="AJ888" s="40"/>
      <c r="AK888" s="40"/>
      <c r="AL888" s="40"/>
      <c r="AM888" s="40"/>
      <c r="AN888" s="40"/>
      <c r="AP888" s="40"/>
      <c r="AR888" s="40"/>
    </row>
    <row r="889" spans="2:44" ht="12.75" customHeight="1" x14ac:dyDescent="0.15">
      <c r="B889" s="40"/>
      <c r="C889" s="40"/>
      <c r="D889" s="40"/>
      <c r="E889" s="185"/>
      <c r="F889" s="40"/>
      <c r="G889" s="40"/>
      <c r="H889" s="53"/>
      <c r="R889" s="40"/>
      <c r="S889" s="40"/>
      <c r="U889" s="40"/>
      <c r="V889" s="40"/>
      <c r="W889" s="40"/>
      <c r="Y889" s="40"/>
      <c r="Z889" s="40"/>
      <c r="AA889" s="41"/>
      <c r="AB889" s="41"/>
      <c r="AC889" s="41"/>
      <c r="AD889" s="41"/>
      <c r="AE889" s="41"/>
      <c r="AF889" s="40"/>
      <c r="AG889" s="40"/>
      <c r="AH889" s="5"/>
      <c r="AI889" s="5"/>
      <c r="AJ889" s="40"/>
      <c r="AK889" s="40"/>
      <c r="AL889" s="40"/>
      <c r="AM889" s="40"/>
      <c r="AN889" s="40"/>
      <c r="AP889" s="40"/>
      <c r="AR889" s="40"/>
    </row>
    <row r="890" spans="2:44" ht="12.75" customHeight="1" x14ac:dyDescent="0.15">
      <c r="B890" s="40"/>
      <c r="C890" s="40"/>
      <c r="D890" s="40"/>
      <c r="E890" s="185"/>
      <c r="F890" s="40"/>
      <c r="G890" s="40"/>
      <c r="H890" s="53"/>
      <c r="R890" s="40"/>
      <c r="S890" s="40"/>
      <c r="U890" s="40"/>
      <c r="V890" s="40"/>
      <c r="W890" s="40"/>
      <c r="Y890" s="40"/>
      <c r="Z890" s="40"/>
      <c r="AA890" s="41"/>
      <c r="AB890" s="41"/>
      <c r="AC890" s="41"/>
      <c r="AD890" s="41"/>
      <c r="AE890" s="41"/>
      <c r="AF890" s="40"/>
      <c r="AG890" s="40"/>
      <c r="AH890" s="5"/>
      <c r="AI890" s="5"/>
      <c r="AJ890" s="40"/>
      <c r="AK890" s="40"/>
      <c r="AL890" s="40"/>
      <c r="AM890" s="40"/>
      <c r="AN890" s="40"/>
      <c r="AP890" s="40"/>
      <c r="AR890" s="40"/>
    </row>
    <row r="891" spans="2:44" ht="12.75" customHeight="1" x14ac:dyDescent="0.15">
      <c r="B891" s="40"/>
      <c r="C891" s="40"/>
      <c r="D891" s="40"/>
      <c r="E891" s="185"/>
      <c r="F891" s="40"/>
      <c r="G891" s="40"/>
      <c r="H891" s="53"/>
      <c r="R891" s="40"/>
      <c r="S891" s="40"/>
      <c r="U891" s="40"/>
      <c r="V891" s="40"/>
      <c r="W891" s="40"/>
      <c r="Y891" s="40"/>
      <c r="Z891" s="40"/>
      <c r="AA891" s="41"/>
      <c r="AB891" s="41"/>
      <c r="AC891" s="41"/>
      <c r="AD891" s="41"/>
      <c r="AE891" s="41"/>
      <c r="AF891" s="40"/>
      <c r="AG891" s="40"/>
      <c r="AH891" s="5"/>
      <c r="AI891" s="5"/>
      <c r="AJ891" s="40"/>
      <c r="AK891" s="40"/>
      <c r="AL891" s="40"/>
      <c r="AM891" s="40"/>
      <c r="AN891" s="40"/>
      <c r="AP891" s="40"/>
      <c r="AR891" s="40"/>
    </row>
    <row r="892" spans="2:44" ht="12.75" customHeight="1" x14ac:dyDescent="0.15">
      <c r="B892" s="40"/>
      <c r="C892" s="40"/>
      <c r="D892" s="40"/>
      <c r="E892" s="185"/>
      <c r="F892" s="40"/>
      <c r="G892" s="40"/>
      <c r="H892" s="53"/>
      <c r="R892" s="40"/>
      <c r="S892" s="40"/>
      <c r="U892" s="40"/>
      <c r="V892" s="40"/>
      <c r="W892" s="40"/>
      <c r="Y892" s="40"/>
      <c r="Z892" s="40"/>
      <c r="AA892" s="41"/>
      <c r="AB892" s="41"/>
      <c r="AC892" s="41"/>
      <c r="AD892" s="41"/>
      <c r="AE892" s="41"/>
      <c r="AF892" s="40"/>
      <c r="AG892" s="40"/>
      <c r="AH892" s="5"/>
      <c r="AI892" s="5"/>
      <c r="AJ892" s="40"/>
      <c r="AK892" s="40"/>
      <c r="AL892" s="40"/>
      <c r="AM892" s="40"/>
      <c r="AN892" s="40"/>
      <c r="AP892" s="40"/>
      <c r="AR892" s="40"/>
    </row>
    <row r="893" spans="2:44" ht="12.75" customHeight="1" x14ac:dyDescent="0.15">
      <c r="B893" s="40"/>
      <c r="C893" s="40"/>
      <c r="D893" s="40"/>
      <c r="E893" s="185"/>
      <c r="F893" s="40"/>
      <c r="G893" s="40"/>
      <c r="H893" s="53"/>
      <c r="R893" s="40"/>
      <c r="S893" s="40"/>
      <c r="U893" s="40"/>
      <c r="V893" s="40"/>
      <c r="W893" s="40"/>
      <c r="Y893" s="40"/>
      <c r="Z893" s="40"/>
      <c r="AA893" s="41"/>
      <c r="AB893" s="41"/>
      <c r="AC893" s="41"/>
      <c r="AD893" s="41"/>
      <c r="AE893" s="41"/>
      <c r="AF893" s="40"/>
      <c r="AG893" s="40"/>
      <c r="AH893" s="5"/>
      <c r="AI893" s="5"/>
      <c r="AJ893" s="40"/>
      <c r="AK893" s="40"/>
      <c r="AL893" s="40"/>
      <c r="AM893" s="40"/>
      <c r="AN893" s="40"/>
      <c r="AP893" s="40"/>
      <c r="AR893" s="40"/>
    </row>
    <row r="894" spans="2:44" ht="12.75" customHeight="1" x14ac:dyDescent="0.15">
      <c r="B894" s="40"/>
      <c r="C894" s="40"/>
      <c r="D894" s="40"/>
      <c r="E894" s="185"/>
      <c r="F894" s="40"/>
      <c r="G894" s="40"/>
      <c r="H894" s="53"/>
      <c r="R894" s="40"/>
      <c r="S894" s="40"/>
      <c r="U894" s="40"/>
      <c r="V894" s="40"/>
      <c r="W894" s="40"/>
      <c r="Y894" s="40"/>
      <c r="Z894" s="40"/>
      <c r="AA894" s="41"/>
      <c r="AB894" s="41"/>
      <c r="AC894" s="41"/>
      <c r="AD894" s="41"/>
      <c r="AE894" s="41"/>
      <c r="AF894" s="40"/>
      <c r="AG894" s="40"/>
      <c r="AH894" s="5"/>
      <c r="AI894" s="5"/>
      <c r="AJ894" s="40"/>
      <c r="AK894" s="40"/>
      <c r="AL894" s="40"/>
      <c r="AM894" s="40"/>
      <c r="AN894" s="40"/>
      <c r="AP894" s="40"/>
      <c r="AR894" s="40"/>
    </row>
    <row r="895" spans="2:44" ht="12.75" customHeight="1" x14ac:dyDescent="0.15">
      <c r="B895" s="40"/>
      <c r="C895" s="40"/>
      <c r="D895" s="40"/>
      <c r="E895" s="185"/>
      <c r="F895" s="40"/>
      <c r="G895" s="40"/>
      <c r="H895" s="53"/>
      <c r="R895" s="40"/>
      <c r="S895" s="40"/>
      <c r="U895" s="40"/>
      <c r="V895" s="40"/>
      <c r="W895" s="40"/>
      <c r="Y895" s="40"/>
      <c r="Z895" s="40"/>
      <c r="AA895" s="41"/>
      <c r="AB895" s="41"/>
      <c r="AC895" s="41"/>
      <c r="AD895" s="41"/>
      <c r="AE895" s="41"/>
      <c r="AF895" s="40"/>
      <c r="AG895" s="40"/>
      <c r="AH895" s="5"/>
      <c r="AI895" s="5"/>
      <c r="AJ895" s="40"/>
      <c r="AK895" s="40"/>
      <c r="AL895" s="40"/>
      <c r="AM895" s="40"/>
      <c r="AN895" s="40"/>
      <c r="AP895" s="40"/>
      <c r="AR895" s="40"/>
    </row>
    <row r="896" spans="2:44" ht="12.75" customHeight="1" x14ac:dyDescent="0.15">
      <c r="B896" s="40"/>
      <c r="C896" s="40"/>
      <c r="D896" s="40"/>
      <c r="E896" s="185"/>
      <c r="F896" s="40"/>
      <c r="G896" s="40"/>
      <c r="H896" s="53"/>
      <c r="R896" s="40"/>
      <c r="S896" s="40"/>
      <c r="U896" s="40"/>
      <c r="V896" s="40"/>
      <c r="W896" s="40"/>
      <c r="Y896" s="40"/>
      <c r="Z896" s="40"/>
      <c r="AA896" s="41"/>
      <c r="AB896" s="41"/>
      <c r="AC896" s="41"/>
      <c r="AD896" s="41"/>
      <c r="AE896" s="41"/>
      <c r="AF896" s="40"/>
      <c r="AG896" s="40"/>
      <c r="AH896" s="5"/>
      <c r="AI896" s="5"/>
      <c r="AJ896" s="40"/>
      <c r="AK896" s="40"/>
      <c r="AL896" s="40"/>
      <c r="AM896" s="40"/>
      <c r="AN896" s="40"/>
      <c r="AP896" s="40"/>
      <c r="AR896" s="40"/>
    </row>
    <row r="897" spans="2:44" ht="12.75" customHeight="1" x14ac:dyDescent="0.15">
      <c r="B897" s="40"/>
      <c r="C897" s="40"/>
      <c r="D897" s="40"/>
      <c r="E897" s="185"/>
      <c r="F897" s="40"/>
      <c r="G897" s="40"/>
      <c r="H897" s="53"/>
      <c r="R897" s="40"/>
      <c r="S897" s="40"/>
      <c r="U897" s="40"/>
      <c r="V897" s="40"/>
      <c r="W897" s="40"/>
      <c r="Y897" s="40"/>
      <c r="Z897" s="40"/>
      <c r="AA897" s="41"/>
      <c r="AB897" s="41"/>
      <c r="AC897" s="41"/>
      <c r="AD897" s="41"/>
      <c r="AE897" s="41"/>
      <c r="AF897" s="40"/>
      <c r="AG897" s="40"/>
      <c r="AH897" s="5"/>
      <c r="AI897" s="5"/>
      <c r="AJ897" s="40"/>
      <c r="AK897" s="40"/>
      <c r="AL897" s="40"/>
      <c r="AM897" s="40"/>
      <c r="AN897" s="40"/>
      <c r="AP897" s="40"/>
      <c r="AR897" s="40"/>
    </row>
    <row r="898" spans="2:44" ht="12.75" customHeight="1" x14ac:dyDescent="0.15">
      <c r="B898" s="40"/>
      <c r="C898" s="40"/>
      <c r="D898" s="40"/>
      <c r="E898" s="185"/>
      <c r="F898" s="40"/>
      <c r="G898" s="40"/>
      <c r="H898" s="53"/>
      <c r="R898" s="40"/>
      <c r="S898" s="40"/>
      <c r="U898" s="40"/>
      <c r="V898" s="40"/>
      <c r="W898" s="40"/>
      <c r="Y898" s="40"/>
      <c r="Z898" s="40"/>
      <c r="AA898" s="41"/>
      <c r="AB898" s="41"/>
      <c r="AC898" s="41"/>
      <c r="AD898" s="41"/>
      <c r="AE898" s="41"/>
      <c r="AF898" s="40"/>
      <c r="AG898" s="40"/>
      <c r="AH898" s="5"/>
      <c r="AI898" s="5"/>
      <c r="AJ898" s="40"/>
      <c r="AK898" s="40"/>
      <c r="AL898" s="40"/>
      <c r="AM898" s="40"/>
      <c r="AN898" s="40"/>
      <c r="AP898" s="40"/>
      <c r="AR898" s="40"/>
    </row>
    <row r="899" spans="2:44" ht="12.75" customHeight="1" x14ac:dyDescent="0.15">
      <c r="B899" s="40"/>
      <c r="C899" s="40"/>
      <c r="D899" s="40"/>
      <c r="E899" s="185"/>
      <c r="F899" s="40"/>
      <c r="G899" s="40"/>
      <c r="H899" s="53"/>
      <c r="R899" s="40"/>
      <c r="S899" s="40"/>
      <c r="U899" s="40"/>
      <c r="V899" s="40"/>
      <c r="W899" s="40"/>
      <c r="Y899" s="40"/>
      <c r="Z899" s="40"/>
      <c r="AA899" s="41"/>
      <c r="AB899" s="41"/>
      <c r="AC899" s="41"/>
      <c r="AD899" s="41"/>
      <c r="AE899" s="41"/>
      <c r="AF899" s="40"/>
      <c r="AG899" s="40"/>
      <c r="AH899" s="5"/>
      <c r="AI899" s="5"/>
      <c r="AJ899" s="40"/>
      <c r="AK899" s="40"/>
      <c r="AL899" s="40"/>
      <c r="AM899" s="40"/>
      <c r="AN899" s="40"/>
      <c r="AP899" s="40"/>
      <c r="AR899" s="40"/>
    </row>
    <row r="900" spans="2:44" ht="12.75" customHeight="1" x14ac:dyDescent="0.15">
      <c r="B900" s="40"/>
      <c r="C900" s="40"/>
      <c r="D900" s="40"/>
      <c r="E900" s="185"/>
      <c r="F900" s="40"/>
      <c r="G900" s="40"/>
      <c r="H900" s="53"/>
      <c r="R900" s="40"/>
      <c r="S900" s="40"/>
      <c r="U900" s="40"/>
      <c r="V900" s="40"/>
      <c r="W900" s="40"/>
      <c r="Y900" s="40"/>
      <c r="Z900" s="40"/>
      <c r="AA900" s="41"/>
      <c r="AB900" s="41"/>
      <c r="AC900" s="41"/>
      <c r="AD900" s="41"/>
      <c r="AE900" s="41"/>
      <c r="AF900" s="40"/>
      <c r="AG900" s="40"/>
      <c r="AH900" s="5"/>
      <c r="AI900" s="5"/>
      <c r="AJ900" s="40"/>
      <c r="AK900" s="40"/>
      <c r="AL900" s="40"/>
      <c r="AM900" s="40"/>
      <c r="AN900" s="40"/>
      <c r="AP900" s="40"/>
      <c r="AR900" s="40"/>
    </row>
    <row r="901" spans="2:44" ht="12.75" customHeight="1" x14ac:dyDescent="0.15">
      <c r="B901" s="40"/>
      <c r="C901" s="40"/>
      <c r="D901" s="40"/>
      <c r="E901" s="185"/>
      <c r="F901" s="40"/>
      <c r="G901" s="40"/>
      <c r="H901" s="53"/>
      <c r="R901" s="40"/>
      <c r="S901" s="40"/>
      <c r="U901" s="40"/>
      <c r="V901" s="40"/>
      <c r="W901" s="40"/>
      <c r="Y901" s="40"/>
      <c r="Z901" s="40"/>
      <c r="AA901" s="41"/>
      <c r="AB901" s="41"/>
      <c r="AC901" s="41"/>
      <c r="AD901" s="41"/>
      <c r="AE901" s="41"/>
      <c r="AF901" s="40"/>
      <c r="AG901" s="40"/>
      <c r="AH901" s="5"/>
      <c r="AI901" s="5"/>
      <c r="AJ901" s="40"/>
      <c r="AK901" s="40"/>
      <c r="AL901" s="40"/>
      <c r="AM901" s="40"/>
      <c r="AN901" s="40"/>
      <c r="AP901" s="40"/>
      <c r="AR901" s="40"/>
    </row>
    <row r="902" spans="2:44" ht="12.75" customHeight="1" x14ac:dyDescent="0.15">
      <c r="B902" s="40"/>
      <c r="C902" s="40"/>
      <c r="D902" s="40"/>
      <c r="E902" s="185"/>
      <c r="F902" s="40"/>
      <c r="G902" s="40"/>
      <c r="H902" s="53"/>
      <c r="R902" s="40"/>
      <c r="S902" s="40"/>
      <c r="U902" s="40"/>
      <c r="V902" s="40"/>
      <c r="W902" s="40"/>
      <c r="Y902" s="40"/>
      <c r="Z902" s="40"/>
      <c r="AA902" s="41"/>
      <c r="AB902" s="41"/>
      <c r="AC902" s="41"/>
      <c r="AD902" s="41"/>
      <c r="AE902" s="41"/>
      <c r="AF902" s="40"/>
      <c r="AG902" s="40"/>
      <c r="AH902" s="5"/>
      <c r="AI902" s="5"/>
      <c r="AJ902" s="40"/>
      <c r="AK902" s="40"/>
      <c r="AL902" s="40"/>
      <c r="AM902" s="40"/>
      <c r="AN902" s="40"/>
      <c r="AP902" s="40"/>
      <c r="AR902" s="40"/>
    </row>
    <row r="903" spans="2:44" ht="12.75" customHeight="1" x14ac:dyDescent="0.15">
      <c r="B903" s="40"/>
      <c r="C903" s="40"/>
      <c r="D903" s="40"/>
      <c r="E903" s="185"/>
      <c r="F903" s="40"/>
      <c r="G903" s="40"/>
      <c r="H903" s="53"/>
      <c r="R903" s="40"/>
      <c r="S903" s="40"/>
      <c r="U903" s="40"/>
      <c r="V903" s="40"/>
      <c r="W903" s="40"/>
      <c r="Y903" s="40"/>
      <c r="Z903" s="40"/>
      <c r="AA903" s="41"/>
      <c r="AB903" s="41"/>
      <c r="AC903" s="41"/>
      <c r="AD903" s="41"/>
      <c r="AE903" s="41"/>
      <c r="AF903" s="40"/>
      <c r="AG903" s="40"/>
      <c r="AH903" s="5"/>
      <c r="AI903" s="5"/>
      <c r="AJ903" s="40"/>
      <c r="AK903" s="40"/>
      <c r="AL903" s="40"/>
      <c r="AM903" s="40"/>
      <c r="AN903" s="40"/>
      <c r="AP903" s="40"/>
      <c r="AR903" s="40"/>
    </row>
    <row r="904" spans="2:44" ht="12.75" customHeight="1" x14ac:dyDescent="0.15">
      <c r="B904" s="40"/>
      <c r="C904" s="40"/>
      <c r="D904" s="40"/>
      <c r="E904" s="185"/>
      <c r="F904" s="40"/>
      <c r="G904" s="40"/>
      <c r="H904" s="53"/>
      <c r="R904" s="40"/>
      <c r="S904" s="40"/>
      <c r="U904" s="40"/>
      <c r="V904" s="40"/>
      <c r="W904" s="40"/>
      <c r="Y904" s="40"/>
      <c r="Z904" s="40"/>
      <c r="AA904" s="41"/>
      <c r="AB904" s="41"/>
      <c r="AC904" s="41"/>
      <c r="AD904" s="41"/>
      <c r="AE904" s="41"/>
      <c r="AF904" s="40"/>
      <c r="AG904" s="40"/>
      <c r="AH904" s="5"/>
      <c r="AI904" s="5"/>
      <c r="AJ904" s="40"/>
      <c r="AK904" s="40"/>
      <c r="AL904" s="40"/>
      <c r="AM904" s="40"/>
      <c r="AN904" s="40"/>
      <c r="AP904" s="40"/>
      <c r="AR904" s="40"/>
    </row>
    <row r="905" spans="2:44" ht="12.75" customHeight="1" x14ac:dyDescent="0.15">
      <c r="B905" s="40"/>
      <c r="C905" s="40"/>
      <c r="D905" s="40"/>
      <c r="E905" s="185"/>
      <c r="F905" s="40"/>
      <c r="G905" s="40"/>
      <c r="H905" s="53"/>
      <c r="R905" s="40"/>
      <c r="S905" s="40"/>
      <c r="U905" s="40"/>
      <c r="V905" s="40"/>
      <c r="W905" s="40"/>
      <c r="Y905" s="40"/>
      <c r="Z905" s="40"/>
      <c r="AA905" s="41"/>
      <c r="AB905" s="41"/>
      <c r="AC905" s="41"/>
      <c r="AD905" s="41"/>
      <c r="AE905" s="41"/>
      <c r="AF905" s="40"/>
      <c r="AG905" s="40"/>
      <c r="AH905" s="5"/>
      <c r="AI905" s="5"/>
      <c r="AJ905" s="40"/>
      <c r="AK905" s="40"/>
      <c r="AL905" s="40"/>
      <c r="AM905" s="40"/>
      <c r="AN905" s="40"/>
      <c r="AP905" s="40"/>
      <c r="AR905" s="40"/>
    </row>
    <row r="906" spans="2:44" ht="12.75" customHeight="1" x14ac:dyDescent="0.15">
      <c r="B906" s="40"/>
      <c r="C906" s="40"/>
      <c r="D906" s="40"/>
      <c r="E906" s="185"/>
      <c r="F906" s="40"/>
      <c r="G906" s="40"/>
      <c r="H906" s="53"/>
      <c r="R906" s="40"/>
      <c r="S906" s="40"/>
      <c r="U906" s="40"/>
      <c r="V906" s="40"/>
      <c r="W906" s="40"/>
      <c r="Y906" s="40"/>
      <c r="Z906" s="40"/>
      <c r="AA906" s="41"/>
      <c r="AB906" s="41"/>
      <c r="AC906" s="41"/>
      <c r="AD906" s="41"/>
      <c r="AE906" s="41"/>
      <c r="AF906" s="40"/>
      <c r="AG906" s="40"/>
      <c r="AH906" s="5"/>
      <c r="AI906" s="5"/>
      <c r="AJ906" s="40"/>
      <c r="AK906" s="40"/>
      <c r="AL906" s="40"/>
      <c r="AM906" s="40"/>
      <c r="AN906" s="40"/>
      <c r="AP906" s="40"/>
      <c r="AR906" s="40"/>
    </row>
    <row r="907" spans="2:44" ht="12.75" customHeight="1" x14ac:dyDescent="0.15">
      <c r="B907" s="40"/>
      <c r="C907" s="40"/>
      <c r="D907" s="40"/>
      <c r="E907" s="185"/>
      <c r="F907" s="40"/>
      <c r="G907" s="40"/>
      <c r="H907" s="53"/>
      <c r="R907" s="40"/>
      <c r="S907" s="40"/>
      <c r="U907" s="40"/>
      <c r="V907" s="40"/>
      <c r="W907" s="40"/>
      <c r="Y907" s="40"/>
      <c r="Z907" s="40"/>
      <c r="AA907" s="41"/>
      <c r="AB907" s="41"/>
      <c r="AC907" s="41"/>
      <c r="AD907" s="41"/>
      <c r="AE907" s="41"/>
      <c r="AF907" s="40"/>
      <c r="AG907" s="40"/>
      <c r="AH907" s="5"/>
      <c r="AI907" s="5"/>
      <c r="AJ907" s="40"/>
      <c r="AK907" s="40"/>
      <c r="AL907" s="40"/>
      <c r="AM907" s="40"/>
      <c r="AN907" s="40"/>
      <c r="AP907" s="40"/>
      <c r="AR907" s="40"/>
    </row>
    <row r="908" spans="2:44" ht="12.75" customHeight="1" x14ac:dyDescent="0.15">
      <c r="B908" s="40"/>
      <c r="C908" s="40"/>
      <c r="D908" s="40"/>
      <c r="E908" s="185"/>
      <c r="F908" s="40"/>
      <c r="G908" s="40"/>
      <c r="H908" s="53"/>
      <c r="R908" s="40"/>
      <c r="S908" s="40"/>
      <c r="U908" s="40"/>
      <c r="V908" s="40"/>
      <c r="W908" s="40"/>
      <c r="Y908" s="40"/>
      <c r="Z908" s="40"/>
      <c r="AA908" s="41"/>
      <c r="AB908" s="41"/>
      <c r="AC908" s="41"/>
      <c r="AD908" s="41"/>
      <c r="AE908" s="41"/>
      <c r="AF908" s="40"/>
      <c r="AG908" s="40"/>
      <c r="AH908" s="5"/>
      <c r="AI908" s="5"/>
      <c r="AJ908" s="40"/>
      <c r="AK908" s="40"/>
      <c r="AL908" s="40"/>
      <c r="AM908" s="40"/>
      <c r="AN908" s="40"/>
      <c r="AP908" s="40"/>
      <c r="AR908" s="40"/>
    </row>
    <row r="909" spans="2:44" ht="12.75" customHeight="1" x14ac:dyDescent="0.15">
      <c r="B909" s="40"/>
      <c r="C909" s="40"/>
      <c r="D909" s="40"/>
      <c r="E909" s="185"/>
      <c r="F909" s="40"/>
      <c r="G909" s="40"/>
      <c r="H909" s="53"/>
      <c r="R909" s="40"/>
      <c r="S909" s="40"/>
      <c r="U909" s="40"/>
      <c r="V909" s="40"/>
      <c r="W909" s="40"/>
      <c r="Y909" s="40"/>
      <c r="Z909" s="40"/>
      <c r="AA909" s="41"/>
      <c r="AB909" s="41"/>
      <c r="AC909" s="41"/>
      <c r="AD909" s="41"/>
      <c r="AE909" s="41"/>
      <c r="AF909" s="40"/>
      <c r="AG909" s="40"/>
      <c r="AH909" s="5"/>
      <c r="AI909" s="5"/>
      <c r="AJ909" s="40"/>
      <c r="AK909" s="40"/>
      <c r="AL909" s="40"/>
      <c r="AM909" s="40"/>
      <c r="AN909" s="40"/>
      <c r="AP909" s="40"/>
      <c r="AR909" s="40"/>
    </row>
    <row r="910" spans="2:44" ht="12.75" customHeight="1" x14ac:dyDescent="0.15">
      <c r="B910" s="40"/>
      <c r="C910" s="40"/>
      <c r="D910" s="40"/>
      <c r="E910" s="185"/>
      <c r="F910" s="40"/>
      <c r="G910" s="40"/>
      <c r="H910" s="53"/>
      <c r="R910" s="40"/>
      <c r="S910" s="40"/>
      <c r="U910" s="40"/>
      <c r="V910" s="40"/>
      <c r="W910" s="40"/>
      <c r="Y910" s="40"/>
      <c r="Z910" s="40"/>
      <c r="AA910" s="41"/>
      <c r="AB910" s="41"/>
      <c r="AC910" s="41"/>
      <c r="AD910" s="41"/>
      <c r="AE910" s="41"/>
      <c r="AF910" s="40"/>
      <c r="AG910" s="40"/>
      <c r="AH910" s="5"/>
      <c r="AI910" s="5"/>
      <c r="AJ910" s="40"/>
      <c r="AK910" s="40"/>
      <c r="AL910" s="40"/>
      <c r="AM910" s="40"/>
      <c r="AN910" s="40"/>
      <c r="AP910" s="40"/>
      <c r="AR910" s="40"/>
    </row>
    <row r="911" spans="2:44" ht="12.75" customHeight="1" x14ac:dyDescent="0.15">
      <c r="B911" s="40"/>
      <c r="C911" s="40"/>
      <c r="D911" s="40"/>
      <c r="E911" s="185"/>
      <c r="F911" s="40"/>
      <c r="G911" s="40"/>
      <c r="H911" s="53"/>
      <c r="R911" s="40"/>
      <c r="S911" s="40"/>
      <c r="U911" s="40"/>
      <c r="V911" s="40"/>
      <c r="W911" s="40"/>
      <c r="Y911" s="40"/>
      <c r="Z911" s="40"/>
      <c r="AA911" s="41"/>
      <c r="AB911" s="41"/>
      <c r="AC911" s="41"/>
      <c r="AD911" s="41"/>
      <c r="AE911" s="41"/>
      <c r="AF911" s="40"/>
      <c r="AG911" s="40"/>
      <c r="AH911" s="5"/>
      <c r="AI911" s="5"/>
      <c r="AJ911" s="40"/>
      <c r="AK911" s="40"/>
      <c r="AL911" s="40"/>
      <c r="AM911" s="40"/>
      <c r="AN911" s="40"/>
      <c r="AP911" s="40"/>
      <c r="AR911" s="40"/>
    </row>
    <row r="912" spans="2:44" ht="12.75" customHeight="1" x14ac:dyDescent="0.15">
      <c r="B912" s="40"/>
      <c r="C912" s="40"/>
      <c r="D912" s="40"/>
      <c r="E912" s="185"/>
      <c r="F912" s="40"/>
      <c r="G912" s="40"/>
      <c r="H912" s="53"/>
      <c r="R912" s="40"/>
      <c r="S912" s="40"/>
      <c r="U912" s="40"/>
      <c r="V912" s="40"/>
      <c r="W912" s="40"/>
      <c r="Y912" s="40"/>
      <c r="Z912" s="40"/>
      <c r="AA912" s="41"/>
      <c r="AB912" s="41"/>
      <c r="AC912" s="41"/>
      <c r="AD912" s="41"/>
      <c r="AE912" s="41"/>
      <c r="AF912" s="40"/>
      <c r="AG912" s="40"/>
      <c r="AH912" s="5"/>
      <c r="AI912" s="5"/>
      <c r="AJ912" s="40"/>
      <c r="AK912" s="40"/>
      <c r="AL912" s="40"/>
      <c r="AM912" s="40"/>
      <c r="AN912" s="40"/>
      <c r="AP912" s="40"/>
      <c r="AR912" s="40"/>
    </row>
    <row r="913" spans="2:44" ht="12.75" customHeight="1" x14ac:dyDescent="0.15">
      <c r="B913" s="40"/>
      <c r="C913" s="40"/>
      <c r="D913" s="40"/>
      <c r="E913" s="185"/>
      <c r="F913" s="40"/>
      <c r="G913" s="40"/>
      <c r="H913" s="53"/>
      <c r="R913" s="40"/>
      <c r="S913" s="40"/>
      <c r="U913" s="40"/>
      <c r="V913" s="40"/>
      <c r="W913" s="40"/>
      <c r="Y913" s="40"/>
      <c r="Z913" s="40"/>
      <c r="AA913" s="41"/>
      <c r="AB913" s="41"/>
      <c r="AC913" s="41"/>
      <c r="AD913" s="41"/>
      <c r="AE913" s="41"/>
      <c r="AF913" s="40"/>
      <c r="AG913" s="40"/>
      <c r="AH913" s="5"/>
      <c r="AI913" s="5"/>
      <c r="AJ913" s="40"/>
      <c r="AK913" s="40"/>
      <c r="AL913" s="40"/>
      <c r="AM913" s="40"/>
      <c r="AN913" s="40"/>
      <c r="AP913" s="40"/>
      <c r="AR913" s="40"/>
    </row>
    <row r="914" spans="2:44" ht="12.75" customHeight="1" x14ac:dyDescent="0.15">
      <c r="B914" s="40"/>
      <c r="C914" s="40"/>
      <c r="D914" s="40"/>
      <c r="E914" s="185"/>
      <c r="F914" s="40"/>
      <c r="G914" s="40"/>
      <c r="H914" s="53"/>
      <c r="R914" s="40"/>
      <c r="S914" s="40"/>
      <c r="U914" s="40"/>
      <c r="V914" s="40"/>
      <c r="W914" s="40"/>
      <c r="Y914" s="40"/>
      <c r="Z914" s="40"/>
      <c r="AA914" s="41"/>
      <c r="AB914" s="41"/>
      <c r="AC914" s="41"/>
      <c r="AD914" s="41"/>
      <c r="AE914" s="41"/>
      <c r="AF914" s="40"/>
      <c r="AG914" s="40"/>
      <c r="AH914" s="5"/>
      <c r="AI914" s="5"/>
      <c r="AJ914" s="40"/>
      <c r="AK914" s="40"/>
      <c r="AL914" s="40"/>
      <c r="AM914" s="40"/>
      <c r="AN914" s="40"/>
      <c r="AP914" s="40"/>
      <c r="AR914" s="40"/>
    </row>
    <row r="915" spans="2:44" ht="12.75" customHeight="1" x14ac:dyDescent="0.15">
      <c r="B915" s="40"/>
      <c r="C915" s="40"/>
      <c r="D915" s="40"/>
      <c r="E915" s="185"/>
      <c r="F915" s="40"/>
      <c r="G915" s="40"/>
      <c r="H915" s="53"/>
      <c r="R915" s="40"/>
      <c r="S915" s="40"/>
      <c r="U915" s="40"/>
      <c r="V915" s="40"/>
      <c r="W915" s="40"/>
      <c r="Y915" s="40"/>
      <c r="Z915" s="40"/>
      <c r="AA915" s="41"/>
      <c r="AB915" s="41"/>
      <c r="AC915" s="41"/>
      <c r="AD915" s="41"/>
      <c r="AE915" s="41"/>
      <c r="AF915" s="40"/>
      <c r="AG915" s="40"/>
      <c r="AH915" s="5"/>
      <c r="AI915" s="5"/>
      <c r="AJ915" s="40"/>
      <c r="AK915" s="40"/>
      <c r="AL915" s="40"/>
      <c r="AM915" s="40"/>
      <c r="AN915" s="40"/>
      <c r="AP915" s="40"/>
      <c r="AR915" s="40"/>
    </row>
    <row r="916" spans="2:44" ht="12.75" customHeight="1" x14ac:dyDescent="0.15">
      <c r="B916" s="40"/>
      <c r="C916" s="40"/>
      <c r="D916" s="40"/>
      <c r="E916" s="185"/>
      <c r="F916" s="40"/>
      <c r="G916" s="40"/>
      <c r="H916" s="53"/>
      <c r="R916" s="40"/>
      <c r="S916" s="40"/>
      <c r="U916" s="40"/>
      <c r="V916" s="40"/>
      <c r="W916" s="40"/>
      <c r="Y916" s="40"/>
      <c r="Z916" s="40"/>
      <c r="AA916" s="41"/>
      <c r="AB916" s="41"/>
      <c r="AC916" s="41"/>
      <c r="AD916" s="41"/>
      <c r="AE916" s="41"/>
      <c r="AF916" s="40"/>
      <c r="AG916" s="40"/>
      <c r="AH916" s="5"/>
      <c r="AI916" s="5"/>
      <c r="AJ916" s="40"/>
      <c r="AK916" s="40"/>
      <c r="AL916" s="40"/>
      <c r="AM916" s="40"/>
      <c r="AN916" s="40"/>
      <c r="AP916" s="40"/>
      <c r="AR916" s="40"/>
    </row>
    <row r="917" spans="2:44" ht="12.75" customHeight="1" x14ac:dyDescent="0.15">
      <c r="B917" s="40"/>
      <c r="C917" s="40"/>
      <c r="D917" s="40"/>
      <c r="E917" s="185"/>
      <c r="F917" s="40"/>
      <c r="G917" s="40"/>
      <c r="H917" s="53"/>
      <c r="R917" s="40"/>
      <c r="S917" s="40"/>
      <c r="U917" s="40"/>
      <c r="V917" s="40"/>
      <c r="W917" s="40"/>
      <c r="Y917" s="40"/>
      <c r="Z917" s="40"/>
      <c r="AA917" s="41"/>
      <c r="AB917" s="41"/>
      <c r="AC917" s="41"/>
      <c r="AD917" s="41"/>
      <c r="AE917" s="41"/>
      <c r="AF917" s="40"/>
      <c r="AG917" s="40"/>
      <c r="AH917" s="5"/>
      <c r="AI917" s="5"/>
      <c r="AJ917" s="40"/>
      <c r="AK917" s="40"/>
      <c r="AL917" s="40"/>
      <c r="AM917" s="40"/>
      <c r="AN917" s="40"/>
      <c r="AP917" s="40"/>
      <c r="AR917" s="40"/>
    </row>
    <row r="918" spans="2:44" ht="12.75" customHeight="1" x14ac:dyDescent="0.15">
      <c r="B918" s="40"/>
      <c r="C918" s="40"/>
      <c r="D918" s="40"/>
      <c r="E918" s="185"/>
      <c r="F918" s="40"/>
      <c r="G918" s="40"/>
      <c r="H918" s="53"/>
      <c r="R918" s="40"/>
      <c r="S918" s="40"/>
      <c r="U918" s="40"/>
      <c r="V918" s="40"/>
      <c r="W918" s="40"/>
      <c r="Y918" s="40"/>
      <c r="Z918" s="40"/>
      <c r="AA918" s="41"/>
      <c r="AB918" s="41"/>
      <c r="AC918" s="41"/>
      <c r="AD918" s="41"/>
      <c r="AE918" s="41"/>
      <c r="AF918" s="40"/>
      <c r="AG918" s="40"/>
      <c r="AH918" s="5"/>
      <c r="AI918" s="5"/>
      <c r="AJ918" s="40"/>
      <c r="AK918" s="40"/>
      <c r="AL918" s="40"/>
      <c r="AM918" s="40"/>
      <c r="AN918" s="40"/>
      <c r="AP918" s="40"/>
      <c r="AR918" s="40"/>
    </row>
    <row r="919" spans="2:44" ht="12.75" customHeight="1" x14ac:dyDescent="0.15">
      <c r="B919" s="40"/>
      <c r="C919" s="40"/>
      <c r="D919" s="40"/>
      <c r="E919" s="185"/>
      <c r="F919" s="40"/>
      <c r="G919" s="40"/>
      <c r="H919" s="53"/>
      <c r="R919" s="40"/>
      <c r="S919" s="40"/>
      <c r="U919" s="40"/>
      <c r="V919" s="40"/>
      <c r="W919" s="40"/>
      <c r="Y919" s="40"/>
      <c r="Z919" s="40"/>
      <c r="AA919" s="41"/>
      <c r="AB919" s="41"/>
      <c r="AC919" s="41"/>
      <c r="AD919" s="41"/>
      <c r="AE919" s="41"/>
      <c r="AF919" s="40"/>
      <c r="AG919" s="40"/>
      <c r="AH919" s="5"/>
      <c r="AI919" s="5"/>
      <c r="AJ919" s="40"/>
      <c r="AK919" s="40"/>
      <c r="AL919" s="40"/>
      <c r="AM919" s="40"/>
      <c r="AN919" s="40"/>
      <c r="AP919" s="40"/>
      <c r="AR919" s="40"/>
    </row>
    <row r="920" spans="2:44" ht="12.75" customHeight="1" x14ac:dyDescent="0.15">
      <c r="B920" s="40"/>
      <c r="C920" s="40"/>
      <c r="D920" s="40"/>
      <c r="E920" s="185"/>
      <c r="F920" s="40"/>
      <c r="G920" s="40"/>
      <c r="H920" s="53"/>
      <c r="R920" s="40"/>
      <c r="S920" s="40"/>
      <c r="U920" s="40"/>
      <c r="V920" s="40"/>
      <c r="W920" s="40"/>
      <c r="Y920" s="40"/>
      <c r="Z920" s="40"/>
      <c r="AA920" s="41"/>
      <c r="AB920" s="41"/>
      <c r="AC920" s="41"/>
      <c r="AD920" s="41"/>
      <c r="AE920" s="41"/>
      <c r="AF920" s="40"/>
      <c r="AG920" s="40"/>
      <c r="AH920" s="5"/>
      <c r="AI920" s="5"/>
      <c r="AJ920" s="40"/>
      <c r="AK920" s="40"/>
      <c r="AL920" s="40"/>
      <c r="AM920" s="40"/>
      <c r="AN920" s="40"/>
      <c r="AP920" s="40"/>
      <c r="AR920" s="40"/>
    </row>
    <row r="921" spans="2:44" ht="12.75" customHeight="1" x14ac:dyDescent="0.15">
      <c r="B921" s="40"/>
      <c r="C921" s="40"/>
      <c r="D921" s="40"/>
      <c r="E921" s="185"/>
      <c r="F921" s="40"/>
      <c r="G921" s="40"/>
      <c r="H921" s="53"/>
      <c r="R921" s="40"/>
      <c r="S921" s="40"/>
      <c r="U921" s="40"/>
      <c r="V921" s="40"/>
      <c r="W921" s="40"/>
      <c r="Y921" s="40"/>
      <c r="Z921" s="40"/>
      <c r="AA921" s="41"/>
      <c r="AB921" s="41"/>
      <c r="AC921" s="41"/>
      <c r="AD921" s="41"/>
      <c r="AE921" s="41"/>
      <c r="AF921" s="40"/>
      <c r="AG921" s="40"/>
      <c r="AH921" s="5"/>
      <c r="AI921" s="5"/>
      <c r="AJ921" s="40"/>
      <c r="AK921" s="40"/>
      <c r="AL921" s="40"/>
      <c r="AM921" s="40"/>
      <c r="AN921" s="40"/>
      <c r="AP921" s="40"/>
      <c r="AR921" s="40"/>
    </row>
    <row r="922" spans="2:44" ht="12.75" customHeight="1" x14ac:dyDescent="0.15">
      <c r="B922" s="40"/>
      <c r="C922" s="40"/>
      <c r="D922" s="40"/>
      <c r="E922" s="185"/>
      <c r="F922" s="40"/>
      <c r="G922" s="40"/>
      <c r="H922" s="53"/>
      <c r="R922" s="40"/>
      <c r="S922" s="40"/>
      <c r="U922" s="40"/>
      <c r="V922" s="40"/>
      <c r="W922" s="40"/>
      <c r="Y922" s="40"/>
      <c r="Z922" s="40"/>
      <c r="AA922" s="41"/>
      <c r="AB922" s="41"/>
      <c r="AC922" s="41"/>
      <c r="AD922" s="41"/>
      <c r="AE922" s="41"/>
      <c r="AF922" s="40"/>
      <c r="AG922" s="40"/>
      <c r="AH922" s="5"/>
      <c r="AI922" s="5"/>
      <c r="AJ922" s="40"/>
      <c r="AK922" s="40"/>
      <c r="AL922" s="40"/>
      <c r="AM922" s="40"/>
      <c r="AN922" s="40"/>
      <c r="AP922" s="40"/>
      <c r="AR922" s="40"/>
    </row>
    <row r="923" spans="2:44" ht="12.75" customHeight="1" x14ac:dyDescent="0.15">
      <c r="B923" s="40"/>
      <c r="C923" s="40"/>
      <c r="D923" s="40"/>
      <c r="E923" s="185"/>
      <c r="F923" s="40"/>
      <c r="G923" s="40"/>
      <c r="H923" s="53"/>
      <c r="R923" s="40"/>
      <c r="S923" s="40"/>
      <c r="U923" s="40"/>
      <c r="V923" s="40"/>
      <c r="W923" s="40"/>
      <c r="Y923" s="40"/>
      <c r="Z923" s="40"/>
      <c r="AA923" s="41"/>
      <c r="AB923" s="41"/>
      <c r="AC923" s="41"/>
      <c r="AD923" s="41"/>
      <c r="AE923" s="41"/>
      <c r="AF923" s="40"/>
      <c r="AG923" s="40"/>
      <c r="AH923" s="5"/>
      <c r="AI923" s="5"/>
      <c r="AJ923" s="40"/>
      <c r="AK923" s="40"/>
      <c r="AL923" s="40"/>
      <c r="AM923" s="40"/>
      <c r="AN923" s="40"/>
      <c r="AP923" s="40"/>
      <c r="AR923" s="40"/>
    </row>
    <row r="924" spans="2:44" ht="12.75" customHeight="1" x14ac:dyDescent="0.15">
      <c r="B924" s="40"/>
      <c r="C924" s="40"/>
      <c r="D924" s="40"/>
      <c r="E924" s="185"/>
      <c r="F924" s="40"/>
      <c r="G924" s="40"/>
      <c r="H924" s="53"/>
      <c r="R924" s="40"/>
      <c r="S924" s="40"/>
      <c r="U924" s="40"/>
      <c r="V924" s="40"/>
      <c r="W924" s="40"/>
      <c r="Y924" s="40"/>
      <c r="Z924" s="40"/>
      <c r="AA924" s="41"/>
      <c r="AB924" s="41"/>
      <c r="AC924" s="41"/>
      <c r="AD924" s="41"/>
      <c r="AE924" s="41"/>
      <c r="AF924" s="40"/>
      <c r="AG924" s="40"/>
      <c r="AH924" s="5"/>
      <c r="AI924" s="5"/>
      <c r="AJ924" s="40"/>
      <c r="AK924" s="40"/>
      <c r="AL924" s="40"/>
      <c r="AM924" s="40"/>
      <c r="AN924" s="40"/>
      <c r="AP924" s="40"/>
      <c r="AR924" s="40"/>
    </row>
    <row r="925" spans="2:44" ht="12.75" customHeight="1" x14ac:dyDescent="0.15">
      <c r="B925" s="40"/>
      <c r="C925" s="40"/>
      <c r="D925" s="40"/>
      <c r="E925" s="185"/>
      <c r="F925" s="40"/>
      <c r="G925" s="40"/>
      <c r="H925" s="53"/>
      <c r="R925" s="40"/>
      <c r="S925" s="40"/>
      <c r="U925" s="40"/>
      <c r="V925" s="40"/>
      <c r="W925" s="40"/>
      <c r="Y925" s="40"/>
      <c r="Z925" s="40"/>
      <c r="AA925" s="41"/>
      <c r="AB925" s="41"/>
      <c r="AC925" s="41"/>
      <c r="AD925" s="41"/>
      <c r="AE925" s="41"/>
      <c r="AF925" s="40"/>
      <c r="AG925" s="40"/>
      <c r="AH925" s="5"/>
      <c r="AI925" s="5"/>
      <c r="AJ925" s="40"/>
      <c r="AK925" s="40"/>
      <c r="AL925" s="40"/>
      <c r="AM925" s="40"/>
      <c r="AN925" s="40"/>
      <c r="AP925" s="40"/>
      <c r="AR925" s="40"/>
    </row>
  </sheetData>
  <autoFilter ref="A5:AQ82" xr:uid="{CC34A3BB-C7E2-49DB-BEEC-50BD08500F7F}">
    <filterColumn colId="1" showButton="0"/>
    <filterColumn colId="9" showButton="0"/>
    <filterColumn colId="11" showButton="0"/>
    <filterColumn colId="13" showButton="0"/>
    <filterColumn colId="15" showButton="0"/>
    <filterColumn colId="32" showButton="0"/>
    <filterColumn colId="33" showButton="0"/>
    <filterColumn colId="34" showButton="0"/>
  </autoFilter>
  <mergeCells count="13">
    <mergeCell ref="AG4:AJ4"/>
    <mergeCell ref="B5:C5"/>
    <mergeCell ref="J5:K5"/>
    <mergeCell ref="L5:M5"/>
    <mergeCell ref="N5:O5"/>
    <mergeCell ref="P5:Q5"/>
    <mergeCell ref="AG5:AJ5"/>
    <mergeCell ref="Z3:AE3"/>
    <mergeCell ref="B4:C4"/>
    <mergeCell ref="J4:K4"/>
    <mergeCell ref="L4:M4"/>
    <mergeCell ref="N4:O4"/>
    <mergeCell ref="P4:Q4"/>
  </mergeCells>
  <phoneticPr fontId="21" type="noConversion"/>
  <conditionalFormatting sqref="A3">
    <cfRule type="containsText" dxfId="126" priority="392" operator="containsText" text="N/A">
      <formula>NOT(ISERROR(SEARCH("N/A",A3)))</formula>
    </cfRule>
  </conditionalFormatting>
  <conditionalFormatting sqref="A6:A796">
    <cfRule type="expression" dxfId="125" priority="317">
      <formula>ISTEXT(A6)</formula>
    </cfRule>
  </conditionalFormatting>
  <conditionalFormatting sqref="A6:C80">
    <cfRule type="containsText" dxfId="124" priority="64" operator="containsText" text="N/A">
      <formula>NOT(ISERROR(SEARCH("N/A",A6)))</formula>
    </cfRule>
  </conditionalFormatting>
  <conditionalFormatting sqref="A81:F81">
    <cfRule type="containsText" dxfId="123" priority="21" operator="containsText" text="N/A">
      <formula>NOT(ISERROR(SEARCH("N/A",A81)))</formula>
    </cfRule>
  </conditionalFormatting>
  <conditionalFormatting sqref="B6:B796">
    <cfRule type="expression" dxfId="122" priority="215">
      <formula>ISTEXT(A6)</formula>
    </cfRule>
  </conditionalFormatting>
  <conditionalFormatting sqref="B4:C5">
    <cfRule type="containsText" dxfId="121" priority="424" operator="containsText" text="N/A">
      <formula>NOT(ISERROR(SEARCH("N/A",B4)))</formula>
    </cfRule>
  </conditionalFormatting>
  <conditionalFormatting sqref="C6:C796">
    <cfRule type="expression" dxfId="120" priority="269">
      <formula>ISTEXT(A6)</formula>
    </cfRule>
  </conditionalFormatting>
  <conditionalFormatting sqref="D6:D87">
    <cfRule type="expression" dxfId="119" priority="20">
      <formula>ISTEXT(A6)</formula>
    </cfRule>
  </conditionalFormatting>
  <conditionalFormatting sqref="D89:D796">
    <cfRule type="expression" dxfId="118" priority="384">
      <formula>ISTEXT(A89)</formula>
    </cfRule>
  </conditionalFormatting>
  <conditionalFormatting sqref="E6:E796">
    <cfRule type="expression" dxfId="117" priority="19">
      <formula>ISTEXT(A6)</formula>
    </cfRule>
  </conditionalFormatting>
  <conditionalFormatting sqref="F6:F800">
    <cfRule type="expression" dxfId="116" priority="18">
      <formula>ISTEXT(A6)</formula>
    </cfRule>
  </conditionalFormatting>
  <conditionalFormatting sqref="G6:G800">
    <cfRule type="expression" dxfId="115" priority="112">
      <formula>ISTEXT(A6)</formula>
    </cfRule>
  </conditionalFormatting>
  <conditionalFormatting sqref="I4">
    <cfRule type="containsText" dxfId="114" priority="341" operator="containsText" text="N/A">
      <formula>NOT(ISERROR(SEARCH("N/A",I4)))</formula>
    </cfRule>
  </conditionalFormatting>
  <conditionalFormatting sqref="I6:I796">
    <cfRule type="expression" dxfId="113" priority="311">
      <formula>ISTEXT(A6)</formula>
    </cfRule>
  </conditionalFormatting>
  <conditionalFormatting sqref="J1:J1048576">
    <cfRule type="cellIs" dxfId="112" priority="318" operator="lessThan">
      <formula>0</formula>
    </cfRule>
  </conditionalFormatting>
  <conditionalFormatting sqref="J4">
    <cfRule type="dataBar" priority="362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{B1CF80F6-D79C-45FC-97EE-F3E8044756D7}</x14:id>
        </ext>
      </extLst>
    </cfRule>
  </conditionalFormatting>
  <conditionalFormatting sqref="J5">
    <cfRule type="dataBar" priority="360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{A6B29D1E-41B5-4858-80A0-37F6D13C6115}</x14:id>
        </ext>
      </extLst>
    </cfRule>
  </conditionalFormatting>
  <conditionalFormatting sqref="J6:J796">
    <cfRule type="expression" dxfId="111" priority="310">
      <formula>ISTEXT(A6)</formula>
    </cfRule>
  </conditionalFormatting>
  <conditionalFormatting sqref="K1:K3 K6:K1048576">
    <cfRule type="dataBar" priority="391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{C191DF9B-1208-441C-B8CF-579460B97170}</x14:id>
        </ext>
      </extLst>
    </cfRule>
  </conditionalFormatting>
  <conditionalFormatting sqref="K4:K5">
    <cfRule type="dataBar" priority="354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{6C8DFA7B-706D-46BB-A977-693454C80025}</x14:id>
        </ext>
      </extLst>
    </cfRule>
  </conditionalFormatting>
  <conditionalFormatting sqref="K6:K796">
    <cfRule type="expression" dxfId="110" priority="309">
      <formula>ISTEXT(A6)</formula>
    </cfRule>
  </conditionalFormatting>
  <conditionalFormatting sqref="K25">
    <cfRule type="dataBar" priority="319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{5A1A0CD9-B41C-451E-96C0-F2EA1E448301}</x14:id>
        </ext>
      </extLst>
    </cfRule>
  </conditionalFormatting>
  <conditionalFormatting sqref="L5">
    <cfRule type="dataBar" priority="203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{7048D19A-B06D-49F0-96F4-E678A6D760C1}</x14:id>
        </ext>
      </extLst>
    </cfRule>
    <cfRule type="cellIs" dxfId="109" priority="201" operator="lessThan">
      <formula>0</formula>
    </cfRule>
  </conditionalFormatting>
  <conditionalFormatting sqref="L6:L796">
    <cfRule type="expression" dxfId="108" priority="308">
      <formula>ISTEXT(A6)</formula>
    </cfRule>
  </conditionalFormatting>
  <conditionalFormatting sqref="M1:M3 O1:O3 M6:M1048576 O6:O1048576">
    <cfRule type="dataBar" priority="423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{227EEA42-C704-4E02-9065-082049EE6F14}</x14:id>
        </ext>
      </extLst>
    </cfRule>
  </conditionalFormatting>
  <conditionalFormatting sqref="M4:M5">
    <cfRule type="dataBar" priority="355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{25ADA4D6-B743-4C11-BBB2-A7A106C16D96}</x14:id>
        </ext>
      </extLst>
    </cfRule>
  </conditionalFormatting>
  <conditionalFormatting sqref="M5">
    <cfRule type="dataBar" priority="202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{F1ADB585-4F25-4747-9B30-2E5908236F9C}</x14:id>
        </ext>
      </extLst>
    </cfRule>
  </conditionalFormatting>
  <conditionalFormatting sqref="M6:M796">
    <cfRule type="expression" dxfId="107" priority="377">
      <formula>ISTEXT(A6)</formula>
    </cfRule>
  </conditionalFormatting>
  <conditionalFormatting sqref="N5">
    <cfRule type="dataBar" priority="200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{685CB657-95EC-472A-AF9F-B819D661B636}</x14:id>
        </ext>
      </extLst>
    </cfRule>
    <cfRule type="cellIs" dxfId="106" priority="198" operator="lessThan">
      <formula>0</formula>
    </cfRule>
  </conditionalFormatting>
  <conditionalFormatting sqref="N6:N796">
    <cfRule type="expression" dxfId="105" priority="376">
      <formula>ISTEXT(A6)</formula>
    </cfRule>
  </conditionalFormatting>
  <conditionalFormatting sqref="O4:O5">
    <cfRule type="dataBar" priority="356">
      <dataBar>
        <cfvo type="formula" val="$K$2"/>
        <cfvo type="formula" val="$K$1"/>
        <color rgb="FF8AAAAC"/>
      </dataBar>
      <extLst>
        <ext xmlns:x14="http://schemas.microsoft.com/office/spreadsheetml/2009/9/main" uri="{B025F937-C7B1-47D3-B67F-A62EFF666E3E}">
          <x14:id>{60AB0B7C-1C1B-40B9-A27E-C0D1C03D2A4E}</x14:id>
        </ext>
      </extLst>
    </cfRule>
  </conditionalFormatting>
  <conditionalFormatting sqref="O5">
    <cfRule type="dataBar" priority="199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{91424752-8039-4A89-8D86-290F21756FFF}</x14:id>
        </ext>
      </extLst>
    </cfRule>
  </conditionalFormatting>
  <conditionalFormatting sqref="O6:O796">
    <cfRule type="expression" dxfId="104" priority="375">
      <formula>ISTEXT(A6)</formula>
    </cfRule>
  </conditionalFormatting>
  <conditionalFormatting sqref="P4:P5">
    <cfRule type="containsText" dxfId="103" priority="359" operator="containsText" text="N/A">
      <formula>NOT(ISERROR(SEARCH("N/A",P4)))</formula>
    </cfRule>
  </conditionalFormatting>
  <conditionalFormatting sqref="P5">
    <cfRule type="cellIs" dxfId="102" priority="195" operator="lessThan">
      <formula>0</formula>
    </cfRule>
    <cfRule type="dataBar" priority="197">
      <dataBar>
        <cfvo type="min"/>
        <cfvo type="max"/>
        <color rgb="FFB3C8C9"/>
      </dataBar>
      <extLst>
        <ext xmlns:x14="http://schemas.microsoft.com/office/spreadsheetml/2009/9/main" uri="{B025F937-C7B1-47D3-B67F-A62EFF666E3E}">
          <x14:id>{4031B27A-DF7B-4403-A516-9FD0B2C1B1C8}</x14:id>
        </ext>
      </extLst>
    </cfRule>
  </conditionalFormatting>
  <conditionalFormatting sqref="P6:P796">
    <cfRule type="expression" dxfId="101" priority="374">
      <formula>ISTEXT(A6)</formula>
    </cfRule>
  </conditionalFormatting>
  <conditionalFormatting sqref="Q1:Q3 Q6:Q1048576">
    <cfRule type="dataBar" priority="390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{4C1A48D4-10A5-4B5C-9571-0584EC83AB96}</x14:id>
        </ext>
      </extLst>
    </cfRule>
  </conditionalFormatting>
  <conditionalFormatting sqref="Q4:Q5">
    <cfRule type="dataBar" priority="364">
      <dataBar>
        <cfvo type="formula" val="$K$2"/>
        <cfvo type="formula" val="$K$1"/>
        <color rgb="FFB3C8C9"/>
      </dataBar>
      <extLst>
        <ext xmlns:x14="http://schemas.microsoft.com/office/spreadsheetml/2009/9/main" uri="{B025F937-C7B1-47D3-B67F-A62EFF666E3E}">
          <x14:id>{FC5922A8-3F87-4595-96FC-9644801BF2FC}</x14:id>
        </ext>
      </extLst>
    </cfRule>
  </conditionalFormatting>
  <conditionalFormatting sqref="Q5">
    <cfRule type="dataBar" priority="196">
      <dataBar>
        <cfvo type="formula" val="$K$2"/>
        <cfvo type="formula" val="$K$1"/>
        <color rgb="FF4E6D6E"/>
      </dataBar>
      <extLst>
        <ext xmlns:x14="http://schemas.microsoft.com/office/spreadsheetml/2009/9/main" uri="{B025F937-C7B1-47D3-B67F-A62EFF666E3E}">
          <x14:id>{4C4C14FB-9760-4B30-82B5-F1837F3FB572}</x14:id>
        </ext>
      </extLst>
    </cfRule>
  </conditionalFormatting>
  <conditionalFormatting sqref="Q6:Q796">
    <cfRule type="expression" dxfId="100" priority="373">
      <formula>ISTEXT(A6)</formula>
    </cfRule>
  </conditionalFormatting>
  <conditionalFormatting sqref="R4 Y4:Z4 R5:W5">
    <cfRule type="containsText" dxfId="99" priority="426" operator="containsText" text="N/A">
      <formula>NOT(ISERROR(SEARCH("N/A",R4)))</formula>
    </cfRule>
  </conditionalFormatting>
  <conditionalFormatting sqref="R6:R52 R23:T23 T24:T29 S52:T52 R53:T53 S54:T57 R54:R796 R58:T58 S59:T59 R60:T80">
    <cfRule type="expression" dxfId="98" priority="301">
      <formula>ISTEXT(A6)</formula>
    </cfRule>
  </conditionalFormatting>
  <conditionalFormatting sqref="R31">
    <cfRule type="containsText" dxfId="97" priority="1" operator="containsText" text="N/A">
      <formula>NOT(ISERROR(SEARCH("N/A",R31)))</formula>
    </cfRule>
  </conditionalFormatting>
  <conditionalFormatting sqref="R36:AB37">
    <cfRule type="containsText" dxfId="96" priority="26" operator="containsText" text="N/A">
      <formula>NOT(ISERROR(SEARCH("N/A",R36)))</formula>
    </cfRule>
  </conditionalFormatting>
  <conditionalFormatting sqref="R30:AC30">
    <cfRule type="containsText" dxfId="95" priority="28" operator="containsText" text="N/A">
      <formula>NOT(ISERROR(SEARCH("N/A",R30)))</formula>
    </cfRule>
  </conditionalFormatting>
  <conditionalFormatting sqref="S6:S800">
    <cfRule type="expression" dxfId="94" priority="277">
      <formula>ISTEXT(A6)</formula>
    </cfRule>
  </conditionalFormatting>
  <conditionalFormatting sqref="S4:T4">
    <cfRule type="containsText" dxfId="93" priority="279" operator="containsText" text="N/A">
      <formula>NOT(ISERROR(SEARCH("N/A",S4)))</formula>
    </cfRule>
  </conditionalFormatting>
  <conditionalFormatting sqref="T6:T800">
    <cfRule type="expression" dxfId="92" priority="371">
      <formula>ISTEXT(A6)</formula>
    </cfRule>
  </conditionalFormatting>
  <conditionalFormatting sqref="T33:T34">
    <cfRule type="expression" dxfId="91" priority="60">
      <formula>ISTEXT(C33)</formula>
    </cfRule>
  </conditionalFormatting>
  <conditionalFormatting sqref="T51">
    <cfRule type="expression" dxfId="90" priority="63">
      <formula>ISTEXT(C51)</formula>
    </cfRule>
  </conditionalFormatting>
  <conditionalFormatting sqref="T55:T56">
    <cfRule type="expression" dxfId="89" priority="62">
      <formula>ISTEXT(C55)</formula>
    </cfRule>
  </conditionalFormatting>
  <conditionalFormatting sqref="U24:U25">
    <cfRule type="expression" dxfId="88" priority="178">
      <formula>ISTEXT(A24)</formula>
    </cfRule>
  </conditionalFormatting>
  <conditionalFormatting sqref="U6:V796">
    <cfRule type="expression" dxfId="87" priority="184">
      <formula>ISTEXT(A6)</formula>
    </cfRule>
  </conditionalFormatting>
  <conditionalFormatting sqref="U4:W4">
    <cfRule type="containsText" dxfId="86" priority="357" operator="containsText" text="N/A">
      <formula>NOT(ISERROR(SEARCH("N/A",U4)))</formula>
    </cfRule>
  </conditionalFormatting>
  <conditionalFormatting sqref="U52:W80">
    <cfRule type="expression" dxfId="85" priority="621">
      <formula>ISTEXT(C52)</formula>
    </cfRule>
  </conditionalFormatting>
  <conditionalFormatting sqref="V6:V796">
    <cfRule type="expression" dxfId="84" priority="372">
      <formula>ISTEXT(A6)</formula>
    </cfRule>
  </conditionalFormatting>
  <conditionalFormatting sqref="V36:W39">
    <cfRule type="expression" dxfId="83" priority="370">
      <formula>ISTEXT(B36)</formula>
    </cfRule>
  </conditionalFormatting>
  <conditionalFormatting sqref="W6:W796">
    <cfRule type="expression" dxfId="82" priority="299">
      <formula>ISTEXT(A6)</formula>
    </cfRule>
  </conditionalFormatting>
  <conditionalFormatting sqref="Y1:Y18 Z3:Z16 J4:R4 R5:X18 A4:H5 A89:XFD1048576 AA6:XFD14 AD15:XFD17 Z18:XFD18 R19:XFD29 AD30:XFD30 R31:XFD32 R33:AK34 R35:AM35 AC36:XFD37 R38:XFD42 AC43:XFD44 AE45:XFD45 D46:XFD80 AF81:AK81 A82:XFD87 E88:XFD88 AK4:XFD4 I5:Q5 U4:X4 A1:X3 D6:Q6 I7:Q7 D8:Q9 I10:Q10 D11:Q39 I40:Q41 D42:Q42 D43:AA44 D45:Z45 G81:X81 Z1:AK2 AL1:XFD3 AF3:AK3 D7:G7 G7:G10 M7:M50 O7:O50 Q7:Q50 K7:K52 D10:G10 G18:G58 AO33:XFD35 D40:G41 A88:C88">
    <cfRule type="containsText" dxfId="81" priority="427" operator="containsText" text="N/A">
      <formula>NOT(ISERROR(SEARCH("N/A",A1)))</formula>
    </cfRule>
  </conditionalFormatting>
  <conditionalFormatting sqref="Y6:Y796">
    <cfRule type="expression" dxfId="80" priority="16">
      <formula>ISTEXT(A6)</formula>
    </cfRule>
    <cfRule type="expression" dxfId="79" priority="17">
      <formula>ISTEXT(#REF!)</formula>
    </cfRule>
  </conditionalFormatting>
  <conditionalFormatting sqref="Y81:AE81">
    <cfRule type="containsText" dxfId="78" priority="6" operator="containsText" text="N/A">
      <formula>NOT(ISERROR(SEARCH("N/A",Y81)))</formula>
    </cfRule>
  </conditionalFormatting>
  <conditionalFormatting sqref="Z6:Z796">
    <cfRule type="expression" dxfId="77" priority="12">
      <formula>ISTEXT(A6)</formula>
    </cfRule>
  </conditionalFormatting>
  <conditionalFormatting sqref="Z36:Z39">
    <cfRule type="expression" dxfId="76" priority="608">
      <formula>ISTEXT(#REF!)</formula>
    </cfRule>
    <cfRule type="expression" dxfId="75" priority="644">
      <formula>ISTEXT(C36)</formula>
    </cfRule>
  </conditionalFormatting>
  <conditionalFormatting sqref="Z81">
    <cfRule type="expression" dxfId="74" priority="13">
      <formula>ISTEXT(#REF!)</formula>
    </cfRule>
    <cfRule type="expression" dxfId="73" priority="14">
      <formula>ISTEXT(C81)</formula>
    </cfRule>
  </conditionalFormatting>
  <conditionalFormatting sqref="Z17:AC17">
    <cfRule type="containsText" dxfId="72" priority="59" operator="containsText" text="N/A">
      <formula>NOT(ISERROR(SEARCH("N/A",Z17)))</formula>
    </cfRule>
  </conditionalFormatting>
  <conditionalFormatting sqref="AA6:AA796">
    <cfRule type="expression" dxfId="71" priority="11">
      <formula>ISTEXT(A6)</formula>
    </cfRule>
  </conditionalFormatting>
  <conditionalFormatting sqref="AA15:AC16">
    <cfRule type="containsText" dxfId="70" priority="32" operator="containsText" text="N/A">
      <formula>NOT(ISERROR(SEARCH("N/A",AA15)))</formula>
    </cfRule>
  </conditionalFormatting>
  <conditionalFormatting sqref="AA45:AD45">
    <cfRule type="containsText" dxfId="69" priority="54" operator="containsText" text="N/A">
      <formula>NOT(ISERROR(SEARCH("N/A",AA45)))</formula>
    </cfRule>
  </conditionalFormatting>
  <conditionalFormatting sqref="AA4:AJ4">
    <cfRule type="containsText" dxfId="68" priority="342" operator="containsText" text="N/A">
      <formula>NOT(ISERROR(SEARCH("N/A",AA4)))</formula>
    </cfRule>
  </conditionalFormatting>
  <conditionalFormatting sqref="AA5:XFD5">
    <cfRule type="containsText" dxfId="67" priority="280" operator="containsText" text="N/A">
      <formula>NOT(ISERROR(SEARCH("N/A",AA5)))</formula>
    </cfRule>
  </conditionalFormatting>
  <conditionalFormatting sqref="AB6:AB796">
    <cfRule type="expression" dxfId="66" priority="10">
      <formula>ISTEXT(A6)</formula>
    </cfRule>
  </conditionalFormatting>
  <conditionalFormatting sqref="AB43:AB44">
    <cfRule type="expression" dxfId="65" priority="25">
      <formula>ISTEXT(#REF!)</formula>
    </cfRule>
    <cfRule type="containsText" dxfId="64" priority="23" operator="containsText" text="N/A">
      <formula>NOT(ISERROR(SEARCH("N/A",AB43)))</formula>
    </cfRule>
  </conditionalFormatting>
  <conditionalFormatting sqref="AB51:AC52 AB53:AD53 AB54:AC57 AD54:AD60 AB58:AD58 AB59:AC59 AB60:AD80">
    <cfRule type="expression" dxfId="63" priority="349">
      <formula>ISTEXT(XFC51)</formula>
    </cfRule>
  </conditionalFormatting>
  <conditionalFormatting sqref="AC6:AC796">
    <cfRule type="expression" dxfId="62" priority="9">
      <formula>ISTEXT(A6)</formula>
    </cfRule>
  </conditionalFormatting>
  <conditionalFormatting sqref="AD6:AD52">
    <cfRule type="expression" dxfId="61" priority="50">
      <formula>ISTEXT(A6)</formula>
    </cfRule>
  </conditionalFormatting>
  <conditionalFormatting sqref="AD81:AD796">
    <cfRule type="expression" dxfId="60" priority="8">
      <formula>ISTEXT(A81)</formula>
    </cfRule>
  </conditionalFormatting>
  <conditionalFormatting sqref="AE6:AE796">
    <cfRule type="expression" dxfId="59" priority="7">
      <formula>ISTEXT(A6)</formula>
    </cfRule>
  </conditionalFormatting>
  <conditionalFormatting sqref="AG6:AG796">
    <cfRule type="expression" dxfId="58" priority="298">
      <formula>ISTEXT(A6)</formula>
    </cfRule>
  </conditionalFormatting>
  <conditionalFormatting sqref="AH6:AH21 AH24:AH138">
    <cfRule type="containsText" dxfId="57" priority="428" operator="containsText" text="A1">
      <formula>NOT(ISERROR(SEARCH("A1",AH6)))</formula>
    </cfRule>
    <cfRule type="containsText" dxfId="56" priority="432" operator="containsText" text="E">
      <formula>NOT(ISERROR(SEARCH("E",AH6)))</formula>
    </cfRule>
    <cfRule type="containsText" dxfId="55" priority="433" operator="containsText" text="F">
      <formula>NOT(ISERROR(SEARCH("F",AH6)))</formula>
    </cfRule>
    <cfRule type="containsText" dxfId="54" priority="434" operator="containsText" text="D">
      <formula>NOT(ISERROR(SEARCH("D",AH6)))</formula>
    </cfRule>
    <cfRule type="containsText" dxfId="53" priority="431" operator="containsText" text="C">
      <formula>NOT(ISERROR(SEARCH("C",AH6)))</formula>
    </cfRule>
    <cfRule type="containsText" dxfId="52" priority="430" operator="containsText" text="B">
      <formula>NOT(ISERROR(SEARCH("B",AH6)))</formula>
    </cfRule>
    <cfRule type="containsText" dxfId="51" priority="429" operator="containsText" text="A2">
      <formula>NOT(ISERROR(SEARCH("A2",AH6)))</formula>
    </cfRule>
  </conditionalFormatting>
  <conditionalFormatting sqref="AH22:AH23">
    <cfRule type="containsText" dxfId="50" priority="336" operator="containsText" text="D">
      <formula>NOT(ISERROR(SEARCH("D",AH22)))</formula>
    </cfRule>
    <cfRule type="containsText" dxfId="49" priority="335" operator="containsText" text="F">
      <formula>NOT(ISERROR(SEARCH("F",AH22)))</formula>
    </cfRule>
    <cfRule type="containsText" dxfId="48" priority="334" operator="containsText" text="E">
      <formula>NOT(ISERROR(SEARCH("E",AH22)))</formula>
    </cfRule>
    <cfRule type="containsText" dxfId="47" priority="333" operator="containsText" text="C">
      <formula>NOT(ISERROR(SEARCH("C",AH22)))</formula>
    </cfRule>
    <cfRule type="containsText" dxfId="46" priority="332" operator="containsText" text="B">
      <formula>NOT(ISERROR(SEARCH("B",AH22)))</formula>
    </cfRule>
    <cfRule type="containsText" dxfId="45" priority="331" operator="containsText" text="A2">
      <formula>NOT(ISERROR(SEARCH("A2",AH22)))</formula>
    </cfRule>
    <cfRule type="containsText" dxfId="44" priority="330" operator="containsText" text="A1">
      <formula>NOT(ISERROR(SEARCH("A1",AH22)))</formula>
    </cfRule>
  </conditionalFormatting>
  <conditionalFormatting sqref="AI6:AI21 AI24:AI138">
    <cfRule type="expression" dxfId="43" priority="406">
      <formula>AH6="D"</formula>
    </cfRule>
    <cfRule type="expression" dxfId="42" priority="403">
      <formula>AH6="A2"</formula>
    </cfRule>
    <cfRule type="expression" dxfId="41" priority="408">
      <formula>AH6="F"</formula>
    </cfRule>
    <cfRule type="expression" dxfId="40" priority="407">
      <formula>AH6="E"</formula>
    </cfRule>
    <cfRule type="expression" dxfId="39" priority="405">
      <formula>AH6="C"</formula>
    </cfRule>
    <cfRule type="expression" dxfId="38" priority="404">
      <formula>AH6="B"</formula>
    </cfRule>
  </conditionalFormatting>
  <conditionalFormatting sqref="AI6:AI138">
    <cfRule type="expression" dxfId="37" priority="329">
      <formula>AH6="A1"</formula>
    </cfRule>
  </conditionalFormatting>
  <conditionalFormatting sqref="AI22:AI23">
    <cfRule type="expression" dxfId="36" priority="326">
      <formula>AH22="C"</formula>
    </cfRule>
    <cfRule type="expression" dxfId="35" priority="327">
      <formula>AH22="B"</formula>
    </cfRule>
    <cfRule type="expression" dxfId="34" priority="328">
      <formula>AH22="A2"</formula>
    </cfRule>
    <cfRule type="expression" dxfId="33" priority="325">
      <formula>AH22="D"</formula>
    </cfRule>
    <cfRule type="expression" dxfId="32" priority="323">
      <formula>AH22="F"</formula>
    </cfRule>
    <cfRule type="expression" dxfId="31" priority="324">
      <formula>AH22="E"</formula>
    </cfRule>
  </conditionalFormatting>
  <conditionalFormatting sqref="AI398">
    <cfRule type="expression" dxfId="30" priority="416">
      <formula>AH398="E"</formula>
    </cfRule>
    <cfRule type="expression" dxfId="29" priority="422">
      <formula>AH398="F"</formula>
    </cfRule>
    <cfRule type="expression" dxfId="28" priority="417">
      <formula>AH398="F"</formula>
    </cfRule>
    <cfRule type="expression" dxfId="27" priority="409">
      <formula>AH398="F"</formula>
    </cfRule>
    <cfRule type="expression" dxfId="26" priority="411">
      <formula>AH398="A1"</formula>
    </cfRule>
    <cfRule type="expression" dxfId="25" priority="412">
      <formula>AH398="A2"</formula>
    </cfRule>
    <cfRule type="expression" dxfId="24" priority="413">
      <formula>AH398="B"</formula>
    </cfRule>
    <cfRule type="expression" dxfId="23" priority="414">
      <formula>AH398="C"</formula>
    </cfRule>
    <cfRule type="expression" dxfId="22" priority="415">
      <formula>AH398="D"</formula>
    </cfRule>
    <cfRule type="expression" dxfId="21" priority="420">
      <formula>AH398="E"</formula>
    </cfRule>
  </conditionalFormatting>
  <conditionalFormatting sqref="AJ6:AJ796">
    <cfRule type="expression" dxfId="20" priority="289">
      <formula>ISTEXT(A6)</formula>
    </cfRule>
  </conditionalFormatting>
  <conditionalFormatting sqref="AL6:AL32 AL35:AL80 AL82:AL796">
    <cfRule type="expression" dxfId="19" priority="295">
      <formula>ISTEXT(A6)</formula>
    </cfRule>
  </conditionalFormatting>
  <conditionalFormatting sqref="AL15:AL21">
    <cfRule type="expression" dxfId="18" priority="436">
      <formula>ISTEXT(B15)</formula>
    </cfRule>
  </conditionalFormatting>
  <conditionalFormatting sqref="AL33:AL34">
    <cfRule type="expression" dxfId="17" priority="38">
      <formula>ISTEXT(G33)</formula>
    </cfRule>
  </conditionalFormatting>
  <conditionalFormatting sqref="AL35:AM35">
    <cfRule type="expression" dxfId="16" priority="149">
      <formula>ISTEXT(B35)</formula>
    </cfRule>
  </conditionalFormatting>
  <conditionalFormatting sqref="AL33:AN34">
    <cfRule type="containsText" dxfId="15" priority="36" operator="containsText" text="N/A">
      <formula>NOT(ISERROR(SEARCH("N/A",AL33)))</formula>
    </cfRule>
  </conditionalFormatting>
  <conditionalFormatting sqref="AL81:AN81">
    <cfRule type="expression" dxfId="14" priority="4">
      <formula>ISTEXT(G81)</formula>
    </cfRule>
  </conditionalFormatting>
  <conditionalFormatting sqref="AL81:XFD81">
    <cfRule type="containsText" dxfId="13" priority="2" operator="containsText" text="N/A">
      <formula>NOT(ISERROR(SEARCH("N/A",AL81)))</formula>
    </cfRule>
  </conditionalFormatting>
  <conditionalFormatting sqref="AM6:AM32 AM35:AM80 AM82:AM796">
    <cfRule type="expression" dxfId="12" priority="345">
      <formula>ISTEXT(A6)</formula>
    </cfRule>
  </conditionalFormatting>
  <conditionalFormatting sqref="AM33:AM34">
    <cfRule type="expression" dxfId="11" priority="39">
      <formula>ISTEXT(G33)</formula>
    </cfRule>
  </conditionalFormatting>
  <conditionalFormatting sqref="AM35 AL36:AN39 AM50:AN50 AM52:AN55">
    <cfRule type="expression" dxfId="10" priority="366">
      <formula>ISTEXT(A35)</formula>
    </cfRule>
  </conditionalFormatting>
  <conditionalFormatting sqref="AM81">
    <cfRule type="expression" dxfId="9" priority="5">
      <formula>ISTEXT(G81)</formula>
    </cfRule>
  </conditionalFormatting>
  <conditionalFormatting sqref="AM22:AN23">
    <cfRule type="expression" dxfId="8" priority="288">
      <formula>ISTEXT(A22)</formula>
    </cfRule>
  </conditionalFormatting>
  <conditionalFormatting sqref="AN6:AN32 AN36:AN80 AN82:AN796">
    <cfRule type="expression" dxfId="7" priority="194">
      <formula>ISTEXT(A6)</formula>
    </cfRule>
  </conditionalFormatting>
  <conditionalFormatting sqref="AN33:AN35">
    <cfRule type="expression" dxfId="6" priority="37">
      <formula>ISTEXT(G33)</formula>
    </cfRule>
  </conditionalFormatting>
  <conditionalFormatting sqref="AN35">
    <cfRule type="containsText" dxfId="5" priority="44" operator="containsText" text="N/A">
      <formula>NOT(ISERROR(SEARCH("N/A",AN35)))</formula>
    </cfRule>
  </conditionalFormatting>
  <conditionalFormatting sqref="AN81">
    <cfRule type="expression" dxfId="4" priority="3">
      <formula>ISTEXT(G81)</formula>
    </cfRule>
  </conditionalFormatting>
  <conditionalFormatting sqref="AP6 AP8">
    <cfRule type="expression" dxfId="3" priority="435">
      <formula>ISTEXT(#REF!)</formula>
    </cfRule>
  </conditionalFormatting>
  <conditionalFormatting sqref="AP6:AP796">
    <cfRule type="expression" dxfId="2" priority="287">
      <formula>ISTEXT(A6)</formula>
    </cfRule>
  </conditionalFormatting>
  <conditionalFormatting sqref="AQ6:AQ796">
    <cfRule type="expression" dxfId="1" priority="286">
      <formula>ISTEXT(A6)</formula>
    </cfRule>
  </conditionalFormatting>
  <conditionalFormatting sqref="AS4">
    <cfRule type="containsText" dxfId="0" priority="401" operator="containsText" text="N/A">
      <formula>NOT(ISERROR(SEARCH("N/A",AS4)))</formula>
    </cfRule>
  </conditionalFormatting>
  <hyperlinks>
    <hyperlink ref="R10" r:id="rId1" xr:uid="{04A03E65-F009-4193-96EE-A1E06C2C3992}"/>
    <hyperlink ref="R14" r:id="rId2" xr:uid="{403E848F-E9E9-4F9E-A2D2-C2A13B66B4CD}"/>
    <hyperlink ref="R11" r:id="rId3" xr:uid="{5B2B0CBE-5548-48B6-B1FB-3E5A7799DA08}"/>
    <hyperlink ref="R12" r:id="rId4" xr:uid="{3A891168-709C-42A6-909A-0733E6D02A5A}"/>
    <hyperlink ref="R13" r:id="rId5" xr:uid="{D5A093C1-A6C4-4CBE-95DD-B13263C1F5A6}"/>
    <hyperlink ref="AP19" r:id="rId6" xr:uid="{B8409DBC-FCE1-4B7E-AFE1-613E09CD2147}"/>
    <hyperlink ref="AP20:AP23" r:id="rId7" display="Link" xr:uid="{AB43E956-2B70-41BD-94D6-258EF8D81D52}"/>
    <hyperlink ref="AP11" r:id="rId8" xr:uid="{A5EA806B-2BF3-4853-AB7F-9A3D335C293E}"/>
    <hyperlink ref="AP12:AP13" r:id="rId9" display="Link" xr:uid="{C9A77A1C-3F07-43DC-8C93-034D3E38B884}"/>
    <hyperlink ref="AP14" r:id="rId10" xr:uid="{E0B97917-5167-4C6F-9754-C98BAC7B1CC0}"/>
    <hyperlink ref="AP10" r:id="rId11" xr:uid="{075F2F13-5CEE-4180-BF09-D93BF3D6FF53}"/>
    <hyperlink ref="AP24" r:id="rId12" xr:uid="{968152DD-17FA-4433-AE7F-E69D76605668}"/>
    <hyperlink ref="AP25" r:id="rId13" xr:uid="{8E75FAD2-AF19-41E7-A8CD-DE88D6380B03}"/>
    <hyperlink ref="AP26:AP27" r:id="rId14" display="Link" xr:uid="{457624D9-E4B2-4B45-91C7-3D4ADB794FE5}"/>
    <hyperlink ref="AP28" r:id="rId15" xr:uid="{4683823A-3274-4A97-A014-DC351D7D670C}"/>
    <hyperlink ref="AP29" r:id="rId16" xr:uid="{27D36E5C-9916-4F17-9AE3-78F2574EE7B8}"/>
    <hyperlink ref="R7" r:id="rId17" xr:uid="{E4655C0E-287F-43DE-B6AB-A8A5E16EC4EC}"/>
    <hyperlink ref="AP7" r:id="rId18" xr:uid="{6CE244DB-4DFE-4AB4-8C51-8A9E395D55BA}"/>
    <hyperlink ref="R6" r:id="rId19" xr:uid="{852A3E50-ACCC-4875-BEF2-7199E738EC45}"/>
    <hyperlink ref="AP6" r:id="rId20" xr:uid="{D2401D82-28E5-42BA-9D6B-E58D31D59A5C}"/>
    <hyperlink ref="AP8" r:id="rId21" xr:uid="{9216D733-4222-4692-A3C9-A0DBEBA3BE37}"/>
    <hyperlink ref="R8" r:id="rId22" xr:uid="{F6A82715-5F71-4E62-A019-FB7596194854}"/>
    <hyperlink ref="R9" r:id="rId23" xr:uid="{0A4D213A-08B6-4FCF-A81C-2C72B9A69201}"/>
    <hyperlink ref="AP9" r:id="rId24" xr:uid="{CAFF6C04-0F8B-40BA-987E-849BB4C30424}"/>
    <hyperlink ref="R16" r:id="rId25" xr:uid="{D54DFC36-7C56-4B0D-A23A-2D79CDC5C22C}"/>
    <hyperlink ref="AP16" r:id="rId26" xr:uid="{C6973A85-F601-43C5-AD77-7C6254B0B6F6}"/>
    <hyperlink ref="AP30" r:id="rId27" xr:uid="{893BF02E-2FE2-4FA9-8D3A-48175A3FFC50}"/>
    <hyperlink ref="AP31" r:id="rId28" xr:uid="{53D3C8BF-4049-482E-918F-EAE28C128885}"/>
    <hyperlink ref="AP32" r:id="rId29" xr:uid="{19E3BDB1-7521-4E56-9E35-AA4C1897E4F1}"/>
    <hyperlink ref="R32" r:id="rId30" xr:uid="{FA63FB0C-C3AA-4AD3-990D-4825B43694B8}"/>
    <hyperlink ref="AP18" r:id="rId31" xr:uid="{BD048280-F373-45D7-BCD3-5C1E391567D5}"/>
    <hyperlink ref="R18" r:id="rId32" xr:uid="{306BC66D-E3A9-4FA4-8F7D-7A7BF61747A3}"/>
    <hyperlink ref="AP33" r:id="rId33" xr:uid="{AD79CE81-F0E4-4B17-97E1-5280B6472BC1}"/>
    <hyperlink ref="R33" r:id="rId34" xr:uid="{A3B51D6A-B46B-4392-BA0A-5D6A7E52BA90}"/>
    <hyperlink ref="R34" r:id="rId35" xr:uid="{127A8398-8E62-47C5-AD2D-07C818882197}"/>
    <hyperlink ref="AP34" r:id="rId36" xr:uid="{2B15D2CD-CFAD-41DE-B3CB-AA4E6D516063}"/>
    <hyperlink ref="R35" r:id="rId37" xr:uid="{A64F0051-619F-49CE-B27A-4928D1CA84DB}"/>
    <hyperlink ref="AP35" r:id="rId38" xr:uid="{16B0D400-FEE0-42F0-95F4-4D389BB209BB}"/>
    <hyperlink ref="R36" r:id="rId39" xr:uid="{CFDA1073-7F2B-4529-B510-06E883AA82A5}"/>
    <hyperlink ref="AP40" r:id="rId40" xr:uid="{389D19DA-4C0B-41BC-848E-A958AE90B9DA}"/>
    <hyperlink ref="R40" r:id="rId41" xr:uid="{6AA5BC54-7392-4097-AA44-784F3EFFBF29}"/>
    <hyperlink ref="R41" r:id="rId42" xr:uid="{B1D0597D-A76F-454A-8D77-F2D5C30218E0}"/>
    <hyperlink ref="AP41" r:id="rId43" xr:uid="{CB19B1AF-0692-4707-8CD3-AF5CEFB52EF4}"/>
    <hyperlink ref="R42" r:id="rId44" xr:uid="{E9E63F17-4C75-4B43-9849-A89742ED2FCF}"/>
    <hyperlink ref="R15" r:id="rId45" xr:uid="{4D213D08-B2EF-4284-94C1-B7694DC1FB88}"/>
    <hyperlink ref="R17" r:id="rId46" xr:uid="{3D1CB6FB-3252-4070-9DD3-8BFCAEB0A6CD}"/>
    <hyperlink ref="R43" r:id="rId47" xr:uid="{ABBCFD47-DAAC-4872-8AD7-926CDF16B20D}"/>
    <hyperlink ref="R44" r:id="rId48" xr:uid="{90CCBB11-A2FF-4AF3-BB7D-24EE9A1D4B99}"/>
    <hyperlink ref="R45" r:id="rId49" xr:uid="{461585EC-8905-46EA-AFC9-0780CBD953D0}"/>
    <hyperlink ref="R46" r:id="rId50" xr:uid="{8F90AF2B-A75A-44E6-A34A-6676864245C2}"/>
    <hyperlink ref="AP45" r:id="rId51" xr:uid="{85C3ED12-AD92-4FED-B316-7F64CD4704E9}"/>
    <hyperlink ref="AP46" r:id="rId52" xr:uid="{8C41205B-D03D-4A93-967C-E2D1AE012A95}"/>
    <hyperlink ref="R47" r:id="rId53" xr:uid="{8C27CA70-21B2-491E-92E3-5C7F36E377D8}"/>
    <hyperlink ref="AP47" r:id="rId54" xr:uid="{69EBD8A1-708A-4FBB-AD05-BAF6C2131DC5}"/>
    <hyperlink ref="AP48" r:id="rId55" xr:uid="{15486B41-F1BF-4715-9990-00234E4AB132}"/>
    <hyperlink ref="R48" r:id="rId56" xr:uid="{4784DB68-CFF8-4134-BE75-4B8D8E0C1BC3}"/>
    <hyperlink ref="R49" r:id="rId57" xr:uid="{583BE0C0-BF69-4774-933F-CFEC5D5202CC}"/>
    <hyperlink ref="AP49" r:id="rId58" xr:uid="{6554D27C-D27F-4110-8466-0D01441588C2}"/>
    <hyperlink ref="R50" r:id="rId59" xr:uid="{B3BCFC98-EC39-408E-AAF2-D2C5E8CCE2C5}"/>
    <hyperlink ref="AP50" r:id="rId60" xr:uid="{13D9E718-9FCB-4C8E-9C33-233E67B87F28}"/>
    <hyperlink ref="R51" r:id="rId61" xr:uid="{ED86621B-5616-4946-BF07-6C74633737D6}"/>
    <hyperlink ref="AP52" r:id="rId62" xr:uid="{9C061E6D-2780-4E9A-BA62-DFF6CABEDDF6}"/>
    <hyperlink ref="AP55" r:id="rId63" xr:uid="{3035CEBD-96A3-4484-A8DB-7AE4C55FDCC8}"/>
    <hyperlink ref="AP54" r:id="rId64" xr:uid="{05135E4E-AA4C-42B9-971E-CD8D5D8A2FDD}"/>
    <hyperlink ref="R56" r:id="rId65" xr:uid="{8ED8C3AC-1ECB-440C-AC9F-3EA01AAACB62}"/>
    <hyperlink ref="AQ56" r:id="rId66" xr:uid="{E81064F1-985B-4C79-9CFB-9C015DC78F11}"/>
    <hyperlink ref="AP56" r:id="rId67" xr:uid="{939CB9D6-CB16-43BE-B61F-AE3A0406E1D0}"/>
    <hyperlink ref="AP58" r:id="rId68" xr:uid="{E329DF1A-B9E2-42FE-9B28-F5AC13246B67}"/>
    <hyperlink ref="AP57" r:id="rId69" xr:uid="{77A8DAD4-6F86-4C9B-8F1C-25BD8FFD2653}"/>
    <hyperlink ref="AP59" r:id="rId70" xr:uid="{08FF1538-6966-4A56-8A78-209E17286C11}"/>
    <hyperlink ref="AP61" r:id="rId71" xr:uid="{EEC5657F-9D78-4BB5-9268-F2938A0AEC64}"/>
    <hyperlink ref="AP60" r:id="rId72" xr:uid="{0E724C42-5454-4963-B0AE-C64986EBD94A}"/>
    <hyperlink ref="AP62" r:id="rId73" xr:uid="{CD61EA83-5518-4F1F-9390-AE0C4A7DA435}"/>
    <hyperlink ref="AP63" r:id="rId74" xr:uid="{3E8E0D34-FC0C-4802-9077-BB47E0791E55}"/>
    <hyperlink ref="AP64" r:id="rId75" xr:uid="{797411DA-402B-4858-965E-6FFBB97498E5}"/>
    <hyperlink ref="AP65" r:id="rId76" xr:uid="{C34E203C-1C13-49B0-BF2F-6BD064C33568}"/>
    <hyperlink ref="E65" r:id="rId77" xr:uid="{6D2A4F38-1E37-4480-B985-16C929457E4F}"/>
    <hyperlink ref="E62:E64" r:id="rId78" display="Kina" xr:uid="{71EDD322-A3A1-4372-B002-CA9D3BD1C525}"/>
    <hyperlink ref="E67" r:id="rId79" xr:uid="{1BAD64AD-E7C7-45A5-B4A9-F844AC997987}"/>
    <hyperlink ref="E66" r:id="rId80" xr:uid="{56DEB22B-E317-4AF9-B673-A80F631C08FF}"/>
    <hyperlink ref="AP67" r:id="rId81" xr:uid="{CD54CAC4-A0E0-4674-B475-CEF102F87F56}"/>
    <hyperlink ref="AP66" r:id="rId82" xr:uid="{13CB42A6-1B77-4FEB-9A0D-DD1AC78F1647}"/>
    <hyperlink ref="E69" r:id="rId83" xr:uid="{3479E55D-D58B-4E46-9154-80CDFF187710}"/>
    <hyperlink ref="E68" r:id="rId84" xr:uid="{485A58B6-C266-4D36-A50F-9547EB8EAD6F}"/>
    <hyperlink ref="AP68" r:id="rId85" xr:uid="{4971563D-E769-4E8B-966F-9A3AD4FB21DB}"/>
    <hyperlink ref="AP69" r:id="rId86" xr:uid="{09DB60FE-F199-417F-9A1B-CC209721E279}"/>
    <hyperlink ref="E70" r:id="rId87" xr:uid="{D69BA9F5-C73E-4854-895E-E0CFF66332D5}"/>
    <hyperlink ref="E71" r:id="rId88" xr:uid="{FBB72FC2-948B-4803-AB0F-86B862A68DEA}"/>
    <hyperlink ref="AP70" r:id="rId89" xr:uid="{814635EC-42C4-4857-8AA9-ADDF7A966372}"/>
    <hyperlink ref="AP71" r:id="rId90" xr:uid="{93E499CC-47C9-4050-A2D7-5EFE738B4698}"/>
    <hyperlink ref="E72" r:id="rId91" xr:uid="{E9A1EF04-01FB-4923-AE3C-CC491E4E8B5E}"/>
    <hyperlink ref="AP72" r:id="rId92" xr:uid="{D9E15DAC-63F6-4F78-84FA-2574F457E6A3}"/>
    <hyperlink ref="E73" r:id="rId93" xr:uid="{D32E5DFF-6AEC-4EDE-BEFB-66C88819D463}"/>
    <hyperlink ref="AP73" r:id="rId94" xr:uid="{F23E4C28-340F-45D3-814D-3DAC8AFDF26B}"/>
    <hyperlink ref="E74" r:id="rId95" xr:uid="{AC092600-111B-47F3-AC62-5860D2A9AD43}"/>
    <hyperlink ref="E75" r:id="rId96" xr:uid="{D51BAE7F-9A11-4251-97FE-E4832C50C0B5}"/>
    <hyperlink ref="AP74" r:id="rId97" xr:uid="{66C638B6-8D5E-4A8C-B7EF-8E11A4DBFC69}"/>
    <hyperlink ref="AP75" r:id="rId98" xr:uid="{B4665251-5536-4E3A-BCFF-10B73EF24263}"/>
    <hyperlink ref="AP76" r:id="rId99" xr:uid="{989E7280-2D5B-42D9-AAF5-A46E3598620D}"/>
    <hyperlink ref="AP77:AP78" r:id="rId100" display="Link" xr:uid="{8CF9DCD8-4ABC-44D9-AC5A-59266CDC04B1}"/>
    <hyperlink ref="AP79" r:id="rId101" xr:uid="{0E934393-B985-4594-998C-410E5D7F69E3}"/>
    <hyperlink ref="AP80" r:id="rId102" xr:uid="{F1DFBF5C-788C-499A-A4E1-E58D050C1FCA}"/>
    <hyperlink ref="AQ80" r:id="rId103" xr:uid="{5F00FD0A-2C46-49D4-8F5F-8B8AAF7382F2}"/>
    <hyperlink ref="AP53" r:id="rId104" xr:uid="{09DB6BD0-5067-436A-839E-347970AF4BA3}"/>
    <hyperlink ref="R37" r:id="rId105" xr:uid="{33BAE5C4-3C78-4F16-AAB4-85FAB9A73098}"/>
    <hyperlink ref="R38" r:id="rId106" xr:uid="{35918EC5-48EE-4D13-B39B-4F7858EC97BD}"/>
    <hyperlink ref="R39" r:id="rId107" xr:uid="{9B48D486-878D-4DBA-84AE-3B54AE54F590}"/>
    <hyperlink ref="AP36" r:id="rId108" xr:uid="{0A49FB07-81DD-4314-9772-A4AA8617C054}"/>
    <hyperlink ref="AP37:AP39" r:id="rId109" display="Link" xr:uid="{E3B4275B-9AE4-4B1F-AFD8-329E9B03F979}"/>
    <hyperlink ref="R29" r:id="rId110" xr:uid="{C1678528-2915-4366-AECD-FBCBC6416A3B}"/>
    <hyperlink ref="R28" r:id="rId111" xr:uid="{3B17F4B5-AFE5-4F87-9ECE-DB9ABBB63704}"/>
    <hyperlink ref="R27" r:id="rId112" xr:uid="{30ECEA88-C056-4ED4-8C74-FF9D31745AD2}"/>
    <hyperlink ref="R26" r:id="rId113" xr:uid="{38AD102F-5685-4CDC-BFF5-415B64A3F880}"/>
    <hyperlink ref="R25" r:id="rId114" xr:uid="{022081E6-6D0E-43E9-B157-9E1D79CE6273}"/>
    <hyperlink ref="R24" r:id="rId115" xr:uid="{7DEF2DB6-79D7-42A6-9391-4553810AC988}"/>
    <hyperlink ref="R23" r:id="rId116" xr:uid="{34BD8C0E-BACD-4AD5-86F9-87C68D56D65C}"/>
    <hyperlink ref="R22" r:id="rId117" xr:uid="{6266C6CB-EE5D-40D6-A161-5E1213D10A58}"/>
    <hyperlink ref="R21" r:id="rId118" xr:uid="{BB48212C-9605-4B07-BCD9-B9DCB89F9B1A}"/>
    <hyperlink ref="R20" r:id="rId119" xr:uid="{2931F148-48C0-4419-9459-2718E4D2D4C0}"/>
    <hyperlink ref="R19" r:id="rId120" xr:uid="{AF766259-45CA-48F0-A6C5-BF7E3F3A7614}"/>
    <hyperlink ref="AQ6" r:id="rId121" xr:uid="{E5E6775D-E44F-4DEF-A046-0B7A1BC2FAFB}"/>
    <hyperlink ref="AQ7" r:id="rId122" xr:uid="{9FB700E5-162B-4ED0-A52F-F5163708DEEF}"/>
    <hyperlink ref="AQ8" r:id="rId123" xr:uid="{6C717C89-FB3C-4561-96A2-68B74DFED82C}"/>
    <hyperlink ref="R81" r:id="rId124" xr:uid="{58FFF321-AC09-4B0B-9077-5FB01E10EE6A}"/>
    <hyperlink ref="R55" r:id="rId125" xr:uid="{5A7C5684-3AA8-4CC4-8979-FD3EF9D4AFD7}"/>
    <hyperlink ref="R31" r:id="rId126" xr:uid="{D6FD7212-2AA1-450D-B06F-759DBF451073}"/>
    <hyperlink ref="R30" r:id="rId127" xr:uid="{5CC16826-528D-402F-B91B-41A8D98A214F}"/>
  </hyperlinks>
  <pageMargins left="0.7" right="0.7" top="0.75" bottom="0.75" header="0.3" footer="0.3"/>
  <pageSetup paperSize="9" orientation="portrait" r:id="rId128"/>
  <drawing r:id="rId129"/>
  <legacyDrawing r:id="rId13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1CF80F6-D79C-45FC-97EE-F3E8044756D7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J4</xm:sqref>
        </x14:conditionalFormatting>
        <x14:conditionalFormatting xmlns:xm="http://schemas.microsoft.com/office/excel/2006/main">
          <x14:cfRule type="dataBar" id="{A6B29D1E-41B5-4858-80A0-37F6D13C6115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J5</xm:sqref>
        </x14:conditionalFormatting>
        <x14:conditionalFormatting xmlns:xm="http://schemas.microsoft.com/office/excel/2006/main">
          <x14:cfRule type="dataBar" id="{C191DF9B-1208-441C-B8CF-579460B97170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K1:K3 K6:K1048576</xm:sqref>
        </x14:conditionalFormatting>
        <x14:conditionalFormatting xmlns:xm="http://schemas.microsoft.com/office/excel/2006/main">
          <x14:cfRule type="dataBar" id="{6C8DFA7B-706D-46BB-A977-693454C80025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K4:K5</xm:sqref>
        </x14:conditionalFormatting>
        <x14:conditionalFormatting xmlns:xm="http://schemas.microsoft.com/office/excel/2006/main">
          <x14:cfRule type="dataBar" id="{5A1A0CD9-B41C-451E-96C0-F2EA1E448301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K25</xm:sqref>
        </x14:conditionalFormatting>
        <x14:conditionalFormatting xmlns:xm="http://schemas.microsoft.com/office/excel/2006/main">
          <x14:cfRule type="dataBar" id="{7048D19A-B06D-49F0-96F4-E678A6D760C1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L5</xm:sqref>
        </x14:conditionalFormatting>
        <x14:conditionalFormatting xmlns:xm="http://schemas.microsoft.com/office/excel/2006/main">
          <x14:cfRule type="dataBar" id="{227EEA42-C704-4E02-9065-082049EE6F14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M1:M3 O1:O3 M6:M1048576 O6:O1048576</xm:sqref>
        </x14:conditionalFormatting>
        <x14:conditionalFormatting xmlns:xm="http://schemas.microsoft.com/office/excel/2006/main">
          <x14:cfRule type="dataBar" id="{25ADA4D6-B743-4C11-BBB2-A7A106C16D96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M4:M5</xm:sqref>
        </x14:conditionalFormatting>
        <x14:conditionalFormatting xmlns:xm="http://schemas.microsoft.com/office/excel/2006/main">
          <x14:cfRule type="dataBar" id="{F1ADB585-4F25-4747-9B30-2E5908236F9C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M5</xm:sqref>
        </x14:conditionalFormatting>
        <x14:conditionalFormatting xmlns:xm="http://schemas.microsoft.com/office/excel/2006/main">
          <x14:cfRule type="dataBar" id="{685CB657-95EC-472A-AF9F-B819D661B636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N5</xm:sqref>
        </x14:conditionalFormatting>
        <x14:conditionalFormatting xmlns:xm="http://schemas.microsoft.com/office/excel/2006/main">
          <x14:cfRule type="dataBar" id="{60AB0B7C-1C1B-40B9-A27E-C0D1C03D2A4E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ECCC7C"/>
              <x14:axisColor rgb="FF000000"/>
            </x14:dataBar>
          </x14:cfRule>
          <xm:sqref>O4:O5</xm:sqref>
        </x14:conditionalFormatting>
        <x14:conditionalFormatting xmlns:xm="http://schemas.microsoft.com/office/excel/2006/main">
          <x14:cfRule type="dataBar" id="{91424752-8039-4A89-8D86-290F21756FFF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O5</xm:sqref>
        </x14:conditionalFormatting>
        <x14:conditionalFormatting xmlns:xm="http://schemas.microsoft.com/office/excel/2006/main">
          <x14:cfRule type="dataBar" id="{4031B27A-DF7B-4403-A516-9FD0B2C1B1C8}">
            <x14:dataBar minLength="0" maxLength="100" border="1" gradient="0">
              <x14:cfvo type="autoMin"/>
              <x14:cfvo type="autoMax"/>
              <x14:borderColor theme="0" tint="-0.14999847407452621"/>
              <x14:negativeFillColor rgb="FFF2DDA8"/>
              <x14:axisColor rgb="FF000000"/>
            </x14:dataBar>
          </x14:cfRule>
          <xm:sqref>P5</xm:sqref>
        </x14:conditionalFormatting>
        <x14:conditionalFormatting xmlns:xm="http://schemas.microsoft.com/office/excel/2006/main">
          <x14:cfRule type="dataBar" id="{4C1A48D4-10A5-4B5C-9571-0584EC83AB96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Q1:Q3 Q6:Q1048576</xm:sqref>
        </x14:conditionalFormatting>
        <x14:conditionalFormatting xmlns:xm="http://schemas.microsoft.com/office/excel/2006/main">
          <x14:cfRule type="dataBar" id="{FC5922A8-3F87-4595-96FC-9644801BF2FC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F6E7C2"/>
              <x14:axisColor rgb="FF000000"/>
            </x14:dataBar>
          </x14:cfRule>
          <xm:sqref>Q4:Q5</xm:sqref>
        </x14:conditionalFormatting>
        <x14:conditionalFormatting xmlns:xm="http://schemas.microsoft.com/office/excel/2006/main">
          <x14:cfRule type="dataBar" id="{4C4C14FB-9760-4B30-82B5-F1837F3FB572}">
            <x14:dataBar minLength="0" maxLength="100" border="1" gradient="0">
              <x14:cfvo type="formula">
                <xm:f>$K$2</xm:f>
              </x14:cfvo>
              <x14:cfvo type="formula">
                <xm:f>$K$1</xm:f>
              </x14:cfvo>
              <x14:borderColor rgb="FFEDF3F3"/>
              <x14:negativeFillColor rgb="FFC6951C"/>
              <x14:axisColor rgb="FF000000"/>
            </x14:dataBar>
          </x14:cfRule>
          <xm:sqref>Q5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g D A A B Q S w M E F A A C A A g A e G 2 D V n 9 t U n i l A A A A 9 w A A A B I A H A B D b 2 5 m a W c v U G F j a 2 F n Z S 5 4 b W w g o h g A K K A U A A A A A A A A A A A A A A A A A A A A A A A A A A A A h Y 9 N C s I w G E S v U r J v / g S R 8 j V d 6 E 4 L g i B u Q x r b Y J t K k 5 r e z Y V H 8 g p W t O r O 5 b x 5 i 5 n 7 9 Q b Z 0 N T R R X f O t D Z F D F M U a a v a w t g y R b 0 / x g u U C d h K d Z K l j k b Z u m R w R Y o q 7 8 8 J I S E E H G a 4 7 U r C K W X k k G 9 2 q t K N R B / Z / J d j Y 5 2 X V m k k Y P 8 a I z h m j G N O 5 x x T I B O F 3 N i v w c f B z / Y H w r K v f d 9 p U c h 4 t Q Y y R S D v E + I B U E s D B B Q A A g A I A H h t g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4 b Y N W / 3 w B m r E A A A D w A A A A E w A c A E Z v c m 1 1 b G F z L 1 N l Y 3 R p b 2 4 x L m 0 g o h g A K K A U A A A A A A A A A A A A A A A A A A A A A A A A A A A A b Y 2 x C o M w E I Z 3 w X c I 6 W I h C L a j O E k n o U u F D u I Q 9 U r F 5 K 4 k E S z i 2 h f r i z U o 7 d R b D u 7 7 v / s t t K 4 n Z J d t J 2 k Y h I G 9 S w M d K 2 U D 6 s g y p s C F A f N T 9 K o D f z h N L a g 4 H 4 0 B d F c y Q 0 M 0 R P u 5 O k s N G d 9 E X i 9 V T u h 8 p B a b v + P v F 3 Y G H H P P B 3 D / y U c V x K W R a G 9 k d E 5 q 1 F h 6 a K O 1 T M w z L 0 g R I i R c r B p z M L l F s B 8 4 f A G O u g G z L P s w 6 P F v Y / o B U E s B A i 0 A F A A C A A g A e G 2 D V n 9 t U n i l A A A A 9 w A A A B I A A A A A A A A A A A A A A A A A A A A A A E N v b m Z p Z y 9 Q Y W N r Y W d l L n h t b F B L A Q I t A B Q A A g A I A H h t g 1 Y P y u m r p A A A A O k A A A A T A A A A A A A A A A A A A A A A A P E A A A B b Q 2 9 u d G V u d F 9 U e X B l c 1 0 u e G 1 s U E s B A i 0 A F A A C A A g A e G 2 D V v 9 8 A Z q x A A A A 8 A A A A B M A A A A A A A A A A A A A A A A A 4 g E A A E Z v c m 1 1 b G F z L 1 N l Y 3 R p b 2 4 x L m 1 Q S w U G A A A A A A M A A w D C A A A A 4 A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Q g A A A A A A A A 3 C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w M 1 Q x M T o w M T o 1 O S 4 3 N T Q 1 N z Y 0 W i I g L z 4 8 R W 5 0 c n k g V H l w Z T 0 i R m l s b E N v b H V t b l R 5 c G V z I i B W Y W x 1 Z T 0 i c 0 J n V T 0 i I C 8 + P E V u d H J 5 I F R 5 c G U 9 I k Z p b G x D b 2 x 1 b W 5 O Y W 1 l c y I g V m F s d W U 9 I n N b J n F 1 b 3 Q 7 S 2 9 s b 2 5 u Z T E m c X V v d D s s J n F 1 b 3 Q 7 S 2 9 s b 2 5 u Z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D M v Q X V 0 b 1 J l b W 9 2 Z W R D b 2 x 1 b W 5 z M S 5 7 S 2 9 s b 2 5 u Z T E s M H 0 m c X V v d D s s J n F 1 b 3 Q 7 U 2 V j d G l v b j E v V G F i Z W w z L 0 F 1 d G 9 S Z W 1 v d m V k Q 2 9 s d W 1 u c z E u e 0 t v b G 9 u b m U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V s M y 9 B d X R v U m V t b 3 Z l Z E N v b H V t b n M x L n t L b 2 x v b m 5 l M S w w f S Z x d W 9 0 O y w m c X V v d D t T Z W N 0 a W 9 u M S 9 U Y W J l b D M v Q X V 0 b 1 J l b W 9 2 Z W R D b 2 x 1 b W 5 z M S 5 7 S 2 9 s b 2 5 u Z T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M y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M y 8 l Q z M l O D Z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y G / A 2 i g 5 U S n / z J V u F V s K A A A A A A C A A A A A A A D Z g A A w A A A A B A A A A B E N 0 g 8 3 N 8 R N Y g S b 1 n T z O t f A A A A A A S A A A C g A A A A E A A A A O L T O a t l 6 B z r U H b t k l K G T I 5 Q A A A A b F 6 O j x I 7 d n K p V T o g L K / m g T w 4 A O y h y + l x r / h 1 b a h A F 2 W o y y 3 s 1 H Z N d D 7 r V D k h + D m o 6 H / h 3 3 B H p Y p P 8 M Y I L W C / 4 K V Q 4 T U T 6 4 6 N V V Z 6 / 0 7 f 3 R A U A A A A / N t n m e f M W O 0 Z B r 8 Q C l n M l O 5 i 2 y c = < / D a t a M a s h u p > 
</file>

<file path=customXml/itemProps1.xml><?xml version="1.0" encoding="utf-8"?>
<ds:datastoreItem xmlns:ds="http://schemas.openxmlformats.org/officeDocument/2006/customXml" ds:itemID="{45154A21-C229-4797-B4E2-9A8959BD788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Introduktion</vt:lpstr>
      <vt:lpstr>Isolering</vt:lpstr>
      <vt:lpstr>Udvendig beklædning</vt:lpstr>
      <vt:lpstr>Plader</vt:lpstr>
      <vt:lpstr>Overflader</vt:lpstr>
      <vt:lpstr>Indvendig beklædning</vt:lpstr>
      <vt:lpstr>Vinduer</vt:lpstr>
      <vt:lpstr>Solceller</vt:lpstr>
    </vt:vector>
  </TitlesOfParts>
  <Company>MOE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Helene Sjørup Lyngaa</dc:creator>
  <cp:lastModifiedBy>Louise Østergaard Pedersen</cp:lastModifiedBy>
  <cp:lastPrinted>2023-04-05T10:45:32Z</cp:lastPrinted>
  <dcterms:created xsi:type="dcterms:W3CDTF">2022-10-17T15:55:48Z</dcterms:created>
  <dcterms:modified xsi:type="dcterms:W3CDTF">2024-04-23T09:27:37Z</dcterms:modified>
</cp:coreProperties>
</file>